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ustomProperty1.bin" ContentType="application/vnd.openxmlformats-officedocument.spreadsheetml.customProperty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I\Book Informações\"/>
    </mc:Choice>
  </mc:AlternateContent>
  <xr:revisionPtr revIDLastSave="0" documentId="13_ncr:1_{E0059505-0CA4-452A-AC81-5B2FCDE50C91}" xr6:coauthVersionLast="47" xr6:coauthVersionMax="47" xr10:uidLastSave="{00000000-0000-0000-0000-000000000000}"/>
  <bookViews>
    <workbookView xWindow="-120" yWindow="-120" windowWidth="29040" windowHeight="15720" tabRatio="808" xr2:uid="{00000000-000D-0000-FFFF-FFFF00000000}"/>
  </bookViews>
  <sheets>
    <sheet name="Home" sheetId="17" r:id="rId1"/>
    <sheet name="Balance Sheet" sheetId="2" r:id="rId2"/>
    <sheet name="Income Statement" sheetId="3" r:id="rId3"/>
    <sheet name="Cash Flow" sheetId="19" r:id="rId4"/>
    <sheet name="Accounts Receivables" sheetId="23" r:id="rId5"/>
    <sheet name="Estimated Credit Losses IFRS" sheetId="20" r:id="rId6"/>
    <sheet name="NPL Formation" sheetId="29" r:id="rId7"/>
    <sheet name="Financial Services" sheetId="4" r:id="rId8"/>
    <sheet name="EBITDA" sheetId="15" r:id="rId9"/>
    <sheet name="EBITDA Ex-IFRS 16" sheetId="28" r:id="rId10"/>
    <sheet name="Operating Data" sheetId="6" r:id="rId11"/>
    <sheet name="B&amp;M Units" sheetId="21" r:id="rId12"/>
    <sheet name="TD" sheetId="30" state="hidden" r:id="rId13"/>
    <sheet name="ROIC" sheetId="26" r:id="rId14"/>
    <sheet name="CAPEX" sheetId="16" r:id="rId15"/>
    <sheet name="Dividends and IOC" sheetId="9" r:id="rId16"/>
    <sheet name="Receivables BACEN" sheetId="5" r:id="rId17"/>
    <sheet name="UF" sheetId="10" r:id="rId18"/>
    <sheet name="Quarters" sheetId="11" state="hidden" r:id="rId19"/>
  </sheets>
  <definedNames>
    <definedName name="_xlnm._FilterDatabase" localSheetId="11" hidden="1">'B&amp;M Units'!$B$6:$O$824</definedName>
    <definedName name="_xlnm._FilterDatabase" localSheetId="1" hidden="1">'Balance Sheet'!$C$7:$AU$72</definedName>
    <definedName name="_xlnm._FilterDatabase" localSheetId="3" hidden="1">'Cash Flow'!$B$7:$C$155</definedName>
    <definedName name="_xlnm._FilterDatabase" localSheetId="8" hidden="1">EBITDA!$B$7:$DS$9</definedName>
    <definedName name="_xlnm._FilterDatabase" localSheetId="9" hidden="1">'EBITDA Ex-IFRS 16'!$B$7:$C$9</definedName>
    <definedName name="_xlnm._FilterDatabase" localSheetId="2" hidden="1">'Income Statement'!$B$7:$DS$62</definedName>
    <definedName name="Z_9EFFFE42_D343_4846_9BB6_19C72BF2CCB9_.wvu.FilterData" localSheetId="11" hidden="1">'B&amp;M Units'!$D$6:$O$824</definedName>
    <definedName name="Z_A3D29705_44C4_4B42_97EB_2B18742850C7_.wvu.Cols" localSheetId="4" hidden="1">'Accounts Receivables'!$C:$C</definedName>
    <definedName name="Z_A3D29705_44C4_4B42_97EB_2B18742850C7_.wvu.Cols" localSheetId="11" hidden="1">'B&amp;M Units'!$G:$G,'B&amp;M Units'!#REF!</definedName>
    <definedName name="Z_A3D29705_44C4_4B42_97EB_2B18742850C7_.wvu.Cols" localSheetId="1" hidden="1">'Balance Sheet'!$D:$D</definedName>
    <definedName name="Z_A3D29705_44C4_4B42_97EB_2B18742850C7_.wvu.Cols" localSheetId="14" hidden="1">CAPEX!$C:$C,CAPEX!#REF!,CAPEX!$D:$I,CAPEX!$K:$P,CAPEX!$R:$W,CAPEX!$Y:$AD,CAPEX!$AF:$AK,CAPEX!$AM:$AR,CAPEX!$AT:$AY,CAPEX!$BA:$BF,CAPEX!$BH:$BM,CAPEX!$BO:$BT,CAPEX!$BV:$CA</definedName>
    <definedName name="Z_A3D29705_44C4_4B42_97EB_2B18742850C7_.wvu.Cols" localSheetId="5" hidden="1">'Estimated Credit Losses IFRS'!$C:$C</definedName>
    <definedName name="Z_A3D29705_44C4_4B42_97EB_2B18742850C7_.wvu.Cols" localSheetId="7" hidden="1">'Financial Services'!$C:$C,'Financial Services'!#REF!,'Financial Services'!#REF!,'Financial Services'!$D:$I,'Financial Services'!$K:$P,'Financial Services'!$R:$W,'Financial Services'!$Y:$AD,'Financial Services'!$AF:$AK,'Financial Services'!$AM:$AR,'Financial Services'!$AT:$AY,'Financial Services'!$BA:$BF,'Financial Services'!$BH:$BM,'Financial Services'!$BO:$BT</definedName>
    <definedName name="Z_A3D29705_44C4_4B42_97EB_2B18742850C7_.wvu.Cols" localSheetId="10" hidden="1">'Operating Data'!$C:$C</definedName>
    <definedName name="Z_A3D29705_44C4_4B42_97EB_2B18742850C7_.wvu.Cols" localSheetId="16" hidden="1">'Receivables BACEN'!$C:$C</definedName>
    <definedName name="Z_A3D29705_44C4_4B42_97EB_2B18742850C7_.wvu.Cols" localSheetId="13" hidden="1">ROIC!$C:$C</definedName>
    <definedName name="Z_A3D29705_44C4_4B42_97EB_2B18742850C7_.wvu.FilterData" localSheetId="11" hidden="1">'B&amp;M Units'!$A$6:$O$824</definedName>
    <definedName name="Z_A3D29705_44C4_4B42_97EB_2B18742850C7_.wvu.FilterData" localSheetId="1" hidden="1">'Balance Sheet'!$C$7:$AU$72</definedName>
    <definedName name="Z_A3D29705_44C4_4B42_97EB_2B18742850C7_.wvu.Rows" localSheetId="4" hidden="1">'Accounts Receivables'!#REF!,'Accounts Receivables'!#REF!,'Accounts Receivables'!#REF!</definedName>
    <definedName name="Z_A3D29705_44C4_4B42_97EB_2B18742850C7_.wvu.Rows" localSheetId="11" hidden="1">'B&amp;M Units'!#REF!,'B&amp;M Units'!#REF!,'B&amp;M Units'!#REF!,'B&amp;M Units'!#REF!,'B&amp;M Units'!#REF!</definedName>
    <definedName name="Z_A3D29705_44C4_4B42_97EB_2B18742850C7_.wvu.Rows" localSheetId="1" hidden="1">'Balance Sheet'!#REF!</definedName>
    <definedName name="Z_A3D29705_44C4_4B42_97EB_2B18742850C7_.wvu.Rows" localSheetId="5" hidden="1">'Estimated Credit Losses IFRS'!#REF!,'Estimated Credit Losses IFRS'!#REF!,'Estimated Credit Losses IFRS'!#REF!</definedName>
    <definedName name="Z_A3D29705_44C4_4B42_97EB_2B18742850C7_.wvu.Rows" localSheetId="10" hidden="1">'Operating Data'!#REF!,'Operating Data'!#REF!,'Operating Data'!#REF!</definedName>
    <definedName name="Z_A3D29705_44C4_4B42_97EB_2B18742850C7_.wvu.Rows" localSheetId="16" hidden="1">'Receivables BACEN'!#REF!,'Receivables BACEN'!#REF!,'Receivables BACEN'!#REF!</definedName>
    <definedName name="Z_A3D29705_44C4_4B42_97EB_2B18742850C7_.wvu.Rows" localSheetId="13" hidden="1">ROIC!#REF!,ROIC!#REF!,ROIC!#REF!</definedName>
    <definedName name="Z_E88E1926_5DA8_417A_8DB1_2CA24C2C419E_.wvu.Cols" localSheetId="4" hidden="1">'Accounts Receivables'!$C:$C</definedName>
    <definedName name="Z_E88E1926_5DA8_417A_8DB1_2CA24C2C419E_.wvu.Cols" localSheetId="1" hidden="1">'Balance Sheet'!$D:$D</definedName>
    <definedName name="Z_E88E1926_5DA8_417A_8DB1_2CA24C2C419E_.wvu.Cols" localSheetId="14" hidden="1">CAPEX!$CC:$CH,CAPEX!$CJ:$CP</definedName>
    <definedName name="Z_E88E1926_5DA8_417A_8DB1_2CA24C2C419E_.wvu.Cols" localSheetId="5" hidden="1">'Estimated Credit Losses IFRS'!$C:$C</definedName>
    <definedName name="Z_E88E1926_5DA8_417A_8DB1_2CA24C2C419E_.wvu.Cols" localSheetId="7" hidden="1">'Financial Services'!$BV:$CA,'Financial Services'!$CC:$CI</definedName>
    <definedName name="Z_E88E1926_5DA8_417A_8DB1_2CA24C2C419E_.wvu.Cols" localSheetId="16" hidden="1">'Receivables BACEN'!$C:$C</definedName>
    <definedName name="Z_E88E1926_5DA8_417A_8DB1_2CA24C2C419E_.wvu.Cols" localSheetId="13" hidden="1">ROIC!$C:$C</definedName>
    <definedName name="Z_E88E1926_5DA8_417A_8DB1_2CA24C2C419E_.wvu.FilterData" localSheetId="11" hidden="1">'B&amp;M Units'!$D$6:$O$824</definedName>
    <definedName name="Z_E88E1926_5DA8_417A_8DB1_2CA24C2C419E_.wvu.FilterData" localSheetId="1" hidden="1">'Balance Sheet'!$C$7:$AU$72</definedName>
    <definedName name="Z_E88E1926_5DA8_417A_8DB1_2CA24C2C419E_.wvu.Rows" localSheetId="4" hidden="1">'Accounts Receivables'!#REF!,'Accounts Receivables'!#REF!,'Accounts Receivables'!#REF!</definedName>
    <definedName name="Z_E88E1926_5DA8_417A_8DB1_2CA24C2C419E_.wvu.Rows" localSheetId="11" hidden="1">'B&amp;M Units'!#REF!,'B&amp;M Units'!#REF!,'B&amp;M Units'!#REF!,'B&amp;M Units'!#REF!,'B&amp;M Units'!#REF!</definedName>
    <definedName name="Z_E88E1926_5DA8_417A_8DB1_2CA24C2C419E_.wvu.Rows" localSheetId="5" hidden="1">'Estimated Credit Losses IFRS'!#REF!,'Estimated Credit Losses IFRS'!#REF!,'Estimated Credit Losses IFRS'!#REF!</definedName>
    <definedName name="Z_E88E1926_5DA8_417A_8DB1_2CA24C2C419E_.wvu.Rows" localSheetId="10" hidden="1">'Operating Data'!#REF!,'Operating Data'!#REF!,'Operating Data'!#REF!</definedName>
    <definedName name="Z_E88E1926_5DA8_417A_8DB1_2CA24C2C419E_.wvu.Rows" localSheetId="16" hidden="1">'Receivables BACEN'!#REF!,'Receivables BACEN'!#REF!,'Receivables BACEN'!#REF!</definedName>
    <definedName name="Z_E88E1926_5DA8_417A_8DB1_2CA24C2C419E_.wvu.Rows" localSheetId="13" hidden="1">ROIC!#REF!,ROIC!#REF!,ROIC!#REF!</definedName>
    <definedName name="Z_EAB4FDA2_937E_4CE5_8DA8_79E156FA8C1F_.wvu.Cols" localSheetId="4" hidden="1">'Accounts Receivables'!$C:$C</definedName>
    <definedName name="Z_EAB4FDA2_937E_4CE5_8DA8_79E156FA8C1F_.wvu.Cols" localSheetId="11" hidden="1">'B&amp;M Units'!$B:$C,'B&amp;M Units'!$G:$G,'B&amp;M Units'!#REF!</definedName>
    <definedName name="Z_EAB4FDA2_937E_4CE5_8DA8_79E156FA8C1F_.wvu.Cols" localSheetId="1" hidden="1">'Balance Sheet'!$D:$D</definedName>
    <definedName name="Z_EAB4FDA2_937E_4CE5_8DA8_79E156FA8C1F_.wvu.Cols" localSheetId="14" hidden="1">CAPEX!$C:$C,CAPEX!#REF!,CAPEX!$D:$I,CAPEX!$K:$P,CAPEX!$R:$W,CAPEX!$Y:$AD,CAPEX!$AF:$AK,CAPEX!$AM:$AR,CAPEX!$AT:$AY,CAPEX!$BA:$BF,CAPEX!$BH:$BM,CAPEX!$BO:$BT,CAPEX!$BV:$CA</definedName>
    <definedName name="Z_EAB4FDA2_937E_4CE5_8DA8_79E156FA8C1F_.wvu.Cols" localSheetId="5" hidden="1">'Estimated Credit Losses IFRS'!$C:$C</definedName>
    <definedName name="Z_EAB4FDA2_937E_4CE5_8DA8_79E156FA8C1F_.wvu.Cols" localSheetId="7" hidden="1">'Financial Services'!$C:$C,'Financial Services'!#REF!,'Financial Services'!#REF!,'Financial Services'!$D:$I,'Financial Services'!$K:$P,'Financial Services'!$R:$W,'Financial Services'!$Y:$AD,'Financial Services'!$AF:$AK,'Financial Services'!$AM:$AR,'Financial Services'!$AT:$AY,'Financial Services'!$BA:$BF,'Financial Services'!$BH:$BM,'Financial Services'!$BO:$BT</definedName>
    <definedName name="Z_EAB4FDA2_937E_4CE5_8DA8_79E156FA8C1F_.wvu.Cols" localSheetId="10" hidden="1">'Operating Data'!$C:$C</definedName>
    <definedName name="Z_EAB4FDA2_937E_4CE5_8DA8_79E156FA8C1F_.wvu.Cols" localSheetId="16" hidden="1">'Receivables BACEN'!$C:$C</definedName>
    <definedName name="Z_EAB4FDA2_937E_4CE5_8DA8_79E156FA8C1F_.wvu.Cols" localSheetId="13" hidden="1">ROIC!$C:$C</definedName>
    <definedName name="Z_EAB4FDA2_937E_4CE5_8DA8_79E156FA8C1F_.wvu.FilterData" localSheetId="11" hidden="1">'B&amp;M Units'!$A$6:$O$824</definedName>
    <definedName name="Z_EAB4FDA2_937E_4CE5_8DA8_79E156FA8C1F_.wvu.FilterData" localSheetId="1" hidden="1">'Balance Sheet'!$C$7:$AU$72</definedName>
    <definedName name="Z_EAB4FDA2_937E_4CE5_8DA8_79E156FA8C1F_.wvu.Rows" localSheetId="4" hidden="1">'Accounts Receivables'!#REF!,'Accounts Receivables'!#REF!,'Accounts Receivables'!#REF!</definedName>
    <definedName name="Z_EAB4FDA2_937E_4CE5_8DA8_79E156FA8C1F_.wvu.Rows" localSheetId="11" hidden="1">'B&amp;M Units'!#REF!,'B&amp;M Units'!#REF!,'B&amp;M Units'!#REF!,'B&amp;M Units'!#REF!,'B&amp;M Units'!#REF!</definedName>
    <definedName name="Z_EAB4FDA2_937E_4CE5_8DA8_79E156FA8C1F_.wvu.Rows" localSheetId="1" hidden="1">'Balance Sheet'!#REF!</definedName>
    <definedName name="Z_EAB4FDA2_937E_4CE5_8DA8_79E156FA8C1F_.wvu.Rows" localSheetId="5" hidden="1">'Estimated Credit Losses IFRS'!#REF!,'Estimated Credit Losses IFRS'!#REF!,'Estimated Credit Losses IFRS'!#REF!</definedName>
    <definedName name="Z_EAB4FDA2_937E_4CE5_8DA8_79E156FA8C1F_.wvu.Rows" localSheetId="10" hidden="1">'Operating Data'!#REF!,'Operating Data'!#REF!,'Operating Data'!#REF!</definedName>
    <definedName name="Z_EAB4FDA2_937E_4CE5_8DA8_79E156FA8C1F_.wvu.Rows" localSheetId="16" hidden="1">'Receivables BACEN'!#REF!,'Receivables BACEN'!#REF!,'Receivables BACEN'!#REF!</definedName>
    <definedName name="Z_EAB4FDA2_937E_4CE5_8DA8_79E156FA8C1F_.wvu.Rows" localSheetId="13" hidden="1">ROIC!#REF!,ROIC!#REF!,ROIC!#REF!</definedName>
  </definedNames>
  <calcPr calcId="191029"/>
  <customWorkbookViews>
    <customWorkbookView name="Mauricio Martinbianco Toller - Modo de exibição pessoal" guid="{E88E1926-5DA8-417A-8DB1-2CA24C2C419E}" mergeInterval="0" personalView="1" maximized="1" xWindow="-8" yWindow="-8" windowWidth="1382" windowHeight="744" tabRatio="860" activeSheetId="8" showComments="commIndAndComment"/>
    <customWorkbookView name="Luciana Leitao Moura - Modo de exibição pessoal" guid="{A3D29705-44C4-4B42-97EB-2B18742850C7}" mergeInterval="0" personalView="1" maximized="1" xWindow="-11" yWindow="-11" windowWidth="1942" windowHeight="1042" tabRatio="860" activeSheetId="7"/>
    <customWorkbookView name="Carla Flores Sffair - Modo de exibição pessoal" guid="{EAB4FDA2-937E-4CE5-8DA8-79E156FA8C1F}" mergeInterval="0" personalView="1" maximized="1" xWindow="-8" yWindow="-8" windowWidth="1382" windowHeight="744" tabRatio="860" activeSheetId="3"/>
  </customWorkbookViews>
  <pivotCaches>
    <pivotCache cacheId="1" r:id="rId20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0" l="1"/>
  <c r="E22" i="20"/>
  <c r="F22" i="20"/>
  <c r="G22" i="20"/>
  <c r="H22" i="20"/>
  <c r="I22" i="20"/>
  <c r="J22" i="20"/>
  <c r="K22" i="20"/>
  <c r="L22" i="20"/>
  <c r="M22" i="20"/>
  <c r="N22" i="20"/>
  <c r="O22" i="20"/>
  <c r="P22" i="20"/>
  <c r="Q22" i="20"/>
  <c r="R22" i="20"/>
  <c r="S22" i="20"/>
  <c r="T22" i="20"/>
  <c r="U22" i="20"/>
  <c r="V22" i="20"/>
  <c r="W22" i="20"/>
  <c r="X22" i="20"/>
  <c r="Y22" i="20"/>
  <c r="X15" i="29" l="1"/>
  <c r="W15" i="29"/>
  <c r="V15" i="29"/>
  <c r="U15" i="29"/>
  <c r="T15" i="29"/>
  <c r="S15" i="29"/>
  <c r="R15" i="29"/>
  <c r="Q15" i="29"/>
  <c r="P15" i="29"/>
  <c r="O15" i="29"/>
  <c r="N15" i="29"/>
  <c r="M15" i="29"/>
  <c r="L15" i="29"/>
  <c r="K15" i="29"/>
  <c r="J15" i="29"/>
  <c r="I15" i="29"/>
  <c r="H15" i="29"/>
  <c r="G15" i="29"/>
  <c r="F15" i="29"/>
  <c r="E15" i="29"/>
  <c r="D15" i="29"/>
  <c r="Y15" i="29"/>
  <c r="EW13" i="16"/>
  <c r="EV13" i="16"/>
  <c r="EV13" i="3" l="1"/>
  <c r="AH29" i="19" l="1"/>
  <c r="AH27" i="19"/>
  <c r="AH14" i="19"/>
  <c r="AH13" i="19"/>
  <c r="AH12" i="19"/>
  <c r="AH10" i="19"/>
  <c r="AH42" i="19"/>
  <c r="AH50" i="19"/>
  <c r="AH47" i="19"/>
  <c r="AH43" i="19"/>
  <c r="AH40" i="19"/>
  <c r="AH36" i="19"/>
  <c r="AH15" i="19"/>
  <c r="AH11" i="19"/>
  <c r="AH6" i="19"/>
  <c r="AG6" i="19"/>
  <c r="AH18" i="19" l="1"/>
  <c r="AH19" i="19"/>
  <c r="AH20" i="19"/>
  <c r="AH21" i="19"/>
  <c r="AH31" i="19"/>
  <c r="AH23" i="19"/>
  <c r="AG37" i="19"/>
  <c r="AH37" i="19" s="1"/>
  <c r="AH24" i="19"/>
  <c r="AH25" i="19"/>
  <c r="AH26" i="19"/>
  <c r="AH28" i="19"/>
  <c r="AG45" i="19"/>
  <c r="AH45" i="19" s="1"/>
  <c r="AH41" i="19"/>
  <c r="AH35" i="19"/>
  <c r="AH44" i="19"/>
  <c r="EP69" i="6" l="1"/>
  <c r="EP68" i="6"/>
  <c r="EP67" i="6"/>
  <c r="EW69" i="6"/>
  <c r="EW68" i="6"/>
  <c r="EW67" i="6"/>
  <c r="Y7" i="29" l="1"/>
  <c r="EW12" i="16" l="1"/>
  <c r="EW11" i="16"/>
  <c r="EW10" i="16"/>
  <c r="EW9" i="16"/>
  <c r="EW8" i="16"/>
  <c r="EW6" i="16"/>
  <c r="EV6" i="16"/>
  <c r="EW70" i="6" l="1"/>
  <c r="EW73" i="6"/>
  <c r="EW21" i="6" l="1"/>
  <c r="EV21" i="6"/>
  <c r="EW20" i="6"/>
  <c r="EV20" i="6"/>
  <c r="EW54" i="6" l="1"/>
  <c r="EV53" i="6"/>
  <c r="EU53" i="6"/>
  <c r="EW53" i="6" s="1"/>
  <c r="EU52" i="6"/>
  <c r="EW43" i="6"/>
  <c r="EW42" i="6"/>
  <c r="EW41" i="6"/>
  <c r="EV42" i="6"/>
  <c r="EV46" i="6" l="1"/>
  <c r="EW45" i="6"/>
  <c r="EV48" i="6"/>
  <c r="EV49" i="6" s="1"/>
  <c r="EW56" i="6"/>
  <c r="EV59" i="6"/>
  <c r="EV60" i="6" s="1"/>
  <c r="EV57" i="6"/>
  <c r="EV52" i="6"/>
  <c r="EW52" i="6" s="1"/>
  <c r="EW46" i="6" l="1"/>
  <c r="EW48" i="6"/>
  <c r="EW49" i="6" s="1"/>
  <c r="EW57" i="6"/>
  <c r="EW59" i="6"/>
  <c r="EW60" i="6" s="1"/>
  <c r="EW23" i="6"/>
  <c r="EV23" i="6"/>
  <c r="EV22" i="6"/>
  <c r="EW32" i="6" l="1"/>
  <c r="EW22" i="6" s="1"/>
  <c r="EW31" i="6" l="1"/>
  <c r="EW30" i="6"/>
  <c r="EV31" i="6"/>
  <c r="EV30" i="6"/>
  <c r="I824" i="21"/>
  <c r="I823" i="21"/>
  <c r="I822" i="21"/>
  <c r="I821" i="21"/>
  <c r="I820" i="21"/>
  <c r="I819" i="21"/>
  <c r="I818" i="21"/>
  <c r="I817" i="21"/>
  <c r="I816" i="21"/>
  <c r="I815" i="21"/>
  <c r="I814" i="21"/>
  <c r="I813" i="21"/>
  <c r="I812" i="21"/>
  <c r="I811" i="21"/>
  <c r="I810" i="21"/>
  <c r="I809" i="21"/>
  <c r="I808" i="21"/>
  <c r="I807" i="21"/>
  <c r="I806" i="21"/>
  <c r="I805" i="21"/>
  <c r="I804" i="21"/>
  <c r="I803" i="21"/>
  <c r="I802" i="21"/>
  <c r="I801" i="21"/>
  <c r="I800" i="21"/>
  <c r="I799" i="21"/>
  <c r="I798" i="21"/>
  <c r="I797" i="21"/>
  <c r="I796" i="21"/>
  <c r="I795" i="21"/>
  <c r="I794" i="21"/>
  <c r="I793" i="21"/>
  <c r="I792" i="21"/>
  <c r="I791" i="21"/>
  <c r="I790" i="21"/>
  <c r="I789" i="21"/>
  <c r="I788" i="21"/>
  <c r="I787" i="21"/>
  <c r="I786" i="21"/>
  <c r="I785" i="21"/>
  <c r="I784" i="21"/>
  <c r="I783" i="21"/>
  <c r="I782" i="21"/>
  <c r="I781" i="21"/>
  <c r="I780" i="21"/>
  <c r="I779" i="21"/>
  <c r="I778" i="21"/>
  <c r="I777" i="21"/>
  <c r="I776" i="21"/>
  <c r="I775" i="21"/>
  <c r="I774" i="21"/>
  <c r="I773" i="21"/>
  <c r="I772" i="21"/>
  <c r="I771" i="21"/>
  <c r="I770" i="21"/>
  <c r="I769" i="21"/>
  <c r="I768" i="21"/>
  <c r="I767" i="21"/>
  <c r="I766" i="21"/>
  <c r="I765" i="21"/>
  <c r="I764" i="21"/>
  <c r="I763" i="21"/>
  <c r="I762" i="21"/>
  <c r="I761" i="21"/>
  <c r="I760" i="21"/>
  <c r="I759" i="21"/>
  <c r="I758" i="21"/>
  <c r="I757" i="21"/>
  <c r="I756" i="21"/>
  <c r="I755" i="21"/>
  <c r="I754" i="21"/>
  <c r="I753" i="21"/>
  <c r="I752" i="21"/>
  <c r="I751" i="21"/>
  <c r="I750" i="21"/>
  <c r="I749" i="21"/>
  <c r="I748" i="21"/>
  <c r="I747" i="21"/>
  <c r="I746" i="21"/>
  <c r="I745" i="21"/>
  <c r="I744" i="21"/>
  <c r="I743" i="21"/>
  <c r="I742" i="21"/>
  <c r="I741" i="21"/>
  <c r="I740" i="21"/>
  <c r="I739" i="21"/>
  <c r="I738" i="21"/>
  <c r="I737" i="21"/>
  <c r="I736" i="21"/>
  <c r="I735" i="21"/>
  <c r="I734" i="21"/>
  <c r="I733" i="21"/>
  <c r="I732" i="21"/>
  <c r="I731" i="21"/>
  <c r="I730" i="21"/>
  <c r="I729" i="21"/>
  <c r="I728" i="21"/>
  <c r="I727" i="21"/>
  <c r="I726" i="21"/>
  <c r="I725" i="21"/>
  <c r="I724" i="21"/>
  <c r="I723" i="21"/>
  <c r="I722" i="21"/>
  <c r="I721" i="21"/>
  <c r="I720" i="21"/>
  <c r="I719" i="21"/>
  <c r="I718" i="21"/>
  <c r="I717" i="21"/>
  <c r="I716" i="21"/>
  <c r="I715" i="21"/>
  <c r="I714" i="21"/>
  <c r="I713" i="21"/>
  <c r="I712" i="21"/>
  <c r="I711" i="21"/>
  <c r="I710" i="21"/>
  <c r="I709" i="21"/>
  <c r="I708" i="21"/>
  <c r="I707" i="21"/>
  <c r="I706" i="21"/>
  <c r="I705" i="21"/>
  <c r="I704" i="21"/>
  <c r="I703" i="21"/>
  <c r="I702" i="21"/>
  <c r="I701" i="21"/>
  <c r="I700" i="21"/>
  <c r="I699" i="21"/>
  <c r="I698" i="21"/>
  <c r="I697" i="21"/>
  <c r="I696" i="21"/>
  <c r="I695" i="21"/>
  <c r="I694" i="21"/>
  <c r="I693" i="21"/>
  <c r="I692" i="21"/>
  <c r="I691" i="21"/>
  <c r="I690" i="21"/>
  <c r="I689" i="21"/>
  <c r="I688" i="21"/>
  <c r="I687" i="21"/>
  <c r="I686" i="21"/>
  <c r="I685" i="21"/>
  <c r="I684" i="21"/>
  <c r="I683" i="21"/>
  <c r="I682" i="21"/>
  <c r="I681" i="21"/>
  <c r="I680" i="21"/>
  <c r="I679" i="21"/>
  <c r="I678" i="21"/>
  <c r="I677" i="21"/>
  <c r="I676" i="21"/>
  <c r="I675" i="21"/>
  <c r="I674" i="21"/>
  <c r="I673" i="21"/>
  <c r="I672" i="21"/>
  <c r="I671" i="21"/>
  <c r="I670" i="21"/>
  <c r="I669" i="21"/>
  <c r="I668" i="21"/>
  <c r="I667" i="21"/>
  <c r="I666" i="21"/>
  <c r="I665" i="21"/>
  <c r="I664" i="21"/>
  <c r="I663" i="21"/>
  <c r="I662" i="21"/>
  <c r="I661" i="21"/>
  <c r="I660" i="21"/>
  <c r="I659" i="21"/>
  <c r="I658" i="21"/>
  <c r="I657" i="21"/>
  <c r="I656" i="21"/>
  <c r="I655" i="21"/>
  <c r="I654" i="21"/>
  <c r="I653" i="21"/>
  <c r="I652" i="21"/>
  <c r="I651" i="21"/>
  <c r="I650" i="21"/>
  <c r="I649" i="21"/>
  <c r="I648" i="21"/>
  <c r="I647" i="21"/>
  <c r="I646" i="21"/>
  <c r="I645" i="21"/>
  <c r="I644" i="21"/>
  <c r="I643" i="21"/>
  <c r="I642" i="21"/>
  <c r="I641" i="21"/>
  <c r="I640" i="21"/>
  <c r="I639" i="21"/>
  <c r="I638" i="21"/>
  <c r="I637" i="21"/>
  <c r="I636" i="21"/>
  <c r="I635" i="21"/>
  <c r="I634" i="21"/>
  <c r="I633" i="21"/>
  <c r="I632" i="21"/>
  <c r="I631" i="21"/>
  <c r="I630" i="21"/>
  <c r="I629" i="21"/>
  <c r="I628" i="21"/>
  <c r="I627" i="21"/>
  <c r="I626" i="21"/>
  <c r="I625" i="21"/>
  <c r="I624" i="21"/>
  <c r="I623" i="21"/>
  <c r="I622" i="21"/>
  <c r="I621" i="21"/>
  <c r="I620" i="21"/>
  <c r="I619" i="21"/>
  <c r="I618" i="21"/>
  <c r="I617" i="21"/>
  <c r="I616" i="21"/>
  <c r="I615" i="21"/>
  <c r="I614" i="21"/>
  <c r="I613" i="21"/>
  <c r="I612" i="21"/>
  <c r="I611" i="21"/>
  <c r="I610" i="21"/>
  <c r="I609" i="21"/>
  <c r="I608" i="21"/>
  <c r="I607" i="21"/>
  <c r="I606" i="21"/>
  <c r="I605" i="21"/>
  <c r="I604" i="21"/>
  <c r="I603" i="21"/>
  <c r="I602" i="21"/>
  <c r="I601" i="21"/>
  <c r="I600" i="21"/>
  <c r="I599" i="21"/>
  <c r="I598" i="21"/>
  <c r="I597" i="21"/>
  <c r="I596" i="21"/>
  <c r="I595" i="21"/>
  <c r="I594" i="21"/>
  <c r="I593" i="21"/>
  <c r="I592" i="21"/>
  <c r="I591" i="21"/>
  <c r="I590" i="21"/>
  <c r="I589" i="21"/>
  <c r="I588" i="21"/>
  <c r="I587" i="21"/>
  <c r="I586" i="21"/>
  <c r="I585" i="21"/>
  <c r="I584" i="21"/>
  <c r="I583" i="21"/>
  <c r="I582" i="21"/>
  <c r="I581" i="21"/>
  <c r="I580" i="21"/>
  <c r="I579" i="21"/>
  <c r="I578" i="21"/>
  <c r="I577" i="21"/>
  <c r="I576" i="21"/>
  <c r="I575" i="21"/>
  <c r="I574" i="21"/>
  <c r="I573" i="21"/>
  <c r="I572" i="21"/>
  <c r="I571" i="21"/>
  <c r="I570" i="21"/>
  <c r="I569" i="21"/>
  <c r="I568" i="21"/>
  <c r="I567" i="21"/>
  <c r="I566" i="21"/>
  <c r="I565" i="21"/>
  <c r="I564" i="21"/>
  <c r="I563" i="21"/>
  <c r="I562" i="21"/>
  <c r="I561" i="21"/>
  <c r="I560" i="21"/>
  <c r="I559" i="21"/>
  <c r="I558" i="21"/>
  <c r="I557" i="21"/>
  <c r="I556" i="21"/>
  <c r="I555" i="21"/>
  <c r="I554" i="21"/>
  <c r="I553" i="21"/>
  <c r="I552" i="21"/>
  <c r="I551" i="21"/>
  <c r="I550" i="21"/>
  <c r="I549" i="21"/>
  <c r="I548" i="21"/>
  <c r="I547" i="21"/>
  <c r="I546" i="21"/>
  <c r="I545" i="21"/>
  <c r="I544" i="21"/>
  <c r="I543" i="21"/>
  <c r="I542" i="21"/>
  <c r="I541" i="21"/>
  <c r="I540" i="21"/>
  <c r="I539" i="21"/>
  <c r="I538" i="21"/>
  <c r="I537" i="21"/>
  <c r="I536" i="21"/>
  <c r="I535" i="21"/>
  <c r="I534" i="21"/>
  <c r="I533" i="21"/>
  <c r="I532" i="21"/>
  <c r="I531" i="21"/>
  <c r="I530" i="21"/>
  <c r="I529" i="21"/>
  <c r="I528" i="21"/>
  <c r="I527" i="21"/>
  <c r="I526" i="21"/>
  <c r="I525" i="21"/>
  <c r="I524" i="21"/>
  <c r="I523" i="21"/>
  <c r="I522" i="21"/>
  <c r="I521" i="21"/>
  <c r="I520" i="21"/>
  <c r="I519" i="21"/>
  <c r="I518" i="21"/>
  <c r="I517" i="21"/>
  <c r="I516" i="21"/>
  <c r="I515" i="21"/>
  <c r="I514" i="21"/>
  <c r="I513" i="21"/>
  <c r="I512" i="21"/>
  <c r="I511" i="21"/>
  <c r="I510" i="21"/>
  <c r="I509" i="21"/>
  <c r="I508" i="21"/>
  <c r="I507" i="21"/>
  <c r="I506" i="21"/>
  <c r="I505" i="21"/>
  <c r="I504" i="21"/>
  <c r="I503" i="21"/>
  <c r="I502" i="21"/>
  <c r="I501" i="21"/>
  <c r="I500" i="21"/>
  <c r="I499" i="21"/>
  <c r="I498" i="21"/>
  <c r="I497" i="21"/>
  <c r="I496" i="21"/>
  <c r="I495" i="21"/>
  <c r="I494" i="21"/>
  <c r="I493" i="21"/>
  <c r="I492" i="21"/>
  <c r="I491" i="21"/>
  <c r="I490" i="21"/>
  <c r="I489" i="21"/>
  <c r="I488" i="21"/>
  <c r="I487" i="21"/>
  <c r="I486" i="21"/>
  <c r="I485" i="21"/>
  <c r="I484" i="21"/>
  <c r="I483" i="21"/>
  <c r="I482" i="21"/>
  <c r="I481" i="21"/>
  <c r="I480" i="21"/>
  <c r="I479" i="21"/>
  <c r="I478" i="21"/>
  <c r="I477" i="21"/>
  <c r="I476" i="21"/>
  <c r="I475" i="21"/>
  <c r="I474" i="21"/>
  <c r="I473" i="21"/>
  <c r="I472" i="21"/>
  <c r="I471" i="21"/>
  <c r="I470" i="21"/>
  <c r="I469" i="21"/>
  <c r="I468" i="21"/>
  <c r="I467" i="21"/>
  <c r="I466" i="21"/>
  <c r="I465" i="21"/>
  <c r="I464" i="21"/>
  <c r="I463" i="21"/>
  <c r="I462" i="21"/>
  <c r="I461" i="21"/>
  <c r="I460" i="21"/>
  <c r="I459" i="21"/>
  <c r="I458" i="21"/>
  <c r="I457" i="21"/>
  <c r="I456" i="21"/>
  <c r="I455" i="21"/>
  <c r="I454" i="21"/>
  <c r="I453" i="21"/>
  <c r="I452" i="21"/>
  <c r="I451" i="21"/>
  <c r="I450" i="21"/>
  <c r="I449" i="21"/>
  <c r="I448" i="21"/>
  <c r="I447" i="21"/>
  <c r="I446" i="21"/>
  <c r="I445" i="21"/>
  <c r="I444" i="21"/>
  <c r="I443" i="21"/>
  <c r="I442" i="21"/>
  <c r="I441" i="21"/>
  <c r="I440" i="21"/>
  <c r="I439" i="21"/>
  <c r="I438" i="21"/>
  <c r="I437" i="21"/>
  <c r="I436" i="21"/>
  <c r="I435" i="21"/>
  <c r="I434" i="21"/>
  <c r="I433" i="21"/>
  <c r="I432" i="21"/>
  <c r="I431" i="21"/>
  <c r="I430" i="21"/>
  <c r="I429" i="21"/>
  <c r="I428" i="21"/>
  <c r="I427" i="21"/>
  <c r="I426" i="21"/>
  <c r="I425" i="21"/>
  <c r="I424" i="21"/>
  <c r="I423" i="21"/>
  <c r="I422" i="21"/>
  <c r="I421" i="21"/>
  <c r="I420" i="21"/>
  <c r="I419" i="21"/>
  <c r="I418" i="21"/>
  <c r="I417" i="21"/>
  <c r="I416" i="21"/>
  <c r="I415" i="21"/>
  <c r="I414" i="21"/>
  <c r="I413" i="21"/>
  <c r="I412" i="21"/>
  <c r="I411" i="21"/>
  <c r="I410" i="21"/>
  <c r="I409" i="21"/>
  <c r="I408" i="21"/>
  <c r="I407" i="21"/>
  <c r="I406" i="21"/>
  <c r="I405" i="21"/>
  <c r="I404" i="21"/>
  <c r="I403" i="21"/>
  <c r="I402" i="21"/>
  <c r="I401" i="21"/>
  <c r="I400" i="21"/>
  <c r="I399" i="21"/>
  <c r="I398" i="21"/>
  <c r="I397" i="21"/>
  <c r="I396" i="21"/>
  <c r="I395" i="21"/>
  <c r="I394" i="21"/>
  <c r="I393" i="21"/>
  <c r="I392" i="21"/>
  <c r="I391" i="21"/>
  <c r="I390" i="21"/>
  <c r="I389" i="21"/>
  <c r="I388" i="21"/>
  <c r="I387" i="21"/>
  <c r="I386" i="21"/>
  <c r="I385" i="21"/>
  <c r="I384" i="21"/>
  <c r="I383" i="21"/>
  <c r="I382" i="21"/>
  <c r="I381" i="21"/>
  <c r="I380" i="21"/>
  <c r="I379" i="21"/>
  <c r="I378" i="21"/>
  <c r="I377" i="21"/>
  <c r="I376" i="21"/>
  <c r="I375" i="21"/>
  <c r="I374" i="21"/>
  <c r="I373" i="21"/>
  <c r="I372" i="21"/>
  <c r="I371" i="21"/>
  <c r="I370" i="21"/>
  <c r="I369" i="21"/>
  <c r="I368" i="21"/>
  <c r="I367" i="21"/>
  <c r="I366" i="21"/>
  <c r="I365" i="21"/>
  <c r="I364" i="21"/>
  <c r="I363" i="21"/>
  <c r="I362" i="21"/>
  <c r="I361" i="21"/>
  <c r="I360" i="21"/>
  <c r="I359" i="21"/>
  <c r="I358" i="21"/>
  <c r="I357" i="21"/>
  <c r="I356" i="21"/>
  <c r="I355" i="21"/>
  <c r="I354" i="21"/>
  <c r="I353" i="21"/>
  <c r="I352" i="21"/>
  <c r="I351" i="21"/>
  <c r="I350" i="21"/>
  <c r="I349" i="21"/>
  <c r="I348" i="21"/>
  <c r="I347" i="21"/>
  <c r="I346" i="21"/>
  <c r="I345" i="21"/>
  <c r="I344" i="21"/>
  <c r="I343" i="21"/>
  <c r="I342" i="21"/>
  <c r="I341" i="21"/>
  <c r="I340" i="21"/>
  <c r="I339" i="21"/>
  <c r="I338" i="21"/>
  <c r="I337" i="21"/>
  <c r="I336" i="21"/>
  <c r="I335" i="21"/>
  <c r="I334" i="21"/>
  <c r="I333" i="21"/>
  <c r="I332" i="21"/>
  <c r="I331" i="21"/>
  <c r="I330" i="21"/>
  <c r="I329" i="21"/>
  <c r="I328" i="21"/>
  <c r="I327" i="21"/>
  <c r="I326" i="21"/>
  <c r="I325" i="21"/>
  <c r="I324" i="21"/>
  <c r="I323" i="21"/>
  <c r="I322" i="21"/>
  <c r="I321" i="21"/>
  <c r="I320" i="21"/>
  <c r="I319" i="21"/>
  <c r="I318" i="21"/>
  <c r="I317" i="21"/>
  <c r="I316" i="21"/>
  <c r="I315" i="21"/>
  <c r="I314" i="21"/>
  <c r="I313" i="21"/>
  <c r="I312" i="21"/>
  <c r="I311" i="21"/>
  <c r="I310" i="21"/>
  <c r="I309" i="21"/>
  <c r="I308" i="21"/>
  <c r="I307" i="21"/>
  <c r="I306" i="21"/>
  <c r="I305" i="21"/>
  <c r="I304" i="21"/>
  <c r="I303" i="21"/>
  <c r="I302" i="21"/>
  <c r="I301" i="21"/>
  <c r="I300" i="21"/>
  <c r="I299" i="21"/>
  <c r="I298" i="21"/>
  <c r="I297" i="21"/>
  <c r="I296" i="21"/>
  <c r="I295" i="21"/>
  <c r="I294" i="21"/>
  <c r="I293" i="21"/>
  <c r="I292" i="21"/>
  <c r="I291" i="21"/>
  <c r="I290" i="21"/>
  <c r="I289" i="21"/>
  <c r="I288" i="21"/>
  <c r="I287" i="21"/>
  <c r="I286" i="21"/>
  <c r="I285" i="21"/>
  <c r="I284" i="21"/>
  <c r="I283" i="21"/>
  <c r="I282" i="21"/>
  <c r="I281" i="21"/>
  <c r="I280" i="21"/>
  <c r="I279" i="21"/>
  <c r="I278" i="21"/>
  <c r="I277" i="21"/>
  <c r="I276" i="21"/>
  <c r="I275" i="21"/>
  <c r="I274" i="21"/>
  <c r="I273" i="21"/>
  <c r="I272" i="21"/>
  <c r="I271" i="21"/>
  <c r="I270" i="21"/>
  <c r="I269" i="21"/>
  <c r="I268" i="21"/>
  <c r="I267" i="21"/>
  <c r="I266" i="21"/>
  <c r="I265" i="21"/>
  <c r="I264" i="21"/>
  <c r="I263" i="21"/>
  <c r="I262" i="21"/>
  <c r="I261" i="21"/>
  <c r="I260" i="21"/>
  <c r="I259" i="21"/>
  <c r="I258" i="21"/>
  <c r="I257" i="21"/>
  <c r="I256" i="21"/>
  <c r="I255" i="21"/>
  <c r="I254" i="21"/>
  <c r="I253" i="21"/>
  <c r="I252" i="21"/>
  <c r="I251" i="21"/>
  <c r="I250" i="21"/>
  <c r="I249" i="21"/>
  <c r="I248" i="21"/>
  <c r="I247" i="21"/>
  <c r="I246" i="21"/>
  <c r="I245" i="21"/>
  <c r="I244" i="21"/>
  <c r="I243" i="21"/>
  <c r="I242" i="21"/>
  <c r="I241" i="21"/>
  <c r="I240" i="21"/>
  <c r="I239" i="21"/>
  <c r="I238" i="21"/>
  <c r="I237" i="21"/>
  <c r="I236" i="21"/>
  <c r="I235" i="21"/>
  <c r="I234" i="21"/>
  <c r="I233" i="21"/>
  <c r="I232" i="21"/>
  <c r="I231" i="21"/>
  <c r="I230" i="21"/>
  <c r="I229" i="21"/>
  <c r="I228" i="21"/>
  <c r="I227" i="21"/>
  <c r="I226" i="21"/>
  <c r="I225" i="21"/>
  <c r="I224" i="21"/>
  <c r="I223" i="21"/>
  <c r="I222" i="21"/>
  <c r="I221" i="21"/>
  <c r="I220" i="21"/>
  <c r="I219" i="21"/>
  <c r="I218" i="21"/>
  <c r="I217" i="21"/>
  <c r="I216" i="21"/>
  <c r="I215" i="21"/>
  <c r="I214" i="21"/>
  <c r="I213" i="21"/>
  <c r="I212" i="21"/>
  <c r="I211" i="21"/>
  <c r="I210" i="21"/>
  <c r="I209" i="21"/>
  <c r="I208" i="21"/>
  <c r="I207" i="21"/>
  <c r="I206" i="21"/>
  <c r="I205" i="21"/>
  <c r="I204" i="21"/>
  <c r="I203" i="21"/>
  <c r="I202" i="21"/>
  <c r="I201" i="21"/>
  <c r="I200" i="21"/>
  <c r="I199" i="21"/>
  <c r="I198" i="21"/>
  <c r="I197" i="21"/>
  <c r="I196" i="21"/>
  <c r="I195" i="21"/>
  <c r="I194" i="21"/>
  <c r="I193" i="21"/>
  <c r="I192" i="21"/>
  <c r="I191" i="21"/>
  <c r="I190" i="21"/>
  <c r="I189" i="21"/>
  <c r="I188" i="21"/>
  <c r="I187" i="21"/>
  <c r="I186" i="21"/>
  <c r="I185" i="21"/>
  <c r="I184" i="21"/>
  <c r="I183" i="21"/>
  <c r="I182" i="21"/>
  <c r="I181" i="21"/>
  <c r="I180" i="21"/>
  <c r="I179" i="21"/>
  <c r="I178" i="21"/>
  <c r="I177" i="21"/>
  <c r="I176" i="21"/>
  <c r="I175" i="21"/>
  <c r="I174" i="21"/>
  <c r="I173" i="21"/>
  <c r="I172" i="21"/>
  <c r="I171" i="21"/>
  <c r="I170" i="21"/>
  <c r="I169" i="21"/>
  <c r="I168" i="21"/>
  <c r="I167" i="21"/>
  <c r="I166" i="21"/>
  <c r="I165" i="21"/>
  <c r="I164" i="21"/>
  <c r="I163" i="21"/>
  <c r="I162" i="21"/>
  <c r="I161" i="21"/>
  <c r="I160" i="21"/>
  <c r="I159" i="21"/>
  <c r="I158" i="21"/>
  <c r="I157" i="21"/>
  <c r="I156" i="21"/>
  <c r="I155" i="21"/>
  <c r="I154" i="21"/>
  <c r="I153" i="21"/>
  <c r="I152" i="21"/>
  <c r="I151" i="21"/>
  <c r="I150" i="21"/>
  <c r="I149" i="21"/>
  <c r="I148" i="21"/>
  <c r="I147" i="21"/>
  <c r="I146" i="21"/>
  <c r="I145" i="21"/>
  <c r="I144" i="21"/>
  <c r="I143" i="21"/>
  <c r="I142" i="21"/>
  <c r="I141" i="21"/>
  <c r="I140" i="21"/>
  <c r="I139" i="21"/>
  <c r="I138" i="21"/>
  <c r="I137" i="21"/>
  <c r="I136" i="21"/>
  <c r="I135" i="21"/>
  <c r="I134" i="21"/>
  <c r="I133" i="21"/>
  <c r="I132" i="21"/>
  <c r="I131" i="21"/>
  <c r="I130" i="21"/>
  <c r="I129" i="21"/>
  <c r="I128" i="21"/>
  <c r="I127" i="21"/>
  <c r="I126" i="21"/>
  <c r="I125" i="21"/>
  <c r="I124" i="21"/>
  <c r="I123" i="21"/>
  <c r="I122" i="21"/>
  <c r="I121" i="21"/>
  <c r="I120" i="21"/>
  <c r="I119" i="21"/>
  <c r="I118" i="21"/>
  <c r="I117" i="21"/>
  <c r="I116" i="21"/>
  <c r="I115" i="21"/>
  <c r="I114" i="21"/>
  <c r="I113" i="21"/>
  <c r="I112" i="21"/>
  <c r="I111" i="21"/>
  <c r="I110" i="21"/>
  <c r="I109" i="21"/>
  <c r="I108" i="21"/>
  <c r="I107" i="21"/>
  <c r="I106" i="21"/>
  <c r="I105" i="21"/>
  <c r="I104" i="21"/>
  <c r="I103" i="21"/>
  <c r="I102" i="21"/>
  <c r="I101" i="21"/>
  <c r="I100" i="21"/>
  <c r="I99" i="21"/>
  <c r="I98" i="21"/>
  <c r="I97" i="21"/>
  <c r="I96" i="21"/>
  <c r="I95" i="21"/>
  <c r="I94" i="21"/>
  <c r="I93" i="21"/>
  <c r="I92" i="21"/>
  <c r="I91" i="21"/>
  <c r="I90" i="21"/>
  <c r="I89" i="21"/>
  <c r="I88" i="21"/>
  <c r="I87" i="21"/>
  <c r="I86" i="21"/>
  <c r="I85" i="21"/>
  <c r="I84" i="21"/>
  <c r="I83" i="21"/>
  <c r="I82" i="21"/>
  <c r="I81" i="21"/>
  <c r="I80" i="21"/>
  <c r="I79" i="21"/>
  <c r="I78" i="21"/>
  <c r="I77" i="21"/>
  <c r="I76" i="21"/>
  <c r="I75" i="21"/>
  <c r="I74" i="21"/>
  <c r="I73" i="21"/>
  <c r="I72" i="21"/>
  <c r="I71" i="21"/>
  <c r="I70" i="21"/>
  <c r="I69" i="21"/>
  <c r="I68" i="21"/>
  <c r="I67" i="21"/>
  <c r="I66" i="21"/>
  <c r="I65" i="21"/>
  <c r="I64" i="21"/>
  <c r="I63" i="21"/>
  <c r="I62" i="21"/>
  <c r="I61" i="21"/>
  <c r="I60" i="21"/>
  <c r="I59" i="21"/>
  <c r="I58" i="21"/>
  <c r="I57" i="21"/>
  <c r="I56" i="21"/>
  <c r="I55" i="21"/>
  <c r="I54" i="21"/>
  <c r="I53" i="21"/>
  <c r="I52" i="21"/>
  <c r="I51" i="21"/>
  <c r="I50" i="21"/>
  <c r="I49" i="21"/>
  <c r="I48" i="21"/>
  <c r="I47" i="21"/>
  <c r="I46" i="21"/>
  <c r="I45" i="21"/>
  <c r="I44" i="21"/>
  <c r="I43" i="21"/>
  <c r="I42" i="21"/>
  <c r="I41" i="21"/>
  <c r="I40" i="21"/>
  <c r="I39" i="21"/>
  <c r="I38" i="21"/>
  <c r="I37" i="21"/>
  <c r="I36" i="21"/>
  <c r="I35" i="21"/>
  <c r="I34" i="21"/>
  <c r="I33" i="21"/>
  <c r="I32" i="21"/>
  <c r="I31" i="21"/>
  <c r="I30" i="21"/>
  <c r="I29" i="21"/>
  <c r="I28" i="21"/>
  <c r="I27" i="21"/>
  <c r="I26" i="21"/>
  <c r="I25" i="21"/>
  <c r="I24" i="21"/>
  <c r="I23" i="21"/>
  <c r="I22" i="21"/>
  <c r="I21" i="21"/>
  <c r="I20" i="21"/>
  <c r="I19" i="21"/>
  <c r="I18" i="21"/>
  <c r="I17" i="21"/>
  <c r="I16" i="21"/>
  <c r="I15" i="21"/>
  <c r="I14" i="21"/>
  <c r="I13" i="21"/>
  <c r="I12" i="21"/>
  <c r="I11" i="21"/>
  <c r="I10" i="21"/>
  <c r="I9" i="21"/>
  <c r="I8" i="21"/>
  <c r="I7" i="21"/>
  <c r="K824" i="21"/>
  <c r="K823" i="21"/>
  <c r="K822" i="21"/>
  <c r="K821" i="21"/>
  <c r="K820" i="21"/>
  <c r="K819" i="21"/>
  <c r="K818" i="21"/>
  <c r="K817" i="21"/>
  <c r="K816" i="21"/>
  <c r="K815" i="21"/>
  <c r="K814" i="21"/>
  <c r="K813" i="21"/>
  <c r="K812" i="21"/>
  <c r="K811" i="21"/>
  <c r="K810" i="21"/>
  <c r="K809" i="21"/>
  <c r="K808" i="21"/>
  <c r="K807" i="21"/>
  <c r="K806" i="21"/>
  <c r="K805" i="21"/>
  <c r="K804" i="21"/>
  <c r="K803" i="21"/>
  <c r="K802" i="21"/>
  <c r="K801" i="21"/>
  <c r="K800" i="21"/>
  <c r="K799" i="21"/>
  <c r="K798" i="21"/>
  <c r="K797" i="21"/>
  <c r="K796" i="21"/>
  <c r="K795" i="21"/>
  <c r="K794" i="21"/>
  <c r="K793" i="21"/>
  <c r="K792" i="21"/>
  <c r="K791" i="21"/>
  <c r="K790" i="21"/>
  <c r="K789" i="21"/>
  <c r="K788" i="21"/>
  <c r="K787" i="21"/>
  <c r="K786" i="21"/>
  <c r="K785" i="21"/>
  <c r="K784" i="21"/>
  <c r="K783" i="21"/>
  <c r="K782" i="21"/>
  <c r="K781" i="21"/>
  <c r="K780" i="21"/>
  <c r="K779" i="21"/>
  <c r="K778" i="21"/>
  <c r="K777" i="21"/>
  <c r="K776" i="21"/>
  <c r="K775" i="21"/>
  <c r="K774" i="21"/>
  <c r="K773" i="21"/>
  <c r="K772" i="21"/>
  <c r="K771" i="21"/>
  <c r="K770" i="21"/>
  <c r="K769" i="21"/>
  <c r="K768" i="21"/>
  <c r="K767" i="21"/>
  <c r="K766" i="21"/>
  <c r="K765" i="21"/>
  <c r="K764" i="21"/>
  <c r="K763" i="21"/>
  <c r="K762" i="21"/>
  <c r="K761" i="21"/>
  <c r="K760" i="21"/>
  <c r="K759" i="21"/>
  <c r="K758" i="21"/>
  <c r="K757" i="21"/>
  <c r="K756" i="21"/>
  <c r="K755" i="21"/>
  <c r="K754" i="21"/>
  <c r="K753" i="21"/>
  <c r="K752" i="21"/>
  <c r="K751" i="21"/>
  <c r="K750" i="21"/>
  <c r="K749" i="21"/>
  <c r="K748" i="21"/>
  <c r="K747" i="21"/>
  <c r="K746" i="21"/>
  <c r="K745" i="21"/>
  <c r="K744" i="21"/>
  <c r="K743" i="21"/>
  <c r="K742" i="21"/>
  <c r="K741" i="21"/>
  <c r="K740" i="21"/>
  <c r="K739" i="21"/>
  <c r="K738" i="21"/>
  <c r="K737" i="21"/>
  <c r="K736" i="21"/>
  <c r="K735" i="21"/>
  <c r="K734" i="21"/>
  <c r="K733" i="21"/>
  <c r="K732" i="21"/>
  <c r="K731" i="21"/>
  <c r="K730" i="21"/>
  <c r="K729" i="21"/>
  <c r="K728" i="21"/>
  <c r="K727" i="21"/>
  <c r="K726" i="21"/>
  <c r="K725" i="21"/>
  <c r="K724" i="21"/>
  <c r="K723" i="21"/>
  <c r="K722" i="21"/>
  <c r="K721" i="21"/>
  <c r="K720" i="21"/>
  <c r="K719" i="21"/>
  <c r="K718" i="21"/>
  <c r="K717" i="21"/>
  <c r="K716" i="21"/>
  <c r="K715" i="21"/>
  <c r="K714" i="21"/>
  <c r="K713" i="21"/>
  <c r="K712" i="21"/>
  <c r="K711" i="21"/>
  <c r="K710" i="21"/>
  <c r="K709" i="21"/>
  <c r="K708" i="21"/>
  <c r="K707" i="21"/>
  <c r="K706" i="21"/>
  <c r="K705" i="21"/>
  <c r="K704" i="21"/>
  <c r="K703" i="21"/>
  <c r="K702" i="21"/>
  <c r="K701" i="21"/>
  <c r="K700" i="21"/>
  <c r="K699" i="21"/>
  <c r="K698" i="21"/>
  <c r="K697" i="21"/>
  <c r="K696" i="21"/>
  <c r="K695" i="21"/>
  <c r="K694" i="21"/>
  <c r="K693" i="21"/>
  <c r="K692" i="21"/>
  <c r="K691" i="21"/>
  <c r="K690" i="21"/>
  <c r="K689" i="21"/>
  <c r="K688" i="21"/>
  <c r="K687" i="21"/>
  <c r="K686" i="21"/>
  <c r="K685" i="21"/>
  <c r="K684" i="21"/>
  <c r="K683" i="21"/>
  <c r="K682" i="21"/>
  <c r="K681" i="21"/>
  <c r="K680" i="21"/>
  <c r="K679" i="21"/>
  <c r="K678" i="21"/>
  <c r="K677" i="21"/>
  <c r="K676" i="21"/>
  <c r="K675" i="21"/>
  <c r="K674" i="21"/>
  <c r="K673" i="21"/>
  <c r="K672" i="21"/>
  <c r="K671" i="21"/>
  <c r="K670" i="21"/>
  <c r="K669" i="21"/>
  <c r="K668" i="21"/>
  <c r="K667" i="21"/>
  <c r="K666" i="21"/>
  <c r="K665" i="21"/>
  <c r="K664" i="21"/>
  <c r="K663" i="21"/>
  <c r="K662" i="21"/>
  <c r="K661" i="21"/>
  <c r="K660" i="21"/>
  <c r="K659" i="21"/>
  <c r="K658" i="21"/>
  <c r="K657" i="21"/>
  <c r="K656" i="21"/>
  <c r="K655" i="21"/>
  <c r="K654" i="21"/>
  <c r="K653" i="21"/>
  <c r="K652" i="21"/>
  <c r="K651" i="21"/>
  <c r="K650" i="21"/>
  <c r="K649" i="21"/>
  <c r="K648" i="21"/>
  <c r="K647" i="21"/>
  <c r="K646" i="21"/>
  <c r="K645" i="21"/>
  <c r="K644" i="21"/>
  <c r="K643" i="21"/>
  <c r="K642" i="21"/>
  <c r="K641" i="21"/>
  <c r="K640" i="21"/>
  <c r="K639" i="21"/>
  <c r="K638" i="21"/>
  <c r="K637" i="21"/>
  <c r="K636" i="21"/>
  <c r="K635" i="21"/>
  <c r="K634" i="21"/>
  <c r="K633" i="21"/>
  <c r="K632" i="21"/>
  <c r="K631" i="21"/>
  <c r="K630" i="21"/>
  <c r="K629" i="21"/>
  <c r="K628" i="21"/>
  <c r="K627" i="21"/>
  <c r="K626" i="21"/>
  <c r="K625" i="21"/>
  <c r="K624" i="21"/>
  <c r="K623" i="21"/>
  <c r="K622" i="21"/>
  <c r="K621" i="21"/>
  <c r="K620" i="21"/>
  <c r="K619" i="21"/>
  <c r="K618" i="21"/>
  <c r="K617" i="21"/>
  <c r="K616" i="21"/>
  <c r="K615" i="21"/>
  <c r="K614" i="21"/>
  <c r="K613" i="21"/>
  <c r="K612" i="21"/>
  <c r="K611" i="21"/>
  <c r="K610" i="21"/>
  <c r="K609" i="21"/>
  <c r="K608" i="21"/>
  <c r="K607" i="21"/>
  <c r="K606" i="21"/>
  <c r="K605" i="21"/>
  <c r="K604" i="21"/>
  <c r="K603" i="21"/>
  <c r="K602" i="21"/>
  <c r="K601" i="21"/>
  <c r="K600" i="21"/>
  <c r="K599" i="21"/>
  <c r="K598" i="21"/>
  <c r="K597" i="21"/>
  <c r="K596" i="21"/>
  <c r="K595" i="21"/>
  <c r="K594" i="21"/>
  <c r="K593" i="21"/>
  <c r="K592" i="21"/>
  <c r="K591" i="21"/>
  <c r="K590" i="21"/>
  <c r="K589" i="21"/>
  <c r="K588" i="21"/>
  <c r="K587" i="21"/>
  <c r="K586" i="21"/>
  <c r="K585" i="21"/>
  <c r="K584" i="21"/>
  <c r="K583" i="21"/>
  <c r="K582" i="21"/>
  <c r="K581" i="21"/>
  <c r="K580" i="21"/>
  <c r="K579" i="21"/>
  <c r="K578" i="21"/>
  <c r="K577" i="21"/>
  <c r="K576" i="21"/>
  <c r="K575" i="21"/>
  <c r="K574" i="21"/>
  <c r="K573" i="21"/>
  <c r="K572" i="21"/>
  <c r="K571" i="21"/>
  <c r="K570" i="21"/>
  <c r="K569" i="21"/>
  <c r="K568" i="21"/>
  <c r="K567" i="21"/>
  <c r="K566" i="21"/>
  <c r="K565" i="21"/>
  <c r="K564" i="21"/>
  <c r="K563" i="21"/>
  <c r="K562" i="21"/>
  <c r="K561" i="21"/>
  <c r="K560" i="21"/>
  <c r="K559" i="21"/>
  <c r="K558" i="21"/>
  <c r="K557" i="21"/>
  <c r="K556" i="21"/>
  <c r="K555" i="21"/>
  <c r="K554" i="21"/>
  <c r="K553" i="21"/>
  <c r="K552" i="21"/>
  <c r="K551" i="21"/>
  <c r="K550" i="21"/>
  <c r="K549" i="21"/>
  <c r="K548" i="21"/>
  <c r="K547" i="21"/>
  <c r="K546" i="21"/>
  <c r="K545" i="21"/>
  <c r="K544" i="21"/>
  <c r="K543" i="21"/>
  <c r="K542" i="21"/>
  <c r="K541" i="21"/>
  <c r="K540" i="21"/>
  <c r="K539" i="21"/>
  <c r="K538" i="21"/>
  <c r="K537" i="21"/>
  <c r="K536" i="21"/>
  <c r="K535" i="21"/>
  <c r="K534" i="21"/>
  <c r="K533" i="21"/>
  <c r="K532" i="21"/>
  <c r="K531" i="21"/>
  <c r="K530" i="21"/>
  <c r="K529" i="21"/>
  <c r="K528" i="21"/>
  <c r="K527" i="21"/>
  <c r="K526" i="21"/>
  <c r="K525" i="21"/>
  <c r="K524" i="21"/>
  <c r="K523" i="21"/>
  <c r="K522" i="21"/>
  <c r="K521" i="21"/>
  <c r="K520" i="21"/>
  <c r="K519" i="21"/>
  <c r="K518" i="21"/>
  <c r="K517" i="21"/>
  <c r="K516" i="21"/>
  <c r="K515" i="21"/>
  <c r="K514" i="21"/>
  <c r="K513" i="21"/>
  <c r="K512" i="21"/>
  <c r="K511" i="21"/>
  <c r="K510" i="21"/>
  <c r="K509" i="21"/>
  <c r="K508" i="21"/>
  <c r="K507" i="21"/>
  <c r="K506" i="21"/>
  <c r="K505" i="21"/>
  <c r="K504" i="21"/>
  <c r="K503" i="21"/>
  <c r="K502" i="21"/>
  <c r="K501" i="21"/>
  <c r="K500" i="21"/>
  <c r="K499" i="21"/>
  <c r="K498" i="21"/>
  <c r="K497" i="21"/>
  <c r="K496" i="21"/>
  <c r="K495" i="21"/>
  <c r="K494" i="21"/>
  <c r="K493" i="21"/>
  <c r="K492" i="21"/>
  <c r="K491" i="21"/>
  <c r="K490" i="21"/>
  <c r="K489" i="21"/>
  <c r="K488" i="21"/>
  <c r="K487" i="21"/>
  <c r="K486" i="21"/>
  <c r="K485" i="21"/>
  <c r="K484" i="21"/>
  <c r="K483" i="21"/>
  <c r="K482" i="21"/>
  <c r="K481" i="21"/>
  <c r="K480" i="21"/>
  <c r="K479" i="21"/>
  <c r="K478" i="21"/>
  <c r="K477" i="21"/>
  <c r="K476" i="21"/>
  <c r="K475" i="21"/>
  <c r="K474" i="21"/>
  <c r="K473" i="21"/>
  <c r="K472" i="21"/>
  <c r="K471" i="21"/>
  <c r="K470" i="21"/>
  <c r="K469" i="21"/>
  <c r="K468" i="21"/>
  <c r="K467" i="21"/>
  <c r="K466" i="21"/>
  <c r="K465" i="21"/>
  <c r="K464" i="21"/>
  <c r="K463" i="21"/>
  <c r="K462" i="21"/>
  <c r="K461" i="21"/>
  <c r="K460" i="21"/>
  <c r="K459" i="21"/>
  <c r="K458" i="21"/>
  <c r="K457" i="21"/>
  <c r="K456" i="21"/>
  <c r="K455" i="21"/>
  <c r="K454" i="21"/>
  <c r="K453" i="21"/>
  <c r="K452" i="21"/>
  <c r="K451" i="21"/>
  <c r="K450" i="21"/>
  <c r="K449" i="21"/>
  <c r="K448" i="21"/>
  <c r="K447" i="21"/>
  <c r="K446" i="21"/>
  <c r="K445" i="21"/>
  <c r="K444" i="21"/>
  <c r="K443" i="21"/>
  <c r="K442" i="21"/>
  <c r="K441" i="21"/>
  <c r="K440" i="21"/>
  <c r="K439" i="21"/>
  <c r="K438" i="21"/>
  <c r="K437" i="21"/>
  <c r="K436" i="21"/>
  <c r="K435" i="21"/>
  <c r="K434" i="21"/>
  <c r="K433" i="21"/>
  <c r="K432" i="21"/>
  <c r="K431" i="21"/>
  <c r="K430" i="21"/>
  <c r="K429" i="21"/>
  <c r="K428" i="21"/>
  <c r="K427" i="21"/>
  <c r="K426" i="21"/>
  <c r="K425" i="21"/>
  <c r="K424" i="21"/>
  <c r="K423" i="21"/>
  <c r="K422" i="21"/>
  <c r="K421" i="21"/>
  <c r="K420" i="21"/>
  <c r="K419" i="21"/>
  <c r="K418" i="21"/>
  <c r="K417" i="21"/>
  <c r="K416" i="21"/>
  <c r="K415" i="21"/>
  <c r="K414" i="21"/>
  <c r="K413" i="21"/>
  <c r="K412" i="21"/>
  <c r="K411" i="21"/>
  <c r="K410" i="21"/>
  <c r="K409" i="21"/>
  <c r="K408" i="21"/>
  <c r="K407" i="21"/>
  <c r="K406" i="21"/>
  <c r="K405" i="21"/>
  <c r="K404" i="21"/>
  <c r="K403" i="21"/>
  <c r="K402" i="21"/>
  <c r="K401" i="21"/>
  <c r="K400" i="21"/>
  <c r="K399" i="21"/>
  <c r="K398" i="21"/>
  <c r="K397" i="21"/>
  <c r="K396" i="21"/>
  <c r="K395" i="21"/>
  <c r="K394" i="21"/>
  <c r="K393" i="21"/>
  <c r="K392" i="21"/>
  <c r="K391" i="21"/>
  <c r="K390" i="21"/>
  <c r="K389" i="21"/>
  <c r="K388" i="21"/>
  <c r="K387" i="21"/>
  <c r="K386" i="21"/>
  <c r="K385" i="21"/>
  <c r="K384" i="21"/>
  <c r="K383" i="21"/>
  <c r="K382" i="21"/>
  <c r="K381" i="21"/>
  <c r="K380" i="21"/>
  <c r="K379" i="21"/>
  <c r="K378" i="21"/>
  <c r="K377" i="21"/>
  <c r="K376" i="21"/>
  <c r="K375" i="21"/>
  <c r="K374" i="21"/>
  <c r="K373" i="21"/>
  <c r="K372" i="21"/>
  <c r="K371" i="21"/>
  <c r="K370" i="21"/>
  <c r="K369" i="21"/>
  <c r="K368" i="21"/>
  <c r="K367" i="21"/>
  <c r="K366" i="21"/>
  <c r="K365" i="21"/>
  <c r="K364" i="21"/>
  <c r="K363" i="21"/>
  <c r="K362" i="21"/>
  <c r="K361" i="21"/>
  <c r="K360" i="21"/>
  <c r="K359" i="21"/>
  <c r="K358" i="21"/>
  <c r="K357" i="21"/>
  <c r="K356" i="21"/>
  <c r="K355" i="21"/>
  <c r="K354" i="21"/>
  <c r="K353" i="21"/>
  <c r="K352" i="21"/>
  <c r="K351" i="21"/>
  <c r="K350" i="21"/>
  <c r="K349" i="21"/>
  <c r="K348" i="21"/>
  <c r="K347" i="21"/>
  <c r="K346" i="21"/>
  <c r="K345" i="21"/>
  <c r="K344" i="21"/>
  <c r="K343" i="21"/>
  <c r="K342" i="21"/>
  <c r="K341" i="21"/>
  <c r="K340" i="21"/>
  <c r="K339" i="21"/>
  <c r="K338" i="21"/>
  <c r="K337" i="21"/>
  <c r="K336" i="21"/>
  <c r="K335" i="21"/>
  <c r="K334" i="21"/>
  <c r="K333" i="21"/>
  <c r="K332" i="21"/>
  <c r="K331" i="21"/>
  <c r="K330" i="21"/>
  <c r="K329" i="21"/>
  <c r="K328" i="21"/>
  <c r="K327" i="21"/>
  <c r="K326" i="21"/>
  <c r="K325" i="21"/>
  <c r="K324" i="21"/>
  <c r="K323" i="21"/>
  <c r="K322" i="21"/>
  <c r="K321" i="21"/>
  <c r="K320" i="21"/>
  <c r="K319" i="21"/>
  <c r="K318" i="21"/>
  <c r="K317" i="21"/>
  <c r="K316" i="21"/>
  <c r="K315" i="21"/>
  <c r="K314" i="21"/>
  <c r="K313" i="21"/>
  <c r="K312" i="21"/>
  <c r="K311" i="21"/>
  <c r="K310" i="21"/>
  <c r="K309" i="21"/>
  <c r="K308" i="21"/>
  <c r="K307" i="21"/>
  <c r="K306" i="21"/>
  <c r="K305" i="21"/>
  <c r="K304" i="21"/>
  <c r="K303" i="21"/>
  <c r="K302" i="21"/>
  <c r="K301" i="21"/>
  <c r="K300" i="21"/>
  <c r="K299" i="21"/>
  <c r="K298" i="21"/>
  <c r="K297" i="21"/>
  <c r="K296" i="21"/>
  <c r="K295" i="21"/>
  <c r="K294" i="21"/>
  <c r="K293" i="21"/>
  <c r="K292" i="21"/>
  <c r="K291" i="21"/>
  <c r="K290" i="21"/>
  <c r="K289" i="21"/>
  <c r="K288" i="21"/>
  <c r="K287" i="21"/>
  <c r="K286" i="21"/>
  <c r="K285" i="21"/>
  <c r="K284" i="21"/>
  <c r="K283" i="21"/>
  <c r="K282" i="21"/>
  <c r="K281" i="21"/>
  <c r="K280" i="21"/>
  <c r="K279" i="21"/>
  <c r="K278" i="21"/>
  <c r="K277" i="21"/>
  <c r="K276" i="21"/>
  <c r="K275" i="21"/>
  <c r="K274" i="21"/>
  <c r="K273" i="21"/>
  <c r="K272" i="21"/>
  <c r="K271" i="21"/>
  <c r="K270" i="21"/>
  <c r="K269" i="21"/>
  <c r="K268" i="21"/>
  <c r="K267" i="21"/>
  <c r="K266" i="21"/>
  <c r="K265" i="21"/>
  <c r="K264" i="21"/>
  <c r="K263" i="21"/>
  <c r="K262" i="21"/>
  <c r="K261" i="21"/>
  <c r="K260" i="21"/>
  <c r="K259" i="21"/>
  <c r="K258" i="21"/>
  <c r="K257" i="21"/>
  <c r="K256" i="21"/>
  <c r="K255" i="21"/>
  <c r="K254" i="21"/>
  <c r="K253" i="21"/>
  <c r="K252" i="21"/>
  <c r="K251" i="21"/>
  <c r="K250" i="21"/>
  <c r="K249" i="21"/>
  <c r="K248" i="21"/>
  <c r="K247" i="21"/>
  <c r="K246" i="21"/>
  <c r="K245" i="21"/>
  <c r="K244" i="21"/>
  <c r="K243" i="21"/>
  <c r="K242" i="21"/>
  <c r="K241" i="21"/>
  <c r="K240" i="21"/>
  <c r="K239" i="21"/>
  <c r="K238" i="21"/>
  <c r="K237" i="21"/>
  <c r="K236" i="21"/>
  <c r="K235" i="21"/>
  <c r="K234" i="21"/>
  <c r="K233" i="21"/>
  <c r="K232" i="21"/>
  <c r="K231" i="21"/>
  <c r="K230" i="21"/>
  <c r="K229" i="21"/>
  <c r="K228" i="21"/>
  <c r="K227" i="21"/>
  <c r="K226" i="21"/>
  <c r="K225" i="21"/>
  <c r="K224" i="21"/>
  <c r="K223" i="21"/>
  <c r="K222" i="21"/>
  <c r="K221" i="21"/>
  <c r="K220" i="21"/>
  <c r="K219" i="21"/>
  <c r="K218" i="21"/>
  <c r="K217" i="21"/>
  <c r="K216" i="21"/>
  <c r="K215" i="21"/>
  <c r="K214" i="21"/>
  <c r="K213" i="21"/>
  <c r="K212" i="21"/>
  <c r="K211" i="21"/>
  <c r="K210" i="21"/>
  <c r="K209" i="21"/>
  <c r="K208" i="21"/>
  <c r="K207" i="21"/>
  <c r="K206" i="21"/>
  <c r="K205" i="21"/>
  <c r="K204" i="21"/>
  <c r="K203" i="21"/>
  <c r="K202" i="21"/>
  <c r="K201" i="21"/>
  <c r="K200" i="21"/>
  <c r="K199" i="21"/>
  <c r="K198" i="21"/>
  <c r="K197" i="21"/>
  <c r="K196" i="21"/>
  <c r="K195" i="21"/>
  <c r="K194" i="21"/>
  <c r="K193" i="21"/>
  <c r="K192" i="21"/>
  <c r="K191" i="21"/>
  <c r="K190" i="21"/>
  <c r="K189" i="21"/>
  <c r="K188" i="21"/>
  <c r="K187" i="21"/>
  <c r="K186" i="21"/>
  <c r="K185" i="21"/>
  <c r="K184" i="21"/>
  <c r="K183" i="21"/>
  <c r="K182" i="21"/>
  <c r="K181" i="21"/>
  <c r="K180" i="21"/>
  <c r="K179" i="21"/>
  <c r="K178" i="21"/>
  <c r="K177" i="21"/>
  <c r="K176" i="21"/>
  <c r="K175" i="21"/>
  <c r="K174" i="21"/>
  <c r="K173" i="21"/>
  <c r="K172" i="21"/>
  <c r="K171" i="21"/>
  <c r="K170" i="21"/>
  <c r="K169" i="21"/>
  <c r="K168" i="21"/>
  <c r="K167" i="21"/>
  <c r="K166" i="21"/>
  <c r="K165" i="21"/>
  <c r="K164" i="21"/>
  <c r="K163" i="21"/>
  <c r="K162" i="21"/>
  <c r="K161" i="21"/>
  <c r="K160" i="21"/>
  <c r="K159" i="21"/>
  <c r="K158" i="21"/>
  <c r="K157" i="21"/>
  <c r="K156" i="21"/>
  <c r="K155" i="21"/>
  <c r="K154" i="21"/>
  <c r="K153" i="21"/>
  <c r="K152" i="21"/>
  <c r="K151" i="21"/>
  <c r="K150" i="21"/>
  <c r="K149" i="21"/>
  <c r="K148" i="21"/>
  <c r="K147" i="21"/>
  <c r="K146" i="21"/>
  <c r="K145" i="21"/>
  <c r="K144" i="21"/>
  <c r="K143" i="21"/>
  <c r="K142" i="21"/>
  <c r="K141" i="21"/>
  <c r="K140" i="21"/>
  <c r="K139" i="21"/>
  <c r="K138" i="21"/>
  <c r="K137" i="21"/>
  <c r="K136" i="21"/>
  <c r="K135" i="21"/>
  <c r="K134" i="21"/>
  <c r="K133" i="21"/>
  <c r="K132" i="21"/>
  <c r="K131" i="21"/>
  <c r="K130" i="21"/>
  <c r="K129" i="21"/>
  <c r="K128" i="21"/>
  <c r="K127" i="21"/>
  <c r="K126" i="21"/>
  <c r="K125" i="21"/>
  <c r="K124" i="21"/>
  <c r="K123" i="21"/>
  <c r="K122" i="21"/>
  <c r="K121" i="21"/>
  <c r="K120" i="21"/>
  <c r="K119" i="21"/>
  <c r="K118" i="21"/>
  <c r="K117" i="21"/>
  <c r="K116" i="21"/>
  <c r="K115" i="21"/>
  <c r="K114" i="21"/>
  <c r="K113" i="21"/>
  <c r="K112" i="21"/>
  <c r="K111" i="21"/>
  <c r="K110" i="21"/>
  <c r="K109" i="21"/>
  <c r="K108" i="21"/>
  <c r="K107" i="21"/>
  <c r="K106" i="21"/>
  <c r="K105" i="21"/>
  <c r="K104" i="21"/>
  <c r="K103" i="21"/>
  <c r="K102" i="21"/>
  <c r="K101" i="21"/>
  <c r="K100" i="21"/>
  <c r="K99" i="21"/>
  <c r="K98" i="21"/>
  <c r="K97" i="21"/>
  <c r="K96" i="21"/>
  <c r="K95" i="21"/>
  <c r="K94" i="21"/>
  <c r="K93" i="21"/>
  <c r="K92" i="21"/>
  <c r="K91" i="21"/>
  <c r="K90" i="21"/>
  <c r="K89" i="21"/>
  <c r="K88" i="21"/>
  <c r="K87" i="21"/>
  <c r="K86" i="21"/>
  <c r="K85" i="21"/>
  <c r="K84" i="21"/>
  <c r="K83" i="21"/>
  <c r="K82" i="21"/>
  <c r="K81" i="21"/>
  <c r="K80" i="21"/>
  <c r="K79" i="21"/>
  <c r="K78" i="21"/>
  <c r="K77" i="21"/>
  <c r="K76" i="21"/>
  <c r="K75" i="21"/>
  <c r="K74" i="21"/>
  <c r="K73" i="21"/>
  <c r="K72" i="21"/>
  <c r="K71" i="21"/>
  <c r="K70" i="21"/>
  <c r="K69" i="21"/>
  <c r="K68" i="21"/>
  <c r="K67" i="21"/>
  <c r="K66" i="21"/>
  <c r="K65" i="21"/>
  <c r="K64" i="21"/>
  <c r="K63" i="21"/>
  <c r="K62" i="21"/>
  <c r="K61" i="21"/>
  <c r="K60" i="21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E8" i="21"/>
  <c r="EW8" i="6"/>
  <c r="EV8" i="6" l="1"/>
  <c r="EW6" i="6"/>
  <c r="EV6" i="6"/>
  <c r="EV24" i="6" l="1"/>
  <c r="EV26" i="6" l="1"/>
  <c r="EV27" i="6" s="1"/>
  <c r="EV25" i="6"/>
  <c r="EV34" i="6"/>
  <c r="T17" i="28"/>
  <c r="T13" i="28"/>
  <c r="S13" i="28"/>
  <c r="T6" i="28"/>
  <c r="S6" i="28"/>
  <c r="EW13" i="15"/>
  <c r="EW6" i="15"/>
  <c r="EV6" i="15"/>
  <c r="EV37" i="6" l="1"/>
  <c r="EV38" i="6" s="1"/>
  <c r="EV35" i="6"/>
  <c r="DU27" i="4"/>
  <c r="DU25" i="4"/>
  <c r="DU23" i="4"/>
  <c r="DU20" i="4"/>
  <c r="DU19" i="4"/>
  <c r="DU17" i="4"/>
  <c r="DU15" i="4"/>
  <c r="DU28" i="4"/>
  <c r="DU13" i="4"/>
  <c r="DU11" i="4"/>
  <c r="DU6" i="4"/>
  <c r="DT6" i="4"/>
  <c r="DT5" i="4"/>
  <c r="Y63" i="20"/>
  <c r="Y35" i="20"/>
  <c r="Y6" i="20"/>
  <c r="Y14" i="20" l="1"/>
  <c r="Y9" i="29" s="1"/>
  <c r="Y57" i="20"/>
  <c r="Y10" i="20"/>
  <c r="Y19" i="20"/>
  <c r="Y56" i="20"/>
  <c r="Y84" i="20"/>
  <c r="Y68" i="20"/>
  <c r="Y82" i="20"/>
  <c r="DT30" i="4"/>
  <c r="DU21" i="4"/>
  <c r="DU5" i="4"/>
  <c r="Y80" i="20"/>
  <c r="Y20" i="20"/>
  <c r="Y16" i="20"/>
  <c r="Y21" i="20"/>
  <c r="Y55" i="20"/>
  <c r="Y52" i="20"/>
  <c r="Y60" i="20" s="1"/>
  <c r="Y83" i="20"/>
  <c r="Y9" i="20"/>
  <c r="Y64" i="20"/>
  <c r="Y13" i="20"/>
  <c r="Y14" i="29" s="1"/>
  <c r="Y40" i="20"/>
  <c r="Y12" i="20"/>
  <c r="Y36" i="20"/>
  <c r="Y54" i="20"/>
  <c r="Y8" i="20"/>
  <c r="DU30" i="4" l="1"/>
  <c r="Y23" i="20"/>
  <c r="Y32" i="20" s="1"/>
  <c r="Y87" i="20"/>
  <c r="Y11" i="20"/>
  <c r="Y13" i="29"/>
  <c r="Y12" i="29" s="1"/>
  <c r="Y27" i="20"/>
  <c r="Y7" i="20"/>
  <c r="Y44" i="20"/>
  <c r="DT16" i="4" s="1"/>
  <c r="Y89" i="20"/>
  <c r="Y32" i="23"/>
  <c r="Y59" i="20"/>
  <c r="Y72" i="20"/>
  <c r="Y85" i="20" s="1"/>
  <c r="Y88" i="20"/>
  <c r="EV20" i="15"/>
  <c r="S23" i="28" s="1"/>
  <c r="Y28" i="20"/>
  <c r="Y61" i="20"/>
  <c r="Y26" i="20"/>
  <c r="Y15" i="20"/>
  <c r="Y10" i="29" s="1"/>
  <c r="Y25" i="20"/>
  <c r="Y31" i="20" l="1"/>
  <c r="Y30" i="20"/>
  <c r="DU18" i="4"/>
  <c r="Y86" i="20"/>
  <c r="Y58" i="20"/>
  <c r="DT24" i="4"/>
  <c r="DU24" i="4"/>
  <c r="DU14" i="4"/>
  <c r="DU16" i="4"/>
  <c r="DU26" i="4"/>
  <c r="Y29" i="20"/>
  <c r="DT22" i="4"/>
  <c r="DT29" i="4"/>
  <c r="DT14" i="4"/>
  <c r="DT18" i="4"/>
  <c r="DT26" i="4"/>
  <c r="DU31" i="4"/>
  <c r="DU29" i="4"/>
  <c r="DU22" i="4"/>
  <c r="DT31" i="4"/>
  <c r="EW20" i="15"/>
  <c r="T23" i="28" s="1"/>
  <c r="Y18" i="23"/>
  <c r="Y6" i="23"/>
  <c r="EV9" i="15"/>
  <c r="EW49" i="3"/>
  <c r="EW50" i="3"/>
  <c r="EW47" i="3"/>
  <c r="EV12" i="15"/>
  <c r="EV14" i="15"/>
  <c r="EW42" i="3"/>
  <c r="EV10" i="15"/>
  <c r="EW39" i="3"/>
  <c r="EW21" i="3"/>
  <c r="DT9" i="4"/>
  <c r="EW20" i="3"/>
  <c r="EW15" i="3"/>
  <c r="EV29" i="3"/>
  <c r="EV35" i="3" s="1"/>
  <c r="EW14" i="3"/>
  <c r="EW51" i="3"/>
  <c r="EW46" i="3"/>
  <c r="EW45" i="3"/>
  <c r="EW44" i="3"/>
  <c r="EW38" i="3"/>
  <c r="EW13" i="3"/>
  <c r="EW24" i="6" l="1"/>
  <c r="EW25" i="6" s="1"/>
  <c r="S9" i="28"/>
  <c r="Y26" i="23"/>
  <c r="EW10" i="15"/>
  <c r="S10" i="28"/>
  <c r="EW14" i="15"/>
  <c r="S14" i="28"/>
  <c r="EW40" i="3"/>
  <c r="EW12" i="15"/>
  <c r="S12" i="28"/>
  <c r="EW43" i="3"/>
  <c r="DT10" i="4"/>
  <c r="EV19" i="3"/>
  <c r="EW19" i="3" s="1"/>
  <c r="EW22" i="3"/>
  <c r="EW9" i="15"/>
  <c r="EW17" i="3"/>
  <c r="DU8" i="4" s="1"/>
  <c r="DT8" i="4"/>
  <c r="DT7" i="4" s="1"/>
  <c r="EV27" i="3"/>
  <c r="EW58" i="3"/>
  <c r="EV8" i="15"/>
  <c r="EW23" i="3"/>
  <c r="DU9" i="4" s="1"/>
  <c r="EW55" i="3"/>
  <c r="Y22" i="23"/>
  <c r="Y12" i="23"/>
  <c r="Y8" i="23"/>
  <c r="EW9" i="3"/>
  <c r="EW8" i="3"/>
  <c r="EV48" i="3"/>
  <c r="EW34" i="6" l="1"/>
  <c r="EW26" i="6"/>
  <c r="EW27" i="6" s="1"/>
  <c r="T14" i="28"/>
  <c r="T9" i="28"/>
  <c r="T12" i="28"/>
  <c r="Y16" i="23"/>
  <c r="Y19" i="23" s="1"/>
  <c r="T10" i="28"/>
  <c r="Y30" i="23"/>
  <c r="Y33" i="23" s="1"/>
  <c r="EW8" i="15"/>
  <c r="S8" i="28"/>
  <c r="EV33" i="3"/>
  <c r="EV28" i="3"/>
  <c r="EV34" i="3" s="1"/>
  <c r="EW16" i="3"/>
  <c r="DU7" i="4"/>
  <c r="DU10" i="4"/>
  <c r="EV41" i="3"/>
  <c r="EW48" i="3"/>
  <c r="EW35" i="6" l="1"/>
  <c r="EW37" i="6"/>
  <c r="EW38" i="6" s="1"/>
  <c r="EW41" i="3"/>
  <c r="EV37" i="3"/>
  <c r="EW37" i="3" s="1"/>
  <c r="T8" i="28"/>
  <c r="Y38" i="23"/>
  <c r="EV26" i="3"/>
  <c r="EV32" i="3" l="1"/>
  <c r="EV25" i="3"/>
  <c r="EV31" i="3" l="1"/>
  <c r="EV54" i="3"/>
  <c r="CL66" i="2"/>
  <c r="CL55" i="2"/>
  <c r="CL39" i="2"/>
  <c r="CL20" i="2"/>
  <c r="CL9" i="2"/>
  <c r="E9" i="21"/>
  <c r="E7" i="21"/>
  <c r="CL7" i="2" l="1"/>
  <c r="EV57" i="3"/>
  <c r="EV60" i="3" s="1"/>
  <c r="AG8" i="19" s="1"/>
  <c r="CL37" i="2"/>
  <c r="CL35" i="2" s="1"/>
  <c r="E14" i="21"/>
  <c r="E10" i="21"/>
  <c r="E11" i="21"/>
  <c r="E12" i="21"/>
  <c r="E13" i="21"/>
  <c r="E15" i="21"/>
  <c r="E16" i="21"/>
  <c r="E17" i="21"/>
  <c r="ET38" i="3"/>
  <c r="ER38" i="3"/>
  <c r="EP38" i="3"/>
  <c r="AG16" i="19" l="1"/>
  <c r="EV7" i="15"/>
  <c r="CL4" i="2"/>
  <c r="AG30" i="19" l="1"/>
  <c r="AG32" i="19" s="1"/>
  <c r="AG49" i="19" s="1"/>
  <c r="AG51" i="19" s="1"/>
  <c r="S7" i="28"/>
  <c r="S11" i="28" s="1"/>
  <c r="S15" i="28" s="1"/>
  <c r="S18" i="28" s="1"/>
  <c r="EV11" i="15"/>
  <c r="EV15" i="15" s="1"/>
  <c r="BN23" i="6"/>
  <c r="BM23" i="6"/>
  <c r="BL23" i="6"/>
  <c r="BK23" i="6"/>
  <c r="BI23" i="6"/>
  <c r="BJ23" i="6" s="1"/>
  <c r="BH23" i="6"/>
  <c r="BG23" i="6"/>
  <c r="BF23" i="6"/>
  <c r="BE23" i="6"/>
  <c r="BD23" i="6"/>
  <c r="BB23" i="6"/>
  <c r="BC23" i="6" s="1"/>
  <c r="BA23" i="6"/>
  <c r="AZ23" i="6"/>
  <c r="AY23" i="6"/>
  <c r="AX23" i="6"/>
  <c r="AW23" i="6"/>
  <c r="AU23" i="6"/>
  <c r="AV23" i="6" s="1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Z23" i="6"/>
  <c r="AA23" i="6" s="1"/>
  <c r="Y23" i="6"/>
  <c r="X23" i="6"/>
  <c r="W23" i="6"/>
  <c r="V23" i="6"/>
  <c r="U23" i="6"/>
  <c r="S23" i="6"/>
  <c r="T23" i="6" s="1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DP8" i="15"/>
  <c r="S16" i="28" l="1"/>
  <c r="S24" i="28"/>
  <c r="S19" i="28"/>
  <c r="S21" i="28"/>
  <c r="S22" i="28" s="1"/>
  <c r="EV18" i="15"/>
  <c r="EV16" i="15"/>
  <c r="EV21" i="15"/>
  <c r="EV19" i="15" l="1"/>
  <c r="S14" i="29"/>
  <c r="R14" i="29"/>
  <c r="Q14" i="29"/>
  <c r="P14" i="29"/>
  <c r="O14" i="29"/>
  <c r="N14" i="29"/>
  <c r="M14" i="29"/>
  <c r="L14" i="29"/>
  <c r="K14" i="29"/>
  <c r="J14" i="29"/>
  <c r="I14" i="29"/>
  <c r="H14" i="29"/>
  <c r="G14" i="29"/>
  <c r="F14" i="29"/>
  <c r="E14" i="29"/>
  <c r="D14" i="29"/>
  <c r="S13" i="29"/>
  <c r="R13" i="29"/>
  <c r="Q13" i="29"/>
  <c r="P13" i="29"/>
  <c r="O13" i="29"/>
  <c r="N13" i="29"/>
  <c r="M13" i="29"/>
  <c r="L13" i="29"/>
  <c r="K13" i="29"/>
  <c r="J13" i="29"/>
  <c r="I13" i="29"/>
  <c r="H13" i="29"/>
  <c r="G13" i="29"/>
  <c r="F13" i="29"/>
  <c r="E13" i="29"/>
  <c r="D13" i="29"/>
  <c r="V7" i="29"/>
  <c r="E6" i="29"/>
  <c r="I9" i="29" l="1"/>
  <c r="I10" i="29" s="1"/>
  <c r="J9" i="29"/>
  <c r="J10" i="29" s="1"/>
  <c r="E12" i="29"/>
  <c r="Q12" i="29"/>
  <c r="F12" i="29"/>
  <c r="R12" i="29"/>
  <c r="N9" i="29"/>
  <c r="N10" i="29" s="1"/>
  <c r="S12" i="29"/>
  <c r="S8" i="29" s="1"/>
  <c r="O9" i="29"/>
  <c r="O10" i="29" s="1"/>
  <c r="H12" i="29"/>
  <c r="L12" i="29"/>
  <c r="P9" i="29"/>
  <c r="P10" i="29" s="1"/>
  <c r="G12" i="29"/>
  <c r="H9" i="29"/>
  <c r="H10" i="29" s="1"/>
  <c r="F6" i="29"/>
  <c r="I12" i="29"/>
  <c r="M12" i="29"/>
  <c r="E9" i="29"/>
  <c r="E10" i="29" s="1"/>
  <c r="Q9" i="29"/>
  <c r="Q10" i="29" s="1"/>
  <c r="J12" i="29"/>
  <c r="N12" i="29"/>
  <c r="F9" i="29"/>
  <c r="F10" i="29" s="1"/>
  <c r="R9" i="29"/>
  <c r="R10" i="29" s="1"/>
  <c r="K12" i="29"/>
  <c r="G9" i="29"/>
  <c r="G10" i="29" s="1"/>
  <c r="S9" i="29"/>
  <c r="S10" i="29" s="1"/>
  <c r="O12" i="29"/>
  <c r="K9" i="29"/>
  <c r="K10" i="29" s="1"/>
  <c r="D12" i="29"/>
  <c r="P12" i="29"/>
  <c r="L9" i="29"/>
  <c r="L10" i="29" s="1"/>
  <c r="M9" i="29"/>
  <c r="M10" i="29" s="1"/>
  <c r="W7" i="29"/>
  <c r="I8" i="29" l="1"/>
  <c r="N8" i="29"/>
  <c r="G8" i="29"/>
  <c r="P8" i="29"/>
  <c r="J8" i="29"/>
  <c r="E8" i="29"/>
  <c r="M8" i="29"/>
  <c r="F8" i="29"/>
  <c r="R8" i="29"/>
  <c r="H8" i="29"/>
  <c r="O8" i="29"/>
  <c r="Q8" i="29"/>
  <c r="K8" i="29"/>
  <c r="G6" i="29"/>
  <c r="L8" i="29"/>
  <c r="H6" i="29" l="1"/>
  <c r="I6" i="29" l="1"/>
  <c r="J6" i="29" l="1"/>
  <c r="K6" i="29" l="1"/>
  <c r="L6" i="29" l="1"/>
  <c r="M6" i="29" l="1"/>
  <c r="N6" i="29" l="1"/>
  <c r="O6" i="29" l="1"/>
  <c r="P6" i="29" l="1"/>
  <c r="Q6" i="29" l="1"/>
  <c r="R6" i="29" l="1"/>
  <c r="S6" i="29" l="1"/>
  <c r="T6" i="29" l="1"/>
  <c r="U6" i="29" l="1"/>
  <c r="V6" i="29" l="1"/>
  <c r="W6" i="29" l="1"/>
  <c r="E18" i="21"/>
  <c r="E19" i="21"/>
  <c r="E20" i="21"/>
  <c r="E21" i="21"/>
  <c r="E22" i="21"/>
  <c r="X6" i="29" l="1"/>
  <c r="Y6" i="29" s="1"/>
  <c r="DR5" i="4"/>
  <c r="AE40" i="19" l="1"/>
  <c r="CJ9" i="2" l="1"/>
  <c r="CJ39" i="2"/>
  <c r="CJ55" i="2"/>
  <c r="CJ20" i="2"/>
  <c r="CJ66" i="2"/>
  <c r="CJ37" i="2" l="1"/>
  <c r="CJ35" i="2" s="1"/>
  <c r="AF45" i="19" l="1"/>
  <c r="X35" i="23"/>
  <c r="DS21" i="4" l="1"/>
  <c r="DS13" i="4" l="1"/>
  <c r="EU6" i="16" l="1"/>
  <c r="EN23" i="6"/>
  <c r="EU22" i="6" l="1"/>
  <c r="EU23" i="6"/>
  <c r="R13" i="28" l="1"/>
  <c r="R6" i="28"/>
  <c r="EU6" i="15"/>
  <c r="X26" i="23" l="1"/>
  <c r="X22" i="23"/>
  <c r="X30" i="23" l="1"/>
  <c r="X12" i="23"/>
  <c r="X8" i="23"/>
  <c r="X16" i="23" l="1"/>
  <c r="EU48" i="6" l="1"/>
  <c r="EU57" i="6"/>
  <c r="EU46" i="6"/>
  <c r="EU59" i="6"/>
  <c r="DS6" i="4" l="1"/>
  <c r="AF37" i="19"/>
  <c r="AF6" i="19"/>
  <c r="ES39" i="3"/>
  <c r="ES48" i="3"/>
  <c r="EQ39" i="3"/>
  <c r="EQ48" i="3"/>
  <c r="EP51" i="3"/>
  <c r="ER51" i="3" s="1"/>
  <c r="ET51" i="3" s="1"/>
  <c r="EP50" i="3"/>
  <c r="ER50" i="3" s="1"/>
  <c r="ET50" i="3" s="1"/>
  <c r="EP49" i="3"/>
  <c r="ER49" i="3" s="1"/>
  <c r="ET49" i="3" s="1"/>
  <c r="EP47" i="3"/>
  <c r="ER47" i="3" s="1"/>
  <c r="ET47" i="3" s="1"/>
  <c r="EP46" i="3"/>
  <c r="ER46" i="3" s="1"/>
  <c r="ET46" i="3" s="1"/>
  <c r="EP45" i="3"/>
  <c r="ER45" i="3" s="1"/>
  <c r="ET45" i="3" s="1"/>
  <c r="EP44" i="3"/>
  <c r="ER44" i="3" s="1"/>
  <c r="ET44" i="3" s="1"/>
  <c r="EP43" i="3"/>
  <c r="ER43" i="3" s="1"/>
  <c r="ET43" i="3" s="1"/>
  <c r="EP42" i="3"/>
  <c r="ER42" i="3" s="1"/>
  <c r="EO48" i="3"/>
  <c r="EO41" i="3" s="1"/>
  <c r="EN40" i="3"/>
  <c r="ET42" i="3" l="1"/>
  <c r="DS30" i="4"/>
  <c r="EU20" i="15" s="1"/>
  <c r="R23" i="28" s="1"/>
  <c r="EO39" i="3" l="1"/>
  <c r="EN48" i="3"/>
  <c r="EN39" i="3"/>
  <c r="EL48" i="3"/>
  <c r="EJ48" i="3"/>
  <c r="EL39" i="3"/>
  <c r="EJ39" i="3"/>
  <c r="EH48" i="3"/>
  <c r="EH39" i="3"/>
  <c r="EG48" i="3"/>
  <c r="EG39" i="3"/>
  <c r="EI49" i="3"/>
  <c r="EK49" i="3" s="1"/>
  <c r="EM49" i="3" s="1"/>
  <c r="EI50" i="3"/>
  <c r="EK50" i="3" s="1"/>
  <c r="EM50" i="3" s="1"/>
  <c r="EP48" i="3" l="1"/>
  <c r="EU48" i="3"/>
  <c r="EU8" i="15"/>
  <c r="EU9" i="15"/>
  <c r="EU14" i="15"/>
  <c r="EU12" i="15"/>
  <c r="EU10" i="15"/>
  <c r="ER48" i="3" l="1"/>
  <c r="EP41" i="3"/>
  <c r="R10" i="28"/>
  <c r="R14" i="28"/>
  <c r="R9" i="28"/>
  <c r="R12" i="28"/>
  <c r="R8" i="28"/>
  <c r="DS9" i="4"/>
  <c r="DS10" i="4" s="1"/>
  <c r="DS8" i="4"/>
  <c r="EU24" i="6"/>
  <c r="ER41" i="3" l="1"/>
  <c r="ET48" i="3"/>
  <c r="ET41" i="3" s="1"/>
  <c r="DS7" i="4"/>
  <c r="EU26" i="6"/>
  <c r="EU34" i="6"/>
  <c r="CK55" i="2"/>
  <c r="CK66" i="2"/>
  <c r="CK39" i="2"/>
  <c r="CK20" i="2"/>
  <c r="CK9" i="2"/>
  <c r="CK37" i="2" l="1"/>
  <c r="CK35" i="2" s="1"/>
  <c r="CK7" i="2"/>
  <c r="EU37" i="6"/>
  <c r="CK4" i="2" l="1"/>
  <c r="X84" i="20"/>
  <c r="X83" i="20"/>
  <c r="X82" i="20"/>
  <c r="X68" i="20"/>
  <c r="X64" i="20"/>
  <c r="X57" i="20"/>
  <c r="X55" i="20"/>
  <c r="X54" i="20"/>
  <c r="X56" i="20"/>
  <c r="X40" i="20"/>
  <c r="X36" i="20"/>
  <c r="X21" i="20"/>
  <c r="X20" i="20"/>
  <c r="X19" i="20"/>
  <c r="X16" i="20"/>
  <c r="X14" i="20"/>
  <c r="X13" i="20"/>
  <c r="X14" i="29" s="1"/>
  <c r="X12" i="20"/>
  <c r="X13" i="29" s="1"/>
  <c r="X12" i="29" s="1"/>
  <c r="Y8" i="29" s="1"/>
  <c r="X10" i="20"/>
  <c r="X9" i="20"/>
  <c r="X8" i="20"/>
  <c r="X7" i="20" l="1"/>
  <c r="X27" i="20"/>
  <c r="X28" i="20"/>
  <c r="X11" i="20"/>
  <c r="X25" i="20"/>
  <c r="X26" i="20"/>
  <c r="X44" i="20"/>
  <c r="X72" i="20"/>
  <c r="X85" i="20" s="1"/>
  <c r="X23" i="20"/>
  <c r="X52" i="20"/>
  <c r="X18" i="23" s="1"/>
  <c r="X19" i="23" s="1"/>
  <c r="X80" i="20"/>
  <c r="X32" i="23" s="1"/>
  <c r="X33" i="23" s="1"/>
  <c r="X38" i="23" l="1"/>
  <c r="X15" i="20"/>
  <c r="X32" i="20"/>
  <c r="X31" i="20"/>
  <c r="X30" i="20"/>
  <c r="X29" i="20"/>
  <c r="X87" i="20"/>
  <c r="X86" i="20"/>
  <c r="X89" i="20"/>
  <c r="X88" i="20"/>
  <c r="X61" i="20"/>
  <c r="X60" i="20"/>
  <c r="X59" i="20"/>
  <c r="X58" i="20"/>
  <c r="EU8" i="6" l="1"/>
  <c r="EU41" i="3"/>
  <c r="EU29" i="3"/>
  <c r="EU27" i="3"/>
  <c r="EU26" i="3"/>
  <c r="EW26" i="3" s="1"/>
  <c r="EU22" i="3"/>
  <c r="EU19" i="3"/>
  <c r="EU16" i="3"/>
  <c r="EU13" i="3"/>
  <c r="EU7" i="3"/>
  <c r="EU6" i="6"/>
  <c r="E23" i="21"/>
  <c r="E24" i="21"/>
  <c r="EW32" i="3" l="1"/>
  <c r="EU35" i="3"/>
  <c r="EW29" i="3"/>
  <c r="EW35" i="3" s="1"/>
  <c r="EU33" i="3"/>
  <c r="EW27" i="3"/>
  <c r="EW33" i="3" s="1"/>
  <c r="EU37" i="3"/>
  <c r="EU25" i="3"/>
  <c r="EW25" i="3" s="1"/>
  <c r="EW31" i="3" s="1"/>
  <c r="EU32" i="3"/>
  <c r="EU28" i="3"/>
  <c r="EU34" i="3" l="1"/>
  <c r="EW28" i="3"/>
  <c r="EW34" i="3" s="1"/>
  <c r="EU54" i="3"/>
  <c r="EU31" i="3"/>
  <c r="M17" i="28"/>
  <c r="F17" i="28"/>
  <c r="H17" i="28" s="1"/>
  <c r="J17" i="28" s="1"/>
  <c r="EU57" i="3" l="1"/>
  <c r="EU60" i="3" s="1"/>
  <c r="EU7" i="15" s="1"/>
  <c r="EW7" i="15" s="1"/>
  <c r="EW54" i="3"/>
  <c r="EW57" i="3" s="1"/>
  <c r="O17" i="28"/>
  <c r="EW60" i="3" l="1"/>
  <c r="AF8" i="19"/>
  <c r="EW11" i="15"/>
  <c r="EW15" i="15" s="1"/>
  <c r="EW16" i="15" s="1"/>
  <c r="T7" i="28"/>
  <c r="T11" i="28" s="1"/>
  <c r="T15" i="28" s="1"/>
  <c r="EU11" i="15"/>
  <c r="EU15" i="15" s="1"/>
  <c r="R7" i="28"/>
  <c r="R11" i="28" s="1"/>
  <c r="R15" i="28" s="1"/>
  <c r="Q17" i="28"/>
  <c r="AH8" i="19" l="1"/>
  <c r="AH16" i="19" s="1"/>
  <c r="AF16" i="19"/>
  <c r="AF30" i="19" s="1"/>
  <c r="EW21" i="15"/>
  <c r="T16" i="28"/>
  <c r="T18" i="28"/>
  <c r="R18" i="28"/>
  <c r="R16" i="28"/>
  <c r="EU16" i="15"/>
  <c r="EU18" i="15"/>
  <c r="EW18" i="15" s="1"/>
  <c r="EU21" i="15"/>
  <c r="N13" i="28"/>
  <c r="L13" i="28"/>
  <c r="K13" i="28"/>
  <c r="I13" i="28"/>
  <c r="G13" i="28"/>
  <c r="E13" i="28"/>
  <c r="AF32" i="19" l="1"/>
  <c r="AH30" i="19"/>
  <c r="EW19" i="15"/>
  <c r="T21" i="28"/>
  <c r="T22" i="28" s="1"/>
  <c r="T19" i="28"/>
  <c r="T24" i="28"/>
  <c r="R19" i="28"/>
  <c r="R21" i="28"/>
  <c r="R22" i="28" s="1"/>
  <c r="R24" i="28"/>
  <c r="EU19" i="15"/>
  <c r="Q6" i="28"/>
  <c r="P6" i="28"/>
  <c r="O6" i="28"/>
  <c r="N6" i="28"/>
  <c r="M6" i="28"/>
  <c r="L6" i="28"/>
  <c r="K6" i="28"/>
  <c r="J6" i="28"/>
  <c r="I6" i="28"/>
  <c r="H6" i="28"/>
  <c r="G6" i="28"/>
  <c r="F6" i="28"/>
  <c r="E6" i="28"/>
  <c r="D6" i="28"/>
  <c r="AH32" i="19" l="1"/>
  <c r="AF49" i="19"/>
  <c r="P13" i="28"/>
  <c r="AF51" i="19" l="1"/>
  <c r="AH49" i="19"/>
  <c r="AH51" i="19" s="1"/>
  <c r="EQ31" i="6"/>
  <c r="EO31" i="6"/>
  <c r="EG31" i="6"/>
  <c r="ET12" i="6"/>
  <c r="ES12" i="6"/>
  <c r="ET70" i="6" l="1"/>
  <c r="ET59" i="6"/>
  <c r="ES59" i="6"/>
  <c r="ET57" i="6"/>
  <c r="ES57" i="6"/>
  <c r="ET54" i="6"/>
  <c r="ET52" i="6"/>
  <c r="ES48" i="6"/>
  <c r="ES46" i="6"/>
  <c r="ET43" i="6"/>
  <c r="ET41" i="6"/>
  <c r="ET32" i="6"/>
  <c r="ET30" i="6"/>
  <c r="EU31" i="6" s="1"/>
  <c r="ET23" i="6"/>
  <c r="ES23" i="6"/>
  <c r="ES22" i="6"/>
  <c r="ES20" i="6"/>
  <c r="ET8" i="6"/>
  <c r="ES8" i="6"/>
  <c r="ET6" i="6"/>
  <c r="ES6" i="6"/>
  <c r="ET20" i="6" l="1"/>
  <c r="ET22" i="6"/>
  <c r="W26" i="23"/>
  <c r="W22" i="23"/>
  <c r="W30" i="23" s="1"/>
  <c r="W12" i="23"/>
  <c r="W8" i="23"/>
  <c r="W16" i="23" l="1"/>
  <c r="EN6" i="15" l="1"/>
  <c r="EO6" i="15"/>
  <c r="EP6" i="15"/>
  <c r="EQ6" i="15"/>
  <c r="ER6" i="15"/>
  <c r="ES6" i="15"/>
  <c r="ET6" i="15"/>
  <c r="ES8" i="15"/>
  <c r="ES9" i="15"/>
  <c r="ES12" i="15"/>
  <c r="ES14" i="15"/>
  <c r="ES10" i="15"/>
  <c r="P10" i="28" l="1"/>
  <c r="P14" i="28"/>
  <c r="P12" i="28"/>
  <c r="P9" i="28"/>
  <c r="P8" i="28"/>
  <c r="AE6" i="19" l="1"/>
  <c r="AD6" i="19"/>
  <c r="ES22" i="3"/>
  <c r="ES16" i="3"/>
  <c r="ES14" i="3" l="1"/>
  <c r="ES20" i="3"/>
  <c r="AD37" i="19"/>
  <c r="DQ8" i="4"/>
  <c r="DQ9" i="4"/>
  <c r="DQ10" i="4" s="1"/>
  <c r="AD45" i="19"/>
  <c r="AD16" i="19"/>
  <c r="CJ7" i="2"/>
  <c r="ES24" i="6" l="1"/>
  <c r="ES26" i="6" s="1"/>
  <c r="AD30" i="19"/>
  <c r="CJ4" i="2"/>
  <c r="ES34" i="6" l="1"/>
  <c r="AD32" i="19"/>
  <c r="AD49" i="19" s="1"/>
  <c r="ES35" i="6" l="1"/>
  <c r="ES37" i="6"/>
  <c r="AD51" i="19"/>
  <c r="ES13" i="16" l="1"/>
  <c r="ET6" i="16"/>
  <c r="ES6" i="16"/>
  <c r="E25" i="21" l="1"/>
  <c r="DQ7" i="4"/>
  <c r="DR6" i="4"/>
  <c r="DQ6" i="4"/>
  <c r="DO6" i="4"/>
  <c r="DP6" i="4"/>
  <c r="DO8" i="4"/>
  <c r="DO9" i="4"/>
  <c r="DO10" i="4"/>
  <c r="ES41" i="3"/>
  <c r="ES37" i="3" s="1"/>
  <c r="ES29" i="3"/>
  <c r="ES28" i="3"/>
  <c r="ES34" i="3" s="1"/>
  <c r="ES27" i="3"/>
  <c r="ES19" i="3"/>
  <c r="ES13" i="3"/>
  <c r="ES7" i="3"/>
  <c r="DO30" i="4" l="1"/>
  <c r="DO7" i="4"/>
  <c r="ES33" i="3"/>
  <c r="ES35" i="3"/>
  <c r="ES26" i="3"/>
  <c r="ES32" i="3" l="1"/>
  <c r="ES25" i="3"/>
  <c r="ES54" i="3" s="1"/>
  <c r="ES57" i="3" s="1"/>
  <c r="ES31" i="3" l="1"/>
  <c r="T68" i="20" l="1"/>
  <c r="U68" i="20"/>
  <c r="V68" i="20"/>
  <c r="W68" i="20" l="1"/>
  <c r="W40" i="20" l="1"/>
  <c r="W83" i="20" l="1"/>
  <c r="W82" i="20"/>
  <c r="W84" i="20"/>
  <c r="W12" i="20"/>
  <c r="W13" i="29" s="1"/>
  <c r="W64" i="20"/>
  <c r="W57" i="20"/>
  <c r="W56" i="20"/>
  <c r="W55" i="20"/>
  <c r="W54" i="20"/>
  <c r="W8" i="20"/>
  <c r="W36" i="20"/>
  <c r="W16" i="20"/>
  <c r="W14" i="20"/>
  <c r="W13" i="20"/>
  <c r="W14" i="29" s="1"/>
  <c r="W10" i="20"/>
  <c r="W9" i="20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W12" i="29" l="1"/>
  <c r="X8" i="29" s="1"/>
  <c r="X9" i="29"/>
  <c r="W11" i="20"/>
  <c r="W7" i="20"/>
  <c r="W28" i="20"/>
  <c r="W44" i="20"/>
  <c r="W19" i="20"/>
  <c r="W52" i="20"/>
  <c r="W18" i="23" s="1"/>
  <c r="W19" i="23" s="1"/>
  <c r="W20" i="20"/>
  <c r="W21" i="20"/>
  <c r="W80" i="20"/>
  <c r="W32" i="23" s="1"/>
  <c r="W33" i="23" s="1"/>
  <c r="W26" i="20" l="1"/>
  <c r="W27" i="20"/>
  <c r="W38" i="23"/>
  <c r="W89" i="20"/>
  <c r="W88" i="20"/>
  <c r="W15" i="20"/>
  <c r="X10" i="29" s="1"/>
  <c r="W61" i="20"/>
  <c r="W60" i="20"/>
  <c r="W72" i="20"/>
  <c r="W85" i="20" s="1"/>
  <c r="W87" i="20"/>
  <c r="W25" i="20"/>
  <c r="W23" i="20"/>
  <c r="W58" i="20"/>
  <c r="W59" i="20"/>
  <c r="W32" i="20" l="1"/>
  <c r="W31" i="20"/>
  <c r="W86" i="20"/>
  <c r="W30" i="20"/>
  <c r="W29" i="20"/>
  <c r="EO40" i="3"/>
  <c r="EP39" i="3"/>
  <c r="ER39" i="3" s="1"/>
  <c r="ET39" i="3" s="1"/>
  <c r="EP40" i="3" l="1"/>
  <c r="ER40" i="3" s="1"/>
  <c r="ET40" i="3" s="1"/>
  <c r="EO37" i="3"/>
  <c r="EO54" i="3" s="1"/>
  <c r="EO57" i="3" s="1"/>
  <c r="EO60" i="3" s="1"/>
  <c r="E42" i="21"/>
  <c r="E43" i="21"/>
  <c r="F6" i="2"/>
  <c r="G6" i="2" l="1"/>
  <c r="H6" i="2" s="1"/>
  <c r="I6" i="2" s="1"/>
  <c r="J6" i="2" s="1"/>
  <c r="K6" i="2" s="1"/>
  <c r="L6" i="2" s="1"/>
  <c r="M6" i="2" s="1"/>
  <c r="N6" i="2" s="1"/>
  <c r="O6" i="2" s="1"/>
  <c r="P6" i="2" s="1"/>
  <c r="Q6" i="2" s="1"/>
  <c r="R6" i="2" s="1"/>
  <c r="S6" i="2" s="1"/>
  <c r="T6" i="2" s="1"/>
  <c r="U6" i="2" s="1"/>
  <c r="V6" i="2" s="1"/>
  <c r="W6" i="2" s="1"/>
  <c r="X6" i="2" s="1"/>
  <c r="Y6" i="2" s="1"/>
  <c r="Z6" i="2" s="1"/>
  <c r="AA6" i="2" s="1"/>
  <c r="AB6" i="2" s="1"/>
  <c r="AC6" i="2" s="1"/>
  <c r="AD6" i="2" s="1"/>
  <c r="AE6" i="2" s="1"/>
  <c r="AF6" i="2" s="1"/>
  <c r="AG6" i="2" s="1"/>
  <c r="AH6" i="2" s="1"/>
  <c r="AI6" i="2" s="1"/>
  <c r="AJ6" i="2" s="1"/>
  <c r="AK6" i="2" s="1"/>
  <c r="AL6" i="2" s="1"/>
  <c r="AM6" i="2" s="1"/>
  <c r="AN6" i="2" s="1"/>
  <c r="AO6" i="2" s="1"/>
  <c r="AP6" i="2" s="1"/>
  <c r="AQ6" i="2" s="1"/>
  <c r="AR6" i="2" s="1"/>
  <c r="AS6" i="2" s="1"/>
  <c r="AT6" i="2" s="1"/>
  <c r="AU6" i="2" s="1"/>
  <c r="AV6" i="2" s="1"/>
  <c r="AW6" i="2" s="1"/>
  <c r="AX6" i="2" s="1"/>
  <c r="AY6" i="2" s="1"/>
  <c r="AZ6" i="2" s="1"/>
  <c r="BA6" i="2" s="1"/>
  <c r="BB6" i="2" s="1"/>
  <c r="BC6" i="2" s="1"/>
  <c r="BD6" i="2" s="1"/>
  <c r="BE6" i="2" s="1"/>
  <c r="BF6" i="2" s="1"/>
  <c r="BG6" i="2" s="1"/>
  <c r="BH6" i="2" s="1"/>
  <c r="BI6" i="2" s="1"/>
  <c r="BJ6" i="2" s="1"/>
  <c r="BK6" i="2" s="1"/>
  <c r="BL6" i="2" s="1"/>
  <c r="BM6" i="2" s="1"/>
  <c r="BN6" i="2" s="1"/>
  <c r="BO6" i="2" s="1"/>
  <c r="BP6" i="2" s="1"/>
  <c r="BQ6" i="2" s="1"/>
  <c r="BR6" i="2" s="1"/>
  <c r="BS6" i="2" s="1"/>
  <c r="BT6" i="2" s="1"/>
  <c r="BU6" i="2" s="1"/>
  <c r="BV6" i="2" s="1"/>
  <c r="BW6" i="2" s="1"/>
  <c r="BX6" i="2" s="1"/>
  <c r="BY6" i="2" s="1"/>
  <c r="BZ6" i="2" s="1"/>
  <c r="CA6" i="2" s="1"/>
  <c r="CB6" i="2" s="1"/>
  <c r="CC6" i="2" s="1"/>
  <c r="CD6" i="2" s="1"/>
  <c r="CE6" i="2" s="1"/>
  <c r="CF6" i="2" s="1"/>
  <c r="CG6" i="2" s="1"/>
  <c r="CH6" i="2" s="1"/>
  <c r="CI6" i="2" s="1"/>
  <c r="CJ6" i="2" s="1"/>
  <c r="CK6" i="2" s="1"/>
  <c r="CL6" i="2" s="1"/>
  <c r="AA50" i="19" l="1"/>
  <c r="AA47" i="19"/>
  <c r="AA44" i="19"/>
  <c r="AA43" i="19"/>
  <c r="AA42" i="19"/>
  <c r="AA41" i="19"/>
  <c r="AA40" i="19"/>
  <c r="AA36" i="19"/>
  <c r="AA35" i="19"/>
  <c r="AA31" i="19"/>
  <c r="AA29" i="19"/>
  <c r="AA28" i="19"/>
  <c r="AA27" i="19"/>
  <c r="AA26" i="19"/>
  <c r="AA25" i="19"/>
  <c r="AA24" i="19"/>
  <c r="AA23" i="19"/>
  <c r="AA21" i="19"/>
  <c r="AA20" i="19"/>
  <c r="AA19" i="19"/>
  <c r="AA18" i="19"/>
  <c r="AA15" i="19"/>
  <c r="AA14" i="19"/>
  <c r="AA13" i="19"/>
  <c r="AA12" i="19"/>
  <c r="AA11" i="19"/>
  <c r="AA10" i="19"/>
  <c r="AA8" i="19"/>
  <c r="Z16" i="19"/>
  <c r="Z30" i="19" l="1"/>
  <c r="Z32" i="19" s="1"/>
  <c r="AA16" i="19"/>
  <c r="AD35" i="3"/>
  <c r="AD33" i="3"/>
  <c r="AD32" i="3"/>
  <c r="AD31" i="3"/>
  <c r="AC35" i="3"/>
  <c r="AC33" i="3"/>
  <c r="AC32" i="3"/>
  <c r="AC31" i="3"/>
  <c r="AB35" i="3"/>
  <c r="AB33" i="3"/>
  <c r="AB32" i="3"/>
  <c r="AB31" i="3"/>
  <c r="V20" i="2"/>
  <c r="V66" i="2"/>
  <c r="V55" i="2"/>
  <c r="V39" i="2"/>
  <c r="V37" i="2" s="1"/>
  <c r="V9" i="2"/>
  <c r="CB4" i="2"/>
  <c r="CA4" i="2"/>
  <c r="BZ4" i="2"/>
  <c r="BY4" i="2"/>
  <c r="BX4" i="2"/>
  <c r="BW4" i="2"/>
  <c r="BV4" i="2"/>
  <c r="BU4" i="2"/>
  <c r="BT4" i="2"/>
  <c r="BS4" i="2"/>
  <c r="BR4" i="2"/>
  <c r="BQ4" i="2"/>
  <c r="BP4" i="2"/>
  <c r="BO4" i="2"/>
  <c r="BN4" i="2"/>
  <c r="BM4" i="2"/>
  <c r="BL4" i="2"/>
  <c r="BK4" i="2"/>
  <c r="BJ4" i="2"/>
  <c r="BI4" i="2"/>
  <c r="BH4" i="2"/>
  <c r="BG4" i="2"/>
  <c r="BF4" i="2"/>
  <c r="BE4" i="2"/>
  <c r="BD4" i="2"/>
  <c r="BC4" i="2"/>
  <c r="BB4" i="2"/>
  <c r="BA4" i="2"/>
  <c r="AZ4" i="2"/>
  <c r="AY4" i="2"/>
  <c r="AX4" i="2"/>
  <c r="AW4" i="2"/>
  <c r="AV4" i="2"/>
  <c r="AU4" i="2"/>
  <c r="AT4" i="2"/>
  <c r="AS4" i="2"/>
  <c r="AR4" i="2"/>
  <c r="AQ4" i="2"/>
  <c r="AP4" i="2"/>
  <c r="AO4" i="2"/>
  <c r="AN4" i="2"/>
  <c r="AM4" i="2"/>
  <c r="AL4" i="2"/>
  <c r="AK4" i="2"/>
  <c r="AJ4" i="2"/>
  <c r="AI4" i="2"/>
  <c r="AH4" i="2"/>
  <c r="AG4" i="2"/>
  <c r="AF4" i="2"/>
  <c r="AE4" i="2"/>
  <c r="AD4" i="2"/>
  <c r="AC4" i="2"/>
  <c r="AB4" i="2"/>
  <c r="AA4" i="2"/>
  <c r="Z4" i="2"/>
  <c r="Y4" i="2"/>
  <c r="X4" i="2"/>
  <c r="W4" i="2"/>
  <c r="U4" i="2"/>
  <c r="T4" i="2"/>
  <c r="S4" i="2"/>
  <c r="R4" i="2"/>
  <c r="Q4" i="2"/>
  <c r="P4" i="2"/>
  <c r="O4" i="2"/>
  <c r="N4" i="2"/>
  <c r="M4" i="2"/>
  <c r="L4" i="2"/>
  <c r="K4" i="2"/>
  <c r="J4" i="2"/>
  <c r="I4" i="2"/>
  <c r="H4" i="2"/>
  <c r="G4" i="2"/>
  <c r="F4" i="2"/>
  <c r="E4" i="2"/>
  <c r="V35" i="2" l="1"/>
  <c r="V7" i="2"/>
  <c r="V4" i="2" l="1"/>
  <c r="E44" i="21"/>
  <c r="E45" i="21"/>
  <c r="E46" i="21"/>
  <c r="E47" i="21"/>
  <c r="CI60" i="3"/>
  <c r="CI58" i="3"/>
  <c r="CI57" i="3"/>
  <c r="CI55" i="3"/>
  <c r="CI54" i="3"/>
  <c r="CI52" i="3"/>
  <c r="CI51" i="3"/>
  <c r="CI47" i="3"/>
  <c r="CI48" i="3"/>
  <c r="CI46" i="3"/>
  <c r="CI45" i="3"/>
  <c r="CI44" i="3"/>
  <c r="CI43" i="3"/>
  <c r="CI42" i="3"/>
  <c r="CI41" i="3"/>
  <c r="CI40" i="3"/>
  <c r="CI39" i="3"/>
  <c r="CI38" i="3"/>
  <c r="CI37" i="3"/>
  <c r="CI29" i="3"/>
  <c r="CI28" i="3"/>
  <c r="CI27" i="3"/>
  <c r="CI26" i="3"/>
  <c r="CI25" i="3"/>
  <c r="CI23" i="3"/>
  <c r="CI22" i="3"/>
  <c r="CI21" i="3"/>
  <c r="CI20" i="3"/>
  <c r="CI19" i="3"/>
  <c r="CI17" i="3"/>
  <c r="CI16" i="3"/>
  <c r="CI15" i="3"/>
  <c r="CI14" i="3"/>
  <c r="CI13" i="3"/>
  <c r="CI9" i="3"/>
  <c r="CI8" i="3"/>
  <c r="CI7" i="3"/>
  <c r="CI31" i="3" l="1"/>
  <c r="CI32" i="3"/>
  <c r="CI33" i="3"/>
  <c r="CI34" i="3"/>
  <c r="CI35" i="3"/>
  <c r="AB16" i="19"/>
  <c r="V10" i="20" l="1"/>
  <c r="V64" i="20" l="1"/>
  <c r="V83" i="20"/>
  <c r="V82" i="20"/>
  <c r="V57" i="20"/>
  <c r="V20" i="20"/>
  <c r="V36" i="20"/>
  <c r="V80" i="20" l="1"/>
  <c r="V72" i="20"/>
  <c r="V85" i="20" s="1"/>
  <c r="V84" i="20"/>
  <c r="V55" i="20"/>
  <c r="V19" i="20"/>
  <c r="V54" i="20"/>
  <c r="V40" i="20"/>
  <c r="V44" i="20" s="1"/>
  <c r="V89" i="20" l="1"/>
  <c r="V88" i="20"/>
  <c r="V87" i="20"/>
  <c r="V86" i="20"/>
  <c r="V21" i="20"/>
  <c r="V56" i="20"/>
  <c r="V52" i="20"/>
  <c r="V58" i="20" l="1"/>
  <c r="V61" i="20"/>
  <c r="V59" i="20"/>
  <c r="V60" i="20"/>
  <c r="V23" i="20"/>
  <c r="E11" i="9" l="1"/>
  <c r="EQ16" i="3" l="1"/>
  <c r="EQ7" i="3"/>
  <c r="V22" i="23"/>
  <c r="V26" i="23"/>
  <c r="EQ48" i="6" l="1"/>
  <c r="V30" i="23"/>
  <c r="V33" i="23" s="1"/>
  <c r="EQ13" i="16" l="1"/>
  <c r="ER6" i="16"/>
  <c r="EQ6" i="16"/>
  <c r="ER70" i="6"/>
  <c r="ER59" i="6"/>
  <c r="EQ59" i="6"/>
  <c r="ER54" i="6"/>
  <c r="EQ53" i="6"/>
  <c r="ER52" i="6"/>
  <c r="ES53" i="6" s="1"/>
  <c r="ER43" i="6"/>
  <c r="EQ42" i="6"/>
  <c r="ER41" i="6"/>
  <c r="ES42" i="6" s="1"/>
  <c r="ER32" i="6"/>
  <c r="ER30" i="6"/>
  <c r="ES31" i="6" s="1"/>
  <c r="EQ24" i="6"/>
  <c r="ER23" i="6"/>
  <c r="EQ23" i="6"/>
  <c r="EQ22" i="6"/>
  <c r="EQ20" i="6"/>
  <c r="ER8" i="6"/>
  <c r="EQ8" i="6"/>
  <c r="ER6" i="6"/>
  <c r="EQ6" i="6"/>
  <c r="V9" i="4"/>
  <c r="V10" i="4" s="1"/>
  <c r="V8" i="4"/>
  <c r="V14" i="15"/>
  <c r="V13" i="15"/>
  <c r="V12" i="15"/>
  <c r="V10" i="15"/>
  <c r="V9" i="15"/>
  <c r="V8" i="15"/>
  <c r="V7" i="15"/>
  <c r="V16" i="20"/>
  <c r="V14" i="20"/>
  <c r="V13" i="20"/>
  <c r="V14" i="29" s="1"/>
  <c r="V12" i="20"/>
  <c r="V13" i="29" s="1"/>
  <c r="V9" i="20"/>
  <c r="V8" i="20"/>
  <c r="V18" i="23"/>
  <c r="V12" i="23"/>
  <c r="V8" i="23"/>
  <c r="V6" i="19"/>
  <c r="DO14" i="15"/>
  <c r="DO13" i="15"/>
  <c r="DO12" i="15"/>
  <c r="DO10" i="15"/>
  <c r="DO9" i="15"/>
  <c r="DO8" i="15"/>
  <c r="DO7" i="15"/>
  <c r="AC9" i="4"/>
  <c r="AC10" i="4" s="1"/>
  <c r="AB9" i="4"/>
  <c r="AB10" i="4" s="1"/>
  <c r="AC8" i="4"/>
  <c r="AB8" i="4"/>
  <c r="AB33" i="15"/>
  <c r="AB14" i="15"/>
  <c r="AB13" i="15"/>
  <c r="AB12" i="15"/>
  <c r="AB10" i="15"/>
  <c r="AB9" i="15"/>
  <c r="AB8" i="15"/>
  <c r="AB7" i="15"/>
  <c r="AC50" i="19"/>
  <c r="AE50" i="19" s="1"/>
  <c r="AC40" i="19"/>
  <c r="AC36" i="19"/>
  <c r="AE36" i="19" s="1"/>
  <c r="AC15" i="19"/>
  <c r="AE15" i="19" s="1"/>
  <c r="AC6" i="19"/>
  <c r="AB6" i="19"/>
  <c r="EQ12" i="15"/>
  <c r="N12" i="28" s="1"/>
  <c r="CI55" i="2"/>
  <c r="CI39" i="2"/>
  <c r="CI31" i="4"/>
  <c r="CI35" i="23"/>
  <c r="CG30" i="20"/>
  <c r="CI20" i="2"/>
  <c r="CI9" i="4"/>
  <c r="CI10" i="4" s="1"/>
  <c r="CI14" i="15"/>
  <c r="CI13" i="15"/>
  <c r="CI12" i="15"/>
  <c r="CI10" i="15"/>
  <c r="CI9" i="15"/>
  <c r="CI9" i="2"/>
  <c r="CH6" i="23"/>
  <c r="CF6" i="20"/>
  <c r="CI7" i="15"/>
  <c r="E48" i="21"/>
  <c r="E49" i="21"/>
  <c r="E50" i="21"/>
  <c r="W9" i="29" l="1"/>
  <c r="V12" i="29"/>
  <c r="V28" i="20"/>
  <c r="AB7" i="4"/>
  <c r="AC7" i="4"/>
  <c r="ES21" i="6"/>
  <c r="V32" i="20"/>
  <c r="V31" i="20"/>
  <c r="V11" i="15"/>
  <c r="V15" i="15" s="1"/>
  <c r="V16" i="15" s="1"/>
  <c r="ER20" i="6"/>
  <c r="V7" i="4"/>
  <c r="CI7" i="2"/>
  <c r="AB11" i="15"/>
  <c r="AB15" i="15" s="1"/>
  <c r="AB34" i="15" s="1"/>
  <c r="V25" i="20"/>
  <c r="V27" i="20"/>
  <c r="DO11" i="15"/>
  <c r="DO15" i="15" s="1"/>
  <c r="DO16" i="15" s="1"/>
  <c r="V16" i="23"/>
  <c r="AB30" i="4"/>
  <c r="EQ8" i="15"/>
  <c r="N8" i="28" s="1"/>
  <c r="AB45" i="19"/>
  <c r="V26" i="20"/>
  <c r="V11" i="20"/>
  <c r="V7" i="20"/>
  <c r="EQ27" i="3"/>
  <c r="EQ33" i="3" s="1"/>
  <c r="EQ14" i="15"/>
  <c r="N14" i="28" s="1"/>
  <c r="CI66" i="2"/>
  <c r="EQ19" i="3"/>
  <c r="AB37" i="19"/>
  <c r="EQ41" i="3"/>
  <c r="EQ37" i="3" s="1"/>
  <c r="EQ10" i="15"/>
  <c r="N10" i="28" s="1"/>
  <c r="EQ26" i="6"/>
  <c r="EQ21" i="6"/>
  <c r="ER22" i="6"/>
  <c r="EQ46" i="6"/>
  <c r="EQ34" i="6"/>
  <c r="EQ57" i="6"/>
  <c r="ER57" i="6"/>
  <c r="EQ13" i="3"/>
  <c r="EQ29" i="3"/>
  <c r="EQ22" i="3"/>
  <c r="EQ9" i="15"/>
  <c r="N9" i="28" s="1"/>
  <c r="CI37" i="2"/>
  <c r="W8" i="29" l="1"/>
  <c r="V18" i="15"/>
  <c r="V19" i="15" s="1"/>
  <c r="AB21" i="15"/>
  <c r="AB18" i="15"/>
  <c r="AB19" i="15" s="1"/>
  <c r="AB16" i="15"/>
  <c r="DO24" i="15"/>
  <c r="DO28" i="15" s="1"/>
  <c r="DO34" i="15" s="1"/>
  <c r="V15" i="20"/>
  <c r="W10" i="29" s="1"/>
  <c r="V19" i="23"/>
  <c r="V38" i="23" s="1"/>
  <c r="AB30" i="19"/>
  <c r="V30" i="20"/>
  <c r="CI35" i="2"/>
  <c r="CI4" i="2" s="1"/>
  <c r="EQ37" i="6"/>
  <c r="EQ35" i="6"/>
  <c r="EQ35" i="3"/>
  <c r="EQ28" i="3"/>
  <c r="AB31" i="15" l="1"/>
  <c r="AB32" i="15" s="1"/>
  <c r="DO31" i="15"/>
  <c r="DO32" i="15" s="1"/>
  <c r="DO29" i="15"/>
  <c r="V29" i="20"/>
  <c r="EQ33" i="15"/>
  <c r="EQ20" i="15"/>
  <c r="N23" i="28" s="1"/>
  <c r="AB32" i="19"/>
  <c r="EQ26" i="3"/>
  <c r="EQ34" i="3"/>
  <c r="N24" i="28" l="1"/>
  <c r="N21" i="28"/>
  <c r="N22" i="28" s="1"/>
  <c r="AB49" i="19"/>
  <c r="EQ32" i="3"/>
  <c r="EQ25" i="3"/>
  <c r="EQ54" i="3" s="1"/>
  <c r="EQ57" i="3" s="1"/>
  <c r="AB51" i="19" l="1"/>
  <c r="EQ31" i="3"/>
  <c r="E53" i="21" l="1"/>
  <c r="E286" i="21"/>
  <c r="E52" i="21"/>
  <c r="E51" i="21"/>
  <c r="CG21" i="2" l="1"/>
  <c r="CG14" i="2"/>
  <c r="DM8" i="4" l="1"/>
  <c r="AC43" i="19"/>
  <c r="AE43" i="19" s="1"/>
  <c r="AC44" i="19"/>
  <c r="AE44" i="19" s="1"/>
  <c r="AC42" i="19"/>
  <c r="AE42" i="19" s="1"/>
  <c r="AC41" i="19"/>
  <c r="AE41" i="19" s="1"/>
  <c r="Z37" i="19"/>
  <c r="AC31" i="19"/>
  <c r="AE31" i="19" s="1"/>
  <c r="AC27" i="19"/>
  <c r="AE27" i="19" s="1"/>
  <c r="AC26" i="19"/>
  <c r="AE26" i="19" s="1"/>
  <c r="AC25" i="19"/>
  <c r="AE25" i="19" s="1"/>
  <c r="AC23" i="19"/>
  <c r="AE23" i="19" s="1"/>
  <c r="AC21" i="19"/>
  <c r="AE21" i="19" s="1"/>
  <c r="AC20" i="19"/>
  <c r="AE20" i="19" s="1"/>
  <c r="AC18" i="19"/>
  <c r="AE18" i="19" s="1"/>
  <c r="AC14" i="19"/>
  <c r="AE14" i="19" s="1"/>
  <c r="AC10" i="19"/>
  <c r="AE10" i="19" s="1"/>
  <c r="AC8" i="19"/>
  <c r="AE8" i="19" s="1"/>
  <c r="AC47" i="19"/>
  <c r="AE47" i="19" s="1"/>
  <c r="AC29" i="19"/>
  <c r="AE29" i="19" s="1"/>
  <c r="AC28" i="19"/>
  <c r="AE28" i="19" s="1"/>
  <c r="AC24" i="19"/>
  <c r="AE24" i="19" s="1"/>
  <c r="AC19" i="19"/>
  <c r="AE19" i="19" s="1"/>
  <c r="AC13" i="19"/>
  <c r="AE13" i="19" s="1"/>
  <c r="AC11" i="19"/>
  <c r="AE11" i="19" s="1"/>
  <c r="AA6" i="19"/>
  <c r="Z6" i="19"/>
  <c r="Z45" i="19" l="1"/>
  <c r="AC35" i="19"/>
  <c r="AE35" i="19" s="1"/>
  <c r="AC12" i="19"/>
  <c r="AC16" i="19" l="1"/>
  <c r="AE12" i="19"/>
  <c r="AE16" i="19" s="1"/>
  <c r="Z49" i="19"/>
  <c r="Z51" i="19" l="1"/>
  <c r="CH7" i="2"/>
  <c r="CH4" i="2" s="1"/>
  <c r="EO13" i="16" l="1"/>
  <c r="EP12" i="16"/>
  <c r="ER12" i="16" s="1"/>
  <c r="ET12" i="16" s="1"/>
  <c r="EP11" i="16"/>
  <c r="ER11" i="16" s="1"/>
  <c r="ET11" i="16" s="1"/>
  <c r="EP10" i="16"/>
  <c r="ER10" i="16" s="1"/>
  <c r="ET10" i="16" s="1"/>
  <c r="EP9" i="16"/>
  <c r="ER9" i="16" s="1"/>
  <c r="ET9" i="16" s="1"/>
  <c r="EP8" i="16"/>
  <c r="ER8" i="16" s="1"/>
  <c r="EP6" i="16"/>
  <c r="EO6" i="16"/>
  <c r="ER13" i="16" l="1"/>
  <c r="ET8" i="16"/>
  <c r="ET13" i="16" s="1"/>
  <c r="EP13" i="16"/>
  <c r="DN28" i="4"/>
  <c r="DP28" i="4" s="1"/>
  <c r="DR28" i="4" s="1"/>
  <c r="DN20" i="4"/>
  <c r="DP20" i="4" s="1"/>
  <c r="DN17" i="4"/>
  <c r="DN15" i="4"/>
  <c r="DN11" i="4"/>
  <c r="DP11" i="4" s="1"/>
  <c r="DR11" i="4" s="1"/>
  <c r="DN6" i="4"/>
  <c r="DM6" i="4"/>
  <c r="DP17" i="4" l="1"/>
  <c r="DP15" i="4"/>
  <c r="DM30" i="4" l="1"/>
  <c r="U84" i="20"/>
  <c r="U83" i="20"/>
  <c r="U80" i="20"/>
  <c r="U64" i="20"/>
  <c r="U8" i="20"/>
  <c r="U57" i="20"/>
  <c r="U52" i="20"/>
  <c r="U16" i="20"/>
  <c r="U14" i="20"/>
  <c r="U13" i="20"/>
  <c r="U14" i="29" s="1"/>
  <c r="U54" i="20"/>
  <c r="U36" i="20"/>
  <c r="U20" i="20"/>
  <c r="U10" i="20"/>
  <c r="U9" i="20"/>
  <c r="V9" i="29" l="1"/>
  <c r="U89" i="20"/>
  <c r="U88" i="20"/>
  <c r="U61" i="20"/>
  <c r="U60" i="20"/>
  <c r="U28" i="20"/>
  <c r="U7" i="20"/>
  <c r="U26" i="20"/>
  <c r="U21" i="20"/>
  <c r="U19" i="20"/>
  <c r="U40" i="20"/>
  <c r="U59" i="20" s="1"/>
  <c r="U56" i="20"/>
  <c r="U12" i="20"/>
  <c r="U13" i="29" s="1"/>
  <c r="U12" i="29" s="1"/>
  <c r="U82" i="20"/>
  <c r="U55" i="20"/>
  <c r="V8" i="29" l="1"/>
  <c r="U27" i="20"/>
  <c r="U11" i="20"/>
  <c r="U15" i="20" s="1"/>
  <c r="V10" i="29" s="1"/>
  <c r="U44" i="20"/>
  <c r="U87" i="20"/>
  <c r="U23" i="20"/>
  <c r="U25" i="20"/>
  <c r="U72" i="20"/>
  <c r="U58" i="20" l="1"/>
  <c r="U31" i="20"/>
  <c r="U32" i="20"/>
  <c r="U86" i="20"/>
  <c r="U29" i="20"/>
  <c r="U30" i="20"/>
  <c r="U85" i="20"/>
  <c r="EO33" i="15" l="1"/>
  <c r="EP13" i="15"/>
  <c r="EO20" i="15"/>
  <c r="L23" i="28" s="1"/>
  <c r="EP73" i="6"/>
  <c r="ER73" i="6" s="1"/>
  <c r="ET73" i="6" s="1"/>
  <c r="L21" i="28" l="1"/>
  <c r="L22" i="28" s="1"/>
  <c r="L24" i="28"/>
  <c r="ER13" i="15"/>
  <c r="M13" i="28"/>
  <c r="EP6" i="6"/>
  <c r="EO6" i="6"/>
  <c r="ET13" i="15" l="1"/>
  <c r="Q13" i="28" s="1"/>
  <c r="O13" i="28"/>
  <c r="EO8" i="15"/>
  <c r="L8" i="28" s="1"/>
  <c r="EO9" i="15"/>
  <c r="L9" i="28" s="1"/>
  <c r="EO12" i="15"/>
  <c r="L12" i="28" s="1"/>
  <c r="EO14" i="15"/>
  <c r="L14" i="28" s="1"/>
  <c r="DM9" i="4"/>
  <c r="DM10" i="4" l="1"/>
  <c r="DM7" i="4"/>
  <c r="E54" i="21" l="1"/>
  <c r="E55" i="21"/>
  <c r="E56" i="21"/>
  <c r="E57" i="21"/>
  <c r="E58" i="21"/>
  <c r="T27" i="23"/>
  <c r="T23" i="23"/>
  <c r="ER16" i="3" l="1"/>
  <c r="ET16" i="3" s="1"/>
  <c r="G22" i="23"/>
  <c r="F26" i="23"/>
  <c r="E26" i="23"/>
  <c r="E22" i="23"/>
  <c r="T26" i="23"/>
  <c r="S26" i="23"/>
  <c r="R26" i="23"/>
  <c r="Q26" i="23"/>
  <c r="P26" i="23"/>
  <c r="O26" i="23"/>
  <c r="N26" i="23"/>
  <c r="M26" i="23"/>
  <c r="L26" i="23"/>
  <c r="K26" i="23"/>
  <c r="J26" i="23"/>
  <c r="I26" i="23"/>
  <c r="H26" i="23"/>
  <c r="D26" i="23"/>
  <c r="T22" i="23"/>
  <c r="S22" i="23"/>
  <c r="S30" i="23" s="1"/>
  <c r="R22" i="23"/>
  <c r="Q22" i="23"/>
  <c r="P22" i="23"/>
  <c r="O22" i="23"/>
  <c r="N22" i="23"/>
  <c r="M22" i="23"/>
  <c r="L22" i="23"/>
  <c r="K22" i="23"/>
  <c r="J22" i="23"/>
  <c r="I22" i="23"/>
  <c r="H22" i="23"/>
  <c r="H30" i="23" s="1"/>
  <c r="I30" i="23" l="1"/>
  <c r="T30" i="23"/>
  <c r="O30" i="23"/>
  <c r="P30" i="23"/>
  <c r="Q30" i="23"/>
  <c r="R30" i="23"/>
  <c r="L30" i="23"/>
  <c r="J30" i="23"/>
  <c r="K30" i="23"/>
  <c r="E30" i="23"/>
  <c r="M30" i="23"/>
  <c r="N30" i="23"/>
  <c r="G26" i="23"/>
  <c r="G30" i="23" s="1"/>
  <c r="F22" i="23"/>
  <c r="F30" i="23" s="1"/>
  <c r="G12" i="23" l="1"/>
  <c r="E12" i="23"/>
  <c r="T12" i="23"/>
  <c r="S12" i="23"/>
  <c r="R12" i="23"/>
  <c r="Q12" i="23"/>
  <c r="P12" i="23"/>
  <c r="O12" i="23"/>
  <c r="N12" i="23"/>
  <c r="M12" i="23"/>
  <c r="L12" i="23"/>
  <c r="K12" i="23"/>
  <c r="J12" i="23"/>
  <c r="I12" i="23"/>
  <c r="H12" i="23"/>
  <c r="F12" i="23"/>
  <c r="T8" i="23"/>
  <c r="S8" i="23"/>
  <c r="R8" i="23"/>
  <c r="Q8" i="23"/>
  <c r="P8" i="23"/>
  <c r="O8" i="23"/>
  <c r="N8" i="23"/>
  <c r="M8" i="23"/>
  <c r="L8" i="23"/>
  <c r="K8" i="23"/>
  <c r="J8" i="23"/>
  <c r="I8" i="23"/>
  <c r="H8" i="23"/>
  <c r="F8" i="23"/>
  <c r="D12" i="23"/>
  <c r="D8" i="23"/>
  <c r="D22" i="23"/>
  <c r="D30" i="23" s="1"/>
  <c r="D16" i="23" l="1"/>
  <c r="Q16" i="23"/>
  <c r="R16" i="23"/>
  <c r="F16" i="23"/>
  <c r="S16" i="23"/>
  <c r="J16" i="23"/>
  <c r="M16" i="23"/>
  <c r="N16" i="23"/>
  <c r="O16" i="23"/>
  <c r="P16" i="23"/>
  <c r="H16" i="23"/>
  <c r="T16" i="23"/>
  <c r="I16" i="23"/>
  <c r="K16" i="23"/>
  <c r="L16" i="23"/>
  <c r="G8" i="23"/>
  <c r="E8" i="23"/>
  <c r="E16" i="23" l="1"/>
  <c r="G16" i="23"/>
  <c r="R36" i="23"/>
  <c r="Q36" i="23"/>
  <c r="P36" i="23"/>
  <c r="O36" i="23"/>
  <c r="N36" i="23"/>
  <c r="M36" i="23"/>
  <c r="L36" i="23"/>
  <c r="K36" i="23"/>
  <c r="J36" i="23"/>
  <c r="I36" i="23"/>
  <c r="H36" i="23"/>
  <c r="G36" i="23"/>
  <c r="F36" i="23"/>
  <c r="E36" i="23"/>
  <c r="D36" i="23"/>
  <c r="S36" i="23"/>
  <c r="R35" i="23"/>
  <c r="Q35" i="23"/>
  <c r="P35" i="23"/>
  <c r="O35" i="23"/>
  <c r="N35" i="23"/>
  <c r="M35" i="23"/>
  <c r="L35" i="23"/>
  <c r="K35" i="23"/>
  <c r="J35" i="23"/>
  <c r="I35" i="23"/>
  <c r="H35" i="23"/>
  <c r="G35" i="23"/>
  <c r="F35" i="23"/>
  <c r="E35" i="23"/>
  <c r="D35" i="23"/>
  <c r="S35" i="23"/>
  <c r="E6" i="23"/>
  <c r="F6" i="23" s="1"/>
  <c r="G6" i="23" s="1"/>
  <c r="H6" i="23" s="1"/>
  <c r="I6" i="23" s="1"/>
  <c r="J6" i="23" s="1"/>
  <c r="K6" i="23" s="1"/>
  <c r="L6" i="23" s="1"/>
  <c r="M6" i="23" s="1"/>
  <c r="N6" i="23" s="1"/>
  <c r="O6" i="23" s="1"/>
  <c r="P6" i="23" s="1"/>
  <c r="Q6" i="23" s="1"/>
  <c r="R6" i="23" s="1"/>
  <c r="S6" i="23" s="1"/>
  <c r="T6" i="23" s="1"/>
  <c r="U6" i="23" s="1"/>
  <c r="V6" i="23" s="1"/>
  <c r="W6" i="23" s="1"/>
  <c r="X6" i="23" s="1"/>
  <c r="DG11" i="4"/>
  <c r="DI11" i="4" s="1"/>
  <c r="DJ11" i="4" l="1"/>
  <c r="DK11" i="4" s="1"/>
  <c r="EP27" i="15" l="1"/>
  <c r="ER27" i="15" s="1"/>
  <c r="ET27" i="15" s="1"/>
  <c r="EP26" i="15"/>
  <c r="ER26" i="15" s="1"/>
  <c r="ET26" i="15" s="1"/>
  <c r="EP25" i="15"/>
  <c r="ER25" i="15" s="1"/>
  <c r="ET25" i="15" s="1"/>
  <c r="ER23" i="3" l="1"/>
  <c r="ER20" i="3"/>
  <c r="ET20" i="3" s="1"/>
  <c r="ER14" i="3"/>
  <c r="ET14" i="3" s="1"/>
  <c r="ER9" i="3"/>
  <c r="ET9" i="3" s="1"/>
  <c r="ER8" i="3"/>
  <c r="ET8" i="3" s="1"/>
  <c r="ET24" i="6" l="1"/>
  <c r="DP9" i="4"/>
  <c r="DP10" i="4" s="1"/>
  <c r="ET23" i="3"/>
  <c r="DR9" i="4" s="1"/>
  <c r="DR10" i="4" s="1"/>
  <c r="ER24" i="6"/>
  <c r="DN9" i="4"/>
  <c r="DN10" i="4" s="1"/>
  <c r="DN8" i="4"/>
  <c r="ER17" i="3"/>
  <c r="ER21" i="3"/>
  <c r="ET21" i="3" s="1"/>
  <c r="ER55" i="3"/>
  <c r="ET55" i="3" s="1"/>
  <c r="ER15" i="3"/>
  <c r="ET15" i="3" s="1"/>
  <c r="ER58" i="3"/>
  <c r="ET58" i="3" s="1"/>
  <c r="S64" i="20"/>
  <c r="R64" i="20"/>
  <c r="Q64" i="20"/>
  <c r="P64" i="20"/>
  <c r="O64" i="20"/>
  <c r="N64" i="20"/>
  <c r="M64" i="20"/>
  <c r="L64" i="20"/>
  <c r="K64" i="20"/>
  <c r="J64" i="20"/>
  <c r="I64" i="20"/>
  <c r="H64" i="20"/>
  <c r="G64" i="20"/>
  <c r="F64" i="20"/>
  <c r="E64" i="20"/>
  <c r="D64" i="20"/>
  <c r="T64" i="20"/>
  <c r="S68" i="20"/>
  <c r="R68" i="20"/>
  <c r="Q68" i="20"/>
  <c r="P68" i="20"/>
  <c r="O68" i="20"/>
  <c r="N68" i="20"/>
  <c r="M68" i="20"/>
  <c r="L68" i="20"/>
  <c r="K68" i="20"/>
  <c r="J68" i="20"/>
  <c r="I68" i="20"/>
  <c r="H68" i="20"/>
  <c r="G68" i="20"/>
  <c r="F68" i="20"/>
  <c r="E68" i="20"/>
  <c r="D68" i="20"/>
  <c r="ET26" i="6" l="1"/>
  <c r="DP8" i="4"/>
  <c r="DP7" i="4" s="1"/>
  <c r="DR7" i="4" s="1"/>
  <c r="ET17" i="3"/>
  <c r="DN7" i="4"/>
  <c r="DP8" i="23"/>
  <c r="ER26" i="6"/>
  <c r="S40" i="20"/>
  <c r="R40" i="20"/>
  <c r="Q40" i="20"/>
  <c r="P40" i="20"/>
  <c r="O40" i="20"/>
  <c r="N40" i="20"/>
  <c r="M40" i="20"/>
  <c r="L40" i="20"/>
  <c r="K40" i="20"/>
  <c r="J40" i="20"/>
  <c r="I40" i="20"/>
  <c r="H40" i="20"/>
  <c r="G40" i="20"/>
  <c r="F40" i="20"/>
  <c r="E40" i="20"/>
  <c r="D40" i="20"/>
  <c r="T40" i="20"/>
  <c r="S36" i="20"/>
  <c r="R36" i="20"/>
  <c r="Q36" i="20"/>
  <c r="P36" i="20"/>
  <c r="O36" i="20"/>
  <c r="N36" i="20"/>
  <c r="M36" i="20"/>
  <c r="L36" i="20"/>
  <c r="K36" i="20"/>
  <c r="J36" i="20"/>
  <c r="I36" i="20"/>
  <c r="H36" i="20"/>
  <c r="G36" i="20"/>
  <c r="F36" i="20"/>
  <c r="E36" i="20"/>
  <c r="D36" i="20"/>
  <c r="T36" i="20"/>
  <c r="DR8" i="4" l="1"/>
  <c r="T84" i="20"/>
  <c r="T83" i="20"/>
  <c r="T82" i="20"/>
  <c r="T80" i="20"/>
  <c r="T72" i="20"/>
  <c r="T57" i="20"/>
  <c r="T56" i="20"/>
  <c r="T55" i="20"/>
  <c r="T54" i="20"/>
  <c r="T52" i="20"/>
  <c r="T21" i="20"/>
  <c r="T20" i="20"/>
  <c r="T19" i="20"/>
  <c r="T16" i="20"/>
  <c r="T14" i="20"/>
  <c r="T13" i="20"/>
  <c r="T14" i="29" s="1"/>
  <c r="T12" i="20"/>
  <c r="T13" i="29" s="1"/>
  <c r="T12" i="29" s="1"/>
  <c r="T10" i="20"/>
  <c r="T9" i="20"/>
  <c r="T8" i="20"/>
  <c r="T8" i="29" l="1"/>
  <c r="U8" i="29"/>
  <c r="T9" i="29"/>
  <c r="U9" i="29"/>
  <c r="T32" i="23"/>
  <c r="T33" i="23" s="1"/>
  <c r="T88" i="20"/>
  <c r="T89" i="20"/>
  <c r="T18" i="23"/>
  <c r="T19" i="23" s="1"/>
  <c r="T60" i="20"/>
  <c r="T61" i="20"/>
  <c r="T59" i="20"/>
  <c r="T85" i="20"/>
  <c r="T87" i="20"/>
  <c r="T86" i="20"/>
  <c r="T7" i="20"/>
  <c r="T11" i="20"/>
  <c r="T28" i="20"/>
  <c r="T27" i="20"/>
  <c r="T44" i="20"/>
  <c r="T58" i="20" s="1"/>
  <c r="T25" i="20"/>
  <c r="T26" i="20"/>
  <c r="T23" i="20"/>
  <c r="T38" i="23" l="1"/>
  <c r="T31" i="20"/>
  <c r="T32" i="20"/>
  <c r="T15" i="20"/>
  <c r="U10" i="29" s="1"/>
  <c r="T30" i="20"/>
  <c r="T10" i="29" l="1"/>
  <c r="T29" i="20"/>
  <c r="EN8" i="6" l="1"/>
  <c r="EN6" i="16"/>
  <c r="EN13" i="16" l="1"/>
  <c r="F11" i="9" l="1"/>
  <c r="EN12" i="15" l="1"/>
  <c r="K12" i="28" l="1"/>
  <c r="EP12" i="15"/>
  <c r="DL6" i="4"/>
  <c r="Y6" i="19"/>
  <c r="EN14" i="15"/>
  <c r="DL9" i="4"/>
  <c r="DL10" i="4" s="1"/>
  <c r="K14" i="28" l="1"/>
  <c r="ER12" i="15"/>
  <c r="M12" i="28"/>
  <c r="EP14" i="15"/>
  <c r="EN27" i="3"/>
  <c r="EN22" i="3"/>
  <c r="EN26" i="3"/>
  <c r="CG9" i="2"/>
  <c r="CG55" i="2"/>
  <c r="CG20" i="2"/>
  <c r="EN16" i="3"/>
  <c r="EN10" i="15"/>
  <c r="K10" i="28" s="1"/>
  <c r="Y16" i="19"/>
  <c r="Y37" i="19"/>
  <c r="EN9" i="15"/>
  <c r="K9" i="28" s="1"/>
  <c r="EN8" i="15"/>
  <c r="K8" i="28" s="1"/>
  <c r="EN29" i="3"/>
  <c r="CG66" i="2"/>
  <c r="DL8" i="4"/>
  <c r="DL7" i="4" s="1"/>
  <c r="Y45" i="19"/>
  <c r="CG39" i="2"/>
  <c r="ER14" i="15" l="1"/>
  <c r="M14" i="28"/>
  <c r="ET12" i="15"/>
  <c r="O12" i="28"/>
  <c r="AA45" i="19"/>
  <c r="AC45" i="19" s="1"/>
  <c r="AE45" i="19" s="1"/>
  <c r="AA37" i="19"/>
  <c r="AC37" i="19" s="1"/>
  <c r="AE37" i="19" s="1"/>
  <c r="ER29" i="3"/>
  <c r="ER27" i="3"/>
  <c r="ET27" i="3" s="1"/>
  <c r="EP8" i="15"/>
  <c r="EP9" i="15"/>
  <c r="ER26" i="3"/>
  <c r="ET26" i="3" s="1"/>
  <c r="ER22" i="3"/>
  <c r="ET22" i="3" s="1"/>
  <c r="Y30" i="19"/>
  <c r="AA30" i="19" s="1"/>
  <c r="CG7" i="2"/>
  <c r="CG37" i="2"/>
  <c r="CG35" i="2" s="1"/>
  <c r="EN28" i="3"/>
  <c r="ER28" i="3" s="1"/>
  <c r="ET28" i="3" s="1"/>
  <c r="ET34" i="3" s="1"/>
  <c r="Q12" i="28" l="1"/>
  <c r="ER8" i="15"/>
  <c r="M8" i="28"/>
  <c r="ER9" i="15"/>
  <c r="M9" i="28"/>
  <c r="ET14" i="15"/>
  <c r="O14" i="28"/>
  <c r="ET32" i="3"/>
  <c r="ER33" i="3"/>
  <c r="ET33" i="3"/>
  <c r="ER35" i="3"/>
  <c r="ET29" i="3"/>
  <c r="ET35" i="3" s="1"/>
  <c r="CG4" i="2"/>
  <c r="ER34" i="3"/>
  <c r="ER32" i="3"/>
  <c r="Y32" i="19"/>
  <c r="AA32" i="19" s="1"/>
  <c r="AC30" i="19"/>
  <c r="AE30" i="19" s="1"/>
  <c r="DL30" i="4"/>
  <c r="EK23" i="6"/>
  <c r="EJ23" i="6"/>
  <c r="EI23" i="6"/>
  <c r="EH23" i="6"/>
  <c r="EG23" i="6"/>
  <c r="EF23" i="6"/>
  <c r="EE23" i="6"/>
  <c r="ED23" i="6"/>
  <c r="EC23" i="6"/>
  <c r="EB23" i="6"/>
  <c r="EA23" i="6"/>
  <c r="DZ23" i="6"/>
  <c r="DY23" i="6"/>
  <c r="DX23" i="6"/>
  <c r="DW23" i="6"/>
  <c r="DV23" i="6"/>
  <c r="DU23" i="6"/>
  <c r="DT23" i="6"/>
  <c r="DS23" i="6"/>
  <c r="DR23" i="6"/>
  <c r="DQ23" i="6"/>
  <c r="DP23" i="6"/>
  <c r="DO23" i="6"/>
  <c r="DN23" i="6"/>
  <c r="DM23" i="6"/>
  <c r="DL23" i="6"/>
  <c r="DK23" i="6"/>
  <c r="DJ23" i="6"/>
  <c r="DI23" i="6"/>
  <c r="DH23" i="6"/>
  <c r="DG23" i="6"/>
  <c r="DF23" i="6"/>
  <c r="DE23" i="6"/>
  <c r="DD23" i="6"/>
  <c r="DC23" i="6"/>
  <c r="DB23" i="6"/>
  <c r="DA23" i="6"/>
  <c r="CZ23" i="6"/>
  <c r="CY23" i="6"/>
  <c r="CX23" i="6"/>
  <c r="CW23" i="6"/>
  <c r="CV23" i="6"/>
  <c r="CU23" i="6"/>
  <c r="CT23" i="6"/>
  <c r="CS23" i="6"/>
  <c r="CR23" i="6"/>
  <c r="CQ23" i="6"/>
  <c r="CP23" i="6"/>
  <c r="CO23" i="6"/>
  <c r="CN23" i="6"/>
  <c r="CM23" i="6"/>
  <c r="CL23" i="6"/>
  <c r="CK23" i="6"/>
  <c r="CJ23" i="6"/>
  <c r="CI23" i="6"/>
  <c r="CH23" i="6"/>
  <c r="CG23" i="6"/>
  <c r="CF23" i="6"/>
  <c r="CE23" i="6"/>
  <c r="CD23" i="6"/>
  <c r="CC23" i="6"/>
  <c r="CB23" i="6"/>
  <c r="CA23" i="6"/>
  <c r="BZ23" i="6"/>
  <c r="BY23" i="6"/>
  <c r="BX23" i="6"/>
  <c r="BW23" i="6"/>
  <c r="BV23" i="6"/>
  <c r="BU23" i="6"/>
  <c r="BT23" i="6"/>
  <c r="BS23" i="6"/>
  <c r="BR23" i="6"/>
  <c r="BQ23" i="6"/>
  <c r="BP23" i="6"/>
  <c r="BO23" i="6"/>
  <c r="EJ22" i="6"/>
  <c r="EH22" i="6"/>
  <c r="EG22" i="6"/>
  <c r="EE22" i="6"/>
  <c r="EC22" i="6"/>
  <c r="EA22" i="6"/>
  <c r="DZ22" i="6"/>
  <c r="DX22" i="6"/>
  <c r="DV22" i="6"/>
  <c r="DT22" i="6"/>
  <c r="DS22" i="6"/>
  <c r="DQ22" i="6"/>
  <c r="DO22" i="6"/>
  <c r="DM22" i="6"/>
  <c r="DL22" i="6"/>
  <c r="DJ22" i="6"/>
  <c r="DH22" i="6"/>
  <c r="DF22" i="6"/>
  <c r="DE22" i="6"/>
  <c r="DC22" i="6"/>
  <c r="DA22" i="6"/>
  <c r="CY22" i="6"/>
  <c r="CX22" i="6"/>
  <c r="CV22" i="6"/>
  <c r="CT22" i="6"/>
  <c r="CR22" i="6"/>
  <c r="CQ22" i="6"/>
  <c r="CO22" i="6"/>
  <c r="CM22" i="6"/>
  <c r="CK22" i="6"/>
  <c r="CJ22" i="6"/>
  <c r="CH22" i="6"/>
  <c r="CF22" i="6"/>
  <c r="CD22" i="6"/>
  <c r="CC22" i="6"/>
  <c r="CA22" i="6"/>
  <c r="BY22" i="6"/>
  <c r="BW22" i="6"/>
  <c r="BV22" i="6"/>
  <c r="BT22" i="6"/>
  <c r="BR22" i="6"/>
  <c r="BP22" i="6"/>
  <c r="BO22" i="6"/>
  <c r="BN22" i="6"/>
  <c r="BM22" i="6"/>
  <c r="BL22" i="6"/>
  <c r="BK22" i="6"/>
  <c r="BJ22" i="6"/>
  <c r="BI22" i="6"/>
  <c r="BH22" i="6"/>
  <c r="BG22" i="6"/>
  <c r="BF22" i="6"/>
  <c r="BD22" i="6"/>
  <c r="BC22" i="6"/>
  <c r="BB22" i="6"/>
  <c r="BA22" i="6"/>
  <c r="AZ22" i="6"/>
  <c r="AY22" i="6"/>
  <c r="AX22" i="6"/>
  <c r="AW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EN24" i="6"/>
  <c r="EU25" i="6" s="1"/>
  <c r="EN20" i="6"/>
  <c r="Q14" i="28" l="1"/>
  <c r="ET9" i="15"/>
  <c r="O9" i="28"/>
  <c r="ET8" i="15"/>
  <c r="O8" i="28"/>
  <c r="EN33" i="15"/>
  <c r="EP33" i="15" s="1"/>
  <c r="ER33" i="15" s="1"/>
  <c r="EN20" i="15"/>
  <c r="DN30" i="4"/>
  <c r="Y49" i="19"/>
  <c r="AA49" i="19" s="1"/>
  <c r="AA51" i="19" s="1"/>
  <c r="AC32" i="19"/>
  <c r="AE32" i="19" s="1"/>
  <c r="EN26" i="6"/>
  <c r="EN34" i="6"/>
  <c r="EU35" i="6" s="1"/>
  <c r="EN59" i="6"/>
  <c r="EU60" i="6" s="1"/>
  <c r="EN57" i="6"/>
  <c r="EP20" i="15" l="1"/>
  <c r="K23" i="28"/>
  <c r="EU27" i="6"/>
  <c r="Q8" i="28"/>
  <c r="Q9" i="28"/>
  <c r="DP30" i="4"/>
  <c r="Y51" i="19"/>
  <c r="EN35" i="6"/>
  <c r="EN37" i="6"/>
  <c r="EU38" i="6" s="1"/>
  <c r="EN19" i="3"/>
  <c r="ER19" i="3" s="1"/>
  <c r="ET19" i="3" s="1"/>
  <c r="EN7" i="3"/>
  <c r="ER7" i="3" s="1"/>
  <c r="ET7" i="3" s="1"/>
  <c r="EN41" i="3"/>
  <c r="EN35" i="3"/>
  <c r="EN34" i="3"/>
  <c r="EN33" i="3"/>
  <c r="EN13" i="3"/>
  <c r="ER13" i="3" s="1"/>
  <c r="ET13" i="3" s="1"/>
  <c r="K21" i="28" l="1"/>
  <c r="K22" i="28" s="1"/>
  <c r="K24" i="28"/>
  <c r="ER20" i="15"/>
  <c r="O23" i="28" s="1"/>
  <c r="M23" i="28"/>
  <c r="EN37" i="3"/>
  <c r="AC49" i="19"/>
  <c r="EN32" i="3"/>
  <c r="EN25" i="3"/>
  <c r="EN48" i="6"/>
  <c r="EU49" i="6" s="1"/>
  <c r="EN46" i="6"/>
  <c r="M24" i="28" l="1"/>
  <c r="M21" i="28"/>
  <c r="M22" i="28" s="1"/>
  <c r="O21" i="28"/>
  <c r="O22" i="28" s="1"/>
  <c r="O24" i="28"/>
  <c r="EP37" i="3"/>
  <c r="ER37" i="3" s="1"/>
  <c r="ET37" i="3" s="1"/>
  <c r="EN54" i="3"/>
  <c r="EP54" i="3" s="1"/>
  <c r="AC51" i="19"/>
  <c r="AE49" i="19"/>
  <c r="AE51" i="19" s="1"/>
  <c r="EN31" i="3"/>
  <c r="EN6" i="6"/>
  <c r="ER54" i="3" l="1"/>
  <c r="EP57" i="3"/>
  <c r="ER25" i="3"/>
  <c r="EN57" i="3"/>
  <c r="EN60" i="3" s="1"/>
  <c r="E59" i="21"/>
  <c r="EP60" i="3" l="1"/>
  <c r="EQ60" i="3"/>
  <c r="ER60" i="3" s="1"/>
  <c r="ET54" i="3"/>
  <c r="ET57" i="3" s="1"/>
  <c r="ER57" i="3"/>
  <c r="ER31" i="3"/>
  <c r="ET25" i="3"/>
  <c r="ET31" i="3" s="1"/>
  <c r="EL26" i="3"/>
  <c r="ES60" i="3" l="1"/>
  <c r="EQ7" i="15"/>
  <c r="EN7" i="15"/>
  <c r="EL23" i="6"/>
  <c r="EL22" i="6"/>
  <c r="EM23" i="6"/>
  <c r="ES7" i="15" l="1"/>
  <c r="N7" i="28"/>
  <c r="N11" i="28" s="1"/>
  <c r="N15" i="28" s="1"/>
  <c r="EQ11" i="15"/>
  <c r="EQ15" i="15" s="1"/>
  <c r="ET60" i="3"/>
  <c r="K7" i="28"/>
  <c r="K11" i="28" s="1"/>
  <c r="K15" i="28" s="1"/>
  <c r="K18" i="28" s="1"/>
  <c r="K19" i="28" s="1"/>
  <c r="EN11" i="15"/>
  <c r="EN15" i="15" s="1"/>
  <c r="EM8" i="6"/>
  <c r="N18" i="28" l="1"/>
  <c r="N19" i="28" s="1"/>
  <c r="N16" i="28"/>
  <c r="EQ24" i="15"/>
  <c r="EQ28" i="15" s="1"/>
  <c r="EQ16" i="15"/>
  <c r="EQ21" i="15"/>
  <c r="EQ18" i="15"/>
  <c r="EQ19" i="15" s="1"/>
  <c r="P7" i="28"/>
  <c r="P11" i="28" s="1"/>
  <c r="P15" i="28" s="1"/>
  <c r="ES11" i="15"/>
  <c r="ES15" i="15" s="1"/>
  <c r="K16" i="28"/>
  <c r="EN21" i="15"/>
  <c r="EN24" i="15"/>
  <c r="EN16" i="15"/>
  <c r="EN18" i="15"/>
  <c r="EM70" i="6"/>
  <c r="EM59" i="6"/>
  <c r="ET60" i="6" s="1"/>
  <c r="EL59" i="6"/>
  <c r="ES60" i="6" s="1"/>
  <c r="EL57" i="6"/>
  <c r="EM54" i="6"/>
  <c r="EM52" i="6"/>
  <c r="EM48" i="6"/>
  <c r="EL48" i="6"/>
  <c r="ES49" i="6" s="1"/>
  <c r="EL46" i="6"/>
  <c r="EM43" i="6"/>
  <c r="EM41" i="6"/>
  <c r="EL37" i="6"/>
  <c r="ES38" i="6" s="1"/>
  <c r="EL35" i="6"/>
  <c r="EM32" i="6"/>
  <c r="EM30" i="6"/>
  <c r="EN31" i="6" s="1"/>
  <c r="EP31" i="6" s="1"/>
  <c r="ER31" i="6" s="1"/>
  <c r="EL20" i="6"/>
  <c r="EL8" i="6"/>
  <c r="EM6" i="6"/>
  <c r="EL6" i="6"/>
  <c r="P18" i="28" l="1"/>
  <c r="P19" i="28" s="1"/>
  <c r="P16" i="28"/>
  <c r="EQ29" i="15"/>
  <c r="EQ34" i="15"/>
  <c r="EQ31" i="15"/>
  <c r="EQ32" i="15" s="1"/>
  <c r="ES16" i="15"/>
  <c r="ES24" i="15"/>
  <c r="ES28" i="15" s="1"/>
  <c r="ES29" i="15" s="1"/>
  <c r="ET31" i="6"/>
  <c r="EN53" i="6"/>
  <c r="EP53" i="6" s="1"/>
  <c r="ER53" i="6" s="1"/>
  <c r="ET53" i="6" s="1"/>
  <c r="EN42" i="6"/>
  <c r="EP42" i="6" s="1"/>
  <c r="ER42" i="6" s="1"/>
  <c r="ET42" i="6" s="1"/>
  <c r="EN19" i="15"/>
  <c r="EN28" i="15"/>
  <c r="EN34" i="15" s="1"/>
  <c r="EM22" i="6"/>
  <c r="EM31" i="6"/>
  <c r="EM20" i="6"/>
  <c r="ET21" i="6" l="1"/>
  <c r="ER21" i="6"/>
  <c r="EN21" i="6"/>
  <c r="EN29" i="15"/>
  <c r="EN31" i="15"/>
  <c r="EM6" i="15"/>
  <c r="EL6" i="15"/>
  <c r="DH17" i="4"/>
  <c r="DH20" i="4"/>
  <c r="DH15" i="4"/>
  <c r="EN32" i="15" l="1"/>
  <c r="DK6" i="4"/>
  <c r="DJ6" i="4"/>
  <c r="X6" i="19"/>
  <c r="W6" i="19"/>
  <c r="EL16" i="3" l="1"/>
  <c r="EL13" i="3"/>
  <c r="EL24" i="6"/>
  <c r="ES25" i="6" s="1"/>
  <c r="W37" i="19"/>
  <c r="EL10" i="15"/>
  <c r="I10" i="28" s="1"/>
  <c r="EL9" i="15"/>
  <c r="I9" i="28" s="1"/>
  <c r="EL12" i="15"/>
  <c r="I12" i="28" s="1"/>
  <c r="DJ9" i="4"/>
  <c r="DJ10" i="4" s="1"/>
  <c r="EL27" i="3"/>
  <c r="EL22" i="3"/>
  <c r="EL19" i="3"/>
  <c r="EL8" i="15"/>
  <c r="I8" i="28" s="1"/>
  <c r="EL14" i="15"/>
  <c r="I14" i="28" s="1"/>
  <c r="EL29" i="3"/>
  <c r="DJ8" i="4"/>
  <c r="EL41" i="3"/>
  <c r="DJ30" i="4"/>
  <c r="W45" i="19"/>
  <c r="W16" i="19"/>
  <c r="W30" i="19" s="1"/>
  <c r="EL26" i="6" l="1"/>
  <c r="DJ7" i="4"/>
  <c r="EL20" i="15"/>
  <c r="I23" i="28" s="1"/>
  <c r="EL28" i="3"/>
  <c r="EL35" i="3"/>
  <c r="EL33" i="3"/>
  <c r="CF55" i="2"/>
  <c r="CF20" i="2"/>
  <c r="W32" i="19"/>
  <c r="CF66" i="2"/>
  <c r="CF39" i="2"/>
  <c r="CF9" i="2"/>
  <c r="I21" i="28" l="1"/>
  <c r="I22" i="28" s="1"/>
  <c r="I24" i="28"/>
  <c r="ES27" i="6"/>
  <c r="CF7" i="2"/>
  <c r="EL34" i="3"/>
  <c r="CF37" i="2"/>
  <c r="CF35" i="2" s="1"/>
  <c r="W49" i="19"/>
  <c r="CF4" i="2" l="1"/>
  <c r="EL32" i="3"/>
  <c r="EL25" i="3"/>
  <c r="W51" i="19"/>
  <c r="EL31" i="3" l="1"/>
  <c r="EL7" i="3" l="1"/>
  <c r="EL13" i="16"/>
  <c r="EM6" i="16"/>
  <c r="EL6" i="16"/>
  <c r="S80" i="20" l="1"/>
  <c r="S21" i="20"/>
  <c r="S20" i="20"/>
  <c r="S84" i="20"/>
  <c r="S83" i="20"/>
  <c r="S16" i="20"/>
  <c r="S82" i="20"/>
  <c r="S52" i="20"/>
  <c r="S19" i="20"/>
  <c r="S57" i="20"/>
  <c r="S32" i="23" l="1"/>
  <c r="S33" i="23" s="1"/>
  <c r="S89" i="20"/>
  <c r="S88" i="20"/>
  <c r="S18" i="23"/>
  <c r="S19" i="23" s="1"/>
  <c r="S61" i="20"/>
  <c r="S60" i="20"/>
  <c r="S59" i="20"/>
  <c r="S87" i="20"/>
  <c r="S23" i="20"/>
  <c r="S28" i="20"/>
  <c r="S72" i="20"/>
  <c r="S85" i="20" s="1"/>
  <c r="S13" i="20"/>
  <c r="S38" i="23" l="1"/>
  <c r="S86" i="20"/>
  <c r="S14" i="20"/>
  <c r="S8" i="20"/>
  <c r="S54" i="20"/>
  <c r="S9" i="20"/>
  <c r="S55" i="20"/>
  <c r="S12" i="20"/>
  <c r="S10" i="20"/>
  <c r="S56" i="20"/>
  <c r="S26" i="20" l="1"/>
  <c r="S32" i="20"/>
  <c r="S31" i="20"/>
  <c r="S11" i="20"/>
  <c r="S7" i="20"/>
  <c r="S27" i="20"/>
  <c r="S44" i="20"/>
  <c r="S58" i="20" s="1"/>
  <c r="S25" i="20"/>
  <c r="S30" i="20" l="1"/>
  <c r="S15" i="20"/>
  <c r="S29" i="20" l="1"/>
  <c r="CB33" i="5"/>
  <c r="CB70" i="5" l="1"/>
  <c r="CB21" i="5"/>
  <c r="CB66" i="5"/>
  <c r="CB62" i="5"/>
  <c r="CB25" i="5" l="1"/>
  <c r="CB68" i="5" s="1"/>
  <c r="CB69" i="5"/>
  <c r="CB14" i="5"/>
  <c r="CB65" i="5"/>
  <c r="CB61" i="5"/>
  <c r="CB54" i="5" l="1"/>
  <c r="CB28" i="5"/>
  <c r="CB56" i="5"/>
  <c r="CB55" i="5"/>
  <c r="CB64" i="5"/>
  <c r="CB50" i="5"/>
  <c r="CB52" i="5"/>
  <c r="CB47" i="5"/>
  <c r="CB35" i="5"/>
  <c r="CB48" i="5"/>
  <c r="CB46" i="5"/>
  <c r="CB51" i="5"/>
  <c r="CB60" i="5"/>
  <c r="CB17" i="5"/>
  <c r="CB36" i="5" s="1"/>
  <c r="CB42" i="5" s="1"/>
  <c r="E60" i="21"/>
  <c r="E61" i="21"/>
  <c r="E62" i="21"/>
  <c r="E63" i="21"/>
  <c r="E64" i="21"/>
  <c r="E65" i="21"/>
  <c r="E66" i="21"/>
  <c r="EJ24" i="6" l="1"/>
  <c r="EJ26" i="6" l="1"/>
  <c r="EQ25" i="6"/>
  <c r="E274" i="21"/>
  <c r="E275" i="21"/>
  <c r="E276" i="21"/>
  <c r="E233" i="21"/>
  <c r="E232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182" i="21"/>
  <c r="E142" i="21"/>
  <c r="E129" i="21"/>
  <c r="E130" i="21"/>
  <c r="E131" i="21"/>
  <c r="E132" i="21"/>
  <c r="E117" i="21"/>
  <c r="E118" i="21"/>
  <c r="E120" i="21"/>
  <c r="E121" i="21"/>
  <c r="E111" i="21"/>
  <c r="E112" i="21"/>
  <c r="E113" i="21"/>
  <c r="E114" i="21"/>
  <c r="E115" i="21"/>
  <c r="E116" i="21"/>
  <c r="E107" i="21"/>
  <c r="E98" i="21"/>
  <c r="E99" i="21"/>
  <c r="E100" i="21"/>
  <c r="E101" i="21"/>
  <c r="E90" i="21"/>
  <c r="E77" i="21"/>
  <c r="E67" i="21"/>
  <c r="E68" i="21"/>
  <c r="E69" i="21"/>
  <c r="E70" i="21"/>
  <c r="EQ27" i="6" l="1"/>
  <c r="EK6" i="16"/>
  <c r="EJ6" i="16"/>
  <c r="EJ13" i="16" l="1"/>
  <c r="EK70" i="6" l="1"/>
  <c r="EJ20" i="6" l="1"/>
  <c r="EJ35" i="6"/>
  <c r="EK59" i="6"/>
  <c r="ER60" i="6" s="1"/>
  <c r="EJ59" i="6"/>
  <c r="EQ60" i="6" s="1"/>
  <c r="EK52" i="6"/>
  <c r="EL53" i="6" s="1"/>
  <c r="EJ37" i="6" l="1"/>
  <c r="EQ38" i="6" s="1"/>
  <c r="EK41" i="6" l="1"/>
  <c r="EL42" i="6" l="1"/>
  <c r="EK30" i="6"/>
  <c r="EJ8" i="6"/>
  <c r="EK8" i="6"/>
  <c r="EL31" i="6" l="1"/>
  <c r="EK20" i="6"/>
  <c r="EK31" i="6"/>
  <c r="EL21" i="6" l="1"/>
  <c r="R14" i="20"/>
  <c r="R13" i="20"/>
  <c r="R10" i="20"/>
  <c r="R9" i="20"/>
  <c r="R84" i="20"/>
  <c r="R83" i="20"/>
  <c r="R82" i="20"/>
  <c r="R80" i="20"/>
  <c r="R57" i="20"/>
  <c r="R52" i="20"/>
  <c r="R21" i="20"/>
  <c r="R20" i="20"/>
  <c r="R19" i="20"/>
  <c r="R16" i="20"/>
  <c r="R8" i="20"/>
  <c r="R32" i="23" l="1"/>
  <c r="R33" i="23" s="1"/>
  <c r="R89" i="20"/>
  <c r="R88" i="20"/>
  <c r="R18" i="23"/>
  <c r="R19" i="23" s="1"/>
  <c r="R60" i="20"/>
  <c r="R61" i="20"/>
  <c r="R59" i="20"/>
  <c r="R87" i="20"/>
  <c r="R7" i="20"/>
  <c r="R72" i="20"/>
  <c r="R85" i="20" s="1"/>
  <c r="R23" i="20"/>
  <c r="R28" i="20"/>
  <c r="R27" i="20"/>
  <c r="R54" i="20"/>
  <c r="R12" i="20"/>
  <c r="R56" i="20"/>
  <c r="R26" i="20"/>
  <c r="R55" i="20"/>
  <c r="R32" i="20" l="1"/>
  <c r="R31" i="20"/>
  <c r="R38" i="23"/>
  <c r="R11" i="20"/>
  <c r="R30" i="20" s="1"/>
  <c r="R86" i="20"/>
  <c r="R25" i="20"/>
  <c r="R44" i="20"/>
  <c r="R58" i="20" s="1"/>
  <c r="R15" i="20" l="1"/>
  <c r="R29" i="20" s="1"/>
  <c r="CA70" i="5"/>
  <c r="CA33" i="5"/>
  <c r="CA21" i="5"/>
  <c r="CA69" i="5" s="1"/>
  <c r="CA25" i="5" l="1"/>
  <c r="CA66" i="5"/>
  <c r="CA9" i="5"/>
  <c r="CA65" i="5" s="1"/>
  <c r="CA62" i="5"/>
  <c r="CA68" i="5" l="1"/>
  <c r="CA55" i="5"/>
  <c r="CA28" i="5"/>
  <c r="CA56" i="5"/>
  <c r="CA54" i="5"/>
  <c r="CA14" i="5"/>
  <c r="CA60" i="5" s="1"/>
  <c r="CA61" i="5"/>
  <c r="CA46" i="5" l="1"/>
  <c r="CA47" i="5"/>
  <c r="CA48" i="5"/>
  <c r="CA50" i="5"/>
  <c r="CA35" i="5"/>
  <c r="CA52" i="5"/>
  <c r="CA51" i="5"/>
  <c r="CA17" i="5"/>
  <c r="CA36" i="5" s="1"/>
  <c r="CA42" i="5" s="1"/>
  <c r="CA64" i="5"/>
  <c r="EK6" i="15" l="1"/>
  <c r="EJ6" i="15"/>
  <c r="DI6" i="4" l="1"/>
  <c r="DH6" i="4"/>
  <c r="U37" i="19"/>
  <c r="U6" i="19"/>
  <c r="T6" i="19"/>
  <c r="S6" i="19"/>
  <c r="R6" i="19"/>
  <c r="EJ12" i="15"/>
  <c r="G12" i="28" s="1"/>
  <c r="EJ14" i="15"/>
  <c r="G14" i="28" s="1"/>
  <c r="DH9" i="4"/>
  <c r="DH10" i="4" s="1"/>
  <c r="DH8" i="4"/>
  <c r="DH7" i="4" l="1"/>
  <c r="EJ9" i="15"/>
  <c r="G9" i="28" s="1"/>
  <c r="EJ10" i="15"/>
  <c r="G10" i="28" s="1"/>
  <c r="EJ8" i="15"/>
  <c r="G8" i="28" s="1"/>
  <c r="DH30" i="4"/>
  <c r="U45" i="19"/>
  <c r="U16" i="19"/>
  <c r="U30" i="19" s="1"/>
  <c r="U32" i="19" s="1"/>
  <c r="EJ41" i="3"/>
  <c r="EJ29" i="3"/>
  <c r="EJ27" i="3"/>
  <c r="EJ33" i="3" s="1"/>
  <c r="EJ22" i="3"/>
  <c r="EJ19" i="3"/>
  <c r="EJ16" i="3"/>
  <c r="EJ13" i="3"/>
  <c r="EJ20" i="15" l="1"/>
  <c r="G23" i="28" s="1"/>
  <c r="CE55" i="2"/>
  <c r="EJ7" i="3"/>
  <c r="EJ37" i="3"/>
  <c r="CE20" i="2"/>
  <c r="U49" i="19"/>
  <c r="EJ35" i="3"/>
  <c r="EJ28" i="3"/>
  <c r="CE39" i="2"/>
  <c r="CE66" i="2"/>
  <c r="CE9" i="2"/>
  <c r="G24" i="28" l="1"/>
  <c r="G21" i="28"/>
  <c r="G22" i="28" s="1"/>
  <c r="CE37" i="2"/>
  <c r="CE35" i="2" s="1"/>
  <c r="CE7" i="2"/>
  <c r="U51" i="19"/>
  <c r="EJ34" i="3"/>
  <c r="EJ26" i="3"/>
  <c r="CE4" i="2" l="1"/>
  <c r="EJ25" i="3"/>
  <c r="EJ32" i="3"/>
  <c r="EJ31" i="3" l="1"/>
  <c r="EJ54" i="3"/>
  <c r="EJ57" i="3" l="1"/>
  <c r="EJ60" i="3" l="1"/>
  <c r="EJ7" i="15" l="1"/>
  <c r="EJ57" i="6"/>
  <c r="EK48" i="6"/>
  <c r="EJ48" i="6"/>
  <c r="EQ49" i="6" s="1"/>
  <c r="EJ46" i="6"/>
  <c r="EK54" i="6"/>
  <c r="EI54" i="6"/>
  <c r="EK43" i="6"/>
  <c r="EK32" i="6"/>
  <c r="EK6" i="6"/>
  <c r="EI32" i="6"/>
  <c r="ED32" i="6"/>
  <c r="EJ11" i="15" l="1"/>
  <c r="EJ15" i="15" s="1"/>
  <c r="EJ21" i="15" s="1"/>
  <c r="G7" i="28"/>
  <c r="G11" i="28" s="1"/>
  <c r="G15" i="28" s="1"/>
  <c r="EK22" i="6"/>
  <c r="EJ24" i="15"/>
  <c r="EJ6" i="6"/>
  <c r="E71" i="21"/>
  <c r="E72" i="21"/>
  <c r="EJ18" i="15" l="1"/>
  <c r="EJ19" i="15" s="1"/>
  <c r="EJ16" i="15"/>
  <c r="G18" i="28"/>
  <c r="G19" i="28" s="1"/>
  <c r="G16" i="28"/>
  <c r="EJ28" i="15"/>
  <c r="EJ29" i="15" l="1"/>
  <c r="EJ34" i="15"/>
  <c r="EJ31" i="15"/>
  <c r="EJ32" i="15" l="1"/>
  <c r="E824" i="21"/>
  <c r="E823" i="21"/>
  <c r="E822" i="21"/>
  <c r="E821" i="21"/>
  <c r="E820" i="21"/>
  <c r="E819" i="21"/>
  <c r="E818" i="21"/>
  <c r="E817" i="21"/>
  <c r="E816" i="21"/>
  <c r="E815" i="21"/>
  <c r="E814" i="21"/>
  <c r="E813" i="21"/>
  <c r="E812" i="21"/>
  <c r="E811" i="21"/>
  <c r="E810" i="21"/>
  <c r="E809" i="21"/>
  <c r="E808" i="21"/>
  <c r="E807" i="21"/>
  <c r="E806" i="21"/>
  <c r="E805" i="21"/>
  <c r="E804" i="21"/>
  <c r="E803" i="21"/>
  <c r="E802" i="21"/>
  <c r="E801" i="21"/>
  <c r="E800" i="21"/>
  <c r="E799" i="21"/>
  <c r="E798" i="21"/>
  <c r="E797" i="21"/>
  <c r="E796" i="21"/>
  <c r="E795" i="21"/>
  <c r="E794" i="21"/>
  <c r="E793" i="21"/>
  <c r="E792" i="21"/>
  <c r="E791" i="21"/>
  <c r="E790" i="21"/>
  <c r="E789" i="21"/>
  <c r="E788" i="21"/>
  <c r="E787" i="21"/>
  <c r="E786" i="21"/>
  <c r="E785" i="21"/>
  <c r="E784" i="21"/>
  <c r="E783" i="21"/>
  <c r="E782" i="21"/>
  <c r="E781" i="21"/>
  <c r="E780" i="21"/>
  <c r="E779" i="21"/>
  <c r="E778" i="21"/>
  <c r="E777" i="21"/>
  <c r="E776" i="21"/>
  <c r="E775" i="21"/>
  <c r="E774" i="21"/>
  <c r="E773" i="21"/>
  <c r="E772" i="21"/>
  <c r="E771" i="21"/>
  <c r="E770" i="21"/>
  <c r="E769" i="21"/>
  <c r="E768" i="21"/>
  <c r="E767" i="21"/>
  <c r="E766" i="21"/>
  <c r="E765" i="21"/>
  <c r="E764" i="21"/>
  <c r="E763" i="21"/>
  <c r="E762" i="21"/>
  <c r="E761" i="21"/>
  <c r="E760" i="21"/>
  <c r="E759" i="21"/>
  <c r="E758" i="21"/>
  <c r="E757" i="21"/>
  <c r="E756" i="21"/>
  <c r="E755" i="21"/>
  <c r="E754" i="21"/>
  <c r="E753" i="21"/>
  <c r="E752" i="21"/>
  <c r="E751" i="21"/>
  <c r="E750" i="21"/>
  <c r="E749" i="21"/>
  <c r="E748" i="21"/>
  <c r="E747" i="21"/>
  <c r="E746" i="21"/>
  <c r="E745" i="21"/>
  <c r="E744" i="21"/>
  <c r="E743" i="21"/>
  <c r="E742" i="21"/>
  <c r="E741" i="21"/>
  <c r="E740" i="21"/>
  <c r="E739" i="21"/>
  <c r="E738" i="21"/>
  <c r="E737" i="21"/>
  <c r="E736" i="21"/>
  <c r="E735" i="21"/>
  <c r="E734" i="21"/>
  <c r="E733" i="21"/>
  <c r="E732" i="21"/>
  <c r="E731" i="21"/>
  <c r="E730" i="21"/>
  <c r="E729" i="21"/>
  <c r="E728" i="21"/>
  <c r="E727" i="21"/>
  <c r="E726" i="21"/>
  <c r="E725" i="21"/>
  <c r="E724" i="21"/>
  <c r="E723" i="21"/>
  <c r="E722" i="21"/>
  <c r="E721" i="21"/>
  <c r="E720" i="21"/>
  <c r="E719" i="21"/>
  <c r="E718" i="21"/>
  <c r="E717" i="21"/>
  <c r="E716" i="21"/>
  <c r="E715" i="21"/>
  <c r="E714" i="21"/>
  <c r="E713" i="21"/>
  <c r="E712" i="21"/>
  <c r="E711" i="21"/>
  <c r="E710" i="21"/>
  <c r="E709" i="21"/>
  <c r="E708" i="21"/>
  <c r="E707" i="21"/>
  <c r="E706" i="21"/>
  <c r="E705" i="21"/>
  <c r="E704" i="21"/>
  <c r="E703" i="21"/>
  <c r="E702" i="21"/>
  <c r="E701" i="21"/>
  <c r="E700" i="21"/>
  <c r="E699" i="21"/>
  <c r="E698" i="21"/>
  <c r="E697" i="21"/>
  <c r="E696" i="21"/>
  <c r="E695" i="21"/>
  <c r="E694" i="21"/>
  <c r="E693" i="21"/>
  <c r="E692" i="21"/>
  <c r="E691" i="21"/>
  <c r="E690" i="21"/>
  <c r="E689" i="21"/>
  <c r="E688" i="21"/>
  <c r="E687" i="21"/>
  <c r="E686" i="21"/>
  <c r="E685" i="21"/>
  <c r="E684" i="21"/>
  <c r="E683" i="21"/>
  <c r="E682" i="21"/>
  <c r="E681" i="21"/>
  <c r="E680" i="21"/>
  <c r="E679" i="21"/>
  <c r="E678" i="21"/>
  <c r="E677" i="21"/>
  <c r="E676" i="21"/>
  <c r="E675" i="21"/>
  <c r="E674" i="21"/>
  <c r="E673" i="21"/>
  <c r="E672" i="21"/>
  <c r="E671" i="21"/>
  <c r="E670" i="21"/>
  <c r="E669" i="21"/>
  <c r="E668" i="21"/>
  <c r="E667" i="21"/>
  <c r="E666" i="21"/>
  <c r="E665" i="21"/>
  <c r="E664" i="21"/>
  <c r="E663" i="21"/>
  <c r="E662" i="21"/>
  <c r="E661" i="21"/>
  <c r="E660" i="21"/>
  <c r="E659" i="21"/>
  <c r="E658" i="21"/>
  <c r="E657" i="21"/>
  <c r="E656" i="21"/>
  <c r="E655" i="21"/>
  <c r="E654" i="21"/>
  <c r="E653" i="21"/>
  <c r="E652" i="21"/>
  <c r="E651" i="21"/>
  <c r="E650" i="21"/>
  <c r="E649" i="21"/>
  <c r="E648" i="21"/>
  <c r="E647" i="21"/>
  <c r="E646" i="21"/>
  <c r="E645" i="21"/>
  <c r="E644" i="21"/>
  <c r="E643" i="21"/>
  <c r="E642" i="21"/>
  <c r="E641" i="21"/>
  <c r="E640" i="21"/>
  <c r="E639" i="21"/>
  <c r="E638" i="21"/>
  <c r="E637" i="21"/>
  <c r="E636" i="21"/>
  <c r="E635" i="21"/>
  <c r="E634" i="21"/>
  <c r="E633" i="21"/>
  <c r="E632" i="21"/>
  <c r="E631" i="21"/>
  <c r="E630" i="21"/>
  <c r="E629" i="21"/>
  <c r="E628" i="21"/>
  <c r="E627" i="21"/>
  <c r="E626" i="21"/>
  <c r="E625" i="21"/>
  <c r="E624" i="21"/>
  <c r="E623" i="21"/>
  <c r="E622" i="21"/>
  <c r="E621" i="21"/>
  <c r="E620" i="21"/>
  <c r="E619" i="21"/>
  <c r="E618" i="21"/>
  <c r="E617" i="21"/>
  <c r="E616" i="21"/>
  <c r="E615" i="21"/>
  <c r="E613" i="21"/>
  <c r="E614" i="21"/>
  <c r="E612" i="21"/>
  <c r="E611" i="21"/>
  <c r="E610" i="21"/>
  <c r="E609" i="21"/>
  <c r="E608" i="21"/>
  <c r="E607" i="21"/>
  <c r="E606" i="21"/>
  <c r="E604" i="21"/>
  <c r="E605" i="21"/>
  <c r="E603" i="21"/>
  <c r="E602" i="21"/>
  <c r="E601" i="21"/>
  <c r="E600" i="21"/>
  <c r="E599" i="21"/>
  <c r="E598" i="21"/>
  <c r="E597" i="21"/>
  <c r="E596" i="21"/>
  <c r="E595" i="21"/>
  <c r="E594" i="21"/>
  <c r="E593" i="21"/>
  <c r="E592" i="21"/>
  <c r="E591" i="21"/>
  <c r="E590" i="21"/>
  <c r="E589" i="21"/>
  <c r="E588" i="21"/>
  <c r="E587" i="21"/>
  <c r="E586" i="21"/>
  <c r="E585" i="21"/>
  <c r="E584" i="21"/>
  <c r="E583" i="21"/>
  <c r="E582" i="21"/>
  <c r="E581" i="21"/>
  <c r="E580" i="21"/>
  <c r="E579" i="21"/>
  <c r="E578" i="21"/>
  <c r="E577" i="21"/>
  <c r="E576" i="21"/>
  <c r="E575" i="21"/>
  <c r="E574" i="21"/>
  <c r="E573" i="21"/>
  <c r="E572" i="21"/>
  <c r="E571" i="21"/>
  <c r="E570" i="21"/>
  <c r="E569" i="21"/>
  <c r="E568" i="21"/>
  <c r="E567" i="21"/>
  <c r="E566" i="21"/>
  <c r="E565" i="21"/>
  <c r="E564" i="21"/>
  <c r="E563" i="21"/>
  <c r="E562" i="21"/>
  <c r="E561" i="21"/>
  <c r="E560" i="21"/>
  <c r="E559" i="21"/>
  <c r="E558" i="21"/>
  <c r="E557" i="21"/>
  <c r="E556" i="21"/>
  <c r="E555" i="21"/>
  <c r="E554" i="21"/>
  <c r="E553" i="21"/>
  <c r="E552" i="21"/>
  <c r="E551" i="21"/>
  <c r="E550" i="21"/>
  <c r="E549" i="21"/>
  <c r="E548" i="21"/>
  <c r="E547" i="21"/>
  <c r="E546" i="21"/>
  <c r="E545" i="21"/>
  <c r="E544" i="21"/>
  <c r="E543" i="21"/>
  <c r="E542" i="21"/>
  <c r="E540" i="21"/>
  <c r="E541" i="21"/>
  <c r="E539" i="21"/>
  <c r="E538" i="21"/>
  <c r="E537" i="21"/>
  <c r="E536" i="21"/>
  <c r="E535" i="21"/>
  <c r="E534" i="21"/>
  <c r="E533" i="21"/>
  <c r="E532" i="21"/>
  <c r="E531" i="21"/>
  <c r="E530" i="21"/>
  <c r="E529" i="21"/>
  <c r="E528" i="21"/>
  <c r="E527" i="21"/>
  <c r="E526" i="21"/>
  <c r="E525" i="21"/>
  <c r="E524" i="21"/>
  <c r="E523" i="21"/>
  <c r="E522" i="21"/>
  <c r="E521" i="21"/>
  <c r="E520" i="21"/>
  <c r="E519" i="21"/>
  <c r="E518" i="21"/>
  <c r="E517" i="21"/>
  <c r="E516" i="21"/>
  <c r="E515" i="21"/>
  <c r="E514" i="21"/>
  <c r="E513" i="21"/>
  <c r="E512" i="21"/>
  <c r="E511" i="21"/>
  <c r="E510" i="21"/>
  <c r="E509" i="21"/>
  <c r="E508" i="21"/>
  <c r="E507" i="21"/>
  <c r="E506" i="21"/>
  <c r="E505" i="21"/>
  <c r="E504" i="21"/>
  <c r="E503" i="21"/>
  <c r="E502" i="21"/>
  <c r="E501" i="21"/>
  <c r="E500" i="21"/>
  <c r="E499" i="21"/>
  <c r="E498" i="21"/>
  <c r="E497" i="21"/>
  <c r="E496" i="21"/>
  <c r="E495" i="21"/>
  <c r="E494" i="21"/>
  <c r="E493" i="21"/>
  <c r="E492" i="21"/>
  <c r="E491" i="21"/>
  <c r="E490" i="21"/>
  <c r="E489" i="21"/>
  <c r="E488" i="21"/>
  <c r="E487" i="21"/>
  <c r="E486" i="21"/>
  <c r="E483" i="21"/>
  <c r="E482" i="21"/>
  <c r="E485" i="21"/>
  <c r="E484" i="21"/>
  <c r="E481" i="21"/>
  <c r="E480" i="21"/>
  <c r="E479" i="21"/>
  <c r="E478" i="21"/>
  <c r="E477" i="21"/>
  <c r="E476" i="21"/>
  <c r="E475" i="21"/>
  <c r="E474" i="21"/>
  <c r="E473" i="21"/>
  <c r="E472" i="21"/>
  <c r="E471" i="21"/>
  <c r="E470" i="21"/>
  <c r="E469" i="21"/>
  <c r="E468" i="21"/>
  <c r="E467" i="21"/>
  <c r="E466" i="21"/>
  <c r="E465" i="21"/>
  <c r="E464" i="21"/>
  <c r="E463" i="21"/>
  <c r="E462" i="21"/>
  <c r="E461" i="21"/>
  <c r="E460" i="21"/>
  <c r="E459" i="21"/>
  <c r="E458" i="21"/>
  <c r="E457" i="21"/>
  <c r="E456" i="21"/>
  <c r="E455" i="21"/>
  <c r="E454" i="21"/>
  <c r="E453" i="21"/>
  <c r="E452" i="21"/>
  <c r="E451" i="21"/>
  <c r="E450" i="21"/>
  <c r="E449" i="21"/>
  <c r="E448" i="21"/>
  <c r="E447" i="21"/>
  <c r="E446" i="21"/>
  <c r="E445" i="21"/>
  <c r="E444" i="21"/>
  <c r="E443" i="21"/>
  <c r="E442" i="21"/>
  <c r="E441" i="21"/>
  <c r="E440" i="21"/>
  <c r="E439" i="21"/>
  <c r="E438" i="21"/>
  <c r="E437" i="21"/>
  <c r="E436" i="21"/>
  <c r="E435" i="21"/>
  <c r="E434" i="21"/>
  <c r="E433" i="21"/>
  <c r="E432" i="21"/>
  <c r="E431" i="21"/>
  <c r="E430" i="21"/>
  <c r="E429" i="21"/>
  <c r="E428" i="21"/>
  <c r="E427" i="21"/>
  <c r="E426" i="21"/>
  <c r="E425" i="21"/>
  <c r="E424" i="21"/>
  <c r="E423" i="21"/>
  <c r="E422" i="21"/>
  <c r="E421" i="21"/>
  <c r="E420" i="21"/>
  <c r="E419" i="21"/>
  <c r="E418" i="21"/>
  <c r="E417" i="21"/>
  <c r="E416" i="21"/>
  <c r="E415" i="21"/>
  <c r="E414" i="21"/>
  <c r="E413" i="21"/>
  <c r="E412" i="21"/>
  <c r="E411" i="21"/>
  <c r="E410" i="21"/>
  <c r="E409" i="21"/>
  <c r="E408" i="21"/>
  <c r="E407" i="21"/>
  <c r="E406" i="21"/>
  <c r="E405" i="21"/>
  <c r="E404" i="21"/>
  <c r="E403" i="21"/>
  <c r="E402" i="21"/>
  <c r="E401" i="21"/>
  <c r="E400" i="21"/>
  <c r="E399" i="21"/>
  <c r="E398" i="21"/>
  <c r="E397" i="21"/>
  <c r="E396" i="21"/>
  <c r="E395" i="21"/>
  <c r="E394" i="21"/>
  <c r="E393" i="21"/>
  <c r="E392" i="21"/>
  <c r="E391" i="21"/>
  <c r="E390" i="21"/>
  <c r="E389" i="21"/>
  <c r="E388" i="21"/>
  <c r="E387" i="21"/>
  <c r="E386" i="21"/>
  <c r="E385" i="21"/>
  <c r="E384" i="21"/>
  <c r="E383" i="21"/>
  <c r="E382" i="21"/>
  <c r="E381" i="21"/>
  <c r="E380" i="21"/>
  <c r="E379" i="21"/>
  <c r="E378" i="21"/>
  <c r="E376" i="21"/>
  <c r="E377" i="21"/>
  <c r="E375" i="21"/>
  <c r="E374" i="21"/>
  <c r="E373" i="21"/>
  <c r="E372" i="21"/>
  <c r="E371" i="21"/>
  <c r="E370" i="21"/>
  <c r="E369" i="21"/>
  <c r="E368" i="21"/>
  <c r="E367" i="21"/>
  <c r="E366" i="21"/>
  <c r="E365" i="21"/>
  <c r="E364" i="21"/>
  <c r="E363" i="21"/>
  <c r="E362" i="21"/>
  <c r="E361" i="21"/>
  <c r="E360" i="21"/>
  <c r="E359" i="21"/>
  <c r="E358" i="21"/>
  <c r="E357" i="21"/>
  <c r="E356" i="21"/>
  <c r="E355" i="21"/>
  <c r="E354" i="21"/>
  <c r="E353" i="21"/>
  <c r="E352" i="21"/>
  <c r="E351" i="21"/>
  <c r="E350" i="21"/>
  <c r="E349" i="21"/>
  <c r="E348" i="21"/>
  <c r="E347" i="21"/>
  <c r="E346" i="21"/>
  <c r="E345" i="21"/>
  <c r="E344" i="21"/>
  <c r="E343" i="21"/>
  <c r="E342" i="21"/>
  <c r="E341" i="21"/>
  <c r="E340" i="21"/>
  <c r="E339" i="21"/>
  <c r="E338" i="21"/>
  <c r="E337" i="21"/>
  <c r="E336" i="21"/>
  <c r="E335" i="21"/>
  <c r="E334" i="21"/>
  <c r="E333" i="21"/>
  <c r="E332" i="21"/>
  <c r="E331" i="21"/>
  <c r="E330" i="21"/>
  <c r="E329" i="21"/>
  <c r="E328" i="21"/>
  <c r="E327" i="21"/>
  <c r="E326" i="21"/>
  <c r="E325" i="21"/>
  <c r="E324" i="21"/>
  <c r="E323" i="21"/>
  <c r="E322" i="21"/>
  <c r="E321" i="21"/>
  <c r="E320" i="21"/>
  <c r="E319" i="21"/>
  <c r="E318" i="21"/>
  <c r="E317" i="21"/>
  <c r="E316" i="21"/>
  <c r="E315" i="21"/>
  <c r="E314" i="21"/>
  <c r="E313" i="21"/>
  <c r="E312" i="21"/>
  <c r="E311" i="21"/>
  <c r="E310" i="21"/>
  <c r="E309" i="21"/>
  <c r="E308" i="21"/>
  <c r="E307" i="21"/>
  <c r="E306" i="21"/>
  <c r="E305" i="21"/>
  <c r="E304" i="21"/>
  <c r="E303" i="21"/>
  <c r="E302" i="21"/>
  <c r="E301" i="21"/>
  <c r="E300" i="21"/>
  <c r="E299" i="21"/>
  <c r="E298" i="21"/>
  <c r="E297" i="21"/>
  <c r="E296" i="21"/>
  <c r="E295" i="21"/>
  <c r="E294" i="21"/>
  <c r="E293" i="21"/>
  <c r="E292" i="21"/>
  <c r="E291" i="21"/>
  <c r="E289" i="21"/>
  <c r="E288" i="21"/>
  <c r="E287" i="21"/>
  <c r="E285" i="21"/>
  <c r="E284" i="21"/>
  <c r="E283" i="21"/>
  <c r="E282" i="21"/>
  <c r="E281" i="21"/>
  <c r="E280" i="21"/>
  <c r="E279" i="21"/>
  <c r="E278" i="21"/>
  <c r="E277" i="21"/>
  <c r="E273" i="21"/>
  <c r="E272" i="21"/>
  <c r="E271" i="21"/>
  <c r="E270" i="21"/>
  <c r="E269" i="21"/>
  <c r="E268" i="21"/>
  <c r="E267" i="21"/>
  <c r="E266" i="21"/>
  <c r="E265" i="21"/>
  <c r="E264" i="21"/>
  <c r="E263" i="21"/>
  <c r="E262" i="21"/>
  <c r="E261" i="21"/>
  <c r="E260" i="21"/>
  <c r="E259" i="21"/>
  <c r="E258" i="21"/>
  <c r="E257" i="21"/>
  <c r="E256" i="21"/>
  <c r="E255" i="21"/>
  <c r="E254" i="21"/>
  <c r="E253" i="21"/>
  <c r="E252" i="21"/>
  <c r="E251" i="21"/>
  <c r="E250" i="21"/>
  <c r="E249" i="21"/>
  <c r="E248" i="21"/>
  <c r="E247" i="21"/>
  <c r="E246" i="21"/>
  <c r="E245" i="21"/>
  <c r="E244" i="21"/>
  <c r="E243" i="21"/>
  <c r="E242" i="21"/>
  <c r="E241" i="21"/>
  <c r="E240" i="21"/>
  <c r="E239" i="21"/>
  <c r="E238" i="21"/>
  <c r="E237" i="21"/>
  <c r="E236" i="21"/>
  <c r="E235" i="21"/>
  <c r="E234" i="21"/>
  <c r="E231" i="21"/>
  <c r="E230" i="21"/>
  <c r="E229" i="21"/>
  <c r="E228" i="21"/>
  <c r="E227" i="21"/>
  <c r="E226" i="21"/>
  <c r="E209" i="21"/>
  <c r="E208" i="21"/>
  <c r="E207" i="21"/>
  <c r="E206" i="21"/>
  <c r="E205" i="21"/>
  <c r="E204" i="21"/>
  <c r="E203" i="21"/>
  <c r="E202" i="21"/>
  <c r="E201" i="21"/>
  <c r="E200" i="21"/>
  <c r="E199" i="21"/>
  <c r="E198" i="21"/>
  <c r="E197" i="21"/>
  <c r="E196" i="21"/>
  <c r="E195" i="21"/>
  <c r="E194" i="21"/>
  <c r="E193" i="21"/>
  <c r="E192" i="21"/>
  <c r="E191" i="21"/>
  <c r="E190" i="21"/>
  <c r="E189" i="21"/>
  <c r="E188" i="21"/>
  <c r="E187" i="21"/>
  <c r="E186" i="21"/>
  <c r="E185" i="21"/>
  <c r="E184" i="21"/>
  <c r="E183" i="21"/>
  <c r="E181" i="21"/>
  <c r="E180" i="21"/>
  <c r="E179" i="21"/>
  <c r="E178" i="21"/>
  <c r="E177" i="21"/>
  <c r="E176" i="21"/>
  <c r="E175" i="21"/>
  <c r="E174" i="21"/>
  <c r="E173" i="21"/>
  <c r="E172" i="21"/>
  <c r="E171" i="21"/>
  <c r="E170" i="21"/>
  <c r="E169" i="21"/>
  <c r="E168" i="21"/>
  <c r="E167" i="21"/>
  <c r="E166" i="21"/>
  <c r="E165" i="21"/>
  <c r="E164" i="21"/>
  <c r="E163" i="21"/>
  <c r="E162" i="21"/>
  <c r="E161" i="21"/>
  <c r="E160" i="21"/>
  <c r="E159" i="21"/>
  <c r="E158" i="21"/>
  <c r="E157" i="21"/>
  <c r="E156" i="21"/>
  <c r="E155" i="21"/>
  <c r="E154" i="21"/>
  <c r="E153" i="21"/>
  <c r="E152" i="21"/>
  <c r="E151" i="21"/>
  <c r="E150" i="21"/>
  <c r="E149" i="21"/>
  <c r="E148" i="21"/>
  <c r="E147" i="21"/>
  <c r="E146" i="21"/>
  <c r="E145" i="21"/>
  <c r="E144" i="21"/>
  <c r="E143" i="21"/>
  <c r="E141" i="21"/>
  <c r="E140" i="21"/>
  <c r="E139" i="21"/>
  <c r="E138" i="21"/>
  <c r="E137" i="21"/>
  <c r="E136" i="21"/>
  <c r="E135" i="21"/>
  <c r="E134" i="21"/>
  <c r="E133" i="21"/>
  <c r="E128" i="21"/>
  <c r="E127" i="21"/>
  <c r="E126" i="21"/>
  <c r="E125" i="21"/>
  <c r="E123" i="21"/>
  <c r="E124" i="21"/>
  <c r="E122" i="21"/>
  <c r="E110" i="21"/>
  <c r="E109" i="21"/>
  <c r="E108" i="21"/>
  <c r="E106" i="21"/>
  <c r="E105" i="21"/>
  <c r="E104" i="21"/>
  <c r="E103" i="21"/>
  <c r="E102" i="21"/>
  <c r="E97" i="21"/>
  <c r="E96" i="21"/>
  <c r="E94" i="21"/>
  <c r="E95" i="21"/>
  <c r="E93" i="21"/>
  <c r="E92" i="21"/>
  <c r="E91" i="21"/>
  <c r="E89" i="21"/>
  <c r="E88" i="21"/>
  <c r="E87" i="21"/>
  <c r="E85" i="21"/>
  <c r="E86" i="21"/>
  <c r="E84" i="21"/>
  <c r="E83" i="21"/>
  <c r="E82" i="21"/>
  <c r="E81" i="21"/>
  <c r="E80" i="21"/>
  <c r="E79" i="21"/>
  <c r="E78" i="21"/>
  <c r="E76" i="21"/>
  <c r="E75" i="21"/>
  <c r="E74" i="21"/>
  <c r="E73" i="21"/>
  <c r="EI9" i="16" l="1"/>
  <c r="EK9" i="16" s="1"/>
  <c r="EM9" i="16" s="1"/>
  <c r="EI12" i="16"/>
  <c r="EK12" i="16" s="1"/>
  <c r="EM12" i="16" s="1"/>
  <c r="EI11" i="16"/>
  <c r="EK11" i="16" s="1"/>
  <c r="EM11" i="16" s="1"/>
  <c r="EI10" i="16"/>
  <c r="EK10" i="16" s="1"/>
  <c r="EM10" i="16" s="1"/>
  <c r="EI8" i="16"/>
  <c r="EK8" i="16" s="1"/>
  <c r="EI6" i="16"/>
  <c r="EH6" i="16"/>
  <c r="EG6" i="16"/>
  <c r="EM8" i="16" l="1"/>
  <c r="EM13" i="16" s="1"/>
  <c r="EK13" i="16"/>
  <c r="EI13" i="16"/>
  <c r="EH13" i="16"/>
  <c r="EI34" i="6" l="1"/>
  <c r="EK34" i="6" s="1"/>
  <c r="EK37" i="6" l="1"/>
  <c r="EM34" i="6"/>
  <c r="EM37" i="6" s="1"/>
  <c r="EH12" i="6"/>
  <c r="EI12" i="6" l="1"/>
  <c r="EI6" i="6" l="1"/>
  <c r="EH6" i="6"/>
  <c r="EG6" i="6"/>
  <c r="EI73" i="6"/>
  <c r="EK73" i="6" s="1"/>
  <c r="EM73" i="6" s="1"/>
  <c r="EI70" i="6"/>
  <c r="EH59" i="6"/>
  <c r="EH57" i="6"/>
  <c r="EI56" i="6"/>
  <c r="EI52" i="6"/>
  <c r="EJ53" i="6" s="1"/>
  <c r="EH48" i="6"/>
  <c r="EH46" i="6"/>
  <c r="EI45" i="6"/>
  <c r="EI43" i="6"/>
  <c r="EI22" i="6" s="1"/>
  <c r="EI41" i="6"/>
  <c r="EJ42" i="6" s="1"/>
  <c r="EH37" i="6"/>
  <c r="EH35" i="6"/>
  <c r="EI8" i="6"/>
  <c r="EH8" i="6"/>
  <c r="EI59" i="6" l="1"/>
  <c r="EI48" i="6"/>
  <c r="EI37" i="6"/>
  <c r="Q84" i="20" l="1"/>
  <c r="Q83" i="20"/>
  <c r="Q82" i="20"/>
  <c r="Q80" i="20"/>
  <c r="Q57" i="20"/>
  <c r="Q56" i="20"/>
  <c r="Q55" i="20"/>
  <c r="Q54" i="20"/>
  <c r="Q52" i="20"/>
  <c r="Q21" i="20"/>
  <c r="Q20" i="20"/>
  <c r="Q19" i="20"/>
  <c r="Q16" i="20"/>
  <c r="Q14" i="20"/>
  <c r="Q13" i="20"/>
  <c r="Q12" i="20"/>
  <c r="Q10" i="20"/>
  <c r="Q9" i="20"/>
  <c r="Q8" i="20"/>
  <c r="Q32" i="23" l="1"/>
  <c r="Q33" i="23" s="1"/>
  <c r="Q88" i="20"/>
  <c r="Q89" i="20"/>
  <c r="Q18" i="23"/>
  <c r="Q19" i="23" s="1"/>
  <c r="Q38" i="23" s="1"/>
  <c r="Q60" i="20"/>
  <c r="Q61" i="20"/>
  <c r="Q59" i="20"/>
  <c r="Q11" i="20"/>
  <c r="Q7" i="20"/>
  <c r="Q87" i="20"/>
  <c r="Q72" i="20"/>
  <c r="Q85" i="20" s="1"/>
  <c r="Q28" i="20"/>
  <c r="Q23" i="20"/>
  <c r="Q44" i="20"/>
  <c r="Q58" i="20" s="1"/>
  <c r="Q27" i="20"/>
  <c r="Q26" i="20"/>
  <c r="Q25" i="20"/>
  <c r="Q32" i="20" l="1"/>
  <c r="Q31" i="20"/>
  <c r="Q86" i="20"/>
  <c r="Q30" i="20"/>
  <c r="Q15" i="20"/>
  <c r="Q29" i="20" s="1"/>
  <c r="BZ70" i="5" l="1"/>
  <c r="BZ66" i="5"/>
  <c r="BZ62" i="5"/>
  <c r="BZ33" i="5"/>
  <c r="BZ21" i="5"/>
  <c r="BZ25" i="5" s="1"/>
  <c r="BZ9" i="5"/>
  <c r="EI33" i="15"/>
  <c r="EK33" i="15" s="1"/>
  <c r="EM33" i="15" s="1"/>
  <c r="EI27" i="15"/>
  <c r="EK27" i="15" s="1"/>
  <c r="EM27" i="15" s="1"/>
  <c r="EI26" i="15"/>
  <c r="EK26" i="15" s="1"/>
  <c r="EM26" i="15" s="1"/>
  <c r="EI25" i="15"/>
  <c r="EK25" i="15" s="1"/>
  <c r="EM25" i="15" s="1"/>
  <c r="EI6" i="15"/>
  <c r="EH6" i="15"/>
  <c r="BZ68" i="5" l="1"/>
  <c r="BZ69" i="5"/>
  <c r="BZ61" i="5"/>
  <c r="BZ28" i="5"/>
  <c r="BZ14" i="5"/>
  <c r="BZ17" i="5" s="1"/>
  <c r="BZ54" i="5"/>
  <c r="BZ65" i="5"/>
  <c r="BZ55" i="5"/>
  <c r="BZ56" i="5"/>
  <c r="BZ46" i="5" l="1"/>
  <c r="BZ36" i="5"/>
  <c r="BZ42" i="5" s="1"/>
  <c r="BZ64" i="5"/>
  <c r="BZ52" i="5"/>
  <c r="BZ60" i="5"/>
  <c r="BZ48" i="5"/>
  <c r="BZ51" i="5"/>
  <c r="BZ35" i="5"/>
  <c r="BZ47" i="5"/>
  <c r="BZ50" i="5"/>
  <c r="DG28" i="4" l="1"/>
  <c r="DG20" i="4"/>
  <c r="DI20" i="4" s="1"/>
  <c r="DK20" i="4" s="1"/>
  <c r="DG17" i="4"/>
  <c r="DG15" i="4"/>
  <c r="DG6" i="4"/>
  <c r="DF6" i="4"/>
  <c r="DI15" i="4" l="1"/>
  <c r="DI17" i="4"/>
  <c r="DI28" i="4"/>
  <c r="EH10" i="15"/>
  <c r="E10" i="28" s="1"/>
  <c r="DK28" i="4" l="1"/>
  <c r="DK17" i="4"/>
  <c r="DK15" i="4"/>
  <c r="T50" i="19"/>
  <c r="V50" i="19" s="1"/>
  <c r="X50" i="19" s="1"/>
  <c r="T15" i="19"/>
  <c r="X15" i="19" s="1"/>
  <c r="T44" i="19"/>
  <c r="V44" i="19" s="1"/>
  <c r="X44" i="19" s="1"/>
  <c r="T40" i="19"/>
  <c r="V40" i="19" s="1"/>
  <c r="X40" i="19" s="1"/>
  <c r="T10" i="19"/>
  <c r="X10" i="19" s="1"/>
  <c r="T8" i="19"/>
  <c r="EH14" i="15"/>
  <c r="E14" i="28" s="1"/>
  <c r="EI42" i="3"/>
  <c r="EK42" i="3" s="1"/>
  <c r="EM42" i="3" s="1"/>
  <c r="EI40" i="3"/>
  <c r="EK40" i="3" s="1"/>
  <c r="EM40" i="3" s="1"/>
  <c r="EI39" i="3"/>
  <c r="EI52" i="3"/>
  <c r="EK52" i="3" s="1"/>
  <c r="EI46" i="3"/>
  <c r="EK46" i="3" s="1"/>
  <c r="EM46" i="3" s="1"/>
  <c r="EI45" i="3"/>
  <c r="EK45" i="3" s="1"/>
  <c r="EM45" i="3" s="1"/>
  <c r="EI38" i="3"/>
  <c r="EK38" i="3" l="1"/>
  <c r="EK39" i="3"/>
  <c r="EL52" i="3"/>
  <c r="EL37" i="3" s="1"/>
  <c r="T31" i="19"/>
  <c r="V31" i="19" s="1"/>
  <c r="X31" i="19" s="1"/>
  <c r="T23" i="19"/>
  <c r="T35" i="19"/>
  <c r="V35" i="19" s="1"/>
  <c r="X35" i="19" s="1"/>
  <c r="T11" i="19"/>
  <c r="X11" i="19" s="1"/>
  <c r="T12" i="19"/>
  <c r="X12" i="19" s="1"/>
  <c r="T24" i="19"/>
  <c r="V24" i="19" s="1"/>
  <c r="X24" i="19" s="1"/>
  <c r="S37" i="19"/>
  <c r="T21" i="19"/>
  <c r="X21" i="19" s="1"/>
  <c r="T25" i="19"/>
  <c r="V25" i="19" s="1"/>
  <c r="X25" i="19" s="1"/>
  <c r="T28" i="19"/>
  <c r="V28" i="19" s="1"/>
  <c r="X28" i="19" s="1"/>
  <c r="T14" i="19"/>
  <c r="X14" i="19" s="1"/>
  <c r="T26" i="19"/>
  <c r="V26" i="19" s="1"/>
  <c r="X26" i="19" s="1"/>
  <c r="T42" i="19"/>
  <c r="V42" i="19" s="1"/>
  <c r="X42" i="19" s="1"/>
  <c r="T13" i="19"/>
  <c r="X13" i="19" s="1"/>
  <c r="EI48" i="3"/>
  <c r="EI47" i="3"/>
  <c r="EK47" i="3" s="1"/>
  <c r="EM47" i="3" s="1"/>
  <c r="T18" i="19"/>
  <c r="X18" i="19" s="1"/>
  <c r="T27" i="19"/>
  <c r="V27" i="19" s="1"/>
  <c r="X27" i="19" s="1"/>
  <c r="T43" i="19"/>
  <c r="V43" i="19" s="1"/>
  <c r="X43" i="19" s="1"/>
  <c r="EI51" i="3"/>
  <c r="EK51" i="3" s="1"/>
  <c r="EM51" i="3" s="1"/>
  <c r="T19" i="19"/>
  <c r="X19" i="19" s="1"/>
  <c r="T20" i="19"/>
  <c r="X20" i="19" s="1"/>
  <c r="T29" i="19"/>
  <c r="V29" i="19" s="1"/>
  <c r="X29" i="19" s="1"/>
  <c r="T47" i="19"/>
  <c r="V47" i="19" s="1"/>
  <c r="X47" i="19" s="1"/>
  <c r="EI44" i="3"/>
  <c r="EK44" i="3" s="1"/>
  <c r="EM44" i="3" s="1"/>
  <c r="EH12" i="15"/>
  <c r="E12" i="28" s="1"/>
  <c r="EI55" i="3"/>
  <c r="EK55" i="3" s="1"/>
  <c r="EM55" i="3" s="1"/>
  <c r="EH9" i="15"/>
  <c r="E9" i="28" s="1"/>
  <c r="EI58" i="3"/>
  <c r="EK58" i="3" s="1"/>
  <c r="EM58" i="3" s="1"/>
  <c r="EH8" i="15"/>
  <c r="E8" i="28" s="1"/>
  <c r="EI43" i="3"/>
  <c r="EK43" i="3" s="1"/>
  <c r="EM43" i="3" s="1"/>
  <c r="S45" i="19"/>
  <c r="T41" i="19"/>
  <c r="V41" i="19" s="1"/>
  <c r="X41" i="19" s="1"/>
  <c r="T36" i="19"/>
  <c r="V36" i="19" s="1"/>
  <c r="X36" i="19" s="1"/>
  <c r="S16" i="19"/>
  <c r="S30" i="19" s="1"/>
  <c r="S32" i="19" s="1"/>
  <c r="DF9" i="4"/>
  <c r="DF10" i="4" s="1"/>
  <c r="EI20" i="3"/>
  <c r="EK20" i="3" s="1"/>
  <c r="EM20" i="3" s="1"/>
  <c r="EI15" i="3"/>
  <c r="EK15" i="3" s="1"/>
  <c r="EM15" i="3" s="1"/>
  <c r="EM39" i="3" l="1"/>
  <c r="EK48" i="3"/>
  <c r="EM38" i="3"/>
  <c r="V23" i="19"/>
  <c r="X23" i="19" s="1"/>
  <c r="EM52" i="3"/>
  <c r="EL54" i="3"/>
  <c r="S49" i="19"/>
  <c r="S51" i="19" s="1"/>
  <c r="EI21" i="3"/>
  <c r="EK21" i="3" s="1"/>
  <c r="EM21" i="3" s="1"/>
  <c r="EH24" i="6"/>
  <c r="EI17" i="3"/>
  <c r="DF8" i="4"/>
  <c r="DF7" i="4" s="1"/>
  <c r="EI23" i="3"/>
  <c r="EI14" i="3"/>
  <c r="EK14" i="3" s="1"/>
  <c r="EM14" i="3" s="1"/>
  <c r="EI9" i="3"/>
  <c r="EK9" i="3" s="1"/>
  <c r="EM9" i="3" s="1"/>
  <c r="EI8" i="3"/>
  <c r="EK8" i="3" s="1"/>
  <c r="EM8" i="3" s="1"/>
  <c r="EH41" i="3"/>
  <c r="EH29" i="3"/>
  <c r="EH27" i="3"/>
  <c r="EH22" i="3"/>
  <c r="EH19" i="3"/>
  <c r="EH16" i="3"/>
  <c r="EH13" i="3"/>
  <c r="EM48" i="3" l="1"/>
  <c r="EH26" i="6"/>
  <c r="DG8" i="4"/>
  <c r="EK17" i="3"/>
  <c r="DG9" i="4"/>
  <c r="DG10" i="4" s="1"/>
  <c r="EK23" i="3"/>
  <c r="EL57" i="3"/>
  <c r="EI24" i="6"/>
  <c r="EH33" i="3"/>
  <c r="EH35" i="3"/>
  <c r="EH37" i="3"/>
  <c r="EH7" i="3"/>
  <c r="EH28" i="3"/>
  <c r="EI26" i="6" l="1"/>
  <c r="DG7" i="4"/>
  <c r="EK24" i="6"/>
  <c r="DI9" i="4"/>
  <c r="DI10" i="4" s="1"/>
  <c r="EM23" i="3"/>
  <c r="DK9" i="4" s="1"/>
  <c r="DK10" i="4" s="1"/>
  <c r="DI8" i="4"/>
  <c r="EM17" i="3"/>
  <c r="EL60" i="3"/>
  <c r="EH34" i="3"/>
  <c r="EH26" i="3"/>
  <c r="DI7" i="4" l="1"/>
  <c r="EL7" i="15"/>
  <c r="I7" i="28" s="1"/>
  <c r="I11" i="28" s="1"/>
  <c r="I15" i="28" s="1"/>
  <c r="EK26" i="6"/>
  <c r="ER27" i="6" s="1"/>
  <c r="ER25" i="6"/>
  <c r="DK8" i="4"/>
  <c r="DK7" i="4" s="1"/>
  <c r="EM24" i="6"/>
  <c r="ET25" i="6" s="1"/>
  <c r="EH25" i="3"/>
  <c r="EH31" i="3" s="1"/>
  <c r="EH32" i="3"/>
  <c r="EL11" i="15" l="1"/>
  <c r="EL15" i="15" s="1"/>
  <c r="EL16" i="15" s="1"/>
  <c r="I16" i="28"/>
  <c r="I18" i="28"/>
  <c r="I19" i="28" s="1"/>
  <c r="EM26" i="6"/>
  <c r="ET27" i="6" s="1"/>
  <c r="EL21" i="15"/>
  <c r="EL18" i="15"/>
  <c r="EH54" i="3"/>
  <c r="EL24" i="15" l="1"/>
  <c r="EL28" i="15" s="1"/>
  <c r="EL34" i="15" s="1"/>
  <c r="EL19" i="15"/>
  <c r="EL31" i="15"/>
  <c r="EL32" i="15" s="1"/>
  <c r="EH57" i="3"/>
  <c r="CD66" i="2"/>
  <c r="CD55" i="2"/>
  <c r="CD39" i="2"/>
  <c r="CD20" i="2"/>
  <c r="CD9" i="2"/>
  <c r="EL29" i="15" l="1"/>
  <c r="EH60" i="3"/>
  <c r="CD37" i="2"/>
  <c r="CD35" i="2" s="1"/>
  <c r="CD7" i="2"/>
  <c r="AA20" i="15"/>
  <c r="CD4" i="2" l="1"/>
  <c r="AC20" i="15"/>
  <c r="AC33" i="15" s="1"/>
  <c r="EH7" i="15"/>
  <c r="E7" i="28" s="1"/>
  <c r="E11" i="28" s="1"/>
  <c r="E15" i="28" s="1"/>
  <c r="K45" i="19"/>
  <c r="K37" i="19"/>
  <c r="K16" i="19"/>
  <c r="K30" i="19" s="1"/>
  <c r="K32" i="19" s="1"/>
  <c r="E18" i="28" l="1"/>
  <c r="E19" i="28" s="1"/>
  <c r="E16" i="28"/>
  <c r="AE20" i="15"/>
  <c r="EH11" i="15"/>
  <c r="EH15" i="15" s="1"/>
  <c r="K49" i="19"/>
  <c r="K51" i="19" s="1"/>
  <c r="EH24" i="15" l="1"/>
  <c r="EH16" i="15"/>
  <c r="EF24" i="6"/>
  <c r="EF26" i="6" s="1"/>
  <c r="EE24" i="6"/>
  <c r="EE26" i="6" s="1"/>
  <c r="ED24" i="6"/>
  <c r="ED26" i="6" s="1"/>
  <c r="EC24" i="6"/>
  <c r="EC26" i="6" s="1"/>
  <c r="EB24" i="6"/>
  <c r="EB26" i="6" s="1"/>
  <c r="EA24" i="6"/>
  <c r="EA26" i="6" s="1"/>
  <c r="DZ24" i="6"/>
  <c r="DY24" i="6"/>
  <c r="DX24" i="6"/>
  <c r="DW24" i="6"/>
  <c r="DV24" i="6"/>
  <c r="DV26" i="6" s="1"/>
  <c r="DU24" i="6"/>
  <c r="DU26" i="6" s="1"/>
  <c r="DT24" i="6"/>
  <c r="DT26" i="6" s="1"/>
  <c r="DS24" i="6"/>
  <c r="DS26" i="6" s="1"/>
  <c r="DR24" i="6"/>
  <c r="DR26" i="6" s="1"/>
  <c r="DQ24" i="6"/>
  <c r="DP24" i="6"/>
  <c r="DO24" i="6"/>
  <c r="DN24" i="6"/>
  <c r="DM24" i="6"/>
  <c r="DL24" i="6"/>
  <c r="DK24" i="6"/>
  <c r="DJ24" i="6"/>
  <c r="DJ26" i="6" s="1"/>
  <c r="DI24" i="6"/>
  <c r="DI26" i="6" s="1"/>
  <c r="DH24" i="6"/>
  <c r="DH26" i="6" s="1"/>
  <c r="DG24" i="6"/>
  <c r="DG26" i="6" s="1"/>
  <c r="DF24" i="6"/>
  <c r="DF26" i="6" s="1"/>
  <c r="DE24" i="6"/>
  <c r="DD24" i="6"/>
  <c r="DC24" i="6"/>
  <c r="DB24" i="6"/>
  <c r="DA24" i="6"/>
  <c r="CZ24" i="6"/>
  <c r="CY24" i="6"/>
  <c r="CX24" i="6"/>
  <c r="CX26" i="6" s="1"/>
  <c r="CW24" i="6"/>
  <c r="CW26" i="6" s="1"/>
  <c r="CV24" i="6"/>
  <c r="CV26" i="6" s="1"/>
  <c r="CU24" i="6"/>
  <c r="CU26" i="6" s="1"/>
  <c r="CT24" i="6"/>
  <c r="CT26" i="6" s="1"/>
  <c r="CS24" i="6"/>
  <c r="CR24" i="6"/>
  <c r="CQ24" i="6"/>
  <c r="CP24" i="6"/>
  <c r="CO24" i="6"/>
  <c r="CN24" i="6"/>
  <c r="CM24" i="6"/>
  <c r="CL24" i="6"/>
  <c r="CL26" i="6" s="1"/>
  <c r="CK24" i="6"/>
  <c r="CK26" i="6" s="1"/>
  <c r="CJ24" i="6"/>
  <c r="CJ26" i="6" s="1"/>
  <c r="CI24" i="6"/>
  <c r="CH24" i="6"/>
  <c r="CH26" i="6" s="1"/>
  <c r="CG24" i="6"/>
  <c r="CF24" i="6"/>
  <c r="CE24" i="6"/>
  <c r="CD24" i="6"/>
  <c r="CC24" i="6"/>
  <c r="CB24" i="6"/>
  <c r="CA24" i="6"/>
  <c r="BZ24" i="6"/>
  <c r="BZ26" i="6" s="1"/>
  <c r="BY24" i="6"/>
  <c r="BY26" i="6" s="1"/>
  <c r="BX24" i="6"/>
  <c r="BX26" i="6" s="1"/>
  <c r="BW24" i="6"/>
  <c r="BW26" i="6" s="1"/>
  <c r="BV24" i="6"/>
  <c r="BV26" i="6" s="1"/>
  <c r="BU24" i="6"/>
  <c r="BT24" i="6"/>
  <c r="BS24" i="6"/>
  <c r="BR24" i="6"/>
  <c r="BQ24" i="6"/>
  <c r="BP24" i="6"/>
  <c r="BO24" i="6"/>
  <c r="BN24" i="6"/>
  <c r="BM24" i="6"/>
  <c r="BL24" i="6"/>
  <c r="BK24" i="6"/>
  <c r="BJ24" i="6"/>
  <c r="BI24" i="6"/>
  <c r="BH24" i="6"/>
  <c r="BG24" i="6"/>
  <c r="BF24" i="6"/>
  <c r="BE24" i="6"/>
  <c r="BE25" i="6" s="1"/>
  <c r="BD24" i="6"/>
  <c r="BC24" i="6"/>
  <c r="BB24" i="6"/>
  <c r="BA24" i="6"/>
  <c r="AZ24" i="6"/>
  <c r="AY24" i="6"/>
  <c r="AX24" i="6"/>
  <c r="AW24" i="6"/>
  <c r="AV24" i="6"/>
  <c r="AU24" i="6"/>
  <c r="AT24" i="6"/>
  <c r="AS24" i="6"/>
  <c r="AS25" i="6" s="1"/>
  <c r="AR24" i="6"/>
  <c r="AQ24" i="6"/>
  <c r="AP24" i="6"/>
  <c r="AO24" i="6"/>
  <c r="AN24" i="6"/>
  <c r="AM24" i="6"/>
  <c r="AL24" i="6"/>
  <c r="AK24" i="6"/>
  <c r="AJ24" i="6"/>
  <c r="AI24" i="6"/>
  <c r="AH24" i="6"/>
  <c r="AG24" i="6"/>
  <c r="AG25" i="6" s="1"/>
  <c r="AF24" i="6"/>
  <c r="AE24" i="6"/>
  <c r="AD24" i="6"/>
  <c r="AC24" i="6"/>
  <c r="AB24" i="6"/>
  <c r="AA24" i="6"/>
  <c r="Z24" i="6"/>
  <c r="Y24" i="6"/>
  <c r="X24" i="6"/>
  <c r="W24" i="6"/>
  <c r="V24" i="6"/>
  <c r="U24" i="6"/>
  <c r="U25" i="6" s="1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EG24" i="6"/>
  <c r="EG26" i="6" s="1"/>
  <c r="D5" i="4"/>
  <c r="S25" i="6" l="1"/>
  <c r="AE25" i="6"/>
  <c r="AQ25" i="6"/>
  <c r="BC25" i="6"/>
  <c r="CI26" i="6"/>
  <c r="Y25" i="6"/>
  <c r="T25" i="6"/>
  <c r="AF25" i="6"/>
  <c r="AR25" i="6"/>
  <c r="BD25" i="6"/>
  <c r="AW25" i="6"/>
  <c r="M25" i="6"/>
  <c r="AK25" i="6"/>
  <c r="BF25" i="6"/>
  <c r="V25" i="6"/>
  <c r="AT25" i="6"/>
  <c r="L25" i="6"/>
  <c r="X25" i="6"/>
  <c r="AJ25" i="6"/>
  <c r="AV25" i="6"/>
  <c r="BH25" i="6"/>
  <c r="AH25" i="6"/>
  <c r="BI25" i="6"/>
  <c r="CM25" i="6"/>
  <c r="CM26" i="6"/>
  <c r="CT27" i="6" s="1"/>
  <c r="DX25" i="6"/>
  <c r="DX26" i="6"/>
  <c r="DA25" i="6"/>
  <c r="DA26" i="6"/>
  <c r="DA27" i="6" s="1"/>
  <c r="DZ25" i="6"/>
  <c r="DZ26" i="6"/>
  <c r="DZ27" i="6" s="1"/>
  <c r="K25" i="6"/>
  <c r="W25" i="6"/>
  <c r="AI25" i="6"/>
  <c r="AU25" i="6"/>
  <c r="BG25" i="6"/>
  <c r="BS25" i="6"/>
  <c r="BS26" i="6"/>
  <c r="BZ27" i="6" s="1"/>
  <c r="CE25" i="6"/>
  <c r="CE26" i="6"/>
  <c r="CE27" i="6" s="1"/>
  <c r="CQ25" i="6"/>
  <c r="CQ26" i="6"/>
  <c r="CQ27" i="6" s="1"/>
  <c r="DC25" i="6"/>
  <c r="DC26" i="6"/>
  <c r="DC27" i="6" s="1"/>
  <c r="DO25" i="6"/>
  <c r="DO26" i="6"/>
  <c r="DO27" i="6" s="1"/>
  <c r="EA27" i="6"/>
  <c r="EH27" i="6"/>
  <c r="BP25" i="6"/>
  <c r="BP26" i="6"/>
  <c r="BW27" i="6" s="1"/>
  <c r="DM25" i="6"/>
  <c r="DM26" i="6"/>
  <c r="DM27" i="6" s="1"/>
  <c r="BT25" i="6"/>
  <c r="BT26" i="6"/>
  <c r="CF25" i="6"/>
  <c r="CF26" i="6"/>
  <c r="CF27" i="6" s="1"/>
  <c r="CR25" i="6"/>
  <c r="CR26" i="6"/>
  <c r="CR27" i="6" s="1"/>
  <c r="DD25" i="6"/>
  <c r="DD26" i="6"/>
  <c r="DD27" i="6" s="1"/>
  <c r="DP25" i="6"/>
  <c r="DP26" i="6"/>
  <c r="DP27" i="6" s="1"/>
  <c r="EB27" i="6"/>
  <c r="EI27" i="6"/>
  <c r="CD25" i="6"/>
  <c r="CD26" i="6"/>
  <c r="CD27" i="6" s="1"/>
  <c r="BU25" i="6"/>
  <c r="BU26" i="6"/>
  <c r="CG25" i="6"/>
  <c r="CG26" i="6"/>
  <c r="CG27" i="6" s="1"/>
  <c r="CS25" i="6"/>
  <c r="CS26" i="6"/>
  <c r="CS27" i="6" s="1"/>
  <c r="DE25" i="6"/>
  <c r="DE26" i="6"/>
  <c r="DE27" i="6" s="1"/>
  <c r="DQ25" i="6"/>
  <c r="DQ26" i="6"/>
  <c r="DQ27" i="6" s="1"/>
  <c r="EC27" i="6"/>
  <c r="EJ27" i="6"/>
  <c r="BO25" i="6"/>
  <c r="BO26" i="6"/>
  <c r="BV27" i="6" s="1"/>
  <c r="DW25" i="6"/>
  <c r="DW26" i="6"/>
  <c r="ED27" i="6" s="1"/>
  <c r="CZ25" i="6"/>
  <c r="CZ26" i="6"/>
  <c r="DY25" i="6"/>
  <c r="DY26" i="6"/>
  <c r="DY27" i="6" s="1"/>
  <c r="BR25" i="6"/>
  <c r="BR26" i="6"/>
  <c r="BY27" i="6" s="1"/>
  <c r="EK27" i="6"/>
  <c r="CA25" i="6"/>
  <c r="CA26" i="6"/>
  <c r="DL25" i="6"/>
  <c r="DL26" i="6"/>
  <c r="CC25" i="6"/>
  <c r="CC26" i="6"/>
  <c r="CC27" i="6" s="1"/>
  <c r="DB25" i="6"/>
  <c r="DB26" i="6"/>
  <c r="DB27" i="6" s="1"/>
  <c r="EN27" i="6"/>
  <c r="EL27" i="6"/>
  <c r="CN25" i="6"/>
  <c r="CN26" i="6"/>
  <c r="CU27" i="6" s="1"/>
  <c r="BQ25" i="6"/>
  <c r="BQ26" i="6"/>
  <c r="BX27" i="6" s="1"/>
  <c r="DN25" i="6"/>
  <c r="DN26" i="6"/>
  <c r="DN27" i="6" s="1"/>
  <c r="EM27" i="6"/>
  <c r="CY25" i="6"/>
  <c r="CY26" i="6"/>
  <c r="CB25" i="6"/>
  <c r="CB26" i="6"/>
  <c r="CO25" i="6"/>
  <c r="CO26" i="6"/>
  <c r="CO27" i="6" s="1"/>
  <c r="CP25" i="6"/>
  <c r="CP26" i="6"/>
  <c r="DK25" i="6"/>
  <c r="DK26" i="6"/>
  <c r="EB25" i="6"/>
  <c r="EI25" i="6"/>
  <c r="EC25" i="6"/>
  <c r="EJ25" i="6"/>
  <c r="Z25" i="6"/>
  <c r="AX25" i="6"/>
  <c r="CH25" i="6"/>
  <c r="CT25" i="6"/>
  <c r="ED25" i="6"/>
  <c r="EK25" i="6"/>
  <c r="O25" i="6"/>
  <c r="AM25" i="6"/>
  <c r="BK25" i="6"/>
  <c r="CI25" i="6"/>
  <c r="DS25" i="6"/>
  <c r="P25" i="6"/>
  <c r="AN25" i="6"/>
  <c r="AZ25" i="6"/>
  <c r="BL25" i="6"/>
  <c r="BX25" i="6"/>
  <c r="CJ25" i="6"/>
  <c r="CV25" i="6"/>
  <c r="DH25" i="6"/>
  <c r="EF25" i="6"/>
  <c r="EM25" i="6"/>
  <c r="Q25" i="6"/>
  <c r="AC25" i="6"/>
  <c r="AO25" i="6"/>
  <c r="BA25" i="6"/>
  <c r="BM25" i="6"/>
  <c r="BY25" i="6"/>
  <c r="CK25" i="6"/>
  <c r="CW25" i="6"/>
  <c r="DI25" i="6"/>
  <c r="DU25" i="6"/>
  <c r="EA25" i="6"/>
  <c r="EH25" i="6"/>
  <c r="N25" i="6"/>
  <c r="AL25" i="6"/>
  <c r="BJ25" i="6"/>
  <c r="BV25" i="6"/>
  <c r="DF25" i="6"/>
  <c r="DR25" i="6"/>
  <c r="EG25" i="6"/>
  <c r="EN25" i="6"/>
  <c r="AA25" i="6"/>
  <c r="AY25" i="6"/>
  <c r="BW25" i="6"/>
  <c r="CU25" i="6"/>
  <c r="DG25" i="6"/>
  <c r="EE25" i="6"/>
  <c r="EL25" i="6"/>
  <c r="AB25" i="6"/>
  <c r="DT25" i="6"/>
  <c r="R25" i="6"/>
  <c r="AD25" i="6"/>
  <c r="AP25" i="6"/>
  <c r="BB25" i="6"/>
  <c r="BN25" i="6"/>
  <c r="BZ25" i="6"/>
  <c r="CL25" i="6"/>
  <c r="CX25" i="6"/>
  <c r="DJ25" i="6"/>
  <c r="DV25" i="6"/>
  <c r="EH28" i="15"/>
  <c r="E5" i="4"/>
  <c r="F5" i="4" s="1"/>
  <c r="CP27" i="6" l="1"/>
  <c r="CZ27" i="6"/>
  <c r="CI27" i="6"/>
  <c r="DK27" i="6"/>
  <c r="CJ27" i="6"/>
  <c r="DG27" i="6"/>
  <c r="DU27" i="6"/>
  <c r="CL27" i="6"/>
  <c r="CX27" i="6"/>
  <c r="DI27" i="6"/>
  <c r="CV27" i="6"/>
  <c r="DL27" i="6"/>
  <c r="CY27" i="6"/>
  <c r="EG27" i="6"/>
  <c r="CN27" i="6"/>
  <c r="DS27" i="6"/>
  <c r="CB27" i="6"/>
  <c r="CA27" i="6"/>
  <c r="CW27" i="6"/>
  <c r="DR27" i="6"/>
  <c r="DX27" i="6"/>
  <c r="CK27" i="6"/>
  <c r="EF27" i="6"/>
  <c r="DF27" i="6"/>
  <c r="DV27" i="6"/>
  <c r="DT27" i="6"/>
  <c r="DW27" i="6"/>
  <c r="CM27" i="6"/>
  <c r="DJ27" i="6"/>
  <c r="DH27" i="6"/>
  <c r="EE27" i="6"/>
  <c r="CH27" i="6"/>
  <c r="G5" i="4"/>
  <c r="EH34" i="15"/>
  <c r="EH31" i="15"/>
  <c r="EH29" i="15"/>
  <c r="H5" i="4" l="1"/>
  <c r="I5" i="4" s="1"/>
  <c r="J5" i="4" s="1"/>
  <c r="EH32" i="15"/>
  <c r="K5" i="4" l="1"/>
  <c r="L5" i="4" l="1"/>
  <c r="M5" i="4" s="1"/>
  <c r="N5" i="4" l="1"/>
  <c r="O5" i="4" s="1"/>
  <c r="P5" i="4" l="1"/>
  <c r="Q5" i="4" s="1"/>
  <c r="R5" i="4" l="1"/>
  <c r="S5" i="4" l="1"/>
  <c r="T5" i="4" s="1"/>
  <c r="U5" i="4" l="1"/>
  <c r="V5" i="4" l="1"/>
  <c r="W5" i="4" s="1"/>
  <c r="X5" i="4" s="1"/>
  <c r="Y5" i="4" l="1"/>
  <c r="Z5" i="4" l="1"/>
  <c r="AA5" i="4" l="1"/>
  <c r="AB5" i="4"/>
  <c r="AC5" i="4" s="1"/>
  <c r="AD5" i="4" l="1"/>
  <c r="AE5" i="4" s="1"/>
  <c r="AF5" i="4" l="1"/>
  <c r="AG5" i="4" l="1"/>
  <c r="AH5" i="4" s="1"/>
  <c r="AI5" i="4" l="1"/>
  <c r="AJ5" i="4" s="1"/>
  <c r="AK5" i="4" l="1"/>
  <c r="AL5" i="4" s="1"/>
  <c r="AM5" i="4" l="1"/>
  <c r="AN5" i="4" l="1"/>
  <c r="AO5" i="4" s="1"/>
  <c r="AP5" i="4" l="1"/>
  <c r="AQ5" i="4" s="1"/>
  <c r="AR5" i="4" l="1"/>
  <c r="AS5" i="4" s="1"/>
  <c r="AT5" i="4" l="1"/>
  <c r="AU5" i="4" l="1"/>
  <c r="AV5" i="4" s="1"/>
  <c r="AW5" i="4" l="1"/>
  <c r="AX5" i="4" s="1"/>
  <c r="AY5" i="4" l="1"/>
  <c r="AZ5" i="4" s="1"/>
  <c r="BA5" i="4" l="1"/>
  <c r="BB5" i="4" l="1"/>
  <c r="BC5" i="4" s="1"/>
  <c r="BD5" i="4" l="1"/>
  <c r="BE5" i="4" s="1"/>
  <c r="BF5" i="4" l="1"/>
  <c r="BG5" i="4" s="1"/>
  <c r="BH5" i="4" l="1"/>
  <c r="BI5" i="4" l="1"/>
  <c r="BJ5" i="4" s="1"/>
  <c r="BK5" i="4" l="1"/>
  <c r="BL5" i="4" s="1"/>
  <c r="BM5" i="4" l="1"/>
  <c r="BN5" i="4" s="1"/>
  <c r="BO5" i="4" l="1"/>
  <c r="BP5" i="4" l="1"/>
  <c r="BQ5" i="4" s="1"/>
  <c r="BR5" i="4" l="1"/>
  <c r="BS5" i="4" s="1"/>
  <c r="BT5" i="4" l="1"/>
  <c r="BU5" i="4" s="1"/>
  <c r="BV5" i="4" l="1"/>
  <c r="BW5" i="4" l="1"/>
  <c r="BX5" i="4" s="1"/>
  <c r="BY5" i="4" l="1"/>
  <c r="BZ5" i="4" s="1"/>
  <c r="CA5" i="4" l="1"/>
  <c r="CB5" i="4" s="1"/>
  <c r="CC5" i="4" l="1"/>
  <c r="CD5" i="4" l="1"/>
  <c r="CE5" i="4" s="1"/>
  <c r="CF5" i="4" l="1"/>
  <c r="CG5" i="4" s="1"/>
  <c r="CH5" i="4" l="1"/>
  <c r="CI5" i="4" l="1"/>
  <c r="CJ5" i="4" s="1"/>
  <c r="CK5" i="4" l="1"/>
  <c r="CL5" i="4" s="1"/>
  <c r="CM5" i="4" l="1"/>
  <c r="CN5" i="4" s="1"/>
  <c r="CO5" i="4" l="1"/>
  <c r="CP5" i="4" s="1"/>
  <c r="CQ5" i="4" l="1"/>
  <c r="CR5" i="4" l="1"/>
  <c r="CS5" i="4" s="1"/>
  <c r="CT5" i="4" l="1"/>
  <c r="CU5" i="4" s="1"/>
  <c r="CV5" i="4" l="1"/>
  <c r="CW5" i="4" s="1"/>
  <c r="CX5" i="4" l="1"/>
  <c r="CY5" i="4" l="1"/>
  <c r="CZ5" i="4" s="1"/>
  <c r="DA5" i="4" l="1"/>
  <c r="DB5" i="4" s="1"/>
  <c r="DC5" i="4" l="1"/>
  <c r="DD5" i="4" s="1"/>
  <c r="DE5" i="4" l="1"/>
  <c r="P21" i="20"/>
  <c r="O21" i="20"/>
  <c r="N21" i="20"/>
  <c r="M21" i="20"/>
  <c r="L21" i="20"/>
  <c r="K21" i="20"/>
  <c r="J21" i="20"/>
  <c r="I21" i="20"/>
  <c r="H21" i="20"/>
  <c r="G21" i="20"/>
  <c r="F21" i="20"/>
  <c r="E21" i="20"/>
  <c r="D21" i="20"/>
  <c r="P20" i="20"/>
  <c r="O20" i="20"/>
  <c r="N20" i="20"/>
  <c r="M20" i="20"/>
  <c r="L20" i="20"/>
  <c r="K20" i="20"/>
  <c r="J20" i="20"/>
  <c r="I20" i="20"/>
  <c r="H20" i="20"/>
  <c r="G20" i="20"/>
  <c r="F20" i="20"/>
  <c r="E20" i="20"/>
  <c r="D20" i="20"/>
  <c r="P19" i="20"/>
  <c r="O19" i="20"/>
  <c r="N19" i="20"/>
  <c r="M19" i="20"/>
  <c r="L19" i="20"/>
  <c r="K19" i="20"/>
  <c r="J19" i="20"/>
  <c r="I19" i="20"/>
  <c r="H19" i="20"/>
  <c r="G19" i="20"/>
  <c r="F19" i="20"/>
  <c r="E19" i="20"/>
  <c r="D19" i="20"/>
  <c r="E35" i="20"/>
  <c r="F35" i="20" s="1"/>
  <c r="G35" i="20" s="1"/>
  <c r="H35" i="20" s="1"/>
  <c r="I35" i="20" s="1"/>
  <c r="J35" i="20" s="1"/>
  <c r="K35" i="20" s="1"/>
  <c r="L35" i="20" s="1"/>
  <c r="M35" i="20" s="1"/>
  <c r="N35" i="20" s="1"/>
  <c r="O35" i="20" s="1"/>
  <c r="P35" i="20" s="1"/>
  <c r="Q35" i="20" s="1"/>
  <c r="R35" i="20" s="1"/>
  <c r="S35" i="20" s="1"/>
  <c r="T35" i="20" s="1"/>
  <c r="U35" i="20" s="1"/>
  <c r="V35" i="20" s="1"/>
  <c r="W35" i="20" s="1"/>
  <c r="X35" i="20" s="1"/>
  <c r="E63" i="20"/>
  <c r="F63" i="20" s="1"/>
  <c r="G63" i="20" s="1"/>
  <c r="H63" i="20" s="1"/>
  <c r="I63" i="20" s="1"/>
  <c r="J63" i="20" s="1"/>
  <c r="K63" i="20" s="1"/>
  <c r="L63" i="20" s="1"/>
  <c r="M63" i="20" s="1"/>
  <c r="N63" i="20" s="1"/>
  <c r="O63" i="20" s="1"/>
  <c r="P63" i="20" s="1"/>
  <c r="Q63" i="20" s="1"/>
  <c r="R63" i="20" s="1"/>
  <c r="S63" i="20" s="1"/>
  <c r="T63" i="20" s="1"/>
  <c r="U63" i="20" s="1"/>
  <c r="V63" i="20" s="1"/>
  <c r="W63" i="20" s="1"/>
  <c r="X63" i="20" s="1"/>
  <c r="DF5" i="4" l="1"/>
  <c r="DG5" i="4" s="1"/>
  <c r="E23" i="20"/>
  <c r="M23" i="20"/>
  <c r="H23" i="20"/>
  <c r="P23" i="20"/>
  <c r="K23" i="20"/>
  <c r="F23" i="20"/>
  <c r="N23" i="20"/>
  <c r="D23" i="20"/>
  <c r="O23" i="20"/>
  <c r="I23" i="20"/>
  <c r="J23" i="20"/>
  <c r="L23" i="20"/>
  <c r="G23" i="20"/>
  <c r="DH5" i="4" l="1"/>
  <c r="DI5" i="4" s="1"/>
  <c r="L80" i="20"/>
  <c r="O80" i="20"/>
  <c r="G80" i="20"/>
  <c r="F80" i="20"/>
  <c r="O52" i="20"/>
  <c r="N52" i="20"/>
  <c r="M52" i="20"/>
  <c r="L52" i="20"/>
  <c r="K52" i="20"/>
  <c r="J52" i="20"/>
  <c r="I52" i="20"/>
  <c r="H52" i="20"/>
  <c r="G52" i="20"/>
  <c r="F52" i="20"/>
  <c r="E52" i="20"/>
  <c r="D52" i="20"/>
  <c r="P52" i="20"/>
  <c r="F32" i="23" l="1"/>
  <c r="F33" i="23" s="1"/>
  <c r="F88" i="20"/>
  <c r="F89" i="20"/>
  <c r="G32" i="23"/>
  <c r="G33" i="23" s="1"/>
  <c r="G89" i="20"/>
  <c r="G88" i="20"/>
  <c r="L32" i="23"/>
  <c r="L33" i="23" s="1"/>
  <c r="L88" i="20"/>
  <c r="L89" i="20"/>
  <c r="O32" i="23"/>
  <c r="O33" i="23" s="1"/>
  <c r="O88" i="20"/>
  <c r="O89" i="20"/>
  <c r="J18" i="23"/>
  <c r="J19" i="23" s="1"/>
  <c r="J59" i="20"/>
  <c r="J61" i="20"/>
  <c r="J60" i="20"/>
  <c r="L18" i="23"/>
  <c r="L19" i="23" s="1"/>
  <c r="L61" i="20"/>
  <c r="L59" i="20"/>
  <c r="L60" i="20"/>
  <c r="D18" i="23"/>
  <c r="D19" i="23" s="1"/>
  <c r="D60" i="20"/>
  <c r="D59" i="20"/>
  <c r="D61" i="20"/>
  <c r="N18" i="23"/>
  <c r="N19" i="23" s="1"/>
  <c r="N60" i="20"/>
  <c r="N61" i="20"/>
  <c r="N59" i="20"/>
  <c r="I18" i="23"/>
  <c r="I19" i="23" s="1"/>
  <c r="I61" i="20"/>
  <c r="I59" i="20"/>
  <c r="I60" i="20"/>
  <c r="K18" i="23"/>
  <c r="K19" i="23" s="1"/>
  <c r="K61" i="20"/>
  <c r="K59" i="20"/>
  <c r="K60" i="20"/>
  <c r="M18" i="23"/>
  <c r="M19" i="23" s="1"/>
  <c r="M61" i="20"/>
  <c r="M59" i="20"/>
  <c r="M60" i="20"/>
  <c r="P18" i="23"/>
  <c r="P19" i="23" s="1"/>
  <c r="P59" i="20"/>
  <c r="P60" i="20"/>
  <c r="P61" i="20"/>
  <c r="O18" i="23"/>
  <c r="O19" i="23" s="1"/>
  <c r="O59" i="20"/>
  <c r="O60" i="20"/>
  <c r="O61" i="20"/>
  <c r="E18" i="23"/>
  <c r="E19" i="23" s="1"/>
  <c r="E60" i="20"/>
  <c r="E59" i="20"/>
  <c r="E61" i="20"/>
  <c r="F18" i="23"/>
  <c r="F19" i="23" s="1"/>
  <c r="F60" i="20"/>
  <c r="F61" i="20"/>
  <c r="F59" i="20"/>
  <c r="G18" i="23"/>
  <c r="G19" i="23" s="1"/>
  <c r="G38" i="23" s="1"/>
  <c r="G60" i="20"/>
  <c r="G61" i="20"/>
  <c r="G59" i="20"/>
  <c r="H18" i="23"/>
  <c r="H19" i="23" s="1"/>
  <c r="H60" i="20"/>
  <c r="H61" i="20"/>
  <c r="H59" i="20"/>
  <c r="F87" i="20"/>
  <c r="G87" i="20"/>
  <c r="O87" i="20"/>
  <c r="L87" i="20"/>
  <c r="DJ5" i="4"/>
  <c r="DK5" i="4" s="1"/>
  <c r="P84" i="20"/>
  <c r="K84" i="20"/>
  <c r="G83" i="20"/>
  <c r="D83" i="20"/>
  <c r="O83" i="20"/>
  <c r="K82" i="20"/>
  <c r="N83" i="20"/>
  <c r="F83" i="20"/>
  <c r="D84" i="20"/>
  <c r="L84" i="20"/>
  <c r="P83" i="20"/>
  <c r="H83" i="20"/>
  <c r="L82" i="20"/>
  <c r="D82" i="20"/>
  <c r="J84" i="20"/>
  <c r="J82" i="20"/>
  <c r="I84" i="20"/>
  <c r="M83" i="20"/>
  <c r="E83" i="20"/>
  <c r="I82" i="20"/>
  <c r="H84" i="20"/>
  <c r="L83" i="20"/>
  <c r="P82" i="20"/>
  <c r="H82" i="20"/>
  <c r="O84" i="20"/>
  <c r="K83" i="20"/>
  <c r="G82" i="20"/>
  <c r="N84" i="20"/>
  <c r="F84" i="20"/>
  <c r="J83" i="20"/>
  <c r="N82" i="20"/>
  <c r="F82" i="20"/>
  <c r="G84" i="20"/>
  <c r="O82" i="20"/>
  <c r="M84" i="20"/>
  <c r="E84" i="20"/>
  <c r="I83" i="20"/>
  <c r="M82" i="20"/>
  <c r="E82" i="20"/>
  <c r="H80" i="20"/>
  <c r="N80" i="20"/>
  <c r="E80" i="20"/>
  <c r="K80" i="20"/>
  <c r="M80" i="20"/>
  <c r="J80" i="20"/>
  <c r="P80" i="20"/>
  <c r="I80" i="20"/>
  <c r="D80" i="20"/>
  <c r="P14" i="20"/>
  <c r="O14" i="20"/>
  <c r="K14" i="20"/>
  <c r="J14" i="20"/>
  <c r="G14" i="20"/>
  <c r="F14" i="20"/>
  <c r="P13" i="20"/>
  <c r="O13" i="20"/>
  <c r="N13" i="20"/>
  <c r="M13" i="20"/>
  <c r="L13" i="20"/>
  <c r="K13" i="20"/>
  <c r="J13" i="20"/>
  <c r="I13" i="20"/>
  <c r="H13" i="20"/>
  <c r="G13" i="20"/>
  <c r="F13" i="20"/>
  <c r="E13" i="20"/>
  <c r="D13" i="20"/>
  <c r="P12" i="20"/>
  <c r="O12" i="20"/>
  <c r="N12" i="20"/>
  <c r="M12" i="20"/>
  <c r="L12" i="20"/>
  <c r="K12" i="20"/>
  <c r="J12" i="20"/>
  <c r="I12" i="20"/>
  <c r="H12" i="20"/>
  <c r="G12" i="20"/>
  <c r="F12" i="20"/>
  <c r="E12" i="20"/>
  <c r="D12" i="20"/>
  <c r="P10" i="20"/>
  <c r="O10" i="20"/>
  <c r="N10" i="20"/>
  <c r="M10" i="20"/>
  <c r="L10" i="20"/>
  <c r="K10" i="20"/>
  <c r="J10" i="20"/>
  <c r="I10" i="20"/>
  <c r="H10" i="20"/>
  <c r="G10" i="20"/>
  <c r="F10" i="20"/>
  <c r="E10" i="20"/>
  <c r="D10" i="20"/>
  <c r="P9" i="20"/>
  <c r="O9" i="20"/>
  <c r="N9" i="20"/>
  <c r="M9" i="20"/>
  <c r="L9" i="20"/>
  <c r="K9" i="20"/>
  <c r="J9" i="20"/>
  <c r="I9" i="20"/>
  <c r="H9" i="20"/>
  <c r="G9" i="20"/>
  <c r="F9" i="20"/>
  <c r="E9" i="20"/>
  <c r="D9" i="20"/>
  <c r="P8" i="20"/>
  <c r="O8" i="20"/>
  <c r="N8" i="20"/>
  <c r="M8" i="20"/>
  <c r="L8" i="20"/>
  <c r="K8" i="20"/>
  <c r="J8" i="20"/>
  <c r="I8" i="20"/>
  <c r="H8" i="20"/>
  <c r="G8" i="20"/>
  <c r="F8" i="20"/>
  <c r="E8" i="20"/>
  <c r="D8" i="20"/>
  <c r="L38" i="23" l="1"/>
  <c r="O31" i="20"/>
  <c r="O32" i="20"/>
  <c r="J32" i="20"/>
  <c r="J31" i="20"/>
  <c r="F32" i="20"/>
  <c r="F31" i="20"/>
  <c r="P31" i="20"/>
  <c r="P32" i="20"/>
  <c r="G32" i="20"/>
  <c r="G31" i="20"/>
  <c r="K31" i="20"/>
  <c r="K32" i="20"/>
  <c r="F38" i="23"/>
  <c r="I32" i="23"/>
  <c r="I33" i="23" s="1"/>
  <c r="I38" i="23" s="1"/>
  <c r="I89" i="20"/>
  <c r="I88" i="20"/>
  <c r="O38" i="23"/>
  <c r="P32" i="23"/>
  <c r="P33" i="23" s="1"/>
  <c r="P38" i="23" s="1"/>
  <c r="P88" i="20"/>
  <c r="P89" i="20"/>
  <c r="J32" i="23"/>
  <c r="J33" i="23" s="1"/>
  <c r="J38" i="23" s="1"/>
  <c r="J89" i="20"/>
  <c r="J88" i="20"/>
  <c r="M32" i="23"/>
  <c r="M33" i="23" s="1"/>
  <c r="M38" i="23" s="1"/>
  <c r="M88" i="20"/>
  <c r="M89" i="20"/>
  <c r="K32" i="23"/>
  <c r="K33" i="23" s="1"/>
  <c r="K88" i="20"/>
  <c r="K89" i="20"/>
  <c r="E32" i="23"/>
  <c r="E33" i="23" s="1"/>
  <c r="E38" i="23" s="1"/>
  <c r="E88" i="20"/>
  <c r="E89" i="20"/>
  <c r="D32" i="23"/>
  <c r="D33" i="23" s="1"/>
  <c r="D38" i="23" s="1"/>
  <c r="D88" i="20"/>
  <c r="D89" i="20"/>
  <c r="N32" i="23"/>
  <c r="N33" i="23" s="1"/>
  <c r="N38" i="23" s="1"/>
  <c r="N88" i="20"/>
  <c r="N89" i="20"/>
  <c r="H32" i="23"/>
  <c r="H33" i="23" s="1"/>
  <c r="H38" i="23" s="1"/>
  <c r="H88" i="20"/>
  <c r="H89" i="20"/>
  <c r="K38" i="23"/>
  <c r="D7" i="20"/>
  <c r="P7" i="20"/>
  <c r="K7" i="20"/>
  <c r="M87" i="20"/>
  <c r="E87" i="20"/>
  <c r="N87" i="20"/>
  <c r="D87" i="20"/>
  <c r="K87" i="20"/>
  <c r="I87" i="20"/>
  <c r="H87" i="20"/>
  <c r="E7" i="20"/>
  <c r="P87" i="20"/>
  <c r="J87" i="20"/>
  <c r="DL5" i="4"/>
  <c r="F27" i="20"/>
  <c r="F7" i="20"/>
  <c r="D26" i="20"/>
  <c r="E26" i="20"/>
  <c r="O11" i="20"/>
  <c r="J7" i="20"/>
  <c r="G11" i="20"/>
  <c r="N26" i="20"/>
  <c r="N7" i="20"/>
  <c r="M26" i="20"/>
  <c r="K11" i="20"/>
  <c r="O25" i="20"/>
  <c r="O7" i="20"/>
  <c r="G7" i="20"/>
  <c r="P11" i="20"/>
  <c r="H7" i="20"/>
  <c r="I7" i="20"/>
  <c r="F11" i="20"/>
  <c r="L7" i="20"/>
  <c r="M7" i="20"/>
  <c r="J11" i="20"/>
  <c r="F26" i="20"/>
  <c r="G25" i="20"/>
  <c r="H25" i="20"/>
  <c r="G27" i="20"/>
  <c r="K26" i="20"/>
  <c r="L26" i="20"/>
  <c r="P27" i="20"/>
  <c r="J25" i="20"/>
  <c r="O27" i="20"/>
  <c r="J26" i="20"/>
  <c r="L25" i="20"/>
  <c r="P26" i="20"/>
  <c r="L14" i="20"/>
  <c r="F25" i="20"/>
  <c r="N25" i="20"/>
  <c r="I26" i="20"/>
  <c r="E14" i="20"/>
  <c r="M14" i="20"/>
  <c r="H57" i="20"/>
  <c r="H16" i="20"/>
  <c r="P57" i="20"/>
  <c r="P16" i="20"/>
  <c r="J27" i="20"/>
  <c r="F57" i="20"/>
  <c r="F16" i="20"/>
  <c r="K27" i="20"/>
  <c r="D14" i="20"/>
  <c r="N14" i="20"/>
  <c r="I57" i="20"/>
  <c r="I16" i="20"/>
  <c r="G26" i="20"/>
  <c r="M25" i="20"/>
  <c r="P25" i="20"/>
  <c r="J57" i="20"/>
  <c r="J16" i="20"/>
  <c r="D25" i="20"/>
  <c r="H26" i="20"/>
  <c r="G57" i="20"/>
  <c r="G16" i="20"/>
  <c r="I25" i="20"/>
  <c r="H14" i="20"/>
  <c r="K57" i="20"/>
  <c r="K16" i="20"/>
  <c r="O26" i="20"/>
  <c r="O57" i="20"/>
  <c r="O16" i="20"/>
  <c r="K25" i="20"/>
  <c r="I14" i="20"/>
  <c r="D57" i="20"/>
  <c r="D16" i="20"/>
  <c r="L57" i="20"/>
  <c r="L16" i="20"/>
  <c r="N57" i="20"/>
  <c r="N16" i="20"/>
  <c r="E25" i="20"/>
  <c r="E57" i="20"/>
  <c r="E16" i="20"/>
  <c r="M57" i="20"/>
  <c r="M16" i="20"/>
  <c r="F72" i="20"/>
  <c r="F85" i="20" s="1"/>
  <c r="G72" i="20"/>
  <c r="G85" i="20" s="1"/>
  <c r="P72" i="20"/>
  <c r="P85" i="20" s="1"/>
  <c r="L72" i="20"/>
  <c r="L85" i="20" s="1"/>
  <c r="K72" i="20"/>
  <c r="K85" i="20" s="1"/>
  <c r="M72" i="20"/>
  <c r="M85" i="20" s="1"/>
  <c r="H72" i="20"/>
  <c r="H85" i="20" s="1"/>
  <c r="O72" i="20"/>
  <c r="O85" i="20" s="1"/>
  <c r="D72" i="20"/>
  <c r="D85" i="20" s="1"/>
  <c r="I72" i="20"/>
  <c r="I85" i="20" s="1"/>
  <c r="J72" i="20"/>
  <c r="J85" i="20" s="1"/>
  <c r="N72" i="20"/>
  <c r="N85" i="20" s="1"/>
  <c r="E72" i="20"/>
  <c r="E85" i="20" s="1"/>
  <c r="I54" i="20"/>
  <c r="G56" i="20"/>
  <c r="L55" i="20"/>
  <c r="D55" i="20"/>
  <c r="O56" i="20"/>
  <c r="J54" i="20"/>
  <c r="E55" i="20"/>
  <c r="M55" i="20"/>
  <c r="H56" i="20"/>
  <c r="P56" i="20"/>
  <c r="H55" i="20"/>
  <c r="E54" i="20"/>
  <c r="P55" i="20"/>
  <c r="M54" i="20"/>
  <c r="K56" i="20"/>
  <c r="N54" i="20"/>
  <c r="H54" i="20"/>
  <c r="P54" i="20"/>
  <c r="K55" i="20"/>
  <c r="F56" i="20"/>
  <c r="N56" i="20"/>
  <c r="L56" i="20"/>
  <c r="D56" i="20"/>
  <c r="F54" i="20"/>
  <c r="I55" i="20"/>
  <c r="D54" i="20"/>
  <c r="L54" i="20"/>
  <c r="G55" i="20"/>
  <c r="O55" i="20"/>
  <c r="J56" i="20"/>
  <c r="I56" i="20"/>
  <c r="K54" i="20"/>
  <c r="F55" i="20"/>
  <c r="G54" i="20"/>
  <c r="O54" i="20"/>
  <c r="J55" i="20"/>
  <c r="E56" i="20"/>
  <c r="M56" i="20"/>
  <c r="N55" i="20"/>
  <c r="D28" i="20" l="1"/>
  <c r="J28" i="20"/>
  <c r="O28" i="20"/>
  <c r="G28" i="20"/>
  <c r="F28" i="20"/>
  <c r="E28" i="20"/>
  <c r="M28" i="20"/>
  <c r="K28" i="20"/>
  <c r="N28" i="20"/>
  <c r="I28" i="20"/>
  <c r="H28" i="20"/>
  <c r="L28" i="20"/>
  <c r="N32" i="20"/>
  <c r="N31" i="20"/>
  <c r="D32" i="20"/>
  <c r="D31" i="20"/>
  <c r="L31" i="20"/>
  <c r="L32" i="20"/>
  <c r="I32" i="20"/>
  <c r="I31" i="20"/>
  <c r="M31" i="20"/>
  <c r="M32" i="20"/>
  <c r="H31" i="20"/>
  <c r="H32" i="20"/>
  <c r="E32" i="20"/>
  <c r="E31" i="20"/>
  <c r="N11" i="20"/>
  <c r="N15" i="20" s="1"/>
  <c r="M11" i="20"/>
  <c r="DM5" i="4"/>
  <c r="P28" i="20"/>
  <c r="G30" i="20"/>
  <c r="O30" i="20"/>
  <c r="J86" i="20"/>
  <c r="H86" i="20"/>
  <c r="I86" i="20"/>
  <c r="M86" i="20"/>
  <c r="N86" i="20"/>
  <c r="J30" i="20"/>
  <c r="K86" i="20"/>
  <c r="P86" i="20"/>
  <c r="D86" i="20"/>
  <c r="E86" i="20"/>
  <c r="O86" i="20"/>
  <c r="L86" i="20"/>
  <c r="G86" i="20"/>
  <c r="D11" i="20"/>
  <c r="F86" i="20"/>
  <c r="O15" i="20"/>
  <c r="N27" i="20"/>
  <c r="M27" i="20"/>
  <c r="I11" i="20"/>
  <c r="E11" i="20"/>
  <c r="P30" i="20"/>
  <c r="K30" i="20"/>
  <c r="F30" i="20"/>
  <c r="L11" i="20"/>
  <c r="H11" i="20"/>
  <c r="G15" i="20"/>
  <c r="J15" i="20"/>
  <c r="F15" i="20"/>
  <c r="H27" i="20"/>
  <c r="K15" i="20"/>
  <c r="E27" i="20"/>
  <c r="L27" i="20"/>
  <c r="P15" i="20"/>
  <c r="D27" i="20"/>
  <c r="I27" i="20"/>
  <c r="DN5" i="4" l="1"/>
  <c r="N30" i="20"/>
  <c r="M30" i="20"/>
  <c r="D30" i="20"/>
  <c r="I30" i="20"/>
  <c r="D15" i="20"/>
  <c r="O29" i="20"/>
  <c r="E30" i="20"/>
  <c r="H15" i="20"/>
  <c r="H29" i="20" s="1"/>
  <c r="L30" i="20"/>
  <c r="K29" i="20"/>
  <c r="F29" i="20"/>
  <c r="J29" i="20"/>
  <c r="G29" i="20"/>
  <c r="H30" i="20"/>
  <c r="L15" i="20"/>
  <c r="M15" i="20"/>
  <c r="E15" i="20"/>
  <c r="I15" i="20"/>
  <c r="N29" i="20"/>
  <c r="P29" i="20"/>
  <c r="DO5" i="4" l="1"/>
  <c r="D29" i="20"/>
  <c r="L29" i="20"/>
  <c r="I29" i="20"/>
  <c r="E29" i="20"/>
  <c r="M29" i="20"/>
  <c r="T19" i="4"/>
  <c r="T15" i="4"/>
  <c r="T17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W8" i="4"/>
  <c r="X8" i="4"/>
  <c r="Y8" i="4"/>
  <c r="Z8" i="4"/>
  <c r="AA8" i="4"/>
  <c r="AD8" i="4"/>
  <c r="AE8" i="4"/>
  <c r="AF8" i="4"/>
  <c r="AG8" i="4"/>
  <c r="AH8" i="4"/>
  <c r="AI8" i="4"/>
  <c r="AJ8" i="4"/>
  <c r="AK8" i="4"/>
  <c r="AL8" i="4"/>
  <c r="AM8" i="4"/>
  <c r="AN8" i="4"/>
  <c r="AO8" i="4"/>
  <c r="AP8" i="4"/>
  <c r="AQ8" i="4"/>
  <c r="AR8" i="4"/>
  <c r="AS8" i="4"/>
  <c r="AT8" i="4"/>
  <c r="AU8" i="4"/>
  <c r="AV8" i="4"/>
  <c r="AW8" i="4"/>
  <c r="AX8" i="4"/>
  <c r="AY8" i="4"/>
  <c r="AZ8" i="4"/>
  <c r="BA8" i="4"/>
  <c r="BB8" i="4"/>
  <c r="BC8" i="4"/>
  <c r="BD8" i="4"/>
  <c r="BE8" i="4"/>
  <c r="BF8" i="4"/>
  <c r="BG8" i="4"/>
  <c r="BH8" i="4"/>
  <c r="BI8" i="4"/>
  <c r="BJ8" i="4"/>
  <c r="BK8" i="4"/>
  <c r="BL8" i="4"/>
  <c r="BM8" i="4"/>
  <c r="BN8" i="4"/>
  <c r="BO8" i="4"/>
  <c r="BP8" i="4"/>
  <c r="BQ8" i="4"/>
  <c r="BR8" i="4"/>
  <c r="BS8" i="4"/>
  <c r="BT8" i="4"/>
  <c r="BU8" i="4"/>
  <c r="BV8" i="4"/>
  <c r="BW8" i="4"/>
  <c r="BX8" i="4"/>
  <c r="BY8" i="4"/>
  <c r="BZ8" i="4"/>
  <c r="CA8" i="4"/>
  <c r="CB8" i="4"/>
  <c r="CC8" i="4"/>
  <c r="CD8" i="4"/>
  <c r="CE8" i="4"/>
  <c r="CF8" i="4"/>
  <c r="CG8" i="4"/>
  <c r="CH8" i="4"/>
  <c r="CI8" i="4"/>
  <c r="CI7" i="4" s="1"/>
  <c r="CJ8" i="4"/>
  <c r="CK8" i="4"/>
  <c r="CL8" i="4"/>
  <c r="CM8" i="4"/>
  <c r="CN8" i="4"/>
  <c r="CO8" i="4"/>
  <c r="CP8" i="4"/>
  <c r="CQ8" i="4"/>
  <c r="CR8" i="4"/>
  <c r="CS8" i="4"/>
  <c r="CT8" i="4"/>
  <c r="CU8" i="4"/>
  <c r="CV8" i="4"/>
  <c r="CW8" i="4"/>
  <c r="CX8" i="4"/>
  <c r="CY8" i="4"/>
  <c r="CZ8" i="4"/>
  <c r="DA8" i="4"/>
  <c r="DB8" i="4"/>
  <c r="DC8" i="4"/>
  <c r="DD8" i="4"/>
  <c r="DE8" i="4"/>
  <c r="D9" i="4"/>
  <c r="D10" i="4" s="1"/>
  <c r="E9" i="4"/>
  <c r="E10" i="4" s="1"/>
  <c r="F9" i="4"/>
  <c r="F10" i="4" s="1"/>
  <c r="G9" i="4"/>
  <c r="G10" i="4" s="1"/>
  <c r="H9" i="4"/>
  <c r="H10" i="4" s="1"/>
  <c r="I9" i="4"/>
  <c r="I10" i="4" s="1"/>
  <c r="J9" i="4"/>
  <c r="J10" i="4" s="1"/>
  <c r="K9" i="4"/>
  <c r="K10" i="4" s="1"/>
  <c r="L9" i="4"/>
  <c r="L10" i="4" s="1"/>
  <c r="M9" i="4"/>
  <c r="M10" i="4" s="1"/>
  <c r="N9" i="4"/>
  <c r="N10" i="4" s="1"/>
  <c r="O9" i="4"/>
  <c r="O10" i="4" s="1"/>
  <c r="P9" i="4"/>
  <c r="P10" i="4" s="1"/>
  <c r="Q9" i="4"/>
  <c r="Q10" i="4" s="1"/>
  <c r="R9" i="4"/>
  <c r="R10" i="4" s="1"/>
  <c r="S9" i="4"/>
  <c r="S10" i="4" s="1"/>
  <c r="T9" i="4"/>
  <c r="T10" i="4" s="1"/>
  <c r="U9" i="4"/>
  <c r="U10" i="4" s="1"/>
  <c r="W9" i="4"/>
  <c r="W10" i="4" s="1"/>
  <c r="X9" i="4"/>
  <c r="X10" i="4" s="1"/>
  <c r="Y9" i="4"/>
  <c r="Y10" i="4" s="1"/>
  <c r="Z9" i="4"/>
  <c r="Z10" i="4" s="1"/>
  <c r="AA9" i="4"/>
  <c r="AA10" i="4" s="1"/>
  <c r="AD9" i="4"/>
  <c r="AD10" i="4" s="1"/>
  <c r="AE9" i="4"/>
  <c r="AE10" i="4" s="1"/>
  <c r="AF9" i="4"/>
  <c r="AF10" i="4" s="1"/>
  <c r="AG9" i="4"/>
  <c r="AG10" i="4" s="1"/>
  <c r="AH9" i="4"/>
  <c r="AH10" i="4" s="1"/>
  <c r="AI9" i="4"/>
  <c r="AI10" i="4" s="1"/>
  <c r="AJ9" i="4"/>
  <c r="AJ10" i="4" s="1"/>
  <c r="AK9" i="4"/>
  <c r="AK10" i="4" s="1"/>
  <c r="AL9" i="4"/>
  <c r="AL10" i="4" s="1"/>
  <c r="AM9" i="4"/>
  <c r="AM10" i="4" s="1"/>
  <c r="AN9" i="4"/>
  <c r="AN10" i="4" s="1"/>
  <c r="AO9" i="4"/>
  <c r="AO10" i="4" s="1"/>
  <c r="AP9" i="4"/>
  <c r="AP10" i="4" s="1"/>
  <c r="AQ9" i="4"/>
  <c r="AQ10" i="4" s="1"/>
  <c r="AR9" i="4"/>
  <c r="AR10" i="4" s="1"/>
  <c r="AS9" i="4"/>
  <c r="AS10" i="4" s="1"/>
  <c r="AT9" i="4"/>
  <c r="AT10" i="4" s="1"/>
  <c r="AU9" i="4"/>
  <c r="AU10" i="4" s="1"/>
  <c r="AV9" i="4"/>
  <c r="AV10" i="4" s="1"/>
  <c r="AW9" i="4"/>
  <c r="AW10" i="4" s="1"/>
  <c r="AX9" i="4"/>
  <c r="AX10" i="4" s="1"/>
  <c r="AY9" i="4"/>
  <c r="AY10" i="4" s="1"/>
  <c r="AZ9" i="4"/>
  <c r="AZ10" i="4" s="1"/>
  <c r="BA9" i="4"/>
  <c r="BA10" i="4" s="1"/>
  <c r="BB9" i="4"/>
  <c r="BB10" i="4" s="1"/>
  <c r="BC9" i="4"/>
  <c r="BC10" i="4" s="1"/>
  <c r="BD9" i="4"/>
  <c r="BD10" i="4" s="1"/>
  <c r="BE9" i="4"/>
  <c r="BE10" i="4" s="1"/>
  <c r="BF9" i="4"/>
  <c r="BF10" i="4" s="1"/>
  <c r="BG9" i="4"/>
  <c r="BG10" i="4" s="1"/>
  <c r="BH9" i="4"/>
  <c r="BH10" i="4" s="1"/>
  <c r="BI9" i="4"/>
  <c r="BI10" i="4" s="1"/>
  <c r="BJ9" i="4"/>
  <c r="BJ10" i="4" s="1"/>
  <c r="BK9" i="4"/>
  <c r="BK10" i="4" s="1"/>
  <c r="BL9" i="4"/>
  <c r="BL10" i="4" s="1"/>
  <c r="BM9" i="4"/>
  <c r="BM10" i="4" s="1"/>
  <c r="BN9" i="4"/>
  <c r="BN10" i="4" s="1"/>
  <c r="BO9" i="4"/>
  <c r="BO10" i="4" s="1"/>
  <c r="BP9" i="4"/>
  <c r="BP10" i="4" s="1"/>
  <c r="BQ9" i="4"/>
  <c r="BQ10" i="4" s="1"/>
  <c r="BR9" i="4"/>
  <c r="BR10" i="4" s="1"/>
  <c r="BS9" i="4"/>
  <c r="BS10" i="4" s="1"/>
  <c r="BT9" i="4"/>
  <c r="BT10" i="4" s="1"/>
  <c r="BU9" i="4"/>
  <c r="BU10" i="4" s="1"/>
  <c r="BV9" i="4"/>
  <c r="BV10" i="4" s="1"/>
  <c r="BW9" i="4"/>
  <c r="BW10" i="4" s="1"/>
  <c r="BX9" i="4"/>
  <c r="BX10" i="4" s="1"/>
  <c r="BY9" i="4"/>
  <c r="BY10" i="4" s="1"/>
  <c r="BZ9" i="4"/>
  <c r="BZ10" i="4" s="1"/>
  <c r="CA9" i="4"/>
  <c r="CA10" i="4" s="1"/>
  <c r="CB9" i="4"/>
  <c r="CB10" i="4" s="1"/>
  <c r="CC9" i="4"/>
  <c r="CC10" i="4" s="1"/>
  <c r="CD9" i="4"/>
  <c r="CD10" i="4" s="1"/>
  <c r="CE9" i="4"/>
  <c r="CE10" i="4" s="1"/>
  <c r="CF9" i="4"/>
  <c r="CF10" i="4" s="1"/>
  <c r="CG9" i="4"/>
  <c r="CG10" i="4" s="1"/>
  <c r="CH9" i="4"/>
  <c r="CH10" i="4" s="1"/>
  <c r="CJ9" i="4"/>
  <c r="CJ10" i="4" s="1"/>
  <c r="CK9" i="4"/>
  <c r="CK10" i="4" s="1"/>
  <c r="CL9" i="4"/>
  <c r="CL10" i="4" s="1"/>
  <c r="CM9" i="4"/>
  <c r="CM10" i="4" s="1"/>
  <c r="CN9" i="4"/>
  <c r="CN10" i="4" s="1"/>
  <c r="CO9" i="4"/>
  <c r="CO10" i="4" s="1"/>
  <c r="CP9" i="4"/>
  <c r="CP10" i="4" s="1"/>
  <c r="CQ9" i="4"/>
  <c r="CQ10" i="4" s="1"/>
  <c r="CR9" i="4"/>
  <c r="CR10" i="4" s="1"/>
  <c r="CS9" i="4"/>
  <c r="CS10" i="4" s="1"/>
  <c r="CT9" i="4"/>
  <c r="CT10" i="4" s="1"/>
  <c r="CU9" i="4"/>
  <c r="CU10" i="4" s="1"/>
  <c r="CV9" i="4"/>
  <c r="CV10" i="4" s="1"/>
  <c r="CW9" i="4"/>
  <c r="CW10" i="4" s="1"/>
  <c r="CX9" i="4"/>
  <c r="CX10" i="4" s="1"/>
  <c r="CY9" i="4"/>
  <c r="CY10" i="4" s="1"/>
  <c r="CZ9" i="4"/>
  <c r="CZ10" i="4" s="1"/>
  <c r="DA9" i="4"/>
  <c r="DA10" i="4" s="1"/>
  <c r="DB9" i="4"/>
  <c r="DB10" i="4" s="1"/>
  <c r="DC9" i="4"/>
  <c r="DC10" i="4" s="1"/>
  <c r="DD9" i="4"/>
  <c r="DD10" i="4" s="1"/>
  <c r="DE9" i="4"/>
  <c r="DE10" i="4" s="1"/>
  <c r="DP5" i="4" l="1"/>
  <c r="P7" i="4"/>
  <c r="D7" i="4"/>
  <c r="CV7" i="4"/>
  <c r="CJ7" i="4"/>
  <c r="BX7" i="4"/>
  <c r="BL7" i="4"/>
  <c r="AZ7" i="4"/>
  <c r="AN7" i="4"/>
  <c r="CH7" i="4"/>
  <c r="BV7" i="4"/>
  <c r="AX7" i="4"/>
  <c r="AL7" i="4"/>
  <c r="N7" i="4"/>
  <c r="CT7" i="4"/>
  <c r="BJ7" i="4"/>
  <c r="Z7" i="4"/>
  <c r="CS7" i="4"/>
  <c r="CG7" i="4"/>
  <c r="BU7" i="4"/>
  <c r="BI7" i="4"/>
  <c r="AW7" i="4"/>
  <c r="AK7" i="4"/>
  <c r="Y7" i="4"/>
  <c r="M7" i="4"/>
  <c r="CU7" i="4"/>
  <c r="BW7" i="4"/>
  <c r="BK7" i="4"/>
  <c r="AY7" i="4"/>
  <c r="AM7" i="4"/>
  <c r="AA7" i="4"/>
  <c r="O7" i="4"/>
  <c r="DE7" i="4"/>
  <c r="DD7" i="4"/>
  <c r="CR7" i="4"/>
  <c r="CF7" i="4"/>
  <c r="BT7" i="4"/>
  <c r="BH7" i="4"/>
  <c r="AV7" i="4"/>
  <c r="AJ7" i="4"/>
  <c r="X7" i="4"/>
  <c r="L7" i="4"/>
  <c r="DC7" i="4"/>
  <c r="CQ7" i="4"/>
  <c r="CE7" i="4"/>
  <c r="BS7" i="4"/>
  <c r="BG7" i="4"/>
  <c r="AU7" i="4"/>
  <c r="AI7" i="4"/>
  <c r="W7" i="4"/>
  <c r="K7" i="4"/>
  <c r="DB7" i="4"/>
  <c r="CP7" i="4"/>
  <c r="CD7" i="4"/>
  <c r="BR7" i="4"/>
  <c r="BF7" i="4"/>
  <c r="AT7" i="4"/>
  <c r="AH7" i="4"/>
  <c r="J7" i="4"/>
  <c r="DA7" i="4"/>
  <c r="CO7" i="4"/>
  <c r="CC7" i="4"/>
  <c r="BQ7" i="4"/>
  <c r="BE7" i="4"/>
  <c r="AS7" i="4"/>
  <c r="AG7" i="4"/>
  <c r="U7" i="4"/>
  <c r="I7" i="4"/>
  <c r="CZ7" i="4"/>
  <c r="CN7" i="4"/>
  <c r="CB7" i="4"/>
  <c r="BP7" i="4"/>
  <c r="BD7" i="4"/>
  <c r="AR7" i="4"/>
  <c r="AF7" i="4"/>
  <c r="T7" i="4"/>
  <c r="H7" i="4"/>
  <c r="CY7" i="4"/>
  <c r="CM7" i="4"/>
  <c r="CA7" i="4"/>
  <c r="BO7" i="4"/>
  <c r="BC7" i="4"/>
  <c r="AQ7" i="4"/>
  <c r="AE7" i="4"/>
  <c r="S7" i="4"/>
  <c r="G7" i="4"/>
  <c r="CX7" i="4"/>
  <c r="CL7" i="4"/>
  <c r="BZ7" i="4"/>
  <c r="BN7" i="4"/>
  <c r="BB7" i="4"/>
  <c r="AP7" i="4"/>
  <c r="AD7" i="4"/>
  <c r="R7" i="4"/>
  <c r="F7" i="4"/>
  <c r="CW7" i="4"/>
  <c r="CK7" i="4"/>
  <c r="BY7" i="4"/>
  <c r="BM7" i="4"/>
  <c r="BA7" i="4"/>
  <c r="AO7" i="4"/>
  <c r="Q7" i="4"/>
  <c r="E7" i="4"/>
  <c r="P44" i="20"/>
  <c r="P58" i="20" s="1"/>
  <c r="J44" i="20"/>
  <c r="J58" i="20" s="1"/>
  <c r="L44" i="20"/>
  <c r="L58" i="20" s="1"/>
  <c r="G44" i="20"/>
  <c r="G58" i="20" s="1"/>
  <c r="I44" i="20"/>
  <c r="I58" i="20" s="1"/>
  <c r="M44" i="20"/>
  <c r="M58" i="20" s="1"/>
  <c r="K44" i="20"/>
  <c r="K58" i="20" s="1"/>
  <c r="E44" i="20"/>
  <c r="E58" i="20" s="1"/>
  <c r="O44" i="20"/>
  <c r="O58" i="20" s="1"/>
  <c r="D44" i="20"/>
  <c r="D58" i="20" s="1"/>
  <c r="F44" i="20"/>
  <c r="F58" i="20" s="1"/>
  <c r="N44" i="20"/>
  <c r="N58" i="20" s="1"/>
  <c r="H44" i="20"/>
  <c r="H58" i="20" s="1"/>
  <c r="DQ5" i="4" l="1"/>
  <c r="EG29" i="3"/>
  <c r="EI29" i="3" s="1"/>
  <c r="EG27" i="3"/>
  <c r="EI27" i="3" s="1"/>
  <c r="EG19" i="3"/>
  <c r="EI19" i="3" s="1"/>
  <c r="EK19" i="3" s="1"/>
  <c r="EM19" i="3" s="1"/>
  <c r="EG22" i="3"/>
  <c r="EG13" i="3"/>
  <c r="EI13" i="3" s="1"/>
  <c r="EK13" i="3" s="1"/>
  <c r="EM13" i="3" s="1"/>
  <c r="EG16" i="3"/>
  <c r="DS5" i="4" l="1"/>
  <c r="EI16" i="3"/>
  <c r="EK16" i="3" s="1"/>
  <c r="EM16" i="3" s="1"/>
  <c r="EI22" i="3"/>
  <c r="EK22" i="3" s="1"/>
  <c r="EM22" i="3" s="1"/>
  <c r="EI33" i="3"/>
  <c r="EK27" i="3"/>
  <c r="EI35" i="3"/>
  <c r="EK29" i="3"/>
  <c r="EG33" i="3"/>
  <c r="EG35" i="3"/>
  <c r="EG28" i="3"/>
  <c r="EM29" i="3" l="1"/>
  <c r="EM35" i="3" s="1"/>
  <c r="EK35" i="3"/>
  <c r="EK33" i="3"/>
  <c r="EM27" i="3"/>
  <c r="EM33" i="3" s="1"/>
  <c r="EG34" i="3"/>
  <c r="EI28" i="3"/>
  <c r="EG26" i="3"/>
  <c r="EI26" i="3" l="1"/>
  <c r="EK26" i="3" s="1"/>
  <c r="EI34" i="3"/>
  <c r="EK28" i="3"/>
  <c r="EG32" i="3"/>
  <c r="EG25" i="3"/>
  <c r="EI32" i="3" l="1"/>
  <c r="EK34" i="3"/>
  <c r="EM28" i="3"/>
  <c r="EM34" i="3" s="1"/>
  <c r="EM26" i="3"/>
  <c r="EK32" i="3"/>
  <c r="EG31" i="3"/>
  <c r="EI25" i="3"/>
  <c r="EG13" i="16"/>
  <c r="EM32" i="3" l="1"/>
  <c r="EI31" i="3"/>
  <c r="EK25" i="3"/>
  <c r="EG46" i="6"/>
  <c r="EG57" i="6"/>
  <c r="EG48" i="6"/>
  <c r="EN49" i="6" s="1"/>
  <c r="EG59" i="6"/>
  <c r="EN60" i="6" s="1"/>
  <c r="EK31" i="3" l="1"/>
  <c r="EM25" i="3"/>
  <c r="EM31" i="3" s="1"/>
  <c r="EG35" i="6"/>
  <c r="EG37" i="6"/>
  <c r="EN38" i="6" s="1"/>
  <c r="F16" i="9"/>
  <c r="E16" i="9"/>
  <c r="G16" i="9" l="1"/>
  <c r="G11" i="9"/>
  <c r="EG8" i="6"/>
  <c r="AN25" i="5"/>
  <c r="AM25" i="5"/>
  <c r="AL25" i="5"/>
  <c r="AK25" i="5"/>
  <c r="AJ25" i="5"/>
  <c r="AI25" i="5"/>
  <c r="AH25" i="5"/>
  <c r="AG25" i="5"/>
  <c r="AF25" i="5"/>
  <c r="AE25" i="5"/>
  <c r="AD25" i="5"/>
  <c r="BY70" i="5" l="1"/>
  <c r="BY66" i="5"/>
  <c r="BY62" i="5"/>
  <c r="BY33" i="5"/>
  <c r="BY21" i="5"/>
  <c r="BY25" i="5" s="1"/>
  <c r="BY9" i="5"/>
  <c r="R45" i="19"/>
  <c r="T45" i="19" s="1"/>
  <c r="V45" i="19" s="1"/>
  <c r="X45" i="19" s="1"/>
  <c r="R37" i="19"/>
  <c r="T37" i="19" s="1"/>
  <c r="V37" i="19" s="1"/>
  <c r="X37" i="19" s="1"/>
  <c r="EG13" i="15"/>
  <c r="EG6" i="15"/>
  <c r="EI13" i="15" l="1"/>
  <c r="D13" i="28"/>
  <c r="BY65" i="5"/>
  <c r="BY69" i="5"/>
  <c r="BY55" i="5"/>
  <c r="BY54" i="5"/>
  <c r="BY56" i="5"/>
  <c r="BY68" i="5"/>
  <c r="BY28" i="5"/>
  <c r="BY61" i="5"/>
  <c r="BY14" i="5"/>
  <c r="BY17" i="5" s="1"/>
  <c r="EK13" i="15" l="1"/>
  <c r="F13" i="28"/>
  <c r="BY50" i="5"/>
  <c r="BY64" i="5"/>
  <c r="BY52" i="5"/>
  <c r="BY51" i="5"/>
  <c r="BY35" i="5"/>
  <c r="BY47" i="5"/>
  <c r="BY60" i="5"/>
  <c r="BY48" i="5"/>
  <c r="BY36" i="5"/>
  <c r="BY42" i="5" s="1"/>
  <c r="BY46" i="5"/>
  <c r="EM13" i="15" l="1"/>
  <c r="H13" i="28"/>
  <c r="DE6" i="4"/>
  <c r="EG7" i="3"/>
  <c r="EI7" i="3" s="1"/>
  <c r="EK7" i="3" s="1"/>
  <c r="EM7" i="3" s="1"/>
  <c r="EG12" i="15"/>
  <c r="EG14" i="15"/>
  <c r="J13" i="28" l="1"/>
  <c r="EI12" i="15"/>
  <c r="D12" i="28"/>
  <c r="EI14" i="15"/>
  <c r="D14" i="28"/>
  <c r="EG10" i="15"/>
  <c r="EG9" i="15"/>
  <c r="EG8" i="15"/>
  <c r="EG41" i="3"/>
  <c r="EI8" i="15" l="1"/>
  <c r="D8" i="28"/>
  <c r="EI9" i="15"/>
  <c r="D9" i="28"/>
  <c r="EI10" i="15"/>
  <c r="D10" i="28"/>
  <c r="EK14" i="15"/>
  <c r="F14" i="28"/>
  <c r="EK12" i="15"/>
  <c r="F12" i="28"/>
  <c r="EI41" i="3"/>
  <c r="EK41" i="3" s="1"/>
  <c r="EM41" i="3" s="1"/>
  <c r="EG37" i="3"/>
  <c r="CC66" i="2"/>
  <c r="CC55" i="2"/>
  <c r="CC39" i="2"/>
  <c r="CC20" i="2"/>
  <c r="CC9" i="2"/>
  <c r="EM12" i="15" l="1"/>
  <c r="H12" i="28"/>
  <c r="EM14" i="15"/>
  <c r="H14" i="28"/>
  <c r="EK10" i="15"/>
  <c r="F10" i="28"/>
  <c r="EK9" i="15"/>
  <c r="F9" i="28"/>
  <c r="EK8" i="15"/>
  <c r="F8" i="28"/>
  <c r="EG54" i="3"/>
  <c r="EI54" i="3" s="1"/>
  <c r="EK54" i="3" s="1"/>
  <c r="EM54" i="3" s="1"/>
  <c r="EI37" i="3"/>
  <c r="EK37" i="3" s="1"/>
  <c r="EM37" i="3" s="1"/>
  <c r="CC37" i="2"/>
  <c r="CC35" i="2" s="1"/>
  <c r="CC7" i="2"/>
  <c r="CC4" i="2" l="1"/>
  <c r="J14" i="28"/>
  <c r="J12" i="28"/>
  <c r="EM8" i="15"/>
  <c r="J8" i="28" s="1"/>
  <c r="H8" i="28"/>
  <c r="EM9" i="15"/>
  <c r="J9" i="28" s="1"/>
  <c r="H9" i="28"/>
  <c r="EM10" i="15"/>
  <c r="J10" i="28" s="1"/>
  <c r="H10" i="28"/>
  <c r="EG57" i="3"/>
  <c r="EG60" i="3" s="1"/>
  <c r="EI57" i="3" l="1"/>
  <c r="EK57" i="3" s="1"/>
  <c r="EM57" i="3" s="1"/>
  <c r="EI60" i="3"/>
  <c r="EG7" i="15"/>
  <c r="EG11" i="15" s="1"/>
  <c r="EG15" i="15" s="1"/>
  <c r="R16" i="19"/>
  <c r="EK60" i="3" l="1"/>
  <c r="EG16" i="15"/>
  <c r="EI7" i="15"/>
  <c r="EK7" i="15" s="1"/>
  <c r="D7" i="28"/>
  <c r="D11" i="28" s="1"/>
  <c r="D15" i="28" s="1"/>
  <c r="R30" i="19"/>
  <c r="T16" i="19"/>
  <c r="EG24" i="15"/>
  <c r="EM60" i="3" l="1"/>
  <c r="EM7" i="15"/>
  <c r="EM11" i="15" s="1"/>
  <c r="EM15" i="15" s="1"/>
  <c r="H7" i="28"/>
  <c r="H11" i="28" s="1"/>
  <c r="H15" i="28" s="1"/>
  <c r="D18" i="28"/>
  <c r="D19" i="28" s="1"/>
  <c r="D16" i="28"/>
  <c r="EI11" i="15"/>
  <c r="EI15" i="15" s="1"/>
  <c r="EI16" i="15" s="1"/>
  <c r="F7" i="28"/>
  <c r="F11" i="28" s="1"/>
  <c r="F15" i="28" s="1"/>
  <c r="EK11" i="15"/>
  <c r="EK15" i="15" s="1"/>
  <c r="EK16" i="15" s="1"/>
  <c r="EG28" i="15"/>
  <c r="EG29" i="15" s="1"/>
  <c r="EI24" i="15"/>
  <c r="R32" i="19"/>
  <c r="T30" i="19"/>
  <c r="V30" i="19" s="1"/>
  <c r="X30" i="19" s="1"/>
  <c r="EE20" i="6"/>
  <c r="H16" i="9" l="1"/>
  <c r="J7" i="28"/>
  <c r="J11" i="28" s="1"/>
  <c r="J15" i="28" s="1"/>
  <c r="J18" i="28" s="1"/>
  <c r="J19" i="28" s="1"/>
  <c r="EM16" i="15"/>
  <c r="F18" i="28"/>
  <c r="F19" i="28" s="1"/>
  <c r="F16" i="28"/>
  <c r="H16" i="28"/>
  <c r="H18" i="28"/>
  <c r="H19" i="28" s="1"/>
  <c r="EG34" i="15"/>
  <c r="EG31" i="15"/>
  <c r="EG32" i="15" s="1"/>
  <c r="EI28" i="15"/>
  <c r="EI29" i="15" s="1"/>
  <c r="EK24" i="15"/>
  <c r="R49" i="19"/>
  <c r="T32" i="19"/>
  <c r="V32" i="19" s="1"/>
  <c r="X32" i="19" s="1"/>
  <c r="EE12" i="15"/>
  <c r="EE14" i="15"/>
  <c r="J16" i="28" l="1"/>
  <c r="EI34" i="15"/>
  <c r="EI31" i="15"/>
  <c r="EK31" i="15" s="1"/>
  <c r="EK28" i="15"/>
  <c r="EM24" i="15"/>
  <c r="EM28" i="15" s="1"/>
  <c r="R51" i="19"/>
  <c r="T49" i="19"/>
  <c r="EE10" i="15"/>
  <c r="EE8" i="15"/>
  <c r="Q37" i="19"/>
  <c r="EE9" i="15"/>
  <c r="Q16" i="19"/>
  <c r="P16" i="19"/>
  <c r="P30" i="19" s="1"/>
  <c r="P32" i="19" s="1"/>
  <c r="P37" i="19"/>
  <c r="EI32" i="15" l="1"/>
  <c r="T51" i="19"/>
  <c r="V49" i="19"/>
  <c r="EK29" i="15"/>
  <c r="EK34" i="15"/>
  <c r="EK32" i="15"/>
  <c r="EM31" i="15"/>
  <c r="EM32" i="15" s="1"/>
  <c r="EM34" i="15"/>
  <c r="EM29" i="15"/>
  <c r="E21" i="9"/>
  <c r="EE13" i="16"/>
  <c r="EF70" i="6"/>
  <c r="EF54" i="6"/>
  <c r="EF52" i="6"/>
  <c r="EF43" i="6"/>
  <c r="EF41" i="6"/>
  <c r="EF32" i="6"/>
  <c r="EF8" i="6"/>
  <c r="EE8" i="6"/>
  <c r="BX66" i="5"/>
  <c r="BX33" i="5"/>
  <c r="BX62" i="5"/>
  <c r="BX70" i="5"/>
  <c r="BX21" i="5"/>
  <c r="BX25" i="5" s="1"/>
  <c r="BX9" i="5"/>
  <c r="EA59" i="6"/>
  <c r="DZ59" i="6"/>
  <c r="EG60" i="6" s="1"/>
  <c r="DX59" i="6"/>
  <c r="DV59" i="6"/>
  <c r="DT59" i="6"/>
  <c r="DS59" i="6"/>
  <c r="DO59" i="6"/>
  <c r="DM59" i="6"/>
  <c r="DL59" i="6"/>
  <c r="DJ59" i="6"/>
  <c r="DH59" i="6"/>
  <c r="DF59" i="6"/>
  <c r="DD59" i="6"/>
  <c r="DC59" i="6"/>
  <c r="DB59" i="6"/>
  <c r="DA59" i="6"/>
  <c r="CY59" i="6"/>
  <c r="CX59" i="6"/>
  <c r="CW59" i="6"/>
  <c r="CV59" i="6"/>
  <c r="CU59" i="6"/>
  <c r="CT59" i="6"/>
  <c r="CS59" i="6"/>
  <c r="CR59" i="6"/>
  <c r="CQ59" i="6"/>
  <c r="CP59" i="6"/>
  <c r="CO59" i="6"/>
  <c r="CN59" i="6"/>
  <c r="CM59" i="6"/>
  <c r="CL59" i="6"/>
  <c r="CK59" i="6"/>
  <c r="CJ59" i="6"/>
  <c r="CI59" i="6"/>
  <c r="CI60" i="6" s="1"/>
  <c r="CH59" i="6"/>
  <c r="CH60" i="6" s="1"/>
  <c r="CG59" i="6"/>
  <c r="CF59" i="6"/>
  <c r="CE59" i="6"/>
  <c r="CD59" i="6"/>
  <c r="CC59" i="6"/>
  <c r="CB59" i="6"/>
  <c r="CA59" i="6"/>
  <c r="BZ59" i="6"/>
  <c r="BY59" i="6"/>
  <c r="BX59" i="6"/>
  <c r="BW59" i="6"/>
  <c r="BV59" i="6"/>
  <c r="BU59" i="6"/>
  <c r="BT59" i="6"/>
  <c r="BS59" i="6"/>
  <c r="BR59" i="6"/>
  <c r="BQ59" i="6"/>
  <c r="BP59" i="6"/>
  <c r="BO59" i="6"/>
  <c r="BN59" i="6"/>
  <c r="BM59" i="6"/>
  <c r="BL59" i="6"/>
  <c r="DB54" i="6"/>
  <c r="CU54" i="6"/>
  <c r="BZ54" i="6"/>
  <c r="BU54" i="6"/>
  <c r="BS54" i="6"/>
  <c r="CN54" i="6"/>
  <c r="BQ54" i="6"/>
  <c r="DC48" i="6"/>
  <c r="CU43" i="6"/>
  <c r="CN43" i="6"/>
  <c r="BU43" i="6"/>
  <c r="BQ43" i="6"/>
  <c r="EA48" i="6"/>
  <c r="EH49" i="6" s="1"/>
  <c r="DZ48" i="6"/>
  <c r="EG49" i="6" s="1"/>
  <c r="DX48" i="6"/>
  <c r="DV48" i="6"/>
  <c r="DT48" i="6"/>
  <c r="DS48" i="6"/>
  <c r="DQ48" i="6"/>
  <c r="DO48" i="6"/>
  <c r="DM48" i="6"/>
  <c r="DL48" i="6"/>
  <c r="DJ48" i="6"/>
  <c r="DH48" i="6"/>
  <c r="DG48" i="6"/>
  <c r="DF48" i="6"/>
  <c r="DD48" i="6"/>
  <c r="DB48" i="6"/>
  <c r="DA48" i="6"/>
  <c r="CY48" i="6"/>
  <c r="CX48" i="6"/>
  <c r="CW48" i="6"/>
  <c r="CV48" i="6"/>
  <c r="CU48" i="6"/>
  <c r="CT48" i="6"/>
  <c r="CS48" i="6"/>
  <c r="CR48" i="6"/>
  <c r="CQ48" i="6"/>
  <c r="CP48" i="6"/>
  <c r="CO48" i="6"/>
  <c r="CN48" i="6"/>
  <c r="CM48" i="6"/>
  <c r="CL48" i="6"/>
  <c r="CK48" i="6"/>
  <c r="CJ48" i="6"/>
  <c r="CI48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S48" i="6"/>
  <c r="BR48" i="6"/>
  <c r="BQ48" i="6"/>
  <c r="BP48" i="6"/>
  <c r="BO48" i="6"/>
  <c r="BS43" i="6"/>
  <c r="AU41" i="6"/>
  <c r="AV41" i="6" s="1"/>
  <c r="AX41" i="6"/>
  <c r="AX42" i="6" s="1"/>
  <c r="AY41" i="6"/>
  <c r="AZ41" i="6" s="1"/>
  <c r="BC41" i="6"/>
  <c r="BD42" i="6" s="1"/>
  <c r="BE41" i="6"/>
  <c r="BF42" i="6" s="1"/>
  <c r="BG41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BB42" i="6"/>
  <c r="DR32" i="6"/>
  <c r="DB32" i="6"/>
  <c r="CZ32" i="6"/>
  <c r="CN32" i="6"/>
  <c r="BU32" i="6"/>
  <c r="BS32" i="6"/>
  <c r="EA37" i="6"/>
  <c r="EH38" i="6" s="1"/>
  <c r="DZ37" i="6"/>
  <c r="EG38" i="6" s="1"/>
  <c r="CJ60" i="6" l="1"/>
  <c r="V51" i="19"/>
  <c r="X49" i="19"/>
  <c r="X51" i="19" s="1"/>
  <c r="DF60" i="6"/>
  <c r="CN22" i="6"/>
  <c r="EF22" i="6"/>
  <c r="BS22" i="6"/>
  <c r="BU22" i="6"/>
  <c r="DJ60" i="6"/>
  <c r="BU60" i="6"/>
  <c r="CB60" i="6"/>
  <c r="CP60" i="6"/>
  <c r="BS60" i="6"/>
  <c r="CQ60" i="6"/>
  <c r="EI53" i="6"/>
  <c r="EM53" i="6"/>
  <c r="EK53" i="6"/>
  <c r="BT60" i="6"/>
  <c r="CV49" i="6"/>
  <c r="CA60" i="6"/>
  <c r="CY60" i="6"/>
  <c r="DT60" i="6"/>
  <c r="DV60" i="6"/>
  <c r="EI42" i="6"/>
  <c r="EM42" i="6"/>
  <c r="EK42" i="6"/>
  <c r="BX65" i="5"/>
  <c r="BW60" i="6"/>
  <c r="CE60" i="6"/>
  <c r="CM60" i="6"/>
  <c r="CU60" i="6"/>
  <c r="DD60" i="6"/>
  <c r="BZ60" i="6"/>
  <c r="CX60" i="6"/>
  <c r="DM60" i="6"/>
  <c r="DO60" i="6"/>
  <c r="DC60" i="6"/>
  <c r="EA60" i="6"/>
  <c r="EH60" i="6"/>
  <c r="CR60" i="6"/>
  <c r="DB60" i="6"/>
  <c r="BV60" i="6"/>
  <c r="CD60" i="6"/>
  <c r="CL60" i="6"/>
  <c r="CT60" i="6"/>
  <c r="DS60" i="6"/>
  <c r="BX60" i="6"/>
  <c r="CF60" i="6"/>
  <c r="CN60" i="6"/>
  <c r="CV60" i="6"/>
  <c r="BY60" i="6"/>
  <c r="CG60" i="6"/>
  <c r="CO60" i="6"/>
  <c r="CW60" i="6"/>
  <c r="DH60" i="6"/>
  <c r="EG41" i="6"/>
  <c r="EH42" i="6" s="1"/>
  <c r="CC60" i="6"/>
  <c r="CK60" i="6"/>
  <c r="CS60" i="6"/>
  <c r="DA60" i="6"/>
  <c r="DH49" i="6"/>
  <c r="DZ60" i="6"/>
  <c r="EG52" i="6"/>
  <c r="EH53" i="6" s="1"/>
  <c r="G21" i="9"/>
  <c r="DC30" i="4"/>
  <c r="EF20" i="6"/>
  <c r="BX14" i="5"/>
  <c r="P45" i="19"/>
  <c r="P51" i="19"/>
  <c r="Q45" i="19"/>
  <c r="Q30" i="19"/>
  <c r="Q32" i="19" s="1"/>
  <c r="BX69" i="5"/>
  <c r="BX61" i="5"/>
  <c r="CE49" i="6"/>
  <c r="CM49" i="6"/>
  <c r="CU49" i="6"/>
  <c r="DS49" i="6"/>
  <c r="EA49" i="6"/>
  <c r="CA49" i="6"/>
  <c r="CI49" i="6"/>
  <c r="CQ49" i="6"/>
  <c r="CY49" i="6"/>
  <c r="DO49" i="6"/>
  <c r="BZ49" i="6"/>
  <c r="CH49" i="6"/>
  <c r="CP49" i="6"/>
  <c r="CX49" i="6"/>
  <c r="DF49" i="6"/>
  <c r="DV49" i="6"/>
  <c r="BW49" i="6"/>
  <c r="DC49" i="6"/>
  <c r="BV49" i="6"/>
  <c r="CD49" i="6"/>
  <c r="CL49" i="6"/>
  <c r="CT49" i="6"/>
  <c r="DB49" i="6"/>
  <c r="DJ49" i="6"/>
  <c r="DZ49" i="6"/>
  <c r="CB49" i="6"/>
  <c r="CJ49" i="6"/>
  <c r="CR49" i="6"/>
  <c r="DX49" i="6"/>
  <c r="CC49" i="6"/>
  <c r="CK49" i="6"/>
  <c r="CS49" i="6"/>
  <c r="DA49" i="6"/>
  <c r="DQ49" i="6"/>
  <c r="BX49" i="6"/>
  <c r="DD49" i="6"/>
  <c r="CF49" i="6"/>
  <c r="DT49" i="6"/>
  <c r="BY49" i="6"/>
  <c r="CG49" i="6"/>
  <c r="CO49" i="6"/>
  <c r="CW49" i="6"/>
  <c r="DM49" i="6"/>
  <c r="CN49" i="6"/>
  <c r="AY42" i="6"/>
  <c r="BG42" i="6"/>
  <c r="AV42" i="6"/>
  <c r="AW42" i="6"/>
  <c r="BC42" i="6"/>
  <c r="AZ42" i="6"/>
  <c r="BA42" i="6"/>
  <c r="BE42" i="6"/>
  <c r="AU42" i="6"/>
  <c r="EK21" i="6" l="1"/>
  <c r="EM21" i="6"/>
  <c r="BX17" i="5"/>
  <c r="EE20" i="15"/>
  <c r="BX68" i="5"/>
  <c r="BX52" i="5"/>
  <c r="BX54" i="5"/>
  <c r="BX48" i="5"/>
  <c r="BX60" i="5"/>
  <c r="BX35" i="5"/>
  <c r="BX46" i="5"/>
  <c r="BX64" i="5"/>
  <c r="BX51" i="5"/>
  <c r="BX50" i="5"/>
  <c r="Q49" i="19"/>
  <c r="Q51" i="19" s="1"/>
  <c r="BX47" i="5"/>
  <c r="BX28" i="5"/>
  <c r="BX55" i="5"/>
  <c r="BX56" i="5"/>
  <c r="BX36" i="5" l="1"/>
  <c r="BX42" i="5" s="1"/>
  <c r="O37" i="19" l="1"/>
  <c r="N37" i="19"/>
  <c r="H37" i="19" l="1"/>
  <c r="I37" i="19"/>
  <c r="J37" i="19"/>
  <c r="E37" i="19" l="1"/>
  <c r="F37" i="19"/>
  <c r="G37" i="19"/>
  <c r="J45" i="19"/>
  <c r="I16" i="19"/>
  <c r="I30" i="19" s="1"/>
  <c r="I32" i="19" s="1"/>
  <c r="J16" i="19"/>
  <c r="J30" i="19" s="1"/>
  <c r="J32" i="19" s="1"/>
  <c r="I45" i="19"/>
  <c r="I49" i="19" l="1"/>
  <c r="I51" i="19" s="1"/>
  <c r="J49" i="19"/>
  <c r="J51" i="19" s="1"/>
  <c r="E16" i="19"/>
  <c r="E30" i="19" s="1"/>
  <c r="E32" i="19" s="1"/>
  <c r="H45" i="19" l="1"/>
  <c r="G45" i="19"/>
  <c r="E45" i="19"/>
  <c r="E49" i="19" s="1"/>
  <c r="E51" i="19" s="1"/>
  <c r="F45" i="19"/>
  <c r="F16" i="19"/>
  <c r="F30" i="19" s="1"/>
  <c r="F32" i="19" s="1"/>
  <c r="F49" i="19" l="1"/>
  <c r="F51" i="19" s="1"/>
  <c r="D45" i="19"/>
  <c r="D37" i="19"/>
  <c r="D16" i="19"/>
  <c r="D30" i="19" s="1"/>
  <c r="D32" i="19" s="1"/>
  <c r="D49" i="19" l="1"/>
  <c r="D51" i="19" s="1"/>
  <c r="O30" i="19" l="1"/>
  <c r="O32" i="19" s="1"/>
  <c r="N30" i="19"/>
  <c r="N32" i="19" s="1"/>
  <c r="H16" i="19"/>
  <c r="H30" i="19" s="1"/>
  <c r="H32" i="19" s="1"/>
  <c r="H49" i="19" s="1"/>
  <c r="H51" i="19" s="1"/>
  <c r="G16" i="19" l="1"/>
  <c r="G30" i="19" s="1"/>
  <c r="G32" i="19" s="1"/>
  <c r="G49" i="19" s="1"/>
  <c r="G51" i="19" s="1"/>
  <c r="DU27" i="15"/>
  <c r="N45" i="19" l="1"/>
  <c r="O45" i="19"/>
  <c r="ED30" i="6" l="1"/>
  <c r="EE31" i="6" s="1"/>
  <c r="EC37" i="6" l="1"/>
  <c r="EJ38" i="6" s="1"/>
  <c r="EC48" i="6" l="1"/>
  <c r="EC59" i="6"/>
  <c r="EC60" i="6" l="1"/>
  <c r="EJ60" i="6"/>
  <c r="EC49" i="6"/>
  <c r="EJ49" i="6"/>
  <c r="EC13" i="15"/>
  <c r="EC8" i="15"/>
  <c r="EC9" i="15"/>
  <c r="EC12" i="15"/>
  <c r="EC14" i="15"/>
  <c r="EC10" i="15" l="1"/>
  <c r="BW70" i="5" l="1"/>
  <c r="BW66" i="5"/>
  <c r="BW62" i="5"/>
  <c r="BW33" i="5"/>
  <c r="BW21" i="5"/>
  <c r="BW9" i="5"/>
  <c r="EC20" i="6"/>
  <c r="ED41" i="6"/>
  <c r="EE42" i="6" s="1"/>
  <c r="ED43" i="6"/>
  <c r="EC46" i="6"/>
  <c r="ED52" i="6"/>
  <c r="EE53" i="6" s="1"/>
  <c r="ED54" i="6"/>
  <c r="EC57" i="6"/>
  <c r="ED70" i="6"/>
  <c r="EC8" i="6"/>
  <c r="ED8" i="6"/>
  <c r="EC13" i="16"/>
  <c r="ED22" i="6" l="1"/>
  <c r="EE21" i="6"/>
  <c r="BW69" i="5"/>
  <c r="BW25" i="5"/>
  <c r="DA30" i="4"/>
  <c r="BW61" i="5"/>
  <c r="BW65" i="5"/>
  <c r="BW14" i="5"/>
  <c r="BW17" i="5" s="1"/>
  <c r="BW46" i="5" l="1"/>
  <c r="EC20" i="15"/>
  <c r="BW28" i="5"/>
  <c r="BW55" i="5"/>
  <c r="BW68" i="5"/>
  <c r="BW56" i="5"/>
  <c r="BW54" i="5"/>
  <c r="BW47" i="5"/>
  <c r="BW48" i="5"/>
  <c r="BW50" i="5"/>
  <c r="BW35" i="5"/>
  <c r="BW60" i="5"/>
  <c r="BW51" i="5"/>
  <c r="BW64" i="5"/>
  <c r="BW52" i="5"/>
  <c r="O51" i="19"/>
  <c r="N51" i="19"/>
  <c r="ED20" i="6"/>
  <c r="BW36" i="5" l="1"/>
  <c r="BW42" i="5" s="1"/>
  <c r="E6" i="20" l="1"/>
  <c r="F6" i="20" l="1"/>
  <c r="M45" i="19"/>
  <c r="G6" i="20" l="1"/>
  <c r="M37" i="19"/>
  <c r="CQ26" i="4" l="1"/>
  <c r="H6" i="20"/>
  <c r="CQ16" i="4" l="1"/>
  <c r="CQ24" i="4"/>
  <c r="CQ29" i="4"/>
  <c r="CQ18" i="4"/>
  <c r="I6" i="20"/>
  <c r="L45" i="19"/>
  <c r="CR16" i="4" l="1"/>
  <c r="CR26" i="4"/>
  <c r="CR18" i="4"/>
  <c r="CR24" i="4"/>
  <c r="CR29" i="4"/>
  <c r="J6" i="20"/>
  <c r="CT16" i="4" l="1"/>
  <c r="CT26" i="4"/>
  <c r="K6" i="20"/>
  <c r="CV29" i="4" s="1"/>
  <c r="EB12" i="16"/>
  <c r="ED12" i="16" s="1"/>
  <c r="EF12" i="16" s="1"/>
  <c r="EB11" i="16"/>
  <c r="ED11" i="16" s="1"/>
  <c r="EF11" i="16" s="1"/>
  <c r="EB10" i="16"/>
  <c r="ED10" i="16" s="1"/>
  <c r="EF10" i="16" s="1"/>
  <c r="EB9" i="16"/>
  <c r="ED9" i="16" s="1"/>
  <c r="EF9" i="16" s="1"/>
  <c r="EB8" i="16"/>
  <c r="ED8" i="16" s="1"/>
  <c r="EB6" i="16"/>
  <c r="EA13" i="16"/>
  <c r="EB73" i="6"/>
  <c r="ED73" i="6" s="1"/>
  <c r="EB70" i="6"/>
  <c r="EB54" i="6"/>
  <c r="EB52" i="6"/>
  <c r="EC53" i="6" s="1"/>
  <c r="EB43" i="6"/>
  <c r="EB41" i="6"/>
  <c r="EC42" i="6" s="1"/>
  <c r="EB32" i="6"/>
  <c r="EB30" i="6"/>
  <c r="EC31" i="6" s="1"/>
  <c r="EB8" i="6"/>
  <c r="EB6" i="6"/>
  <c r="EA57" i="6"/>
  <c r="EA53" i="6"/>
  <c r="EA42" i="6"/>
  <c r="EA31" i="6"/>
  <c r="EA20" i="6"/>
  <c r="EA8" i="6"/>
  <c r="BV66" i="5"/>
  <c r="BV33" i="5"/>
  <c r="BV21" i="5"/>
  <c r="BV25" i="5" s="1"/>
  <c r="EB33" i="15"/>
  <c r="ED33" i="15" s="1"/>
  <c r="EB27" i="15"/>
  <c r="ED27" i="15" s="1"/>
  <c r="EB26" i="15"/>
  <c r="ED26" i="15" s="1"/>
  <c r="EB25" i="15"/>
  <c r="ED25" i="15" s="1"/>
  <c r="EB6" i="15"/>
  <c r="EA13" i="15"/>
  <c r="EA6" i="15"/>
  <c r="CZ28" i="4"/>
  <c r="CZ20" i="4"/>
  <c r="DB20" i="4" s="1"/>
  <c r="DD20" i="4" s="1"/>
  <c r="CZ17" i="4"/>
  <c r="CZ15" i="4"/>
  <c r="CZ6" i="4"/>
  <c r="CY6" i="4"/>
  <c r="EA10" i="15"/>
  <c r="EA14" i="15"/>
  <c r="EA12" i="15"/>
  <c r="EA8" i="15"/>
  <c r="CV24" i="4" l="1"/>
  <c r="DB28" i="4"/>
  <c r="EB22" i="6"/>
  <c r="ED13" i="16"/>
  <c r="EF8" i="16"/>
  <c r="EF13" i="16" s="1"/>
  <c r="DB15" i="4"/>
  <c r="DB17" i="4"/>
  <c r="L6" i="20"/>
  <c r="EF33" i="15"/>
  <c r="EF73" i="6"/>
  <c r="EF27" i="15"/>
  <c r="EF25" i="15"/>
  <c r="EF26" i="15"/>
  <c r="EC21" i="6"/>
  <c r="EB20" i="6"/>
  <c r="EA9" i="15"/>
  <c r="L37" i="19"/>
  <c r="CY30" i="4"/>
  <c r="EA21" i="6"/>
  <c r="EB13" i="16"/>
  <c r="EA46" i="6"/>
  <c r="BV54" i="5"/>
  <c r="BV56" i="5"/>
  <c r="BV55" i="5"/>
  <c r="BV28" i="5"/>
  <c r="BV9" i="5"/>
  <c r="BV68" i="5"/>
  <c r="BV69" i="5"/>
  <c r="BV70" i="5"/>
  <c r="BV62" i="5"/>
  <c r="DD28" i="4" l="1"/>
  <c r="DD17" i="4"/>
  <c r="DD15" i="4"/>
  <c r="M6" i="20"/>
  <c r="CZ24" i="4" s="1"/>
  <c r="EE13" i="15"/>
  <c r="CZ30" i="4"/>
  <c r="EA20" i="15"/>
  <c r="BV14" i="5"/>
  <c r="BV17" i="5" s="1"/>
  <c r="BV65" i="5"/>
  <c r="BV61" i="5"/>
  <c r="CZ31" i="4" l="1"/>
  <c r="CZ16" i="4"/>
  <c r="CZ18" i="4"/>
  <c r="CZ22" i="4"/>
  <c r="CZ29" i="4"/>
  <c r="CZ14" i="4"/>
  <c r="CY31" i="4"/>
  <c r="CZ26" i="4"/>
  <c r="DB30" i="4"/>
  <c r="N6" i="20"/>
  <c r="DB14" i="4" s="1"/>
  <c r="EA7" i="15"/>
  <c r="BV35" i="5"/>
  <c r="L16" i="19"/>
  <c r="L30" i="19" s="1"/>
  <c r="L32" i="19" s="1"/>
  <c r="L49" i="19" s="1"/>
  <c r="BV36" i="5"/>
  <c r="BV52" i="5"/>
  <c r="BV60" i="5"/>
  <c r="BV47" i="5"/>
  <c r="BV51" i="5"/>
  <c r="BV48" i="5"/>
  <c r="BV64" i="5"/>
  <c r="BV46" i="5"/>
  <c r="BV50" i="5"/>
  <c r="EB56" i="6"/>
  <c r="EI57" i="6" s="1"/>
  <c r="EB45" i="6"/>
  <c r="EI46" i="6" s="1"/>
  <c r="DB31" i="4" l="1"/>
  <c r="DB22" i="4"/>
  <c r="DB16" i="4"/>
  <c r="DB26" i="4"/>
  <c r="DB18" i="4"/>
  <c r="DD14" i="4"/>
  <c r="DD22" i="4"/>
  <c r="DB24" i="4"/>
  <c r="DD29" i="4"/>
  <c r="DB29" i="4"/>
  <c r="ED56" i="6"/>
  <c r="EK57" i="6" s="1"/>
  <c r="EB59" i="6"/>
  <c r="EI60" i="6" s="1"/>
  <c r="DD30" i="4"/>
  <c r="O6" i="20"/>
  <c r="ED45" i="6"/>
  <c r="EK46" i="6" s="1"/>
  <c r="EB48" i="6"/>
  <c r="EI49" i="6" s="1"/>
  <c r="L51" i="19"/>
  <c r="EA11" i="15"/>
  <c r="EA15" i="15" s="1"/>
  <c r="EA16" i="15" s="1"/>
  <c r="EB34" i="6"/>
  <c r="EI35" i="6" s="1"/>
  <c r="DD18" i="4" l="1"/>
  <c r="DD16" i="4"/>
  <c r="DD26" i="4"/>
  <c r="DD31" i="4"/>
  <c r="DD24" i="4"/>
  <c r="ED59" i="6"/>
  <c r="EK60" i="6" s="1"/>
  <c r="P6" i="20"/>
  <c r="Q6" i="20" s="1"/>
  <c r="R6" i="20" s="1"/>
  <c r="S6" i="20" s="1"/>
  <c r="T6" i="20" s="1"/>
  <c r="U6" i="20" s="1"/>
  <c r="V6" i="20" s="1"/>
  <c r="W6" i="20" s="1"/>
  <c r="X6" i="20" s="1"/>
  <c r="M16" i="19"/>
  <c r="M30" i="19" s="1"/>
  <c r="M32" i="19" s="1"/>
  <c r="M49" i="19" s="1"/>
  <c r="M51" i="19" s="1"/>
  <c r="EE57" i="6"/>
  <c r="EE59" i="6"/>
  <c r="ED48" i="6"/>
  <c r="EK49" i="6" s="1"/>
  <c r="EF56" i="6"/>
  <c r="EM57" i="6" s="1"/>
  <c r="EB37" i="6"/>
  <c r="EI38" i="6" s="1"/>
  <c r="ED34" i="6"/>
  <c r="EK35" i="6" s="1"/>
  <c r="EA18" i="15"/>
  <c r="EA24" i="15"/>
  <c r="EA21" i="15"/>
  <c r="DS22" i="4" l="1"/>
  <c r="DS29" i="4"/>
  <c r="DS16" i="4"/>
  <c r="DS24" i="4"/>
  <c r="DS31" i="4"/>
  <c r="DS14" i="4"/>
  <c r="DS18" i="4"/>
  <c r="DS26" i="4"/>
  <c r="DI26" i="4"/>
  <c r="DG18" i="4"/>
  <c r="DA22" i="4"/>
  <c r="DI29" i="4"/>
  <c r="DH31" i="4"/>
  <c r="DJ22" i="4"/>
  <c r="DI16" i="4"/>
  <c r="DA14" i="4"/>
  <c r="CY22" i="4"/>
  <c r="DH14" i="4"/>
  <c r="DK18" i="4"/>
  <c r="DH24" i="4"/>
  <c r="CQ22" i="4"/>
  <c r="DK29" i="4"/>
  <c r="CR14" i="4"/>
  <c r="CV14" i="4"/>
  <c r="DG14" i="4"/>
  <c r="DJ14" i="4"/>
  <c r="CQ14" i="4"/>
  <c r="CR22" i="4"/>
  <c r="CY14" i="4"/>
  <c r="CV22" i="4"/>
  <c r="DJ24" i="4"/>
  <c r="DI14" i="4"/>
  <c r="DK16" i="4"/>
  <c r="DH18" i="4"/>
  <c r="DH16" i="4"/>
  <c r="DM18" i="4"/>
  <c r="CX14" i="4"/>
  <c r="DF24" i="4"/>
  <c r="DF14" i="4"/>
  <c r="DL26" i="4"/>
  <c r="DR29" i="4"/>
  <c r="CT14" i="4"/>
  <c r="DK26" i="4"/>
  <c r="DA31" i="4"/>
  <c r="DG16" i="4"/>
  <c r="DC31" i="4"/>
  <c r="DC22" i="4"/>
  <c r="DE24" i="4"/>
  <c r="DG29" i="4"/>
  <c r="DL24" i="4"/>
  <c r="DR22" i="4"/>
  <c r="DI18" i="4"/>
  <c r="CT22" i="4"/>
  <c r="DJ31" i="4"/>
  <c r="DH22" i="4"/>
  <c r="DK14" i="4"/>
  <c r="DC14" i="4"/>
  <c r="DJ26" i="4"/>
  <c r="DG26" i="4"/>
  <c r="CX22" i="4"/>
  <c r="DN24" i="4"/>
  <c r="DL16" i="4"/>
  <c r="DE14" i="4"/>
  <c r="DQ22" i="4"/>
  <c r="DL14" i="4"/>
  <c r="DH26" i="4"/>
  <c r="DC26" i="4"/>
  <c r="DQ29" i="4"/>
  <c r="DL18" i="4"/>
  <c r="CT18" i="4"/>
  <c r="CY29" i="4"/>
  <c r="DO31" i="4"/>
  <c r="DQ24" i="4"/>
  <c r="CY24" i="4"/>
  <c r="DF29" i="4"/>
  <c r="DN18" i="4"/>
  <c r="DM31" i="4"/>
  <c r="DO22" i="4"/>
  <c r="DL22" i="4"/>
  <c r="CV16" i="4"/>
  <c r="CY16" i="4"/>
  <c r="CT24" i="4"/>
  <c r="DR24" i="4"/>
  <c r="CX29" i="4"/>
  <c r="CX18" i="4"/>
  <c r="DM26" i="4"/>
  <c r="DA16" i="4"/>
  <c r="DF16" i="4"/>
  <c r="DC24" i="4"/>
  <c r="DE26" i="4"/>
  <c r="DC16" i="4"/>
  <c r="CV26" i="4"/>
  <c r="DP18" i="4"/>
  <c r="DF26" i="4"/>
  <c r="DJ29" i="4"/>
  <c r="CY26" i="4"/>
  <c r="DP24" i="4"/>
  <c r="DP31" i="4"/>
  <c r="DC18" i="4"/>
  <c r="DO26" i="4"/>
  <c r="CT29" i="4"/>
  <c r="CV18" i="4"/>
  <c r="CY18" i="4"/>
  <c r="DM29" i="4"/>
  <c r="DN31" i="4"/>
  <c r="DO29" i="4"/>
  <c r="DC29" i="4"/>
  <c r="DP22" i="4"/>
  <c r="DE16" i="4"/>
  <c r="DP14" i="4"/>
  <c r="DO18" i="4"/>
  <c r="DM24" i="4"/>
  <c r="DN22" i="4"/>
  <c r="DH29" i="4"/>
  <c r="DJ16" i="4"/>
  <c r="DO16" i="4"/>
  <c r="DL31" i="4"/>
  <c r="DJ18" i="4"/>
  <c r="DM22" i="4"/>
  <c r="CX26" i="4"/>
  <c r="DN14" i="4"/>
  <c r="DA24" i="4"/>
  <c r="DF18" i="4"/>
  <c r="DM16" i="4"/>
  <c r="DA26" i="4"/>
  <c r="DP29" i="4"/>
  <c r="DA18" i="4"/>
  <c r="CX16" i="4"/>
  <c r="CX24" i="4"/>
  <c r="DE29" i="4"/>
  <c r="DO14" i="4"/>
  <c r="DL29" i="4"/>
  <c r="DA29" i="4"/>
  <c r="DN26" i="4"/>
  <c r="DP26" i="4"/>
  <c r="DO24" i="4"/>
  <c r="DN29" i="4"/>
  <c r="DN16" i="4"/>
  <c r="DM14" i="4"/>
  <c r="DE18" i="4"/>
  <c r="DP16" i="4"/>
  <c r="EA19" i="15"/>
  <c r="EE60" i="6"/>
  <c r="EL60" i="6"/>
  <c r="ED37" i="6"/>
  <c r="EK38" i="6" s="1"/>
  <c r="EF34" i="6"/>
  <c r="EM35" i="6" s="1"/>
  <c r="EE48" i="6"/>
  <c r="EE46" i="6"/>
  <c r="EF45" i="6"/>
  <c r="EM46" i="6" s="1"/>
  <c r="EF59" i="6"/>
  <c r="EM60" i="6" s="1"/>
  <c r="EE37" i="6"/>
  <c r="EL38" i="6" s="1"/>
  <c r="EA28" i="15"/>
  <c r="EA29" i="15" s="1"/>
  <c r="DZ13" i="16"/>
  <c r="EE49" i="6" l="1"/>
  <c r="EL49" i="6"/>
  <c r="EF48" i="6"/>
  <c r="EM49" i="6" s="1"/>
  <c r="EF37" i="6"/>
  <c r="EM38" i="6" s="1"/>
  <c r="EA34" i="15"/>
  <c r="EA31" i="15"/>
  <c r="EA32" i="15" s="1"/>
  <c r="BK59" i="6"/>
  <c r="BN48" i="6"/>
  <c r="BU49" i="6" s="1"/>
  <c r="BM48" i="6"/>
  <c r="BT49" i="6" s="1"/>
  <c r="BL48" i="6"/>
  <c r="BS49" i="6" s="1"/>
  <c r="BK48" i="6"/>
  <c r="BR49" i="6" s="1"/>
  <c r="BJ48" i="6"/>
  <c r="BQ49" i="6" s="1"/>
  <c r="BI48" i="6"/>
  <c r="BP49" i="6" s="1"/>
  <c r="BH48" i="6"/>
  <c r="BO49" i="6" s="1"/>
  <c r="DZ20" i="6" l="1"/>
  <c r="DZ57" i="6"/>
  <c r="DX34" i="6"/>
  <c r="DV34" i="6"/>
  <c r="DT34" i="6"/>
  <c r="DS34" i="6"/>
  <c r="DO34" i="6"/>
  <c r="DM34" i="6"/>
  <c r="DL34" i="6"/>
  <c r="DJ34" i="6"/>
  <c r="DH34" i="6"/>
  <c r="DF34" i="6"/>
  <c r="DC34" i="6"/>
  <c r="DA34" i="6"/>
  <c r="CY34" i="6"/>
  <c r="CX34" i="6"/>
  <c r="CV34" i="6"/>
  <c r="CT34" i="6"/>
  <c r="CR34" i="6"/>
  <c r="CQ34" i="6"/>
  <c r="CO34" i="6"/>
  <c r="CM34" i="6"/>
  <c r="CK34" i="6"/>
  <c r="CJ34" i="6"/>
  <c r="CI34" i="6"/>
  <c r="CH34" i="6"/>
  <c r="CF34" i="6"/>
  <c r="CD34" i="6"/>
  <c r="CC34" i="6"/>
  <c r="CA34" i="6"/>
  <c r="BY34" i="6"/>
  <c r="BW34" i="6"/>
  <c r="BV34" i="6"/>
  <c r="BU34" i="6"/>
  <c r="BT34" i="6"/>
  <c r="BR34" i="6"/>
  <c r="BP34" i="6"/>
  <c r="BO34" i="6"/>
  <c r="BN34" i="6"/>
  <c r="BM34" i="6"/>
  <c r="BL34" i="6"/>
  <c r="BK34" i="6"/>
  <c r="BI34" i="6"/>
  <c r="BH34" i="6"/>
  <c r="BF34" i="6"/>
  <c r="BD34" i="6"/>
  <c r="BB34" i="6"/>
  <c r="BA34" i="6"/>
  <c r="AZ34" i="6"/>
  <c r="AY34" i="6"/>
  <c r="AW34" i="6"/>
  <c r="AU34" i="6"/>
  <c r="AT34" i="6"/>
  <c r="AS34" i="6"/>
  <c r="AR34" i="6"/>
  <c r="AP34" i="6"/>
  <c r="AN34" i="6"/>
  <c r="AM34" i="6"/>
  <c r="AK34" i="6"/>
  <c r="AI34" i="6"/>
  <c r="AG34" i="6"/>
  <c r="AF34" i="6"/>
  <c r="AD34" i="6"/>
  <c r="AB34" i="6"/>
  <c r="Z34" i="6"/>
  <c r="Y34" i="6"/>
  <c r="W34" i="6"/>
  <c r="U34" i="6"/>
  <c r="S34" i="6"/>
  <c r="R34" i="6"/>
  <c r="P34" i="6"/>
  <c r="N34" i="6"/>
  <c r="L34" i="6"/>
  <c r="K34" i="6"/>
  <c r="I34" i="6"/>
  <c r="I37" i="6" s="1"/>
  <c r="G34" i="6"/>
  <c r="G37" i="6" s="1"/>
  <c r="E34" i="6"/>
  <c r="E37" i="6" s="1"/>
  <c r="F21" i="9"/>
  <c r="EE35" i="6" l="1"/>
  <c r="D34" i="6"/>
  <c r="D37" i="6" s="1"/>
  <c r="BO37" i="6"/>
  <c r="BO35" i="6"/>
  <c r="S37" i="6"/>
  <c r="S35" i="6"/>
  <c r="CO37" i="6"/>
  <c r="CO35" i="6"/>
  <c r="U37" i="6"/>
  <c r="U35" i="6"/>
  <c r="AI37" i="6"/>
  <c r="AI35" i="6"/>
  <c r="AU37" i="6"/>
  <c r="AU35" i="6"/>
  <c r="BH37" i="6"/>
  <c r="BH35" i="6"/>
  <c r="BR37" i="6"/>
  <c r="BR35" i="6"/>
  <c r="CD37" i="6"/>
  <c r="CD35" i="6"/>
  <c r="CQ37" i="6"/>
  <c r="CQ35" i="6"/>
  <c r="DS37" i="6"/>
  <c r="DS35" i="6"/>
  <c r="DZ35" i="6"/>
  <c r="BD37" i="6"/>
  <c r="BD35" i="6"/>
  <c r="DA37" i="6"/>
  <c r="DA35" i="6"/>
  <c r="BF37" i="6"/>
  <c r="BF35" i="6"/>
  <c r="W37" i="6"/>
  <c r="W35" i="6"/>
  <c r="AK37" i="6"/>
  <c r="AK35" i="6"/>
  <c r="AW37" i="6"/>
  <c r="AW35" i="6"/>
  <c r="BI37" i="6"/>
  <c r="BI35" i="6"/>
  <c r="BT37" i="6"/>
  <c r="BT35" i="6"/>
  <c r="CF37" i="6"/>
  <c r="CF35" i="6"/>
  <c r="CR37" i="6"/>
  <c r="CR35" i="6"/>
  <c r="DF37" i="6"/>
  <c r="DF35" i="6"/>
  <c r="DT37" i="6"/>
  <c r="EA35" i="6"/>
  <c r="DT35" i="6"/>
  <c r="AF37" i="6"/>
  <c r="AF35" i="6"/>
  <c r="CM37" i="6"/>
  <c r="CM35" i="6"/>
  <c r="AG37" i="6"/>
  <c r="AG35" i="6"/>
  <c r="K37" i="6"/>
  <c r="AM37" i="6"/>
  <c r="AM35" i="6"/>
  <c r="AY37" i="6"/>
  <c r="AY35" i="6"/>
  <c r="BK37" i="6"/>
  <c r="BK35" i="6"/>
  <c r="BU37" i="6"/>
  <c r="BU35" i="6"/>
  <c r="CH37" i="6"/>
  <c r="CH35" i="6"/>
  <c r="CT37" i="6"/>
  <c r="CT35" i="6"/>
  <c r="DH37" i="6"/>
  <c r="DH35" i="6"/>
  <c r="DV37" i="6"/>
  <c r="DV35" i="6"/>
  <c r="EC35" i="6"/>
  <c r="AS37" i="6"/>
  <c r="CA37" i="6"/>
  <c r="CA35" i="6"/>
  <c r="BP37" i="6"/>
  <c r="BP35" i="6"/>
  <c r="L37" i="6"/>
  <c r="L38" i="6" s="1"/>
  <c r="L35" i="6"/>
  <c r="Z37" i="6"/>
  <c r="Z35" i="6"/>
  <c r="AN37" i="6"/>
  <c r="AN35" i="6"/>
  <c r="AZ37" i="6"/>
  <c r="AZ35" i="6"/>
  <c r="BL37" i="6"/>
  <c r="BV37" i="6"/>
  <c r="BV35" i="6"/>
  <c r="CI37" i="6"/>
  <c r="CV37" i="6"/>
  <c r="CV35" i="6"/>
  <c r="DJ37" i="6"/>
  <c r="DJ35" i="6"/>
  <c r="DX37" i="6"/>
  <c r="EE38" i="6" s="1"/>
  <c r="R37" i="6"/>
  <c r="R35" i="6"/>
  <c r="DO37" i="6"/>
  <c r="DO35" i="6"/>
  <c r="AT37" i="6"/>
  <c r="AT35" i="6"/>
  <c r="CC37" i="6"/>
  <c r="CC35" i="6"/>
  <c r="Y37" i="6"/>
  <c r="Y35" i="6"/>
  <c r="N37" i="6"/>
  <c r="N38" i="6" s="1"/>
  <c r="N35" i="6"/>
  <c r="AB37" i="6"/>
  <c r="AB35" i="6"/>
  <c r="AP37" i="6"/>
  <c r="AP35" i="6"/>
  <c r="BA37" i="6"/>
  <c r="BA35" i="6"/>
  <c r="BM37" i="6"/>
  <c r="BM35" i="6"/>
  <c r="BW37" i="6"/>
  <c r="BW35" i="6"/>
  <c r="CJ37" i="6"/>
  <c r="CJ35" i="6"/>
  <c r="CX37" i="6"/>
  <c r="CX35" i="6"/>
  <c r="DL37" i="6"/>
  <c r="DC37" i="6"/>
  <c r="DC35" i="6"/>
  <c r="P37" i="6"/>
  <c r="P38" i="6" s="1"/>
  <c r="P35" i="6"/>
  <c r="AD37" i="6"/>
  <c r="AD35" i="6"/>
  <c r="AR37" i="6"/>
  <c r="AR35" i="6"/>
  <c r="BB37" i="6"/>
  <c r="BB35" i="6"/>
  <c r="BN37" i="6"/>
  <c r="BY37" i="6"/>
  <c r="BY35" i="6"/>
  <c r="CK37" i="6"/>
  <c r="CK35" i="6"/>
  <c r="CY37" i="6"/>
  <c r="CY35" i="6"/>
  <c r="DM37" i="6"/>
  <c r="DM35" i="6"/>
  <c r="DZ13" i="15"/>
  <c r="EB13" i="15" s="1"/>
  <c r="ED13" i="15" s="1"/>
  <c r="DZ6" i="15"/>
  <c r="CY38" i="6" l="1"/>
  <c r="BB38" i="6"/>
  <c r="DM38" i="6"/>
  <c r="K35" i="6"/>
  <c r="Y38" i="6"/>
  <c r="CT38" i="6"/>
  <c r="BV38" i="6"/>
  <c r="DH38" i="6"/>
  <c r="AM38" i="6"/>
  <c r="AT38" i="6"/>
  <c r="DC38" i="6"/>
  <c r="AP38" i="6"/>
  <c r="CK38" i="6"/>
  <c r="BM38" i="6"/>
  <c r="CJ38" i="6"/>
  <c r="Z38" i="6"/>
  <c r="CX38" i="6"/>
  <c r="AD38" i="6"/>
  <c r="BW38" i="6"/>
  <c r="CV38" i="6"/>
  <c r="EF13" i="15"/>
  <c r="BP38" i="6"/>
  <c r="CA38" i="6"/>
  <c r="BD38" i="6"/>
  <c r="K38" i="6"/>
  <c r="AZ38" i="6"/>
  <c r="CF38" i="6"/>
  <c r="AB38" i="6"/>
  <c r="AK38" i="6"/>
  <c r="BU38" i="6"/>
  <c r="BR38" i="6"/>
  <c r="U38" i="6"/>
  <c r="CC38" i="6"/>
  <c r="AN38" i="6"/>
  <c r="CH38" i="6"/>
  <c r="AR38" i="6"/>
  <c r="DO38" i="6"/>
  <c r="DT38" i="6"/>
  <c r="EA38" i="6"/>
  <c r="BT38" i="6"/>
  <c r="W38" i="6"/>
  <c r="DJ38" i="6"/>
  <c r="BK38" i="6"/>
  <c r="AG38" i="6"/>
  <c r="DS38" i="6"/>
  <c r="DZ38" i="6"/>
  <c r="BH38" i="6"/>
  <c r="CO38" i="6"/>
  <c r="BY38" i="6"/>
  <c r="BA38" i="6"/>
  <c r="R38" i="6"/>
  <c r="DF38" i="6"/>
  <c r="BI38" i="6"/>
  <c r="BF38" i="6"/>
  <c r="DV38" i="6"/>
  <c r="EC38" i="6"/>
  <c r="AY38" i="6"/>
  <c r="CM38" i="6"/>
  <c r="CQ38" i="6"/>
  <c r="AU38" i="6"/>
  <c r="S38" i="6"/>
  <c r="CR38" i="6"/>
  <c r="AW38" i="6"/>
  <c r="DA38" i="6"/>
  <c r="AF38" i="6"/>
  <c r="CD38" i="6"/>
  <c r="AI38" i="6"/>
  <c r="BO38" i="6"/>
  <c r="CX6" i="4"/>
  <c r="CX30" i="4" l="1"/>
  <c r="CX31" i="4" s="1"/>
  <c r="DZ20" i="15" l="1"/>
  <c r="EB20" i="15" s="1"/>
  <c r="DZ12" i="15"/>
  <c r="EB12" i="15" s="1"/>
  <c r="DZ14" i="15"/>
  <c r="EB14" i="15" s="1"/>
  <c r="ED14" i="15" s="1"/>
  <c r="EF14" i="15" l="1"/>
  <c r="ED20" i="15"/>
  <c r="ED12" i="15"/>
  <c r="EF20" i="15" l="1"/>
  <c r="EF12" i="15"/>
  <c r="BU70" i="5" l="1"/>
  <c r="BU66" i="5"/>
  <c r="BU62" i="5"/>
  <c r="BU33" i="5"/>
  <c r="BU21" i="5"/>
  <c r="BU9" i="5"/>
  <c r="BU65" i="5" s="1"/>
  <c r="BU69" i="5" l="1"/>
  <c r="BU25" i="5"/>
  <c r="BU14" i="5"/>
  <c r="BU17" i="5" s="1"/>
  <c r="BU61" i="5"/>
  <c r="BU35" i="5" l="1"/>
  <c r="BU60" i="5"/>
  <c r="BU64" i="5"/>
  <c r="BU52" i="5"/>
  <c r="BU51" i="5"/>
  <c r="BU50" i="5"/>
  <c r="BU47" i="5"/>
  <c r="BU48" i="5"/>
  <c r="BU54" i="5"/>
  <c r="BU28" i="5"/>
  <c r="BU68" i="5"/>
  <c r="BU56" i="5"/>
  <c r="BU55" i="5"/>
  <c r="BU46" i="5"/>
  <c r="DZ8" i="6" l="1"/>
  <c r="BU36" i="5"/>
  <c r="BU42" i="5" s="1"/>
  <c r="DZ46" i="6"/>
  <c r="BT66" i="5" l="1"/>
  <c r="BT33" i="5"/>
  <c r="BT9" i="5"/>
  <c r="BT14" i="5" s="1"/>
  <c r="CW6" i="4"/>
  <c r="CV6" i="4"/>
  <c r="BT65" i="5" l="1"/>
  <c r="BT17" i="5"/>
  <c r="BT50" i="5"/>
  <c r="BT51" i="5"/>
  <c r="BT52" i="5"/>
  <c r="BT64" i="5"/>
  <c r="BT21" i="5" l="1"/>
  <c r="BT70" i="5"/>
  <c r="BT62" i="5"/>
  <c r="BT69" i="5" l="1"/>
  <c r="BT25" i="5"/>
  <c r="BT61" i="5"/>
  <c r="BT55" i="5" l="1"/>
  <c r="BT60" i="5"/>
  <c r="BT54" i="5"/>
  <c r="BT28" i="5"/>
  <c r="BT36" i="5" s="1"/>
  <c r="BT42" i="5" s="1"/>
  <c r="BT68" i="5"/>
  <c r="BT46" i="5"/>
  <c r="BT47" i="5"/>
  <c r="BT48" i="5"/>
  <c r="BT56" i="5"/>
  <c r="BT35" i="5"/>
  <c r="CV30" i="4" l="1"/>
  <c r="CV31" i="4" s="1"/>
  <c r="DY8" i="6"/>
  <c r="DX8" i="6"/>
  <c r="DX20" i="15" l="1"/>
  <c r="DY70" i="6"/>
  <c r="F26" i="9" l="1"/>
  <c r="E26" i="9"/>
  <c r="G26" i="9" s="1"/>
  <c r="DY52" i="6" l="1"/>
  <c r="DY41" i="6"/>
  <c r="ED42" i="6" l="1"/>
  <c r="EF42" i="6"/>
  <c r="ED53" i="6"/>
  <c r="EF53" i="6"/>
  <c r="DZ53" i="6"/>
  <c r="EB53" i="6"/>
  <c r="DZ42" i="6"/>
  <c r="EB42" i="6"/>
  <c r="DY43" i="6"/>
  <c r="DY54" i="6"/>
  <c r="DY32" i="6"/>
  <c r="DY30" i="6"/>
  <c r="DX20" i="6"/>
  <c r="DY6" i="16"/>
  <c r="DX6" i="16"/>
  <c r="DY22" i="6" l="1"/>
  <c r="ED31" i="6"/>
  <c r="ED21" i="6" s="1"/>
  <c r="EF31" i="6"/>
  <c r="DZ31" i="6"/>
  <c r="DZ21" i="6" s="1"/>
  <c r="EB31" i="6"/>
  <c r="EB21" i="6" s="1"/>
  <c r="DY20" i="6"/>
  <c r="DX13" i="16"/>
  <c r="EF21" i="6" l="1"/>
  <c r="DX13" i="15"/>
  <c r="DY6" i="15"/>
  <c r="DX6" i="15"/>
  <c r="DX46" i="6" l="1"/>
  <c r="DQ56" i="6"/>
  <c r="DQ59" i="6" s="1"/>
  <c r="DQ60" i="6" l="1"/>
  <c r="DX60" i="6"/>
  <c r="DQ34" i="6"/>
  <c r="DX57" i="6"/>
  <c r="DY6" i="6"/>
  <c r="DX6" i="6"/>
  <c r="DQ37" i="6" l="1"/>
  <c r="DQ35" i="6"/>
  <c r="DX35" i="6"/>
  <c r="DX8" i="15"/>
  <c r="DX9" i="15"/>
  <c r="DX10" i="15"/>
  <c r="DX12" i="15"/>
  <c r="DX14" i="15"/>
  <c r="DQ38" i="6" l="1"/>
  <c r="DX38" i="6"/>
  <c r="DX7" i="15" l="1"/>
  <c r="DX11" i="15" l="1"/>
  <c r="DX15" i="15" s="1"/>
  <c r="DX16" i="15" s="1"/>
  <c r="DX21" i="15" l="1"/>
  <c r="DX24" i="15"/>
  <c r="DX28" i="15" s="1"/>
  <c r="DX29" i="15" s="1"/>
  <c r="DX18" i="15"/>
  <c r="DX19" i="15" l="1"/>
  <c r="CT30" i="4"/>
  <c r="CT31" i="4" s="1"/>
  <c r="DX31" i="15"/>
  <c r="DX32" i="15" s="1"/>
  <c r="DX34" i="15"/>
  <c r="DV20" i="15" l="1"/>
  <c r="BS33" i="5" l="1"/>
  <c r="BS21" i="5"/>
  <c r="BS25" i="5" s="1"/>
  <c r="BS28" i="5" l="1"/>
  <c r="BS55" i="5"/>
  <c r="BS69" i="5"/>
  <c r="BS54" i="5"/>
  <c r="BS66" i="5"/>
  <c r="BS56" i="5"/>
  <c r="BS68" i="5"/>
  <c r="BS70" i="5"/>
  <c r="BS9" i="5"/>
  <c r="BS14" i="5" s="1"/>
  <c r="BS62" i="5"/>
  <c r="BS65" i="5" l="1"/>
  <c r="BS61" i="5"/>
  <c r="BS52" i="5" l="1"/>
  <c r="BS35" i="5"/>
  <c r="BS17" i="5"/>
  <c r="BS36" i="5" s="1"/>
  <c r="BS42" i="5" s="1"/>
  <c r="BS47" i="5"/>
  <c r="BS60" i="5"/>
  <c r="BS64" i="5"/>
  <c r="BS48" i="5"/>
  <c r="BS51" i="5"/>
  <c r="BS46" i="5"/>
  <c r="BS50" i="5"/>
  <c r="DS6" i="6" l="1"/>
  <c r="DT6" i="6"/>
  <c r="DU6" i="6"/>
  <c r="DV6" i="6"/>
  <c r="DW6" i="6"/>
  <c r="DW70" i="6"/>
  <c r="DV57" i="6"/>
  <c r="DW52" i="6"/>
  <c r="DV46" i="6"/>
  <c r="DW43" i="6"/>
  <c r="DW41" i="6"/>
  <c r="DW32" i="6"/>
  <c r="DW30" i="6"/>
  <c r="DV20" i="6"/>
  <c r="DV8" i="6"/>
  <c r="DW8" i="6"/>
  <c r="DX42" i="6" l="1"/>
  <c r="DX31" i="6"/>
  <c r="DX53" i="6"/>
  <c r="DW20" i="6"/>
  <c r="DW54" i="6"/>
  <c r="DW22" i="6" s="1"/>
  <c r="DX21" i="6" l="1"/>
  <c r="DS6" i="16" l="1"/>
  <c r="DT6" i="16"/>
  <c r="DU6" i="16"/>
  <c r="DV6" i="16"/>
  <c r="DW6" i="16"/>
  <c r="DV13" i="16" l="1"/>
  <c r="DS6" i="15" l="1"/>
  <c r="DT6" i="15"/>
  <c r="DU6" i="15"/>
  <c r="DV6" i="15"/>
  <c r="DW6" i="15"/>
  <c r="DV13" i="15"/>
  <c r="CQ6" i="4" l="1"/>
  <c r="CR6" i="4"/>
  <c r="CS6" i="4"/>
  <c r="CT6" i="4"/>
  <c r="CU6" i="4"/>
  <c r="DV12" i="15" l="1"/>
  <c r="DV14" i="15"/>
  <c r="DV9" i="15" l="1"/>
  <c r="DV10" i="15"/>
  <c r="DV8" i="15"/>
  <c r="DV7" i="15" l="1"/>
  <c r="DV11" i="15" l="1"/>
  <c r="DV15" i="15" s="1"/>
  <c r="DV16" i="15" s="1"/>
  <c r="DV24" i="15" l="1"/>
  <c r="DV28" i="15" s="1"/>
  <c r="DV29" i="15" s="1"/>
  <c r="DV18" i="15"/>
  <c r="DV21" i="15"/>
  <c r="DV19" i="15" l="1"/>
  <c r="DV31" i="15"/>
  <c r="DV32" i="15" s="1"/>
  <c r="DV34" i="15"/>
  <c r="E78" i="9" l="1"/>
  <c r="E96" i="9"/>
  <c r="E99" i="9"/>
  <c r="F78" i="9"/>
  <c r="S14" i="5" l="1"/>
  <c r="R14" i="5"/>
  <c r="Q14" i="5"/>
  <c r="P14" i="5"/>
  <c r="O14" i="5"/>
  <c r="N14" i="5"/>
  <c r="M14" i="5"/>
  <c r="L14" i="5"/>
  <c r="K14" i="5"/>
  <c r="J14" i="5"/>
  <c r="I14" i="5"/>
  <c r="H14" i="5"/>
  <c r="G14" i="5"/>
  <c r="F14" i="5"/>
  <c r="E14" i="5"/>
  <c r="D14" i="5"/>
  <c r="BQ66" i="5" l="1"/>
  <c r="BP66" i="5"/>
  <c r="BO66" i="5"/>
  <c r="BN66" i="5"/>
  <c r="BM66" i="5"/>
  <c r="BL66" i="5"/>
  <c r="BK66" i="5"/>
  <c r="BJ66" i="5"/>
  <c r="BI66" i="5"/>
  <c r="BH66" i="5"/>
  <c r="BG66" i="5"/>
  <c r="BF66" i="5"/>
  <c r="BE66" i="5"/>
  <c r="BD66" i="5"/>
  <c r="BC66" i="5"/>
  <c r="BB66" i="5"/>
  <c r="BA66" i="5"/>
  <c r="AZ66" i="5"/>
  <c r="AY66" i="5"/>
  <c r="AX66" i="5"/>
  <c r="AW66" i="5"/>
  <c r="AV66" i="5"/>
  <c r="AU66" i="5"/>
  <c r="AT66" i="5"/>
  <c r="AS66" i="5"/>
  <c r="AR66" i="5"/>
  <c r="AQ66" i="5"/>
  <c r="AP66" i="5"/>
  <c r="AO66" i="5"/>
  <c r="AN66" i="5"/>
  <c r="AM66" i="5"/>
  <c r="AL66" i="5"/>
  <c r="AK66" i="5"/>
  <c r="AJ66" i="5"/>
  <c r="AI66" i="5"/>
  <c r="AH66" i="5"/>
  <c r="AG66" i="5"/>
  <c r="AF66" i="5"/>
  <c r="AE66" i="5"/>
  <c r="AD66" i="5"/>
  <c r="AC66" i="5"/>
  <c r="AB66" i="5"/>
  <c r="AA66" i="5"/>
  <c r="Z66" i="5"/>
  <c r="Y66" i="5"/>
  <c r="X66" i="5"/>
  <c r="W66" i="5"/>
  <c r="V66" i="5"/>
  <c r="U66" i="5"/>
  <c r="T66" i="5"/>
  <c r="S66" i="5"/>
  <c r="R66" i="5"/>
  <c r="Q66" i="5"/>
  <c r="P66" i="5"/>
  <c r="O66" i="5"/>
  <c r="N66" i="5"/>
  <c r="M66" i="5"/>
  <c r="L66" i="5"/>
  <c r="K66" i="5"/>
  <c r="J66" i="5"/>
  <c r="I66" i="5"/>
  <c r="H66" i="5"/>
  <c r="G66" i="5"/>
  <c r="F66" i="5"/>
  <c r="E66" i="5"/>
  <c r="D66" i="5"/>
  <c r="BQ62" i="5" l="1"/>
  <c r="BP62" i="5"/>
  <c r="BO62" i="5"/>
  <c r="BN62" i="5"/>
  <c r="BM62" i="5"/>
  <c r="BL62" i="5"/>
  <c r="BK62" i="5"/>
  <c r="BJ62" i="5"/>
  <c r="BI62" i="5"/>
  <c r="BH62" i="5"/>
  <c r="BG62" i="5"/>
  <c r="BF62" i="5"/>
  <c r="BE62" i="5"/>
  <c r="BD62" i="5"/>
  <c r="BC62" i="5"/>
  <c r="BB62" i="5"/>
  <c r="BA62" i="5"/>
  <c r="AZ62" i="5"/>
  <c r="AY62" i="5"/>
  <c r="AX62" i="5"/>
  <c r="AW62" i="5"/>
  <c r="AV62" i="5"/>
  <c r="AU62" i="5"/>
  <c r="AT62" i="5"/>
  <c r="AS62" i="5"/>
  <c r="AR62" i="5"/>
  <c r="AQ62" i="5"/>
  <c r="AP62" i="5"/>
  <c r="AO62" i="5"/>
  <c r="AN62" i="5"/>
  <c r="AM62" i="5"/>
  <c r="AL62" i="5"/>
  <c r="AK62" i="5"/>
  <c r="AJ62" i="5"/>
  <c r="AI62" i="5"/>
  <c r="AH62" i="5"/>
  <c r="AG62" i="5"/>
  <c r="AF62" i="5"/>
  <c r="AE62" i="5"/>
  <c r="AD62" i="5"/>
  <c r="AC62" i="5"/>
  <c r="AB62" i="5"/>
  <c r="AA62" i="5"/>
  <c r="Z62" i="5"/>
  <c r="Y62" i="5"/>
  <c r="X62" i="5"/>
  <c r="W62" i="5"/>
  <c r="V62" i="5"/>
  <c r="U62" i="5"/>
  <c r="T62" i="5"/>
  <c r="S62" i="5"/>
  <c r="R62" i="5"/>
  <c r="Q62" i="5"/>
  <c r="P62" i="5"/>
  <c r="O62" i="5"/>
  <c r="N62" i="5"/>
  <c r="M62" i="5"/>
  <c r="L62" i="5"/>
  <c r="K62" i="5"/>
  <c r="J62" i="5"/>
  <c r="I62" i="5"/>
  <c r="H62" i="5"/>
  <c r="G62" i="5"/>
  <c r="F62" i="5"/>
  <c r="E62" i="5"/>
  <c r="D62" i="5"/>
  <c r="DU26" i="15" l="1"/>
  <c r="DU25" i="15"/>
  <c r="CZ73" i="6"/>
  <c r="DU73" i="6"/>
  <c r="DW73" i="6" l="1"/>
  <c r="DB73" i="6"/>
  <c r="DW27" i="15"/>
  <c r="DY27" i="15" s="1"/>
  <c r="DW26" i="15"/>
  <c r="DY26" i="15" s="1"/>
  <c r="DW25" i="15"/>
  <c r="DY25" i="15" s="1"/>
  <c r="DU12" i="16"/>
  <c r="DW12" i="16" s="1"/>
  <c r="DY12" i="16" s="1"/>
  <c r="DU11" i="16"/>
  <c r="DU10" i="16"/>
  <c r="DU9" i="16"/>
  <c r="DU8" i="16"/>
  <c r="DY73" i="6" l="1"/>
  <c r="DW9" i="16"/>
  <c r="DW8" i="16"/>
  <c r="DW10" i="16"/>
  <c r="DW11" i="16"/>
  <c r="DD73" i="6"/>
  <c r="DT13" i="16"/>
  <c r="DU13" i="16"/>
  <c r="DY10" i="16" l="1"/>
  <c r="DY9" i="16"/>
  <c r="DY11" i="16"/>
  <c r="DY8" i="16"/>
  <c r="DW13" i="16"/>
  <c r="DT13" i="15"/>
  <c r="DY13" i="16" l="1"/>
  <c r="DU33" i="15"/>
  <c r="DW33" i="15" s="1"/>
  <c r="DY33" i="15" s="1"/>
  <c r="DU8" i="6" l="1"/>
  <c r="CS28" i="4" l="1"/>
  <c r="CS29" i="4" s="1"/>
  <c r="CS20" i="4"/>
  <c r="CS26" i="4"/>
  <c r="CS24" i="4"/>
  <c r="CS17" i="4"/>
  <c r="CS18" i="4" s="1"/>
  <c r="CS15" i="4"/>
  <c r="CS16" i="4" s="1"/>
  <c r="DT12" i="15"/>
  <c r="DT14" i="15"/>
  <c r="DT10" i="15"/>
  <c r="CS22" i="4" l="1"/>
  <c r="CS14" i="4"/>
  <c r="CU20" i="4"/>
  <c r="CU17" i="4"/>
  <c r="CU18" i="4" s="1"/>
  <c r="CR30" i="4"/>
  <c r="CR31" i="4" s="1"/>
  <c r="CU28" i="4"/>
  <c r="CU29" i="4" s="1"/>
  <c r="CU15" i="4"/>
  <c r="CU16" i="4" s="1"/>
  <c r="CU26" i="4"/>
  <c r="CU24" i="4"/>
  <c r="DT9" i="15"/>
  <c r="DT8" i="15"/>
  <c r="CU22" i="4" l="1"/>
  <c r="CU14" i="4"/>
  <c r="CW20" i="4"/>
  <c r="CW17" i="4"/>
  <c r="CW18" i="4" s="1"/>
  <c r="DT20" i="15"/>
  <c r="CS30" i="4"/>
  <c r="CS31" i="4" s="1"/>
  <c r="CW28" i="4"/>
  <c r="CW29" i="4" s="1"/>
  <c r="CW15" i="4"/>
  <c r="CW16" i="4" s="1"/>
  <c r="CW26" i="4"/>
  <c r="CW24" i="4"/>
  <c r="CW22" i="4" l="1"/>
  <c r="CW14" i="4"/>
  <c r="CU30" i="4"/>
  <c r="CU31" i="4" s="1"/>
  <c r="CW30" i="4" l="1"/>
  <c r="DT7" i="15" l="1"/>
  <c r="DU7" i="15" l="1"/>
  <c r="DT11" i="15"/>
  <c r="DT15" i="15" s="1"/>
  <c r="DT16" i="15" s="1"/>
  <c r="DW7" i="15" l="1"/>
  <c r="DT24" i="15"/>
  <c r="DT21" i="15"/>
  <c r="DT18" i="15"/>
  <c r="DT19" i="15" l="1"/>
  <c r="DY7" i="15"/>
  <c r="DT28" i="15"/>
  <c r="DT29" i="15" s="1"/>
  <c r="DT34" i="15" l="1"/>
  <c r="DT31" i="15"/>
  <c r="DT32" i="15" s="1"/>
  <c r="DU70" i="6" l="1"/>
  <c r="DT20" i="6" l="1"/>
  <c r="DT57" i="6"/>
  <c r="DU54" i="6"/>
  <c r="DU32" i="6"/>
  <c r="DU52" i="6"/>
  <c r="DT53" i="6"/>
  <c r="DT46" i="6"/>
  <c r="DU41" i="6"/>
  <c r="DT42" i="6"/>
  <c r="DV42" i="6" l="1"/>
  <c r="DV53" i="6"/>
  <c r="DU43" i="6"/>
  <c r="DU22" i="6" s="1"/>
  <c r="DU45" i="6"/>
  <c r="DU48" i="6" s="1"/>
  <c r="DU56" i="6"/>
  <c r="DU59" i="6" s="1"/>
  <c r="EB60" i="6" l="1"/>
  <c r="EB49" i="6"/>
  <c r="EB57" i="6"/>
  <c r="EB46" i="6"/>
  <c r="DW56" i="6"/>
  <c r="DW59" i="6" s="1"/>
  <c r="DW45" i="6"/>
  <c r="DW48" i="6" s="1"/>
  <c r="DU34" i="6"/>
  <c r="DU30" i="6"/>
  <c r="ED60" i="6" l="1"/>
  <c r="ED49" i="6"/>
  <c r="DU37" i="6"/>
  <c r="EB35" i="6"/>
  <c r="ED57" i="6"/>
  <c r="ED46" i="6"/>
  <c r="DV31" i="6"/>
  <c r="DY56" i="6"/>
  <c r="DY45" i="6"/>
  <c r="DW34" i="6"/>
  <c r="DU20" i="6"/>
  <c r="DT31" i="6"/>
  <c r="DT8" i="6"/>
  <c r="DY48" i="6" l="1"/>
  <c r="EF49" i="6" s="1"/>
  <c r="EF46" i="6"/>
  <c r="DY59" i="6"/>
  <c r="EF57" i="6"/>
  <c r="DW37" i="6"/>
  <c r="EB38" i="6"/>
  <c r="DV21" i="6"/>
  <c r="ED35" i="6"/>
  <c r="DT21" i="6"/>
  <c r="DY34" i="6"/>
  <c r="EF60" i="6" l="1"/>
  <c r="DY37" i="6"/>
  <c r="EF38" i="6" s="1"/>
  <c r="EF35" i="6"/>
  <c r="ED38" i="6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BP70" i="5"/>
  <c r="BO70" i="5"/>
  <c r="BN70" i="5"/>
  <c r="BM70" i="5"/>
  <c r="BL70" i="5"/>
  <c r="BK70" i="5"/>
  <c r="BJ70" i="5"/>
  <c r="BI70" i="5"/>
  <c r="BH70" i="5"/>
  <c r="BG70" i="5"/>
  <c r="BF70" i="5"/>
  <c r="BE70" i="5"/>
  <c r="BD70" i="5"/>
  <c r="BC70" i="5"/>
  <c r="BB70" i="5"/>
  <c r="BA70" i="5"/>
  <c r="AZ70" i="5"/>
  <c r="AY70" i="5"/>
  <c r="AX70" i="5"/>
  <c r="AW70" i="5"/>
  <c r="AV70" i="5"/>
  <c r="AU70" i="5"/>
  <c r="AT70" i="5"/>
  <c r="AS70" i="5"/>
  <c r="AR70" i="5"/>
  <c r="AQ70" i="5"/>
  <c r="AP70" i="5"/>
  <c r="AO70" i="5"/>
  <c r="AN70" i="5"/>
  <c r="AM70" i="5"/>
  <c r="AL70" i="5"/>
  <c r="AK70" i="5"/>
  <c r="AJ70" i="5"/>
  <c r="AI70" i="5"/>
  <c r="AH70" i="5"/>
  <c r="AG70" i="5"/>
  <c r="AF70" i="5"/>
  <c r="AE70" i="5"/>
  <c r="AD70" i="5"/>
  <c r="AC70" i="5"/>
  <c r="AB70" i="5"/>
  <c r="AA70" i="5"/>
  <c r="Z70" i="5"/>
  <c r="Y70" i="5"/>
  <c r="X70" i="5"/>
  <c r="W70" i="5"/>
  <c r="V70" i="5"/>
  <c r="U70" i="5"/>
  <c r="T70" i="5"/>
  <c r="S70" i="5"/>
  <c r="R70" i="5"/>
  <c r="Q70" i="5"/>
  <c r="P70" i="5"/>
  <c r="O70" i="5"/>
  <c r="N70" i="5"/>
  <c r="M70" i="5"/>
  <c r="L70" i="5"/>
  <c r="K70" i="5"/>
  <c r="J70" i="5"/>
  <c r="I70" i="5"/>
  <c r="H70" i="5"/>
  <c r="G70" i="5"/>
  <c r="F70" i="5"/>
  <c r="E70" i="5"/>
  <c r="D70" i="5"/>
  <c r="AN69" i="5"/>
  <c r="AM69" i="5"/>
  <c r="AL69" i="5"/>
  <c r="AK69" i="5"/>
  <c r="AJ69" i="5"/>
  <c r="AI69" i="5"/>
  <c r="AH69" i="5"/>
  <c r="AG69" i="5"/>
  <c r="AF69" i="5"/>
  <c r="AE69" i="5"/>
  <c r="AD69" i="5"/>
  <c r="E58" i="5"/>
  <c r="F58" i="5" s="1"/>
  <c r="G58" i="5" s="1"/>
  <c r="H58" i="5" s="1"/>
  <c r="I58" i="5" s="1"/>
  <c r="J58" i="5" s="1"/>
  <c r="K58" i="5" s="1"/>
  <c r="L58" i="5" s="1"/>
  <c r="M58" i="5" s="1"/>
  <c r="N58" i="5" s="1"/>
  <c r="O58" i="5" s="1"/>
  <c r="P58" i="5" s="1"/>
  <c r="Q58" i="5" s="1"/>
  <c r="R58" i="5" s="1"/>
  <c r="S58" i="5" s="1"/>
  <c r="T58" i="5" s="1"/>
  <c r="U58" i="5" s="1"/>
  <c r="V58" i="5" s="1"/>
  <c r="W58" i="5" s="1"/>
  <c r="X58" i="5" s="1"/>
  <c r="Y58" i="5" s="1"/>
  <c r="Z58" i="5" s="1"/>
  <c r="AA58" i="5" s="1"/>
  <c r="AB58" i="5" s="1"/>
  <c r="AC58" i="5" s="1"/>
  <c r="AD58" i="5" s="1"/>
  <c r="AE58" i="5" s="1"/>
  <c r="AF58" i="5" s="1"/>
  <c r="AG58" i="5" s="1"/>
  <c r="AH58" i="5" s="1"/>
  <c r="AI58" i="5" s="1"/>
  <c r="AJ58" i="5" s="1"/>
  <c r="AK58" i="5" s="1"/>
  <c r="AL58" i="5" s="1"/>
  <c r="AM58" i="5" s="1"/>
  <c r="AN58" i="5" s="1"/>
  <c r="AO58" i="5" s="1"/>
  <c r="AP58" i="5" s="1"/>
  <c r="AQ58" i="5" s="1"/>
  <c r="AR58" i="5" s="1"/>
  <c r="AS58" i="5" s="1"/>
  <c r="AT58" i="5" s="1"/>
  <c r="AU58" i="5" s="1"/>
  <c r="AV58" i="5" s="1"/>
  <c r="AW58" i="5" s="1"/>
  <c r="AX58" i="5" s="1"/>
  <c r="AY58" i="5" s="1"/>
  <c r="AZ58" i="5" s="1"/>
  <c r="BA58" i="5" s="1"/>
  <c r="BB58" i="5" s="1"/>
  <c r="BC58" i="5" s="1"/>
  <c r="BD58" i="5" s="1"/>
  <c r="BE58" i="5" s="1"/>
  <c r="BF58" i="5" s="1"/>
  <c r="BG58" i="5" s="1"/>
  <c r="BH58" i="5" s="1"/>
  <c r="BI58" i="5" s="1"/>
  <c r="BJ58" i="5" s="1"/>
  <c r="BK58" i="5" s="1"/>
  <c r="BL58" i="5" s="1"/>
  <c r="BM58" i="5" s="1"/>
  <c r="BN58" i="5" s="1"/>
  <c r="BO58" i="5" s="1"/>
  <c r="BP58" i="5" s="1"/>
  <c r="BQ58" i="5" s="1"/>
  <c r="BR58" i="5" s="1"/>
  <c r="BS58" i="5" s="1"/>
  <c r="BT58" i="5" s="1"/>
  <c r="BU58" i="5" s="1"/>
  <c r="BV58" i="5" s="1"/>
  <c r="BW58" i="5" s="1"/>
  <c r="BX58" i="5" s="1"/>
  <c r="BY58" i="5" s="1"/>
  <c r="BZ58" i="5" s="1"/>
  <c r="CA58" i="5" s="1"/>
  <c r="CB58" i="5" s="1"/>
  <c r="BR66" i="5"/>
  <c r="BR33" i="5"/>
  <c r="BR62" i="5" l="1"/>
  <c r="BR9" i="5"/>
  <c r="BR14" i="5" s="1"/>
  <c r="BR70" i="5"/>
  <c r="BR21" i="5"/>
  <c r="BR25" i="5" l="1"/>
  <c r="BR61" i="5"/>
  <c r="BR65" i="5"/>
  <c r="BR69" i="5"/>
  <c r="BR56" i="5" l="1"/>
  <c r="BR52" i="5"/>
  <c r="BR48" i="5"/>
  <c r="BR54" i="5"/>
  <c r="BR28" i="5"/>
  <c r="BR64" i="5"/>
  <c r="BR60" i="5"/>
  <c r="BR51" i="5"/>
  <c r="BR47" i="5"/>
  <c r="BR46" i="5"/>
  <c r="BR17" i="5"/>
  <c r="BR50" i="5"/>
  <c r="BR68" i="5"/>
  <c r="BR55" i="5"/>
  <c r="BR35" i="5"/>
  <c r="BR36" i="5" l="1"/>
  <c r="BR42" i="5" s="1"/>
  <c r="AH55" i="5" l="1"/>
  <c r="AH56" i="5"/>
  <c r="AH54" i="5"/>
  <c r="AL54" i="5"/>
  <c r="AL55" i="5"/>
  <c r="AL56" i="5"/>
  <c r="AI55" i="5"/>
  <c r="AI56" i="5"/>
  <c r="AI54" i="5"/>
  <c r="AK54" i="5"/>
  <c r="AK55" i="5"/>
  <c r="AK56" i="5"/>
  <c r="AE54" i="5"/>
  <c r="AE55" i="5"/>
  <c r="AE56" i="5"/>
  <c r="AM54" i="5"/>
  <c r="AM55" i="5"/>
  <c r="AM56" i="5"/>
  <c r="AG56" i="5"/>
  <c r="AG54" i="5"/>
  <c r="AG55" i="5"/>
  <c r="AJ54" i="5"/>
  <c r="AJ55" i="5"/>
  <c r="AJ56" i="5"/>
  <c r="AD54" i="5"/>
  <c r="AD55" i="5"/>
  <c r="AD56" i="5"/>
  <c r="AF56" i="5"/>
  <c r="AF54" i="5"/>
  <c r="AF55" i="5"/>
  <c r="AN56" i="5"/>
  <c r="AN54" i="5"/>
  <c r="AN55" i="5"/>
  <c r="AJ68" i="5"/>
  <c r="AK68" i="5"/>
  <c r="AH68" i="5"/>
  <c r="AD68" i="5"/>
  <c r="AL68" i="5"/>
  <c r="AI68" i="5"/>
  <c r="AE68" i="5"/>
  <c r="AM68" i="5"/>
  <c r="AG68" i="5"/>
  <c r="AF68" i="5"/>
  <c r="AN68" i="5"/>
  <c r="E44" i="5"/>
  <c r="F44" i="5" s="1"/>
  <c r="G44" i="5" s="1"/>
  <c r="H44" i="5" s="1"/>
  <c r="I44" i="5" s="1"/>
  <c r="J44" i="5" s="1"/>
  <c r="K44" i="5" s="1"/>
  <c r="L44" i="5" s="1"/>
  <c r="M44" i="5" s="1"/>
  <c r="N44" i="5" s="1"/>
  <c r="O44" i="5" s="1"/>
  <c r="P44" i="5" s="1"/>
  <c r="Q44" i="5" s="1"/>
  <c r="R44" i="5" s="1"/>
  <c r="S44" i="5" s="1"/>
  <c r="T44" i="5" s="1"/>
  <c r="U44" i="5" s="1"/>
  <c r="V44" i="5" s="1"/>
  <c r="W44" i="5" s="1"/>
  <c r="X44" i="5" s="1"/>
  <c r="Y44" i="5" s="1"/>
  <c r="Z44" i="5" s="1"/>
  <c r="AA44" i="5" s="1"/>
  <c r="AB44" i="5" s="1"/>
  <c r="AC44" i="5" s="1"/>
  <c r="AD44" i="5" s="1"/>
  <c r="AE44" i="5" s="1"/>
  <c r="AF44" i="5" s="1"/>
  <c r="AG44" i="5" s="1"/>
  <c r="AH44" i="5" s="1"/>
  <c r="AI44" i="5" s="1"/>
  <c r="AJ44" i="5" s="1"/>
  <c r="AK44" i="5" s="1"/>
  <c r="AL44" i="5" s="1"/>
  <c r="AM44" i="5" s="1"/>
  <c r="AN44" i="5" s="1"/>
  <c r="AO44" i="5" s="1"/>
  <c r="AP44" i="5" s="1"/>
  <c r="AQ44" i="5" s="1"/>
  <c r="AR44" i="5" s="1"/>
  <c r="AS44" i="5" s="1"/>
  <c r="AT44" i="5" s="1"/>
  <c r="AU44" i="5" s="1"/>
  <c r="AV44" i="5" s="1"/>
  <c r="AW44" i="5" s="1"/>
  <c r="AX44" i="5" s="1"/>
  <c r="AY44" i="5" s="1"/>
  <c r="AZ44" i="5" s="1"/>
  <c r="BA44" i="5" s="1"/>
  <c r="BB44" i="5" s="1"/>
  <c r="BC44" i="5" s="1"/>
  <c r="BD44" i="5" s="1"/>
  <c r="BE44" i="5" s="1"/>
  <c r="BF44" i="5" s="1"/>
  <c r="BG44" i="5" s="1"/>
  <c r="BH44" i="5" s="1"/>
  <c r="BI44" i="5" s="1"/>
  <c r="BJ44" i="5" s="1"/>
  <c r="BK44" i="5" s="1"/>
  <c r="BL44" i="5" s="1"/>
  <c r="BM44" i="5" s="1"/>
  <c r="BN44" i="5" s="1"/>
  <c r="BO44" i="5" s="1"/>
  <c r="BP44" i="5" s="1"/>
  <c r="BQ44" i="5" s="1"/>
  <c r="BR44" i="5" s="1"/>
  <c r="BS44" i="5" s="1"/>
  <c r="BT44" i="5" s="1"/>
  <c r="BU44" i="5" s="1"/>
  <c r="BV44" i="5" s="1"/>
  <c r="BW44" i="5" s="1"/>
  <c r="BX44" i="5" s="1"/>
  <c r="BY44" i="5" s="1"/>
  <c r="BZ44" i="5" s="1"/>
  <c r="CA44" i="5" s="1"/>
  <c r="CB44" i="5" s="1"/>
  <c r="AN28" i="5" l="1"/>
  <c r="AM28" i="5"/>
  <c r="AL28" i="5"/>
  <c r="AK28" i="5"/>
  <c r="AJ28" i="5"/>
  <c r="AI28" i="5"/>
  <c r="AH28" i="5"/>
  <c r="AG28" i="5"/>
  <c r="AF28" i="5"/>
  <c r="AE28" i="5"/>
  <c r="AD28" i="5"/>
  <c r="P50" i="5" l="1"/>
  <c r="P51" i="5"/>
  <c r="P52" i="5"/>
  <c r="H50" i="5"/>
  <c r="H51" i="5"/>
  <c r="H52" i="5"/>
  <c r="J52" i="5"/>
  <c r="J50" i="5"/>
  <c r="J51" i="5"/>
  <c r="R52" i="5"/>
  <c r="R50" i="5"/>
  <c r="R51" i="5"/>
  <c r="O50" i="5"/>
  <c r="O51" i="5"/>
  <c r="O52" i="5"/>
  <c r="S52" i="5"/>
  <c r="S50" i="5"/>
  <c r="S51" i="5"/>
  <c r="Q50" i="5"/>
  <c r="Q51" i="5"/>
  <c r="Q52" i="5"/>
  <c r="D51" i="5"/>
  <c r="D52" i="5"/>
  <c r="D50" i="5"/>
  <c r="L51" i="5"/>
  <c r="L52" i="5"/>
  <c r="L50" i="5"/>
  <c r="G50" i="5"/>
  <c r="G51" i="5"/>
  <c r="G52" i="5"/>
  <c r="I50" i="5"/>
  <c r="I51" i="5"/>
  <c r="I52" i="5"/>
  <c r="E51" i="5"/>
  <c r="E52" i="5"/>
  <c r="E50" i="5"/>
  <c r="M51" i="5"/>
  <c r="M52" i="5"/>
  <c r="M50" i="5"/>
  <c r="K52" i="5"/>
  <c r="K50" i="5"/>
  <c r="K51" i="5"/>
  <c r="F50" i="5"/>
  <c r="F51" i="5"/>
  <c r="F52" i="5"/>
  <c r="N50" i="5"/>
  <c r="N51" i="5"/>
  <c r="N52" i="5"/>
  <c r="G64" i="5"/>
  <c r="I64" i="5"/>
  <c r="Q64" i="5"/>
  <c r="H64" i="5"/>
  <c r="R64" i="5"/>
  <c r="S64" i="5"/>
  <c r="P64" i="5"/>
  <c r="D64" i="5"/>
  <c r="L64" i="5"/>
  <c r="J64" i="5"/>
  <c r="E64" i="5"/>
  <c r="M64" i="5"/>
  <c r="O64" i="5"/>
  <c r="K64" i="5"/>
  <c r="F64" i="5"/>
  <c r="N64" i="5"/>
  <c r="S17" i="5"/>
  <c r="H17" i="5"/>
  <c r="Q17" i="5"/>
  <c r="I17" i="5"/>
  <c r="R17" i="5"/>
  <c r="J17" i="5"/>
  <c r="D17" i="5"/>
  <c r="E17" i="5"/>
  <c r="M17" i="5"/>
  <c r="P17" i="5"/>
  <c r="F17" i="5"/>
  <c r="N17" i="5"/>
  <c r="O17" i="5"/>
  <c r="K17" i="5"/>
  <c r="L17" i="5"/>
  <c r="G17" i="5"/>
  <c r="DN73" i="6" l="1"/>
  <c r="DG73" i="6"/>
  <c r="DI73" i="6" l="1"/>
  <c r="DP73" i="6"/>
  <c r="DR73" i="6" l="1"/>
  <c r="DK73" i="6"/>
  <c r="DN27" i="15" l="1"/>
  <c r="DP27" i="15" s="1"/>
  <c r="DG27" i="15"/>
  <c r="DI27" i="15" s="1"/>
  <c r="DK27" i="15" s="1"/>
  <c r="CZ27" i="15"/>
  <c r="DB27" i="15" s="1"/>
  <c r="DD27" i="15" s="1"/>
  <c r="DR27" i="15" l="1"/>
  <c r="DS8" i="15"/>
  <c r="DU8" i="15" l="1"/>
  <c r="BQ70" i="5"/>
  <c r="DW8" i="15" l="1"/>
  <c r="BQ9" i="5"/>
  <c r="BQ14" i="5" s="1"/>
  <c r="DY8" i="15" l="1"/>
  <c r="BQ65" i="5"/>
  <c r="BQ51" i="5" l="1"/>
  <c r="BQ52" i="5"/>
  <c r="BQ50" i="5"/>
  <c r="BQ64" i="5"/>
  <c r="BQ17" i="5"/>
  <c r="DL13" i="16"/>
  <c r="DS13" i="15" l="1"/>
  <c r="DQ9" i="15"/>
  <c r="DM9" i="15"/>
  <c r="DQ8" i="15"/>
  <c r="DM8" i="15"/>
  <c r="DL8" i="15"/>
  <c r="DL9" i="15"/>
  <c r="DU13" i="15" l="1"/>
  <c r="DW13" i="15" s="1"/>
  <c r="DY13" i="15" s="1"/>
  <c r="DS8" i="6" l="1"/>
  <c r="DS13" i="16" l="1"/>
  <c r="DQ13" i="16"/>
  <c r="DO13" i="16"/>
  <c r="DM13" i="16"/>
  <c r="DJ13" i="16"/>
  <c r="DH13" i="16"/>
  <c r="DF13" i="16"/>
  <c r="DE13" i="16"/>
  <c r="DC13" i="16"/>
  <c r="CY13" i="16"/>
  <c r="CX13" i="16"/>
  <c r="CV13" i="16"/>
  <c r="CT13" i="16"/>
  <c r="CR13" i="16"/>
  <c r="CQ13" i="16"/>
  <c r="CP13" i="16"/>
  <c r="CO13" i="16"/>
  <c r="CM13" i="16"/>
  <c r="CK13" i="16"/>
  <c r="CJ13" i="16"/>
  <c r="CH13" i="16"/>
  <c r="CG13" i="16"/>
  <c r="CF13" i="16"/>
  <c r="CD13" i="16"/>
  <c r="CC13" i="16"/>
  <c r="CA13" i="16"/>
  <c r="BY13" i="16"/>
  <c r="BW13" i="16"/>
  <c r="BV13" i="16"/>
  <c r="BT13" i="16"/>
  <c r="BR13" i="16"/>
  <c r="BP13" i="16"/>
  <c r="BO13" i="16"/>
  <c r="BM13" i="16"/>
  <c r="BK13" i="16"/>
  <c r="BI13" i="16"/>
  <c r="BH13" i="16"/>
  <c r="BF13" i="16"/>
  <c r="BD13" i="16"/>
  <c r="BB13" i="16"/>
  <c r="BA13" i="16"/>
  <c r="AY13" i="16"/>
  <c r="AW13" i="16"/>
  <c r="AU13" i="16"/>
  <c r="AT13" i="16"/>
  <c r="AR13" i="16"/>
  <c r="AP13" i="16"/>
  <c r="AN13" i="16"/>
  <c r="AM13" i="16"/>
  <c r="AK13" i="16"/>
  <c r="AI13" i="16"/>
  <c r="AG13" i="16"/>
  <c r="AF13" i="16"/>
  <c r="AD13" i="16"/>
  <c r="AB13" i="16"/>
  <c r="Z13" i="16"/>
  <c r="Y13" i="16"/>
  <c r="W13" i="16"/>
  <c r="U13" i="16"/>
  <c r="S13" i="16"/>
  <c r="R13" i="16"/>
  <c r="P13" i="16"/>
  <c r="N13" i="16"/>
  <c r="L13" i="16"/>
  <c r="K13" i="16"/>
  <c r="I13" i="16"/>
  <c r="G13" i="16"/>
  <c r="E13" i="16"/>
  <c r="D13" i="16"/>
  <c r="DN12" i="16"/>
  <c r="DP12" i="16" s="1"/>
  <c r="DR12" i="16" s="1"/>
  <c r="DG12" i="16"/>
  <c r="DI12" i="16" s="1"/>
  <c r="DK12" i="16" s="1"/>
  <c r="DA12" i="16"/>
  <c r="CZ12" i="16"/>
  <c r="CS12" i="16"/>
  <c r="CU12" i="16" s="1"/>
  <c r="CW12" i="16" s="1"/>
  <c r="CL12" i="16"/>
  <c r="CN12" i="16" s="1"/>
  <c r="CI12" i="16"/>
  <c r="CE12" i="16"/>
  <c r="BX12" i="16"/>
  <c r="BZ12" i="16" s="1"/>
  <c r="CB12" i="16" s="1"/>
  <c r="BQ12" i="16"/>
  <c r="BS12" i="16" s="1"/>
  <c r="BU12" i="16" s="1"/>
  <c r="BJ12" i="16"/>
  <c r="BL12" i="16" s="1"/>
  <c r="BN12" i="16" s="1"/>
  <c r="BC12" i="16"/>
  <c r="BE12" i="16" s="1"/>
  <c r="BG12" i="16" s="1"/>
  <c r="AV12" i="16"/>
  <c r="AX12" i="16" s="1"/>
  <c r="AZ12" i="16" s="1"/>
  <c r="AO12" i="16"/>
  <c r="AQ12" i="16" s="1"/>
  <c r="AS12" i="16" s="1"/>
  <c r="AH12" i="16"/>
  <c r="AJ12" i="16" s="1"/>
  <c r="AL12" i="16" s="1"/>
  <c r="AA12" i="16"/>
  <c r="AC12" i="16" s="1"/>
  <c r="AE12" i="16" s="1"/>
  <c r="T12" i="16"/>
  <c r="V12" i="16" s="1"/>
  <c r="X12" i="16" s="1"/>
  <c r="M12" i="16"/>
  <c r="O12" i="16" s="1"/>
  <c r="F12" i="16"/>
  <c r="H12" i="16" s="1"/>
  <c r="J12" i="16" s="1"/>
  <c r="DN11" i="16"/>
  <c r="DP11" i="16" s="1"/>
  <c r="DR11" i="16" s="1"/>
  <c r="DG11" i="16"/>
  <c r="DI11" i="16" s="1"/>
  <c r="DK11" i="16" s="1"/>
  <c r="CZ11" i="16"/>
  <c r="DB11" i="16" s="1"/>
  <c r="DD11" i="16" s="1"/>
  <c r="CS11" i="16"/>
  <c r="CU11" i="16" s="1"/>
  <c r="CW11" i="16" s="1"/>
  <c r="CL11" i="16"/>
  <c r="CN11" i="16" s="1"/>
  <c r="CI11" i="16"/>
  <c r="CE11" i="16"/>
  <c r="BX11" i="16"/>
  <c r="BZ11" i="16" s="1"/>
  <c r="CB11" i="16" s="1"/>
  <c r="BQ11" i="16"/>
  <c r="BS11" i="16" s="1"/>
  <c r="BU11" i="16" s="1"/>
  <c r="BJ11" i="16"/>
  <c r="BL11" i="16" s="1"/>
  <c r="BN11" i="16" s="1"/>
  <c r="BC11" i="16"/>
  <c r="BE11" i="16" s="1"/>
  <c r="BG11" i="16" s="1"/>
  <c r="AV11" i="16"/>
  <c r="AX11" i="16" s="1"/>
  <c r="AZ11" i="16" s="1"/>
  <c r="AO11" i="16"/>
  <c r="AQ11" i="16" s="1"/>
  <c r="AS11" i="16" s="1"/>
  <c r="AH11" i="16"/>
  <c r="AJ11" i="16" s="1"/>
  <c r="AL11" i="16" s="1"/>
  <c r="AA11" i="16"/>
  <c r="AC11" i="16" s="1"/>
  <c r="AE11" i="16" s="1"/>
  <c r="T11" i="16"/>
  <c r="V11" i="16" s="1"/>
  <c r="X11" i="16" s="1"/>
  <c r="M11" i="16"/>
  <c r="O11" i="16" s="1"/>
  <c r="Q11" i="16" s="1"/>
  <c r="F11" i="16"/>
  <c r="H11" i="16" s="1"/>
  <c r="J11" i="16" s="1"/>
  <c r="DN10" i="16"/>
  <c r="DP10" i="16" s="1"/>
  <c r="DR10" i="16" s="1"/>
  <c r="DG10" i="16"/>
  <c r="DI10" i="16" s="1"/>
  <c r="DK10" i="16" s="1"/>
  <c r="DA10" i="16"/>
  <c r="CZ10" i="16"/>
  <c r="CS10" i="16"/>
  <c r="CU10" i="16" s="1"/>
  <c r="CW10" i="16" s="1"/>
  <c r="CL10" i="16"/>
  <c r="CN10" i="16" s="1"/>
  <c r="CI10" i="16"/>
  <c r="CE10" i="16"/>
  <c r="BX10" i="16"/>
  <c r="BZ10" i="16" s="1"/>
  <c r="CB10" i="16" s="1"/>
  <c r="BQ10" i="16"/>
  <c r="BS10" i="16" s="1"/>
  <c r="BU10" i="16" s="1"/>
  <c r="BJ10" i="16"/>
  <c r="BL10" i="16" s="1"/>
  <c r="BN10" i="16" s="1"/>
  <c r="BC10" i="16"/>
  <c r="BE10" i="16" s="1"/>
  <c r="BG10" i="16" s="1"/>
  <c r="AV10" i="16"/>
  <c r="AX10" i="16" s="1"/>
  <c r="AZ10" i="16" s="1"/>
  <c r="AO10" i="16"/>
  <c r="AQ10" i="16" s="1"/>
  <c r="AS10" i="16" s="1"/>
  <c r="AH10" i="16"/>
  <c r="AJ10" i="16" s="1"/>
  <c r="AL10" i="16" s="1"/>
  <c r="AA10" i="16"/>
  <c r="AC10" i="16" s="1"/>
  <c r="AE10" i="16" s="1"/>
  <c r="T10" i="16"/>
  <c r="V10" i="16" s="1"/>
  <c r="X10" i="16" s="1"/>
  <c r="M10" i="16"/>
  <c r="O10" i="16" s="1"/>
  <c r="Q10" i="16" s="1"/>
  <c r="F10" i="16"/>
  <c r="H10" i="16" s="1"/>
  <c r="J10" i="16" s="1"/>
  <c r="DN9" i="16"/>
  <c r="DP9" i="16" s="1"/>
  <c r="DR9" i="16" s="1"/>
  <c r="DG9" i="16"/>
  <c r="DI9" i="16" s="1"/>
  <c r="DK9" i="16" s="1"/>
  <c r="CZ9" i="16"/>
  <c r="DB9" i="16" s="1"/>
  <c r="DD9" i="16" s="1"/>
  <c r="CS9" i="16"/>
  <c r="CU9" i="16" s="1"/>
  <c r="CW9" i="16" s="1"/>
  <c r="CL9" i="16"/>
  <c r="CN9" i="16" s="1"/>
  <c r="CI9" i="16"/>
  <c r="CE9" i="16"/>
  <c r="BX9" i="16"/>
  <c r="BZ9" i="16" s="1"/>
  <c r="CB9" i="16" s="1"/>
  <c r="BQ9" i="16"/>
  <c r="BS9" i="16" s="1"/>
  <c r="BU9" i="16" s="1"/>
  <c r="BJ9" i="16"/>
  <c r="BL9" i="16" s="1"/>
  <c r="BN9" i="16" s="1"/>
  <c r="BC9" i="16"/>
  <c r="BE9" i="16" s="1"/>
  <c r="BG9" i="16" s="1"/>
  <c r="AV9" i="16"/>
  <c r="AX9" i="16" s="1"/>
  <c r="AZ9" i="16" s="1"/>
  <c r="AO9" i="16"/>
  <c r="AQ9" i="16" s="1"/>
  <c r="AS9" i="16" s="1"/>
  <c r="AH9" i="16"/>
  <c r="AJ9" i="16" s="1"/>
  <c r="AL9" i="16" s="1"/>
  <c r="AA9" i="16"/>
  <c r="AC9" i="16" s="1"/>
  <c r="AE9" i="16" s="1"/>
  <c r="T9" i="16"/>
  <c r="V9" i="16" s="1"/>
  <c r="X9" i="16" s="1"/>
  <c r="M9" i="16"/>
  <c r="O9" i="16" s="1"/>
  <c r="Q9" i="16" s="1"/>
  <c r="F9" i="16"/>
  <c r="H9" i="16" s="1"/>
  <c r="J9" i="16" s="1"/>
  <c r="DN8" i="16"/>
  <c r="DP8" i="16" s="1"/>
  <c r="DR8" i="16" s="1"/>
  <c r="DG8" i="16"/>
  <c r="CZ8" i="16"/>
  <c r="DB8" i="16" s="1"/>
  <c r="DD8" i="16" s="1"/>
  <c r="CS8" i="16"/>
  <c r="CL8" i="16"/>
  <c r="CN8" i="16" s="1"/>
  <c r="CI8" i="16"/>
  <c r="CE8" i="16"/>
  <c r="BX8" i="16"/>
  <c r="BQ8" i="16"/>
  <c r="BJ8" i="16"/>
  <c r="BL8" i="16" s="1"/>
  <c r="BN8" i="16" s="1"/>
  <c r="BC8" i="16"/>
  <c r="AV8" i="16"/>
  <c r="AX8" i="16" s="1"/>
  <c r="AZ8" i="16" s="1"/>
  <c r="AO8" i="16"/>
  <c r="AH8" i="16"/>
  <c r="AJ8" i="16" s="1"/>
  <c r="AL8" i="16" s="1"/>
  <c r="AA8" i="16"/>
  <c r="T8" i="16"/>
  <c r="M8" i="16"/>
  <c r="F8" i="16"/>
  <c r="H8" i="16" s="1"/>
  <c r="J8" i="16" s="1"/>
  <c r="DA13" i="16" l="1"/>
  <c r="DG13" i="16"/>
  <c r="BN13" i="16"/>
  <c r="DB12" i="16"/>
  <c r="DD12" i="16" s="1"/>
  <c r="CS13" i="16"/>
  <c r="T13" i="16"/>
  <c r="BX13" i="16"/>
  <c r="AA13" i="16"/>
  <c r="CE13" i="16"/>
  <c r="BC13" i="16"/>
  <c r="CU8" i="16"/>
  <c r="CW8" i="16" s="1"/>
  <c r="CW13" i="16" s="1"/>
  <c r="M13" i="16"/>
  <c r="BQ13" i="16"/>
  <c r="DI8" i="16"/>
  <c r="DK8" i="16" s="1"/>
  <c r="DK13" i="16" s="1"/>
  <c r="AC8" i="16"/>
  <c r="AE8" i="16" s="1"/>
  <c r="AE13" i="16" s="1"/>
  <c r="AO13" i="16"/>
  <c r="BS8" i="16"/>
  <c r="BU8" i="16" s="1"/>
  <c r="BU13" i="16" s="1"/>
  <c r="AQ8" i="16"/>
  <c r="AS8" i="16" s="1"/>
  <c r="AS13" i="16" s="1"/>
  <c r="CI13" i="16"/>
  <c r="CN13" i="16"/>
  <c r="AL13" i="16"/>
  <c r="J13" i="16"/>
  <c r="AZ13" i="16"/>
  <c r="H13" i="16"/>
  <c r="AV13" i="16"/>
  <c r="BL13" i="16"/>
  <c r="CZ13" i="16"/>
  <c r="AH13" i="16"/>
  <c r="AX13" i="16"/>
  <c r="CL13" i="16"/>
  <c r="DB10" i="16"/>
  <c r="DD10" i="16" s="1"/>
  <c r="O8" i="16"/>
  <c r="AJ13" i="16"/>
  <c r="BE8" i="16"/>
  <c r="F13" i="16"/>
  <c r="BJ13" i="16"/>
  <c r="DR13" i="16"/>
  <c r="DN13" i="16"/>
  <c r="DP13" i="16"/>
  <c r="V8" i="16"/>
  <c r="BZ8" i="16"/>
  <c r="BP33" i="5"/>
  <c r="BO33" i="5"/>
  <c r="BN33" i="5"/>
  <c r="BM33" i="5"/>
  <c r="BL33" i="5"/>
  <c r="BK33" i="5"/>
  <c r="BJ33" i="5"/>
  <c r="BI33" i="5"/>
  <c r="BH33" i="5"/>
  <c r="BG33" i="5"/>
  <c r="BF33" i="5"/>
  <c r="BE33" i="5"/>
  <c r="BD33" i="5"/>
  <c r="BC33" i="5"/>
  <c r="BB33" i="5"/>
  <c r="BA33" i="5"/>
  <c r="AZ33" i="5"/>
  <c r="AY33" i="5"/>
  <c r="AX33" i="5"/>
  <c r="AW33" i="5"/>
  <c r="AV33" i="5"/>
  <c r="AU33" i="5"/>
  <c r="AT33" i="5"/>
  <c r="AS33" i="5"/>
  <c r="AR33" i="5"/>
  <c r="AQ33" i="5"/>
  <c r="AP33" i="5"/>
  <c r="AO33" i="5"/>
  <c r="AN33" i="5"/>
  <c r="AM33" i="5"/>
  <c r="AL33" i="5"/>
  <c r="AK33" i="5"/>
  <c r="AJ33" i="5"/>
  <c r="AI33" i="5"/>
  <c r="AH33" i="5"/>
  <c r="AG33" i="5"/>
  <c r="AF33" i="5"/>
  <c r="AE33" i="5"/>
  <c r="AD33" i="5"/>
  <c r="AC33" i="5"/>
  <c r="AB33" i="5"/>
  <c r="AA33" i="5"/>
  <c r="Z33" i="5"/>
  <c r="Y33" i="5"/>
  <c r="X33" i="5"/>
  <c r="W33" i="5"/>
  <c r="V33" i="5"/>
  <c r="U33" i="5"/>
  <c r="T33" i="5"/>
  <c r="S33" i="5"/>
  <c r="R33" i="5"/>
  <c r="Q33" i="5"/>
  <c r="P33" i="5"/>
  <c r="O33" i="5"/>
  <c r="N33" i="5"/>
  <c r="M33" i="5"/>
  <c r="L33" i="5"/>
  <c r="K33" i="5"/>
  <c r="J33" i="5"/>
  <c r="I33" i="5"/>
  <c r="H33" i="5"/>
  <c r="G33" i="5"/>
  <c r="F33" i="5"/>
  <c r="E33" i="5"/>
  <c r="D33" i="5"/>
  <c r="BQ33" i="5"/>
  <c r="BP21" i="5"/>
  <c r="BP25" i="5" s="1"/>
  <c r="BO21" i="5"/>
  <c r="BN21" i="5"/>
  <c r="BM21" i="5"/>
  <c r="BL21" i="5"/>
  <c r="BL25" i="5" s="1"/>
  <c r="BK21" i="5"/>
  <c r="BK25" i="5" s="1"/>
  <c r="BJ21" i="5"/>
  <c r="BI21" i="5"/>
  <c r="BH21" i="5"/>
  <c r="BH25" i="5" s="1"/>
  <c r="BG21" i="5"/>
  <c r="BF21" i="5"/>
  <c r="BE21" i="5"/>
  <c r="BD21" i="5"/>
  <c r="BD25" i="5" s="1"/>
  <c r="BC21" i="5"/>
  <c r="BC25" i="5" s="1"/>
  <c r="BB21" i="5"/>
  <c r="BB25" i="5" s="1"/>
  <c r="BA21" i="5"/>
  <c r="AZ21" i="5"/>
  <c r="AZ25" i="5" s="1"/>
  <c r="AY21" i="5"/>
  <c r="AX21" i="5"/>
  <c r="AW21" i="5"/>
  <c r="AV21" i="5"/>
  <c r="AV25" i="5" s="1"/>
  <c r="AU21" i="5"/>
  <c r="AU25" i="5" s="1"/>
  <c r="AT21" i="5"/>
  <c r="AS21" i="5"/>
  <c r="AR21" i="5"/>
  <c r="AR25" i="5" s="1"/>
  <c r="AQ21" i="5"/>
  <c r="AP21" i="5"/>
  <c r="AO21" i="5"/>
  <c r="AO25" i="5" s="1"/>
  <c r="AC21" i="5"/>
  <c r="AB21" i="5"/>
  <c r="AB25" i="5" s="1"/>
  <c r="AA21" i="5"/>
  <c r="Z21" i="5"/>
  <c r="Y21" i="5"/>
  <c r="Y25" i="5" s="1"/>
  <c r="X21" i="5"/>
  <c r="X25" i="5" s="1"/>
  <c r="W21" i="5"/>
  <c r="V21" i="5"/>
  <c r="U21" i="5"/>
  <c r="U25" i="5" s="1"/>
  <c r="T21" i="5"/>
  <c r="T25" i="5" s="1"/>
  <c r="S21" i="5"/>
  <c r="S25" i="5" s="1"/>
  <c r="R21" i="5"/>
  <c r="R25" i="5" s="1"/>
  <c r="Q21" i="5"/>
  <c r="Q25" i="5" s="1"/>
  <c r="P21" i="5"/>
  <c r="P25" i="5" s="1"/>
  <c r="O21" i="5"/>
  <c r="O25" i="5" s="1"/>
  <c r="N21" i="5"/>
  <c r="N25" i="5" s="1"/>
  <c r="M21" i="5"/>
  <c r="M25" i="5" s="1"/>
  <c r="L21" i="5"/>
  <c r="L25" i="5" s="1"/>
  <c r="K21" i="5"/>
  <c r="K25" i="5" s="1"/>
  <c r="J21" i="5"/>
  <c r="J25" i="5" s="1"/>
  <c r="I21" i="5"/>
  <c r="I25" i="5" s="1"/>
  <c r="H21" i="5"/>
  <c r="H25" i="5" s="1"/>
  <c r="G21" i="5"/>
  <c r="G25" i="5" s="1"/>
  <c r="F21" i="5"/>
  <c r="F25" i="5" s="1"/>
  <c r="E21" i="5"/>
  <c r="E25" i="5" s="1"/>
  <c r="D21" i="5"/>
  <c r="D25" i="5" s="1"/>
  <c r="BQ21" i="5"/>
  <c r="BP9" i="5"/>
  <c r="BO9" i="5"/>
  <c r="BN9" i="5"/>
  <c r="BM9" i="5"/>
  <c r="BL9" i="5"/>
  <c r="BK9" i="5"/>
  <c r="BJ9" i="5"/>
  <c r="BI9" i="5"/>
  <c r="BH9" i="5"/>
  <c r="BG9" i="5"/>
  <c r="BF9" i="5"/>
  <c r="BE9" i="5"/>
  <c r="BD9" i="5"/>
  <c r="BC9" i="5"/>
  <c r="BB9" i="5"/>
  <c r="BA9" i="5"/>
  <c r="AZ9" i="5"/>
  <c r="AY9" i="5"/>
  <c r="AX9" i="5"/>
  <c r="AW9" i="5"/>
  <c r="AV9" i="5"/>
  <c r="AU9" i="5"/>
  <c r="AT9" i="5"/>
  <c r="AS9" i="5"/>
  <c r="AR9" i="5"/>
  <c r="AQ9" i="5"/>
  <c r="AP9" i="5"/>
  <c r="AO9" i="5"/>
  <c r="AN9" i="5"/>
  <c r="AM9" i="5"/>
  <c r="AL9" i="5"/>
  <c r="AK9" i="5"/>
  <c r="AJ9" i="5"/>
  <c r="AI9" i="5"/>
  <c r="AH9" i="5"/>
  <c r="AG9" i="5"/>
  <c r="AF9" i="5"/>
  <c r="AE9" i="5"/>
  <c r="AD9" i="5"/>
  <c r="AC9" i="5"/>
  <c r="AB9" i="5"/>
  <c r="AA9" i="5"/>
  <c r="Z9" i="5"/>
  <c r="Y9" i="5"/>
  <c r="X9" i="5"/>
  <c r="W9" i="5"/>
  <c r="V9" i="5"/>
  <c r="U9" i="5"/>
  <c r="T9" i="5"/>
  <c r="E6" i="5"/>
  <c r="AC25" i="5" l="1"/>
  <c r="V25" i="5"/>
  <c r="AW25" i="5"/>
  <c r="BE25" i="5"/>
  <c r="BM25" i="5"/>
  <c r="W25" i="5"/>
  <c r="AP25" i="5"/>
  <c r="AP54" i="5" s="1"/>
  <c r="AX25" i="5"/>
  <c r="BF25" i="5"/>
  <c r="BN25" i="5"/>
  <c r="AQ25" i="5"/>
  <c r="AY25" i="5"/>
  <c r="BG25" i="5"/>
  <c r="BO25" i="5"/>
  <c r="BO54" i="5" s="1"/>
  <c r="Z25" i="5"/>
  <c r="Z54" i="5" s="1"/>
  <c r="AS25" i="5"/>
  <c r="BA25" i="5"/>
  <c r="BI25" i="5"/>
  <c r="BQ25" i="5"/>
  <c r="AA25" i="5"/>
  <c r="AT25" i="5"/>
  <c r="BJ25" i="5"/>
  <c r="DD13" i="16"/>
  <c r="CU13" i="16"/>
  <c r="BS13" i="16"/>
  <c r="AC13" i="16"/>
  <c r="AQ13" i="16"/>
  <c r="F6" i="5"/>
  <c r="DI13" i="16"/>
  <c r="Z14" i="5"/>
  <c r="AH14" i="5"/>
  <c r="AP14" i="5"/>
  <c r="AX14" i="5"/>
  <c r="BF14" i="5"/>
  <c r="BN14" i="5"/>
  <c r="AA14" i="5"/>
  <c r="BO14" i="5"/>
  <c r="T14" i="5"/>
  <c r="AR14" i="5"/>
  <c r="AZ14" i="5"/>
  <c r="BH14" i="5"/>
  <c r="BP14" i="5"/>
  <c r="AB14" i="5"/>
  <c r="U14" i="5"/>
  <c r="AC14" i="5"/>
  <c r="AK14" i="5"/>
  <c r="AS14" i="5"/>
  <c r="BA14" i="5"/>
  <c r="BI14" i="5"/>
  <c r="DB13" i="16"/>
  <c r="AI14" i="5"/>
  <c r="V14" i="5"/>
  <c r="AD14" i="5"/>
  <c r="AL14" i="5"/>
  <c r="AT14" i="5"/>
  <c r="BB14" i="5"/>
  <c r="BJ14" i="5"/>
  <c r="CB8" i="16"/>
  <c r="CB13" i="16" s="1"/>
  <c r="BZ13" i="16"/>
  <c r="AQ14" i="5"/>
  <c r="W14" i="5"/>
  <c r="AE14" i="5"/>
  <c r="AM14" i="5"/>
  <c r="AU14" i="5"/>
  <c r="BC14" i="5"/>
  <c r="X8" i="16"/>
  <c r="X13" i="16" s="1"/>
  <c r="V13" i="16"/>
  <c r="BG8" i="16"/>
  <c r="BG13" i="16" s="1"/>
  <c r="BE13" i="16"/>
  <c r="AJ14" i="5"/>
  <c r="AF14" i="5"/>
  <c r="AN14" i="5"/>
  <c r="AV14" i="5"/>
  <c r="BD14" i="5"/>
  <c r="BL14" i="5"/>
  <c r="AY14" i="5"/>
  <c r="X14" i="5"/>
  <c r="Y14" i="5"/>
  <c r="AG14" i="5"/>
  <c r="AO14" i="5"/>
  <c r="AW14" i="5"/>
  <c r="BE14" i="5"/>
  <c r="BM14" i="5"/>
  <c r="Q8" i="16"/>
  <c r="Q13" i="16" s="1"/>
  <c r="O13" i="16"/>
  <c r="BK14" i="5"/>
  <c r="BG14" i="5"/>
  <c r="AZ69" i="5"/>
  <c r="J61" i="5"/>
  <c r="R61" i="5"/>
  <c r="Z69" i="5"/>
  <c r="AS69" i="5"/>
  <c r="BA69" i="5"/>
  <c r="BI69" i="5"/>
  <c r="I61" i="5"/>
  <c r="BH69" i="5"/>
  <c r="BQ61" i="5"/>
  <c r="K61" i="5"/>
  <c r="S61" i="5"/>
  <c r="AA69" i="5"/>
  <c r="AT69" i="5"/>
  <c r="BB69" i="5"/>
  <c r="BJ69" i="5"/>
  <c r="Q61" i="5"/>
  <c r="D61" i="5"/>
  <c r="L61" i="5"/>
  <c r="T69" i="5"/>
  <c r="AB69" i="5"/>
  <c r="AU69" i="5"/>
  <c r="BC69" i="5"/>
  <c r="BK69" i="5"/>
  <c r="AR69" i="5"/>
  <c r="E61" i="5"/>
  <c r="M61" i="5"/>
  <c r="U69" i="5"/>
  <c r="AC69" i="5"/>
  <c r="AV69" i="5"/>
  <c r="BD69" i="5"/>
  <c r="BL69" i="5"/>
  <c r="F61" i="5"/>
  <c r="N61" i="5"/>
  <c r="V69" i="5"/>
  <c r="AO69" i="5"/>
  <c r="AW69" i="5"/>
  <c r="BE69" i="5"/>
  <c r="BM69" i="5"/>
  <c r="BP69" i="5"/>
  <c r="G61" i="5"/>
  <c r="O61" i="5"/>
  <c r="W69" i="5"/>
  <c r="AP69" i="5"/>
  <c r="AX69" i="5"/>
  <c r="BF69" i="5"/>
  <c r="BN69" i="5"/>
  <c r="Y69" i="5"/>
  <c r="H61" i="5"/>
  <c r="P61" i="5"/>
  <c r="X69" i="5"/>
  <c r="AQ69" i="5"/>
  <c r="AY69" i="5"/>
  <c r="BG69" i="5"/>
  <c r="BO69" i="5"/>
  <c r="AA65" i="5"/>
  <c r="AA61" i="5"/>
  <c r="AI65" i="5"/>
  <c r="AI61" i="5"/>
  <c r="AQ65" i="5"/>
  <c r="AQ61" i="5"/>
  <c r="AY65" i="5"/>
  <c r="AY61" i="5"/>
  <c r="BG65" i="5"/>
  <c r="BG61" i="5"/>
  <c r="BO65" i="5"/>
  <c r="BO61" i="5"/>
  <c r="T65" i="5"/>
  <c r="T61" i="5"/>
  <c r="AB65" i="5"/>
  <c r="AB61" i="5"/>
  <c r="AJ65" i="5"/>
  <c r="AJ61" i="5"/>
  <c r="AR65" i="5"/>
  <c r="AR61" i="5"/>
  <c r="AZ65" i="5"/>
  <c r="AZ61" i="5"/>
  <c r="BH65" i="5"/>
  <c r="BH61" i="5"/>
  <c r="BP65" i="5"/>
  <c r="BP61" i="5"/>
  <c r="U65" i="5"/>
  <c r="U61" i="5"/>
  <c r="AC65" i="5"/>
  <c r="AC61" i="5"/>
  <c r="AK65" i="5"/>
  <c r="AK61" i="5"/>
  <c r="AS65" i="5"/>
  <c r="AS61" i="5"/>
  <c r="BA65" i="5"/>
  <c r="BA61" i="5"/>
  <c r="BI65" i="5"/>
  <c r="BI61" i="5"/>
  <c r="V61" i="5"/>
  <c r="V65" i="5"/>
  <c r="AD61" i="5"/>
  <c r="AD65" i="5"/>
  <c r="AL61" i="5"/>
  <c r="AL65" i="5"/>
  <c r="AT61" i="5"/>
  <c r="AT65" i="5"/>
  <c r="BB61" i="5"/>
  <c r="BB65" i="5"/>
  <c r="BJ61" i="5"/>
  <c r="BJ65" i="5"/>
  <c r="W61" i="5"/>
  <c r="W65" i="5"/>
  <c r="AE61" i="5"/>
  <c r="AE65" i="5"/>
  <c r="AM61" i="5"/>
  <c r="AM65" i="5"/>
  <c r="AU61" i="5"/>
  <c r="AU65" i="5"/>
  <c r="BC61" i="5"/>
  <c r="BC65" i="5"/>
  <c r="BK61" i="5"/>
  <c r="BK65" i="5"/>
  <c r="X61" i="5"/>
  <c r="X65" i="5"/>
  <c r="AF61" i="5"/>
  <c r="AF65" i="5"/>
  <c r="AN61" i="5"/>
  <c r="AN65" i="5"/>
  <c r="AV61" i="5"/>
  <c r="AV65" i="5"/>
  <c r="BD61" i="5"/>
  <c r="BD65" i="5"/>
  <c r="BL61" i="5"/>
  <c r="BL65" i="5"/>
  <c r="Y61" i="5"/>
  <c r="Y65" i="5"/>
  <c r="AG61" i="5"/>
  <c r="AG65" i="5"/>
  <c r="AO61" i="5"/>
  <c r="AO65" i="5"/>
  <c r="AW61" i="5"/>
  <c r="AW65" i="5"/>
  <c r="BE61" i="5"/>
  <c r="BE65" i="5"/>
  <c r="BM61" i="5"/>
  <c r="BM65" i="5"/>
  <c r="Z65" i="5"/>
  <c r="Z61" i="5"/>
  <c r="AH65" i="5"/>
  <c r="AH61" i="5"/>
  <c r="AP65" i="5"/>
  <c r="AP61" i="5"/>
  <c r="AX65" i="5"/>
  <c r="AX61" i="5"/>
  <c r="BF65" i="5"/>
  <c r="BF61" i="5"/>
  <c r="BN61" i="5"/>
  <c r="BN65" i="5"/>
  <c r="I69" i="5"/>
  <c r="Q69" i="5"/>
  <c r="J69" i="5"/>
  <c r="R69" i="5"/>
  <c r="S69" i="5"/>
  <c r="E69" i="5"/>
  <c r="M69" i="5"/>
  <c r="K69" i="5"/>
  <c r="D69" i="5"/>
  <c r="F69" i="5"/>
  <c r="N69" i="5"/>
  <c r="L69" i="5"/>
  <c r="G69" i="5"/>
  <c r="O69" i="5"/>
  <c r="BQ69" i="5"/>
  <c r="H69" i="5"/>
  <c r="P69" i="5"/>
  <c r="AS54" i="5"/>
  <c r="T54" i="5"/>
  <c r="BD54" i="5"/>
  <c r="I35" i="5"/>
  <c r="S28" i="5"/>
  <c r="E33" i="15"/>
  <c r="F33" i="15"/>
  <c r="G33" i="15"/>
  <c r="H33" i="15"/>
  <c r="I33" i="15"/>
  <c r="J33" i="15"/>
  <c r="K33" i="15"/>
  <c r="L33" i="15"/>
  <c r="M33" i="15"/>
  <c r="N33" i="15"/>
  <c r="O33" i="15"/>
  <c r="P33" i="15"/>
  <c r="Q33" i="15"/>
  <c r="R33" i="15"/>
  <c r="S33" i="15"/>
  <c r="T33" i="15"/>
  <c r="U33" i="15"/>
  <c r="V33" i="15"/>
  <c r="W33" i="15"/>
  <c r="X33" i="15"/>
  <c r="D33" i="15"/>
  <c r="C24" i="15"/>
  <c r="B24" i="15"/>
  <c r="G6" i="5" l="1"/>
  <c r="BL50" i="5"/>
  <c r="BO50" i="5"/>
  <c r="AL50" i="5"/>
  <c r="AJ50" i="5"/>
  <c r="W50" i="5"/>
  <c r="S54" i="5"/>
  <c r="BB50" i="5"/>
  <c r="BA50" i="5"/>
  <c r="AE50" i="5"/>
  <c r="AG50" i="5"/>
  <c r="AS50" i="5"/>
  <c r="G54" i="5"/>
  <c r="AU50" i="5"/>
  <c r="T50" i="5"/>
  <c r="I54" i="5"/>
  <c r="V50" i="5"/>
  <c r="AC50" i="5"/>
  <c r="BN46" i="5"/>
  <c r="G28" i="5"/>
  <c r="G36" i="5" s="1"/>
  <c r="G42" i="5" s="1"/>
  <c r="D28" i="5"/>
  <c r="D36" i="5" s="1"/>
  <c r="D42" i="5" s="1"/>
  <c r="U50" i="5"/>
  <c r="BF50" i="5"/>
  <c r="O54" i="5"/>
  <c r="AM50" i="5"/>
  <c r="BJ50" i="5"/>
  <c r="S35" i="5"/>
  <c r="AB50" i="5"/>
  <c r="Q54" i="5"/>
  <c r="AX50" i="5"/>
  <c r="H46" i="5"/>
  <c r="F54" i="5"/>
  <c r="AK50" i="5"/>
  <c r="BI50" i="5"/>
  <c r="BO46" i="5"/>
  <c r="R46" i="5"/>
  <c r="BK50" i="5"/>
  <c r="BP46" i="5"/>
  <c r="I28" i="5"/>
  <c r="I36" i="5" s="1"/>
  <c r="I42" i="5" s="1"/>
  <c r="AK46" i="5"/>
  <c r="G35" i="5"/>
  <c r="D35" i="5"/>
  <c r="D54" i="5"/>
  <c r="AP46" i="5"/>
  <c r="BD46" i="5"/>
  <c r="AT46" i="5"/>
  <c r="P46" i="5"/>
  <c r="M46" i="5"/>
  <c r="BA46" i="5"/>
  <c r="T46" i="5"/>
  <c r="Z46" i="5"/>
  <c r="AQ46" i="5"/>
  <c r="AR46" i="5"/>
  <c r="Y46" i="5"/>
  <c r="AN46" i="5"/>
  <c r="E46" i="5"/>
  <c r="AD46" i="5"/>
  <c r="BK46" i="5"/>
  <c r="O46" i="5"/>
  <c r="X46" i="5"/>
  <c r="AF46" i="5"/>
  <c r="L46" i="5"/>
  <c r="V46" i="5"/>
  <c r="AS46" i="5"/>
  <c r="J46" i="5"/>
  <c r="Q46" i="5"/>
  <c r="AO46" i="5"/>
  <c r="G46" i="5"/>
  <c r="AY46" i="5"/>
  <c r="AJ46" i="5"/>
  <c r="AU46" i="5"/>
  <c r="AI46" i="5"/>
  <c r="I46" i="5"/>
  <c r="BF46" i="5"/>
  <c r="BI46" i="5"/>
  <c r="AH46" i="5"/>
  <c r="P35" i="5"/>
  <c r="AM46" i="5"/>
  <c r="BJ46" i="5"/>
  <c r="BH46" i="5"/>
  <c r="AX46" i="5"/>
  <c r="AB46" i="5"/>
  <c r="P28" i="5"/>
  <c r="P36" i="5" s="1"/>
  <c r="P42" i="5" s="1"/>
  <c r="P54" i="5"/>
  <c r="BE46" i="5"/>
  <c r="F46" i="5"/>
  <c r="AE46" i="5"/>
  <c r="BB46" i="5"/>
  <c r="S46" i="5"/>
  <c r="AC46" i="5"/>
  <c r="AZ46" i="5"/>
  <c r="AA46" i="5"/>
  <c r="AT50" i="5"/>
  <c r="BG46" i="5"/>
  <c r="AW46" i="5"/>
  <c r="BL46" i="5"/>
  <c r="K46" i="5"/>
  <c r="U46" i="5"/>
  <c r="BM47" i="5"/>
  <c r="BM48" i="5"/>
  <c r="AG47" i="5"/>
  <c r="AG48" i="5"/>
  <c r="N47" i="5"/>
  <c r="N48" i="5"/>
  <c r="AV47" i="5"/>
  <c r="AV48" i="5"/>
  <c r="BC47" i="5"/>
  <c r="BC48" i="5"/>
  <c r="W47" i="5"/>
  <c r="W48" i="5"/>
  <c r="D48" i="5"/>
  <c r="D47" i="5"/>
  <c r="AL47" i="5"/>
  <c r="AL48" i="5"/>
  <c r="S47" i="5"/>
  <c r="S48" i="5"/>
  <c r="AS48" i="5"/>
  <c r="AS47" i="5"/>
  <c r="AB48" i="5"/>
  <c r="AB47" i="5"/>
  <c r="BH47" i="5"/>
  <c r="BH48" i="5"/>
  <c r="Q47" i="5"/>
  <c r="Q48" i="5"/>
  <c r="P47" i="5"/>
  <c r="P48" i="5"/>
  <c r="AX47" i="5"/>
  <c r="AX48" i="5"/>
  <c r="BE47" i="5"/>
  <c r="BE48" i="5"/>
  <c r="Y47" i="5"/>
  <c r="Y48" i="5"/>
  <c r="F48" i="5"/>
  <c r="F47" i="5"/>
  <c r="AN47" i="5"/>
  <c r="AN48" i="5"/>
  <c r="AU47" i="5"/>
  <c r="AU48" i="5"/>
  <c r="AQ47" i="5"/>
  <c r="AQ48" i="5"/>
  <c r="BJ48" i="5"/>
  <c r="BJ47" i="5"/>
  <c r="AD48" i="5"/>
  <c r="AD47" i="5"/>
  <c r="K47" i="5"/>
  <c r="K48" i="5"/>
  <c r="AK47" i="5"/>
  <c r="AK48" i="5"/>
  <c r="R47" i="5"/>
  <c r="R48" i="5"/>
  <c r="AZ48" i="5"/>
  <c r="AZ47" i="5"/>
  <c r="I47" i="5"/>
  <c r="I48" i="5"/>
  <c r="H47" i="5"/>
  <c r="H48" i="5"/>
  <c r="AP47" i="5"/>
  <c r="AP48" i="5"/>
  <c r="O47" i="5"/>
  <c r="O48" i="5"/>
  <c r="AW47" i="5"/>
  <c r="AW48" i="5"/>
  <c r="X47" i="5"/>
  <c r="X48" i="5"/>
  <c r="BL48" i="5"/>
  <c r="BL47" i="5"/>
  <c r="AF47" i="5"/>
  <c r="AF48" i="5"/>
  <c r="M47" i="5"/>
  <c r="M48" i="5"/>
  <c r="AM47" i="5"/>
  <c r="AM48" i="5"/>
  <c r="BB48" i="5"/>
  <c r="BB47" i="5"/>
  <c r="V48" i="5"/>
  <c r="V47" i="5"/>
  <c r="BI48" i="5"/>
  <c r="BI47" i="5"/>
  <c r="AC47" i="5"/>
  <c r="AC48" i="5"/>
  <c r="J47" i="5"/>
  <c r="J48" i="5"/>
  <c r="AR48" i="5"/>
  <c r="AR47" i="5"/>
  <c r="BO47" i="5"/>
  <c r="BO48" i="5"/>
  <c r="BN47" i="5"/>
  <c r="BN48" i="5"/>
  <c r="AH47" i="5"/>
  <c r="AH48" i="5"/>
  <c r="G47" i="5"/>
  <c r="G48" i="5"/>
  <c r="AO47" i="5"/>
  <c r="AO48" i="5"/>
  <c r="AY47" i="5"/>
  <c r="AY48" i="5"/>
  <c r="BD47" i="5"/>
  <c r="BD48" i="5"/>
  <c r="AJ48" i="5"/>
  <c r="AJ47" i="5"/>
  <c r="E48" i="5"/>
  <c r="E47" i="5"/>
  <c r="AE47" i="5"/>
  <c r="AE48" i="5"/>
  <c r="L48" i="5"/>
  <c r="L47" i="5"/>
  <c r="AT48" i="5"/>
  <c r="AT47" i="5"/>
  <c r="AI47" i="5"/>
  <c r="AI48" i="5"/>
  <c r="BM46" i="5"/>
  <c r="AG46" i="5"/>
  <c r="N46" i="5"/>
  <c r="AV46" i="5"/>
  <c r="BC46" i="5"/>
  <c r="W46" i="5"/>
  <c r="D46" i="5"/>
  <c r="AL46" i="5"/>
  <c r="BA48" i="5"/>
  <c r="BA47" i="5"/>
  <c r="U48" i="5"/>
  <c r="U47" i="5"/>
  <c r="BP47" i="5"/>
  <c r="BP48" i="5"/>
  <c r="T48" i="5"/>
  <c r="T47" i="5"/>
  <c r="AA47" i="5"/>
  <c r="AA48" i="5"/>
  <c r="BF47" i="5"/>
  <c r="BF48" i="5"/>
  <c r="Z47" i="5"/>
  <c r="Z48" i="5"/>
  <c r="BK47" i="5"/>
  <c r="BK48" i="5"/>
  <c r="BG48" i="5"/>
  <c r="BG47" i="5"/>
  <c r="BQ48" i="5"/>
  <c r="BQ47" i="5"/>
  <c r="BQ46" i="5"/>
  <c r="BG52" i="5"/>
  <c r="BG51" i="5"/>
  <c r="AP52" i="5"/>
  <c r="AP51" i="5"/>
  <c r="Y51" i="5"/>
  <c r="Y52" i="5"/>
  <c r="BC51" i="5"/>
  <c r="BC52" i="5"/>
  <c r="BG55" i="5"/>
  <c r="BG56" i="5"/>
  <c r="W55" i="5"/>
  <c r="W56" i="5"/>
  <c r="AV56" i="5"/>
  <c r="AV55" i="5"/>
  <c r="BJ55" i="5"/>
  <c r="BJ56" i="5"/>
  <c r="BP55" i="5"/>
  <c r="BP56" i="5"/>
  <c r="H56" i="5"/>
  <c r="H55" i="5"/>
  <c r="L55" i="5"/>
  <c r="L56" i="5"/>
  <c r="K55" i="5"/>
  <c r="K56" i="5"/>
  <c r="R55" i="5"/>
  <c r="R56" i="5"/>
  <c r="V51" i="5"/>
  <c r="V52" i="5"/>
  <c r="AY52" i="5"/>
  <c r="AY51" i="5"/>
  <c r="AH52" i="5"/>
  <c r="AH51" i="5"/>
  <c r="AU51" i="5"/>
  <c r="AU52" i="5"/>
  <c r="AY55" i="5"/>
  <c r="AY56" i="5"/>
  <c r="BM56" i="5"/>
  <c r="BM55" i="5"/>
  <c r="AC55" i="5"/>
  <c r="AC56" i="5"/>
  <c r="BB55" i="5"/>
  <c r="BB56" i="5"/>
  <c r="BH55" i="5"/>
  <c r="BH56" i="5"/>
  <c r="BG54" i="5"/>
  <c r="W54" i="5"/>
  <c r="Y50" i="5"/>
  <c r="AV54" i="5"/>
  <c r="L54" i="5"/>
  <c r="BJ54" i="5"/>
  <c r="BH51" i="5"/>
  <c r="BH52" i="5"/>
  <c r="BL51" i="5"/>
  <c r="BL52" i="5"/>
  <c r="BI51" i="5"/>
  <c r="BI52" i="5"/>
  <c r="AZ51" i="5"/>
  <c r="AZ52" i="5"/>
  <c r="AQ52" i="5"/>
  <c r="AQ51" i="5"/>
  <c r="Z52" i="5"/>
  <c r="Z51" i="5"/>
  <c r="BD51" i="5"/>
  <c r="BD52" i="5"/>
  <c r="AM51" i="5"/>
  <c r="AM52" i="5"/>
  <c r="AQ55" i="5"/>
  <c r="AQ56" i="5"/>
  <c r="BE56" i="5"/>
  <c r="BE55" i="5"/>
  <c r="U55" i="5"/>
  <c r="U56" i="5"/>
  <c r="AT55" i="5"/>
  <c r="AT56" i="5"/>
  <c r="AZ55" i="5"/>
  <c r="AZ56" i="5"/>
  <c r="BQ55" i="5"/>
  <c r="BQ56" i="5"/>
  <c r="N55" i="5"/>
  <c r="N56" i="5"/>
  <c r="M55" i="5"/>
  <c r="M56" i="5"/>
  <c r="J55" i="5"/>
  <c r="J56" i="5"/>
  <c r="AY54" i="5"/>
  <c r="AP50" i="5"/>
  <c r="BM54" i="5"/>
  <c r="BD50" i="5"/>
  <c r="AC54" i="5"/>
  <c r="BB54" i="5"/>
  <c r="R54" i="5"/>
  <c r="BP51" i="5"/>
  <c r="BP52" i="5"/>
  <c r="BA51" i="5"/>
  <c r="BA52" i="5"/>
  <c r="AI52" i="5"/>
  <c r="AI51" i="5"/>
  <c r="BM51" i="5"/>
  <c r="BM52" i="5"/>
  <c r="AV51" i="5"/>
  <c r="AV52" i="5"/>
  <c r="AE51" i="5"/>
  <c r="AE52" i="5"/>
  <c r="X56" i="5"/>
  <c r="X55" i="5"/>
  <c r="AW56" i="5"/>
  <c r="AW55" i="5"/>
  <c r="BK55" i="5"/>
  <c r="BK56" i="5"/>
  <c r="AA55" i="5"/>
  <c r="AA56" i="5"/>
  <c r="AR55" i="5"/>
  <c r="AR56" i="5"/>
  <c r="AQ54" i="5"/>
  <c r="AH50" i="5"/>
  <c r="BE54" i="5"/>
  <c r="AV50" i="5"/>
  <c r="U54" i="5"/>
  <c r="AT54" i="5"/>
  <c r="J54" i="5"/>
  <c r="BP54" i="5"/>
  <c r="BG50" i="5"/>
  <c r="AD51" i="5"/>
  <c r="AD52" i="5"/>
  <c r="AR51" i="5"/>
  <c r="AR52" i="5"/>
  <c r="BJ51" i="5"/>
  <c r="BJ52" i="5"/>
  <c r="AS51" i="5"/>
  <c r="AS52" i="5"/>
  <c r="AJ51" i="5"/>
  <c r="AJ52" i="5"/>
  <c r="AA52" i="5"/>
  <c r="AA51" i="5"/>
  <c r="BE51" i="5"/>
  <c r="BE52" i="5"/>
  <c r="AN51" i="5"/>
  <c r="AN52" i="5"/>
  <c r="W51" i="5"/>
  <c r="W52" i="5"/>
  <c r="BN55" i="5"/>
  <c r="BN56" i="5"/>
  <c r="AO56" i="5"/>
  <c r="AO55" i="5"/>
  <c r="BC55" i="5"/>
  <c r="BC56" i="5"/>
  <c r="BI55" i="5"/>
  <c r="BI56" i="5"/>
  <c r="Y56" i="5"/>
  <c r="Y55" i="5"/>
  <c r="O55" i="5"/>
  <c r="O56" i="5"/>
  <c r="F55" i="5"/>
  <c r="F56" i="5"/>
  <c r="E55" i="5"/>
  <c r="E56" i="5"/>
  <c r="Q56" i="5"/>
  <c r="Q55" i="5"/>
  <c r="X54" i="5"/>
  <c r="Z50" i="5"/>
  <c r="BM50" i="5"/>
  <c r="AW54" i="5"/>
  <c r="AN50" i="5"/>
  <c r="M54" i="5"/>
  <c r="BK54" i="5"/>
  <c r="AA54" i="5"/>
  <c r="BP50" i="5"/>
  <c r="BH54" i="5"/>
  <c r="AY50" i="5"/>
  <c r="BB51" i="5"/>
  <c r="BB52" i="5"/>
  <c r="AB51" i="5"/>
  <c r="AB52" i="5"/>
  <c r="BN52" i="5"/>
  <c r="BN51" i="5"/>
  <c r="AW51" i="5"/>
  <c r="AW52" i="5"/>
  <c r="AF51" i="5"/>
  <c r="AF52" i="5"/>
  <c r="BF55" i="5"/>
  <c r="BF56" i="5"/>
  <c r="V55" i="5"/>
  <c r="V56" i="5"/>
  <c r="AU55" i="5"/>
  <c r="AU56" i="5"/>
  <c r="BA55" i="5"/>
  <c r="BA56" i="5"/>
  <c r="BN54" i="5"/>
  <c r="BE50" i="5"/>
  <c r="AO54" i="5"/>
  <c r="AF50" i="5"/>
  <c r="E54" i="5"/>
  <c r="BC54" i="5"/>
  <c r="BH50" i="5"/>
  <c r="AZ54" i="5"/>
  <c r="AQ50" i="5"/>
  <c r="AC51" i="5"/>
  <c r="AC52" i="5"/>
  <c r="T51" i="5"/>
  <c r="T52" i="5"/>
  <c r="BF52" i="5"/>
  <c r="BF51" i="5"/>
  <c r="AO51" i="5"/>
  <c r="AO52" i="5"/>
  <c r="X51" i="5"/>
  <c r="X52" i="5"/>
  <c r="AX55" i="5"/>
  <c r="AX56" i="5"/>
  <c r="BL56" i="5"/>
  <c r="BL55" i="5"/>
  <c r="AB55" i="5"/>
  <c r="AB56" i="5"/>
  <c r="AS55" i="5"/>
  <c r="AS56" i="5"/>
  <c r="P56" i="5"/>
  <c r="P55" i="5"/>
  <c r="G55" i="5"/>
  <c r="G56" i="5"/>
  <c r="D55" i="5"/>
  <c r="D56" i="5"/>
  <c r="S55" i="5"/>
  <c r="S56" i="5"/>
  <c r="I56" i="5"/>
  <c r="I55" i="5"/>
  <c r="H54" i="5"/>
  <c r="BF54" i="5"/>
  <c r="AW50" i="5"/>
  <c r="V54" i="5"/>
  <c r="X50" i="5"/>
  <c r="AU54" i="5"/>
  <c r="K54" i="5"/>
  <c r="BI54" i="5"/>
  <c r="AZ50" i="5"/>
  <c r="AR54" i="5"/>
  <c r="AI50" i="5"/>
  <c r="AK51" i="5"/>
  <c r="AK52" i="5"/>
  <c r="AT51" i="5"/>
  <c r="AT52" i="5"/>
  <c r="AL51" i="5"/>
  <c r="AL52" i="5"/>
  <c r="U51" i="5"/>
  <c r="U52" i="5"/>
  <c r="BO52" i="5"/>
  <c r="BO51" i="5"/>
  <c r="AX52" i="5"/>
  <c r="AX51" i="5"/>
  <c r="AG51" i="5"/>
  <c r="AG52" i="5"/>
  <c r="BK51" i="5"/>
  <c r="BK52" i="5"/>
  <c r="BO55" i="5"/>
  <c r="BO56" i="5"/>
  <c r="AP56" i="5"/>
  <c r="AP55" i="5"/>
  <c r="BD56" i="5"/>
  <c r="BD55" i="5"/>
  <c r="T55" i="5"/>
  <c r="T56" i="5"/>
  <c r="Z55" i="5"/>
  <c r="Z56" i="5"/>
  <c r="BN50" i="5"/>
  <c r="AX54" i="5"/>
  <c r="AO50" i="5"/>
  <c r="N54" i="5"/>
  <c r="BL54" i="5"/>
  <c r="BC50" i="5"/>
  <c r="AB54" i="5"/>
  <c r="AD50" i="5"/>
  <c r="BQ54" i="5"/>
  <c r="BA54" i="5"/>
  <c r="AR50" i="5"/>
  <c r="Y54" i="5"/>
  <c r="AA50" i="5"/>
  <c r="BN68" i="5"/>
  <c r="BF68" i="5"/>
  <c r="V68" i="5"/>
  <c r="AU68" i="5"/>
  <c r="BA68" i="5"/>
  <c r="AO68" i="5"/>
  <c r="AX68" i="5"/>
  <c r="BL68" i="5"/>
  <c r="AB68" i="5"/>
  <c r="AS68" i="5"/>
  <c r="BI68" i="5"/>
  <c r="BO68" i="5"/>
  <c r="AP68" i="5"/>
  <c r="BD68" i="5"/>
  <c r="T68" i="5"/>
  <c r="Z68" i="5"/>
  <c r="BQ60" i="5"/>
  <c r="J60" i="5"/>
  <c r="BG68" i="5"/>
  <c r="W68" i="5"/>
  <c r="AV68" i="5"/>
  <c r="BJ68" i="5"/>
  <c r="BP68" i="5"/>
  <c r="BC68" i="5"/>
  <c r="AY68" i="5"/>
  <c r="BM68" i="5"/>
  <c r="AC68" i="5"/>
  <c r="BB68" i="5"/>
  <c r="BH68" i="5"/>
  <c r="Y68" i="5"/>
  <c r="AQ68" i="5"/>
  <c r="BE68" i="5"/>
  <c r="U68" i="5"/>
  <c r="AT68" i="5"/>
  <c r="AZ68" i="5"/>
  <c r="X68" i="5"/>
  <c r="AW68" i="5"/>
  <c r="BK68" i="5"/>
  <c r="AA68" i="5"/>
  <c r="AR68" i="5"/>
  <c r="P60" i="5"/>
  <c r="D60" i="5"/>
  <c r="BB64" i="5"/>
  <c r="BB60" i="5"/>
  <c r="AK64" i="5"/>
  <c r="AK60" i="5"/>
  <c r="AB64" i="5"/>
  <c r="AB60" i="5"/>
  <c r="BN60" i="5"/>
  <c r="BN64" i="5"/>
  <c r="AW60" i="5"/>
  <c r="AW64" i="5"/>
  <c r="AF60" i="5"/>
  <c r="AF64" i="5"/>
  <c r="AT64" i="5"/>
  <c r="AT60" i="5"/>
  <c r="AC64" i="5"/>
  <c r="AC60" i="5"/>
  <c r="T64" i="5"/>
  <c r="T60" i="5"/>
  <c r="BF60" i="5"/>
  <c r="BF64" i="5"/>
  <c r="AO60" i="5"/>
  <c r="AO64" i="5"/>
  <c r="X60" i="5"/>
  <c r="X64" i="5"/>
  <c r="H60" i="5"/>
  <c r="L60" i="5"/>
  <c r="K60" i="5"/>
  <c r="R60" i="5"/>
  <c r="AL64" i="5"/>
  <c r="AL60" i="5"/>
  <c r="U64" i="5"/>
  <c r="U60" i="5"/>
  <c r="BO64" i="5"/>
  <c r="BO60" i="5"/>
  <c r="AX60" i="5"/>
  <c r="AX64" i="5"/>
  <c r="AG60" i="5"/>
  <c r="AG64" i="5"/>
  <c r="BK64" i="5"/>
  <c r="BK60" i="5"/>
  <c r="AD64" i="5"/>
  <c r="AD60" i="5"/>
  <c r="BP64" i="5"/>
  <c r="BP60" i="5"/>
  <c r="BG60" i="5"/>
  <c r="BG64" i="5"/>
  <c r="AP60" i="5"/>
  <c r="AP64" i="5"/>
  <c r="Y60" i="5"/>
  <c r="Y64" i="5"/>
  <c r="BC64" i="5"/>
  <c r="BC60" i="5"/>
  <c r="N35" i="5"/>
  <c r="N60" i="5"/>
  <c r="M60" i="5"/>
  <c r="V64" i="5"/>
  <c r="V60" i="5"/>
  <c r="BH64" i="5"/>
  <c r="BH60" i="5"/>
  <c r="AY60" i="5"/>
  <c r="AY64" i="5"/>
  <c r="AH60" i="5"/>
  <c r="AH64" i="5"/>
  <c r="BL60" i="5"/>
  <c r="BL64" i="5"/>
  <c r="AU64" i="5"/>
  <c r="AU60" i="5"/>
  <c r="BI64" i="5"/>
  <c r="BI60" i="5"/>
  <c r="AZ64" i="5"/>
  <c r="AZ60" i="5"/>
  <c r="AQ60" i="5"/>
  <c r="AQ64" i="5"/>
  <c r="Z60" i="5"/>
  <c r="Z64" i="5"/>
  <c r="BD60" i="5"/>
  <c r="BD64" i="5"/>
  <c r="AM64" i="5"/>
  <c r="AM60" i="5"/>
  <c r="O60" i="5"/>
  <c r="F60" i="5"/>
  <c r="E60" i="5"/>
  <c r="Q60" i="5"/>
  <c r="BA64" i="5"/>
  <c r="BA60" i="5"/>
  <c r="AR64" i="5"/>
  <c r="AR60" i="5"/>
  <c r="AI60" i="5"/>
  <c r="AI64" i="5"/>
  <c r="BM60" i="5"/>
  <c r="BM64" i="5"/>
  <c r="AV60" i="5"/>
  <c r="AV64" i="5"/>
  <c r="AE64" i="5"/>
  <c r="AE60" i="5"/>
  <c r="BJ64" i="5"/>
  <c r="BJ60" i="5"/>
  <c r="AS64" i="5"/>
  <c r="AS60" i="5"/>
  <c r="AJ60" i="5"/>
  <c r="AJ64" i="5"/>
  <c r="AA60" i="5"/>
  <c r="AA64" i="5"/>
  <c r="BE60" i="5"/>
  <c r="BE64" i="5"/>
  <c r="AN60" i="5"/>
  <c r="AN64" i="5"/>
  <c r="W64" i="5"/>
  <c r="W60" i="5"/>
  <c r="G60" i="5"/>
  <c r="S60" i="5"/>
  <c r="I60" i="5"/>
  <c r="K35" i="5"/>
  <c r="L28" i="5"/>
  <c r="L36" i="5" s="1"/>
  <c r="L42" i="5" s="1"/>
  <c r="O28" i="5"/>
  <c r="BQ68" i="5"/>
  <c r="J68" i="5"/>
  <c r="M35" i="5"/>
  <c r="E68" i="5"/>
  <c r="BQ28" i="5"/>
  <c r="E28" i="5"/>
  <c r="J28" i="5"/>
  <c r="N68" i="5"/>
  <c r="Q68" i="5"/>
  <c r="N28" i="5"/>
  <c r="E35" i="5"/>
  <c r="Q35" i="5"/>
  <c r="P68" i="5"/>
  <c r="G68" i="5"/>
  <c r="D68" i="5"/>
  <c r="S68" i="5"/>
  <c r="I68" i="5"/>
  <c r="M28" i="5"/>
  <c r="O68" i="5"/>
  <c r="F35" i="5"/>
  <c r="Q28" i="5"/>
  <c r="M68" i="5"/>
  <c r="F68" i="5"/>
  <c r="F28" i="5"/>
  <c r="F36" i="5" s="1"/>
  <c r="F42" i="5" s="1"/>
  <c r="H68" i="5"/>
  <c r="L68" i="5"/>
  <c r="K68" i="5"/>
  <c r="R68" i="5"/>
  <c r="BQ35" i="5"/>
  <c r="J35" i="5"/>
  <c r="O35" i="5"/>
  <c r="K28" i="5"/>
  <c r="H35" i="5"/>
  <c r="R28" i="5"/>
  <c r="H28" i="5"/>
  <c r="R35" i="5"/>
  <c r="L35" i="5"/>
  <c r="AW28" i="5"/>
  <c r="BN28" i="5"/>
  <c r="AO28" i="5"/>
  <c r="BC28" i="5"/>
  <c r="BI28" i="5"/>
  <c r="Y28" i="5"/>
  <c r="X28" i="5"/>
  <c r="BA28" i="5"/>
  <c r="AX28" i="5"/>
  <c r="BL28" i="5"/>
  <c r="AB28" i="5"/>
  <c r="AS28" i="5"/>
  <c r="BK28" i="5"/>
  <c r="BO28" i="5"/>
  <c r="AP28" i="5"/>
  <c r="BD28" i="5"/>
  <c r="T28" i="5"/>
  <c r="Z28" i="5"/>
  <c r="AR28" i="5"/>
  <c r="V28" i="5"/>
  <c r="BG28" i="5"/>
  <c r="W28" i="5"/>
  <c r="AV28" i="5"/>
  <c r="BJ28" i="5"/>
  <c r="BP28" i="5"/>
  <c r="AA28" i="5"/>
  <c r="BF28" i="5"/>
  <c r="AU28" i="5"/>
  <c r="AY28" i="5"/>
  <c r="BM28" i="5"/>
  <c r="AC28" i="5"/>
  <c r="BB28" i="5"/>
  <c r="BH28" i="5"/>
  <c r="AQ28" i="5"/>
  <c r="BE28" i="5"/>
  <c r="U28" i="5"/>
  <c r="AT28" i="5"/>
  <c r="AZ28" i="5"/>
  <c r="S36" i="5"/>
  <c r="S42" i="5" s="1"/>
  <c r="AL17" i="5"/>
  <c r="AL35" i="5"/>
  <c r="BK17" i="5"/>
  <c r="BK35" i="5"/>
  <c r="AD17" i="5"/>
  <c r="AD35" i="5"/>
  <c r="BP17" i="5"/>
  <c r="BP35" i="5"/>
  <c r="BG17" i="5"/>
  <c r="BG35" i="5"/>
  <c r="AP17" i="5"/>
  <c r="AP35" i="5"/>
  <c r="Y17" i="5"/>
  <c r="Y35" i="5"/>
  <c r="BC17" i="5"/>
  <c r="BC35" i="5"/>
  <c r="AG17" i="5"/>
  <c r="AG35" i="5"/>
  <c r="V17" i="5"/>
  <c r="V35" i="5"/>
  <c r="BH17" i="5"/>
  <c r="BH35" i="5"/>
  <c r="AY17" i="5"/>
  <c r="AY35" i="5"/>
  <c r="AH17" i="5"/>
  <c r="AH35" i="5"/>
  <c r="BL17" i="5"/>
  <c r="BL35" i="5"/>
  <c r="AU17" i="5"/>
  <c r="AU35" i="5"/>
  <c r="BO17" i="5"/>
  <c r="BO35" i="5"/>
  <c r="AZ17" i="5"/>
  <c r="AZ35" i="5"/>
  <c r="AM17" i="5"/>
  <c r="AM35" i="5"/>
  <c r="BA17" i="5"/>
  <c r="BA35" i="5"/>
  <c r="AR17" i="5"/>
  <c r="AR35" i="5"/>
  <c r="AI17" i="5"/>
  <c r="AI35" i="5"/>
  <c r="BM17" i="5"/>
  <c r="BM35" i="5"/>
  <c r="AV17" i="5"/>
  <c r="AV35" i="5"/>
  <c r="AE17" i="5"/>
  <c r="AE35" i="5"/>
  <c r="AX17" i="5"/>
  <c r="AX35" i="5"/>
  <c r="Z17" i="5"/>
  <c r="Z35" i="5"/>
  <c r="BJ17" i="5"/>
  <c r="BJ35" i="5"/>
  <c r="AS17" i="5"/>
  <c r="AS35" i="5"/>
  <c r="AJ17" i="5"/>
  <c r="AJ35" i="5"/>
  <c r="AA17" i="5"/>
  <c r="AA35" i="5"/>
  <c r="BE17" i="5"/>
  <c r="BE35" i="5"/>
  <c r="AN17" i="5"/>
  <c r="AN35" i="5"/>
  <c r="W17" i="5"/>
  <c r="W35" i="5"/>
  <c r="BI17" i="5"/>
  <c r="BI35" i="5"/>
  <c r="BD17" i="5"/>
  <c r="BD35" i="5"/>
  <c r="BB17" i="5"/>
  <c r="BB35" i="5"/>
  <c r="AK17" i="5"/>
  <c r="AK35" i="5"/>
  <c r="AB17" i="5"/>
  <c r="AB35" i="5"/>
  <c r="BN17" i="5"/>
  <c r="BN35" i="5"/>
  <c r="AW17" i="5"/>
  <c r="AW35" i="5"/>
  <c r="AF17" i="5"/>
  <c r="AF35" i="5"/>
  <c r="U17" i="5"/>
  <c r="U35" i="5"/>
  <c r="AQ17" i="5"/>
  <c r="AQ35" i="5"/>
  <c r="AT17" i="5"/>
  <c r="AT35" i="5"/>
  <c r="AC17" i="5"/>
  <c r="AC35" i="5"/>
  <c r="T17" i="5"/>
  <c r="T35" i="5"/>
  <c r="BF17" i="5"/>
  <c r="BF35" i="5"/>
  <c r="AO17" i="5"/>
  <c r="AO35" i="5"/>
  <c r="X17" i="5"/>
  <c r="X35" i="5"/>
  <c r="CZ33" i="15"/>
  <c r="DB33" i="15" s="1"/>
  <c r="DN33" i="15"/>
  <c r="DG33" i="15"/>
  <c r="DN26" i="15"/>
  <c r="DP26" i="15" s="1"/>
  <c r="DN25" i="15"/>
  <c r="DP25" i="15" s="1"/>
  <c r="DG26" i="15"/>
  <c r="DI26" i="15" s="1"/>
  <c r="DK26" i="15" s="1"/>
  <c r="DG25" i="15"/>
  <c r="CZ25" i="15"/>
  <c r="CZ26" i="15"/>
  <c r="DB26" i="15" s="1"/>
  <c r="DD26" i="15" s="1"/>
  <c r="DP33" i="15" l="1"/>
  <c r="DR33" i="15" s="1"/>
  <c r="H6" i="5"/>
  <c r="BQ36" i="5"/>
  <c r="BQ42" i="5" s="1"/>
  <c r="E36" i="5"/>
  <c r="E42" i="5" s="1"/>
  <c r="H36" i="5"/>
  <c r="H42" i="5" s="1"/>
  <c r="Q36" i="5"/>
  <c r="Q42" i="5" s="1"/>
  <c r="N36" i="5"/>
  <c r="N42" i="5" s="1"/>
  <c r="O36" i="5"/>
  <c r="O42" i="5" s="1"/>
  <c r="M36" i="5"/>
  <c r="M42" i="5" s="1"/>
  <c r="R36" i="5"/>
  <c r="R42" i="5" s="1"/>
  <c r="K36" i="5"/>
  <c r="K42" i="5" s="1"/>
  <c r="J36" i="5"/>
  <c r="J42" i="5" s="1"/>
  <c r="AT36" i="5"/>
  <c r="AT42" i="5" s="1"/>
  <c r="AW36" i="5"/>
  <c r="AW42" i="5" s="1"/>
  <c r="BB36" i="5"/>
  <c r="BB42" i="5" s="1"/>
  <c r="AN36" i="5"/>
  <c r="AN42" i="5" s="1"/>
  <c r="AS36" i="5"/>
  <c r="AS42" i="5" s="1"/>
  <c r="AE36" i="5"/>
  <c r="AE42" i="5" s="1"/>
  <c r="AR36" i="5"/>
  <c r="AR42" i="5" s="1"/>
  <c r="BO36" i="5"/>
  <c r="BO42" i="5" s="1"/>
  <c r="AY36" i="5"/>
  <c r="AY42" i="5" s="1"/>
  <c r="BC36" i="5"/>
  <c r="BC42" i="5" s="1"/>
  <c r="BP36" i="5"/>
  <c r="BP42" i="5" s="1"/>
  <c r="BD36" i="5"/>
  <c r="BD42" i="5" s="1"/>
  <c r="BE36" i="5"/>
  <c r="BE42" i="5" s="1"/>
  <c r="BJ36" i="5"/>
  <c r="BJ42" i="5" s="1"/>
  <c r="AV36" i="5"/>
  <c r="AV42" i="5" s="1"/>
  <c r="BA36" i="5"/>
  <c r="BA42" i="5" s="1"/>
  <c r="AU36" i="5"/>
  <c r="AU42" i="5" s="1"/>
  <c r="BH36" i="5"/>
  <c r="BH42" i="5" s="1"/>
  <c r="Y36" i="5"/>
  <c r="Y42" i="5" s="1"/>
  <c r="AD36" i="5"/>
  <c r="AD42" i="5" s="1"/>
  <c r="AO36" i="5"/>
  <c r="AO42" i="5" s="1"/>
  <c r="BF36" i="5"/>
  <c r="BF42" i="5" s="1"/>
  <c r="T36" i="5"/>
  <c r="T42" i="5" s="1"/>
  <c r="U36" i="5"/>
  <c r="U42" i="5" s="1"/>
  <c r="AB36" i="5"/>
  <c r="AB42" i="5" s="1"/>
  <c r="BI36" i="5"/>
  <c r="BI42" i="5" s="1"/>
  <c r="AA36" i="5"/>
  <c r="AA42" i="5" s="1"/>
  <c r="Z36" i="5"/>
  <c r="Z42" i="5" s="1"/>
  <c r="BM36" i="5"/>
  <c r="BM42" i="5" s="1"/>
  <c r="AM36" i="5"/>
  <c r="AM42" i="5" s="1"/>
  <c r="BL36" i="5"/>
  <c r="BL42" i="5" s="1"/>
  <c r="V36" i="5"/>
  <c r="V42" i="5" s="1"/>
  <c r="AP36" i="5"/>
  <c r="AP42" i="5" s="1"/>
  <c r="BK36" i="5"/>
  <c r="BK42" i="5" s="1"/>
  <c r="BN36" i="5"/>
  <c r="BN42" i="5" s="1"/>
  <c r="AC36" i="5"/>
  <c r="AC42" i="5" s="1"/>
  <c r="AF36" i="5"/>
  <c r="AF42" i="5" s="1"/>
  <c r="AK36" i="5"/>
  <c r="AK42" i="5" s="1"/>
  <c r="W36" i="5"/>
  <c r="W42" i="5" s="1"/>
  <c r="AJ36" i="5"/>
  <c r="AJ42" i="5" s="1"/>
  <c r="AX36" i="5"/>
  <c r="AX42" i="5" s="1"/>
  <c r="AI36" i="5"/>
  <c r="AI42" i="5" s="1"/>
  <c r="AZ36" i="5"/>
  <c r="AZ42" i="5" s="1"/>
  <c r="AH36" i="5"/>
  <c r="AH42" i="5" s="1"/>
  <c r="AG36" i="5"/>
  <c r="AG42" i="5" s="1"/>
  <c r="BG36" i="5"/>
  <c r="BG42" i="5" s="1"/>
  <c r="AL36" i="5"/>
  <c r="AL42" i="5" s="1"/>
  <c r="AQ36" i="5"/>
  <c r="AQ42" i="5" s="1"/>
  <c r="X36" i="5"/>
  <c r="X42" i="5" s="1"/>
  <c r="DB25" i="15"/>
  <c r="DI25" i="15"/>
  <c r="DD33" i="15"/>
  <c r="DI33" i="15"/>
  <c r="I6" i="5" l="1"/>
  <c r="DR26" i="15"/>
  <c r="DR25" i="15"/>
  <c r="DK25" i="15"/>
  <c r="DD25" i="15"/>
  <c r="DK33" i="15"/>
  <c r="J6" i="5" l="1"/>
  <c r="CS34" i="6"/>
  <c r="CL34" i="6"/>
  <c r="CE34" i="6"/>
  <c r="BQ34" i="6"/>
  <c r="BC34" i="6"/>
  <c r="AV34" i="6"/>
  <c r="AO34" i="6"/>
  <c r="AH34" i="6"/>
  <c r="T34" i="6"/>
  <c r="M34" i="6"/>
  <c r="F34" i="6"/>
  <c r="F37" i="6" s="1"/>
  <c r="K6" i="5" l="1"/>
  <c r="M37" i="6"/>
  <c r="M38" i="6" s="1"/>
  <c r="M35" i="6"/>
  <c r="CE37" i="6"/>
  <c r="AH37" i="6"/>
  <c r="CL37" i="6"/>
  <c r="CL35" i="6"/>
  <c r="AO37" i="6"/>
  <c r="AO35" i="6"/>
  <c r="CS37" i="6"/>
  <c r="CS35" i="6"/>
  <c r="BQ37" i="6"/>
  <c r="T37" i="6"/>
  <c r="T35" i="6"/>
  <c r="AV37" i="6"/>
  <c r="AV35" i="6"/>
  <c r="BC37" i="6"/>
  <c r="BC35" i="6"/>
  <c r="BJ34" i="6"/>
  <c r="BX34" i="6"/>
  <c r="AA34" i="6"/>
  <c r="AH35" i="6" s="1"/>
  <c r="DD34" i="6"/>
  <c r="BE34" i="6"/>
  <c r="O34" i="6"/>
  <c r="AX34" i="6"/>
  <c r="T38" i="6" l="1"/>
  <c r="L6" i="5"/>
  <c r="CL38" i="6"/>
  <c r="AV38" i="6"/>
  <c r="BC38" i="6"/>
  <c r="BX37" i="6"/>
  <c r="BX38" i="6" s="1"/>
  <c r="BX35" i="6"/>
  <c r="BJ37" i="6"/>
  <c r="BJ38" i="6" s="1"/>
  <c r="BJ35" i="6"/>
  <c r="BQ35" i="6"/>
  <c r="CE35" i="6"/>
  <c r="DD37" i="6"/>
  <c r="CS38" i="6"/>
  <c r="AX37" i="6"/>
  <c r="O37" i="6"/>
  <c r="AA37" i="6"/>
  <c r="AA38" i="6" s="1"/>
  <c r="AA35" i="6"/>
  <c r="BE35" i="6"/>
  <c r="BL35" i="6"/>
  <c r="AO38" i="6"/>
  <c r="BS34" i="6"/>
  <c r="CN34" i="6"/>
  <c r="DB34" i="6"/>
  <c r="DB37" i="6" s="1"/>
  <c r="CG34" i="6"/>
  <c r="BZ34" i="6"/>
  <c r="AQ34" i="6"/>
  <c r="AX35" i="6" s="1"/>
  <c r="V34" i="6"/>
  <c r="CU34" i="6"/>
  <c r="AJ34" i="6"/>
  <c r="AC34" i="6"/>
  <c r="J34" i="6"/>
  <c r="J37" i="6" s="1"/>
  <c r="H34" i="6"/>
  <c r="H37" i="6" s="1"/>
  <c r="CP34" i="6"/>
  <c r="Q34" i="6"/>
  <c r="X34" i="6"/>
  <c r="AE34" i="6"/>
  <c r="CW34" i="6"/>
  <c r="CB34" i="6"/>
  <c r="AL34" i="6"/>
  <c r="CE38" i="6" l="1"/>
  <c r="M6" i="5"/>
  <c r="BQ38" i="6"/>
  <c r="O38" i="6"/>
  <c r="AH38" i="6"/>
  <c r="CW37" i="6"/>
  <c r="DD38" i="6" s="1"/>
  <c r="CW35" i="6"/>
  <c r="X37" i="6"/>
  <c r="X35" i="6"/>
  <c r="CP37" i="6"/>
  <c r="CP38" i="6" s="1"/>
  <c r="CP35" i="6"/>
  <c r="O35" i="6"/>
  <c r="BZ37" i="6"/>
  <c r="BZ35" i="6"/>
  <c r="AL37" i="6"/>
  <c r="AL35" i="6"/>
  <c r="AS35" i="6"/>
  <c r="V37" i="6"/>
  <c r="V38" i="6" s="1"/>
  <c r="V35" i="6"/>
  <c r="CG37" i="6"/>
  <c r="CG35" i="6"/>
  <c r="CU37" i="6"/>
  <c r="DB38" i="6" s="1"/>
  <c r="CU35" i="6"/>
  <c r="Q37" i="6"/>
  <c r="Q38" i="6" s="1"/>
  <c r="Q35" i="6"/>
  <c r="AQ37" i="6"/>
  <c r="AQ35" i="6"/>
  <c r="AE37" i="6"/>
  <c r="AE35" i="6"/>
  <c r="CB37" i="6"/>
  <c r="CB35" i="6"/>
  <c r="CI35" i="6"/>
  <c r="AC37" i="6"/>
  <c r="AC35" i="6"/>
  <c r="DB35" i="6"/>
  <c r="DD35" i="6"/>
  <c r="BS37" i="6"/>
  <c r="BS38" i="6" s="1"/>
  <c r="BS35" i="6"/>
  <c r="AJ37" i="6"/>
  <c r="AJ35" i="6"/>
  <c r="CN37" i="6"/>
  <c r="CN35" i="6"/>
  <c r="BG34" i="6"/>
  <c r="DQ14" i="15"/>
  <c r="DM14" i="15"/>
  <c r="DL14" i="15"/>
  <c r="DJ14" i="15"/>
  <c r="DH14" i="15"/>
  <c r="DF14" i="15"/>
  <c r="DE14" i="15"/>
  <c r="DC14" i="15"/>
  <c r="DA14" i="15"/>
  <c r="CY14" i="15"/>
  <c r="CX14" i="15"/>
  <c r="CV14" i="15"/>
  <c r="CT14" i="15"/>
  <c r="CR14" i="15"/>
  <c r="CQ14" i="15"/>
  <c r="CO14" i="15"/>
  <c r="CM14" i="15"/>
  <c r="CK14" i="15"/>
  <c r="CJ14" i="15"/>
  <c r="CH14" i="15"/>
  <c r="CF14" i="15"/>
  <c r="CD14" i="15"/>
  <c r="CC14" i="15"/>
  <c r="CA14" i="15"/>
  <c r="BY14" i="15"/>
  <c r="BW14" i="15"/>
  <c r="BV14" i="15"/>
  <c r="BT14" i="15"/>
  <c r="BR14" i="15"/>
  <c r="BP14" i="15"/>
  <c r="BO14" i="15"/>
  <c r="BM14" i="15"/>
  <c r="BK14" i="15"/>
  <c r="BI14" i="15"/>
  <c r="BH14" i="15"/>
  <c r="BF14" i="15"/>
  <c r="BD14" i="15"/>
  <c r="BB14" i="15"/>
  <c r="BA14" i="15"/>
  <c r="AY14" i="15"/>
  <c r="AW14" i="15"/>
  <c r="AU14" i="15"/>
  <c r="AT14" i="15"/>
  <c r="AR14" i="15"/>
  <c r="AP14" i="15"/>
  <c r="AN14" i="15"/>
  <c r="AM14" i="15"/>
  <c r="AK14" i="15"/>
  <c r="AI14" i="15"/>
  <c r="AG14" i="15"/>
  <c r="AF14" i="15"/>
  <c r="AD14" i="15"/>
  <c r="Z14" i="15"/>
  <c r="Y14" i="15"/>
  <c r="W14" i="15"/>
  <c r="U14" i="15"/>
  <c r="S14" i="15"/>
  <c r="R14" i="15"/>
  <c r="P14" i="15"/>
  <c r="N14" i="15"/>
  <c r="L14" i="15"/>
  <c r="K14" i="15"/>
  <c r="I14" i="15"/>
  <c r="G14" i="15"/>
  <c r="E14" i="15"/>
  <c r="D14" i="15"/>
  <c r="DQ13" i="15"/>
  <c r="DM13" i="15"/>
  <c r="DL13" i="15"/>
  <c r="DJ13" i="15"/>
  <c r="DH13" i="15"/>
  <c r="DF13" i="15"/>
  <c r="DE13" i="15"/>
  <c r="DC13" i="15"/>
  <c r="DA13" i="15"/>
  <c r="CY13" i="15"/>
  <c r="CX13" i="15"/>
  <c r="CV13" i="15"/>
  <c r="CT13" i="15"/>
  <c r="CR13" i="15"/>
  <c r="CQ13" i="15"/>
  <c r="CO13" i="15"/>
  <c r="CM13" i="15"/>
  <c r="CK13" i="15"/>
  <c r="CJ13" i="15"/>
  <c r="CH13" i="15"/>
  <c r="CF13" i="15"/>
  <c r="CD13" i="15"/>
  <c r="CC13" i="15"/>
  <c r="CA13" i="15"/>
  <c r="BY13" i="15"/>
  <c r="BW13" i="15"/>
  <c r="BV13" i="15"/>
  <c r="BT13" i="15"/>
  <c r="BR13" i="15"/>
  <c r="BP13" i="15"/>
  <c r="BO13" i="15"/>
  <c r="BM13" i="15"/>
  <c r="BK13" i="15"/>
  <c r="BI13" i="15"/>
  <c r="BH13" i="15"/>
  <c r="BF13" i="15"/>
  <c r="BD13" i="15"/>
  <c r="BB13" i="15"/>
  <c r="BA13" i="15"/>
  <c r="AY13" i="15"/>
  <c r="AW13" i="15"/>
  <c r="AU13" i="15"/>
  <c r="AT13" i="15"/>
  <c r="AR13" i="15"/>
  <c r="AP13" i="15"/>
  <c r="AN13" i="15"/>
  <c r="AM13" i="15"/>
  <c r="AK13" i="15"/>
  <c r="AI13" i="15"/>
  <c r="AG13" i="15"/>
  <c r="AF13" i="15"/>
  <c r="AD13" i="15"/>
  <c r="Z13" i="15"/>
  <c r="Y13" i="15"/>
  <c r="W13" i="15"/>
  <c r="U13" i="15"/>
  <c r="S13" i="15"/>
  <c r="R13" i="15"/>
  <c r="P13" i="15"/>
  <c r="N13" i="15"/>
  <c r="L13" i="15"/>
  <c r="K13" i="15"/>
  <c r="I13" i="15"/>
  <c r="E13" i="15"/>
  <c r="D13" i="15"/>
  <c r="DQ12" i="15"/>
  <c r="DM12" i="15"/>
  <c r="DL12" i="15"/>
  <c r="DJ12" i="15"/>
  <c r="DH12" i="15"/>
  <c r="DF12" i="15"/>
  <c r="DE12" i="15"/>
  <c r="DC12" i="15"/>
  <c r="DA12" i="15"/>
  <c r="CY12" i="15"/>
  <c r="CX12" i="15"/>
  <c r="CV12" i="15"/>
  <c r="CT12" i="15"/>
  <c r="CR12" i="15"/>
  <c r="CQ12" i="15"/>
  <c r="CO12" i="15"/>
  <c r="CM12" i="15"/>
  <c r="CK12" i="15"/>
  <c r="CJ12" i="15"/>
  <c r="CH12" i="15"/>
  <c r="CF12" i="15"/>
  <c r="CD12" i="15"/>
  <c r="CC12" i="15"/>
  <c r="CA12" i="15"/>
  <c r="BY12" i="15"/>
  <c r="BW12" i="15"/>
  <c r="BV12" i="15"/>
  <c r="BT12" i="15"/>
  <c r="BR12" i="15"/>
  <c r="BP12" i="15"/>
  <c r="BO12" i="15"/>
  <c r="BM12" i="15"/>
  <c r="BK12" i="15"/>
  <c r="BI12" i="15"/>
  <c r="BH12" i="15"/>
  <c r="BF12" i="15"/>
  <c r="BD12" i="15"/>
  <c r="BB12" i="15"/>
  <c r="BA12" i="15"/>
  <c r="AY12" i="15"/>
  <c r="AW12" i="15"/>
  <c r="AU12" i="15"/>
  <c r="AT12" i="15"/>
  <c r="AR12" i="15"/>
  <c r="AP12" i="15"/>
  <c r="AN12" i="15"/>
  <c r="AM12" i="15"/>
  <c r="AK12" i="15"/>
  <c r="AI12" i="15"/>
  <c r="AG12" i="15"/>
  <c r="AF12" i="15"/>
  <c r="AD12" i="15"/>
  <c r="Z12" i="15"/>
  <c r="Y12" i="15"/>
  <c r="W12" i="15"/>
  <c r="U12" i="15"/>
  <c r="S12" i="15"/>
  <c r="R12" i="15"/>
  <c r="P12" i="15"/>
  <c r="N12" i="15"/>
  <c r="L12" i="15"/>
  <c r="K12" i="15"/>
  <c r="I12" i="15"/>
  <c r="G12" i="15"/>
  <c r="E12" i="15"/>
  <c r="D12" i="15"/>
  <c r="N6" i="5" l="1"/>
  <c r="AQ38" i="6"/>
  <c r="AC38" i="6"/>
  <c r="BZ38" i="6"/>
  <c r="AE38" i="6"/>
  <c r="CG38" i="6"/>
  <c r="BG37" i="6"/>
  <c r="BG35" i="6"/>
  <c r="BN35" i="6"/>
  <c r="AJ38" i="6"/>
  <c r="X38" i="6"/>
  <c r="CN38" i="6"/>
  <c r="CB38" i="6"/>
  <c r="CI38" i="6"/>
  <c r="CU38" i="6"/>
  <c r="AL38" i="6"/>
  <c r="AS38" i="6"/>
  <c r="AX38" i="6"/>
  <c r="CW38" i="6"/>
  <c r="T13" i="15"/>
  <c r="X13" i="15" s="1"/>
  <c r="AH13" i="15"/>
  <c r="AJ13" i="15" s="1"/>
  <c r="AL13" i="15" s="1"/>
  <c r="AV13" i="15"/>
  <c r="AX13" i="15" s="1"/>
  <c r="AZ13" i="15" s="1"/>
  <c r="BJ13" i="15"/>
  <c r="BL13" i="15" s="1"/>
  <c r="BN13" i="15" s="1"/>
  <c r="BX13" i="15"/>
  <c r="BZ13" i="15" s="1"/>
  <c r="CB13" i="15" s="1"/>
  <c r="CL13" i="15"/>
  <c r="CN13" i="15" s="1"/>
  <c r="CP13" i="15" s="1"/>
  <c r="CZ13" i="15"/>
  <c r="DB13" i="15" s="1"/>
  <c r="DD13" i="15" s="1"/>
  <c r="DN13" i="15"/>
  <c r="M14" i="15"/>
  <c r="O14" i="15" s="1"/>
  <c r="Q14" i="15" s="1"/>
  <c r="AA14" i="15"/>
  <c r="AO14" i="15"/>
  <c r="AQ14" i="15" s="1"/>
  <c r="AS14" i="15" s="1"/>
  <c r="BC14" i="15"/>
  <c r="BE14" i="15" s="1"/>
  <c r="BG14" i="15" s="1"/>
  <c r="BQ14" i="15"/>
  <c r="BS14" i="15" s="1"/>
  <c r="BU14" i="15" s="1"/>
  <c r="CE14" i="15"/>
  <c r="CG14" i="15" s="1"/>
  <c r="CS14" i="15"/>
  <c r="CU14" i="15" s="1"/>
  <c r="CW14" i="15" s="1"/>
  <c r="DG14" i="15"/>
  <c r="DI14" i="15" s="1"/>
  <c r="DK14" i="15" s="1"/>
  <c r="DG13" i="15"/>
  <c r="DI13" i="15" s="1"/>
  <c r="DK13" i="15" s="1"/>
  <c r="M12" i="15"/>
  <c r="O12" i="15" s="1"/>
  <c r="Q12" i="15" s="1"/>
  <c r="AA12" i="15"/>
  <c r="AO12" i="15"/>
  <c r="AQ12" i="15" s="1"/>
  <c r="AS12" i="15" s="1"/>
  <c r="BC12" i="15"/>
  <c r="BE12" i="15" s="1"/>
  <c r="BG12" i="15" s="1"/>
  <c r="BQ12" i="15"/>
  <c r="BS12" i="15" s="1"/>
  <c r="BU12" i="15" s="1"/>
  <c r="CE12" i="15"/>
  <c r="CG12" i="15" s="1"/>
  <c r="CS12" i="15"/>
  <c r="CU12" i="15" s="1"/>
  <c r="CW12" i="15" s="1"/>
  <c r="DG12" i="15"/>
  <c r="DI12" i="15" s="1"/>
  <c r="DK12" i="15" s="1"/>
  <c r="F13" i="15"/>
  <c r="AH12" i="15"/>
  <c r="AJ12" i="15" s="1"/>
  <c r="AL12" i="15" s="1"/>
  <c r="M13" i="15"/>
  <c r="O13" i="15" s="1"/>
  <c r="Q13" i="15" s="1"/>
  <c r="AO13" i="15"/>
  <c r="AQ13" i="15" s="1"/>
  <c r="AS13" i="15" s="1"/>
  <c r="BC13" i="15"/>
  <c r="BE13" i="15" s="1"/>
  <c r="BG13" i="15" s="1"/>
  <c r="BQ13" i="15"/>
  <c r="BS13" i="15" s="1"/>
  <c r="BU13" i="15" s="1"/>
  <c r="CS13" i="15"/>
  <c r="CU13" i="15" s="1"/>
  <c r="CW13" i="15" s="1"/>
  <c r="F14" i="15"/>
  <c r="H14" i="15" s="1"/>
  <c r="J14" i="15" s="1"/>
  <c r="AH14" i="15"/>
  <c r="AJ14" i="15" s="1"/>
  <c r="AL14" i="15" s="1"/>
  <c r="BJ14" i="15"/>
  <c r="BL14" i="15" s="1"/>
  <c r="BN14" i="15" s="1"/>
  <c r="CL14" i="15"/>
  <c r="CN14" i="15" s="1"/>
  <c r="CP14" i="15" s="1"/>
  <c r="DN14" i="15"/>
  <c r="DP14" i="15" s="1"/>
  <c r="F12" i="15"/>
  <c r="H12" i="15" s="1"/>
  <c r="J12" i="15" s="1"/>
  <c r="T12" i="15"/>
  <c r="X12" i="15" s="1"/>
  <c r="AV12" i="15"/>
  <c r="AX12" i="15" s="1"/>
  <c r="AZ12" i="15" s="1"/>
  <c r="BJ12" i="15"/>
  <c r="BL12" i="15" s="1"/>
  <c r="BN12" i="15" s="1"/>
  <c r="BX12" i="15"/>
  <c r="BZ12" i="15" s="1"/>
  <c r="CB12" i="15" s="1"/>
  <c r="CL12" i="15"/>
  <c r="CN12" i="15" s="1"/>
  <c r="CP12" i="15" s="1"/>
  <c r="CZ12" i="15"/>
  <c r="DB12" i="15" s="1"/>
  <c r="DD12" i="15" s="1"/>
  <c r="DN12" i="15"/>
  <c r="DP12" i="15" s="1"/>
  <c r="AA13" i="15"/>
  <c r="CE13" i="15"/>
  <c r="CG13" i="15" s="1"/>
  <c r="T14" i="15"/>
  <c r="X14" i="15" s="1"/>
  <c r="AV14" i="15"/>
  <c r="AX14" i="15" s="1"/>
  <c r="AZ14" i="15" s="1"/>
  <c r="BX14" i="15"/>
  <c r="BZ14" i="15" s="1"/>
  <c r="CB14" i="15" s="1"/>
  <c r="CZ14" i="15"/>
  <c r="DB14" i="15" s="1"/>
  <c r="DD14" i="15" s="1"/>
  <c r="AC14" i="15" l="1"/>
  <c r="AE14" i="15" s="1"/>
  <c r="AC13" i="15"/>
  <c r="AE13" i="15" s="1"/>
  <c r="DP13" i="15"/>
  <c r="DR13" i="15" s="1"/>
  <c r="AC12" i="15"/>
  <c r="AE12" i="15" s="1"/>
  <c r="O6" i="5"/>
  <c r="BG38" i="6"/>
  <c r="BN38" i="6"/>
  <c r="DQ10" i="15"/>
  <c r="DM10" i="15"/>
  <c r="DL10" i="15"/>
  <c r="DN9" i="15"/>
  <c r="DP9" i="15" s="1"/>
  <c r="DJ10" i="15"/>
  <c r="DH10" i="15"/>
  <c r="DF10" i="15"/>
  <c r="DE10" i="15"/>
  <c r="DJ9" i="15"/>
  <c r="DH9" i="15"/>
  <c r="DF9" i="15"/>
  <c r="DE9" i="15"/>
  <c r="DJ8" i="15"/>
  <c r="DH8" i="15"/>
  <c r="DF8" i="15"/>
  <c r="DE8" i="15"/>
  <c r="DC10" i="15"/>
  <c r="DA10" i="15"/>
  <c r="CY10" i="15"/>
  <c r="CX10" i="15"/>
  <c r="DC9" i="15"/>
  <c r="DA9" i="15"/>
  <c r="CY9" i="15"/>
  <c r="CX9" i="15"/>
  <c r="DC8" i="15"/>
  <c r="DA8" i="15"/>
  <c r="CY8" i="15"/>
  <c r="CX8" i="15"/>
  <c r="CV10" i="15"/>
  <c r="CT10" i="15"/>
  <c r="CR10" i="15"/>
  <c r="CQ10" i="15"/>
  <c r="CV9" i="15"/>
  <c r="CT9" i="15"/>
  <c r="CR9" i="15"/>
  <c r="CV8" i="15"/>
  <c r="CT8" i="15"/>
  <c r="CR8" i="15"/>
  <c r="CQ8" i="15"/>
  <c r="CO10" i="15"/>
  <c r="CM10" i="15"/>
  <c r="CK10" i="15"/>
  <c r="CJ10" i="15"/>
  <c r="CO9" i="15"/>
  <c r="CM9" i="15"/>
  <c r="CK9" i="15"/>
  <c r="CJ9" i="15"/>
  <c r="CO8" i="15"/>
  <c r="CM8" i="15"/>
  <c r="CK8" i="15"/>
  <c r="CJ8" i="15"/>
  <c r="CH10" i="15"/>
  <c r="CF10" i="15"/>
  <c r="CD10" i="15"/>
  <c r="CC10" i="15"/>
  <c r="CH9" i="15"/>
  <c r="CF9" i="15"/>
  <c r="CD9" i="15"/>
  <c r="CC9" i="15"/>
  <c r="CH8" i="15"/>
  <c r="CF8" i="15"/>
  <c r="CD8" i="15"/>
  <c r="CC8" i="15"/>
  <c r="CA10" i="15"/>
  <c r="BY10" i="15"/>
  <c r="BW10" i="15"/>
  <c r="BV10" i="15"/>
  <c r="CA9" i="15"/>
  <c r="BY9" i="15"/>
  <c r="BW9" i="15"/>
  <c r="BV9" i="15"/>
  <c r="CA8" i="15"/>
  <c r="BY8" i="15"/>
  <c r="BW8" i="15"/>
  <c r="BV8" i="15"/>
  <c r="BT10" i="15"/>
  <c r="BR10" i="15"/>
  <c r="BP10" i="15"/>
  <c r="BO10" i="15"/>
  <c r="BT9" i="15"/>
  <c r="BR9" i="15"/>
  <c r="BP9" i="15"/>
  <c r="BO9" i="15"/>
  <c r="BT8" i="15"/>
  <c r="BR8" i="15"/>
  <c r="BP8" i="15"/>
  <c r="BO8" i="15"/>
  <c r="BM10" i="15"/>
  <c r="BK10" i="15"/>
  <c r="BI10" i="15"/>
  <c r="BH10" i="15"/>
  <c r="BM9" i="15"/>
  <c r="BK9" i="15"/>
  <c r="BI9" i="15"/>
  <c r="BH9" i="15"/>
  <c r="BM8" i="15"/>
  <c r="BK8" i="15"/>
  <c r="BI8" i="15"/>
  <c r="BH8" i="15"/>
  <c r="BF10" i="15"/>
  <c r="BD10" i="15"/>
  <c r="BB10" i="15"/>
  <c r="BA10" i="15"/>
  <c r="BF9" i="15"/>
  <c r="BD9" i="15"/>
  <c r="BB9" i="15"/>
  <c r="BA9" i="15"/>
  <c r="BF8" i="15"/>
  <c r="BD8" i="15"/>
  <c r="BB8" i="15"/>
  <c r="BA8" i="15"/>
  <c r="AY10" i="15"/>
  <c r="AW10" i="15"/>
  <c r="AU10" i="15"/>
  <c r="AT10" i="15"/>
  <c r="AY9" i="15"/>
  <c r="AW9" i="15"/>
  <c r="AU9" i="15"/>
  <c r="AT9" i="15"/>
  <c r="AY8" i="15"/>
  <c r="AW8" i="15"/>
  <c r="AU8" i="15"/>
  <c r="AT8" i="15"/>
  <c r="AR10" i="15"/>
  <c r="AP10" i="15"/>
  <c r="AN10" i="15"/>
  <c r="AM10" i="15"/>
  <c r="AR9" i="15"/>
  <c r="AP9" i="15"/>
  <c r="AN9" i="15"/>
  <c r="AM9" i="15"/>
  <c r="AR8" i="15"/>
  <c r="AP8" i="15"/>
  <c r="AN8" i="15"/>
  <c r="AM8" i="15"/>
  <c r="AK10" i="15"/>
  <c r="AI10" i="15"/>
  <c r="AG10" i="15"/>
  <c r="AF10" i="15"/>
  <c r="AK9" i="15"/>
  <c r="AI9" i="15"/>
  <c r="AG9" i="15"/>
  <c r="AF9" i="15"/>
  <c r="AK8" i="15"/>
  <c r="AI8" i="15"/>
  <c r="AG8" i="15"/>
  <c r="AF8" i="15"/>
  <c r="AD10" i="15"/>
  <c r="Z10" i="15"/>
  <c r="Y10" i="15"/>
  <c r="AD9" i="15"/>
  <c r="Z9" i="15"/>
  <c r="Y9" i="15"/>
  <c r="AD8" i="15"/>
  <c r="Z8" i="15"/>
  <c r="Y8" i="15"/>
  <c r="W10" i="15"/>
  <c r="U10" i="15"/>
  <c r="S10" i="15"/>
  <c r="R10" i="15"/>
  <c r="W9" i="15"/>
  <c r="U9" i="15"/>
  <c r="S9" i="15"/>
  <c r="R9" i="15"/>
  <c r="W8" i="15"/>
  <c r="U8" i="15"/>
  <c r="S8" i="15"/>
  <c r="R8" i="15"/>
  <c r="P10" i="15"/>
  <c r="N10" i="15"/>
  <c r="L10" i="15"/>
  <c r="K10" i="15"/>
  <c r="P9" i="15"/>
  <c r="N9" i="15"/>
  <c r="L9" i="15"/>
  <c r="K9" i="15"/>
  <c r="P8" i="15"/>
  <c r="N8" i="15"/>
  <c r="L8" i="15"/>
  <c r="K8" i="15"/>
  <c r="I10" i="15"/>
  <c r="G10" i="15"/>
  <c r="E10" i="15"/>
  <c r="D10" i="15"/>
  <c r="I9" i="15"/>
  <c r="G9" i="15"/>
  <c r="E9" i="15"/>
  <c r="D9" i="15"/>
  <c r="I8" i="15"/>
  <c r="G8" i="15"/>
  <c r="E8" i="15"/>
  <c r="D8" i="15"/>
  <c r="P6" i="5" l="1"/>
  <c r="DR14" i="15"/>
  <c r="DR12" i="15"/>
  <c r="DR9" i="15"/>
  <c r="CZ8" i="15"/>
  <c r="DB8" i="15" s="1"/>
  <c r="DD8" i="15" s="1"/>
  <c r="DN8" i="15"/>
  <c r="F9" i="15"/>
  <c r="H9" i="15" s="1"/>
  <c r="J9" i="15" s="1"/>
  <c r="T9" i="15"/>
  <c r="X9" i="15" s="1"/>
  <c r="AA8" i="15"/>
  <c r="BC10" i="15"/>
  <c r="BE10" i="15" s="1"/>
  <c r="BG10" i="15" s="1"/>
  <c r="CZ9" i="15"/>
  <c r="DB9" i="15" s="1"/>
  <c r="DD9" i="15" s="1"/>
  <c r="DG8" i="15"/>
  <c r="DI8" i="15" s="1"/>
  <c r="DK8" i="15" s="1"/>
  <c r="DG10" i="15"/>
  <c r="DI10" i="15" s="1"/>
  <c r="DK10" i="15" s="1"/>
  <c r="BC9" i="15"/>
  <c r="BE9" i="15" s="1"/>
  <c r="BG9" i="15" s="1"/>
  <c r="T10" i="15"/>
  <c r="X10" i="15" s="1"/>
  <c r="AV9" i="15"/>
  <c r="AX9" i="15" s="1"/>
  <c r="AZ9" i="15" s="1"/>
  <c r="F8" i="15"/>
  <c r="H8" i="15" s="1"/>
  <c r="J8" i="15" s="1"/>
  <c r="F10" i="15"/>
  <c r="H10" i="15" s="1"/>
  <c r="J10" i="15" s="1"/>
  <c r="M9" i="15"/>
  <c r="O9" i="15" s="1"/>
  <c r="Q9" i="15" s="1"/>
  <c r="T8" i="15"/>
  <c r="X8" i="15" s="1"/>
  <c r="AA9" i="15"/>
  <c r="AH8" i="15"/>
  <c r="AJ8" i="15" s="1"/>
  <c r="AL8" i="15" s="1"/>
  <c r="AO9" i="15"/>
  <c r="AQ9" i="15" s="1"/>
  <c r="AS9" i="15" s="1"/>
  <c r="AV8" i="15"/>
  <c r="AX8" i="15" s="1"/>
  <c r="AZ8" i="15" s="1"/>
  <c r="AV10" i="15"/>
  <c r="AX10" i="15" s="1"/>
  <c r="AZ10" i="15" s="1"/>
  <c r="BJ8" i="15"/>
  <c r="BL8" i="15" s="1"/>
  <c r="BN8" i="15" s="1"/>
  <c r="BJ10" i="15"/>
  <c r="BL10" i="15" s="1"/>
  <c r="BN10" i="15" s="1"/>
  <c r="BQ9" i="15"/>
  <c r="BS9" i="15" s="1"/>
  <c r="BU9" i="15" s="1"/>
  <c r="CL10" i="15"/>
  <c r="CN10" i="15" s="1"/>
  <c r="CP10" i="15" s="1"/>
  <c r="M8" i="15"/>
  <c r="O8" i="15" s="1"/>
  <c r="Q8" i="15" s="1"/>
  <c r="CZ10" i="15"/>
  <c r="DB10" i="15" s="1"/>
  <c r="DD10" i="15" s="1"/>
  <c r="DG9" i="15"/>
  <c r="DI9" i="15" s="1"/>
  <c r="DK9" i="15" s="1"/>
  <c r="BC8" i="15"/>
  <c r="BE8" i="15" s="1"/>
  <c r="BG8" i="15" s="1"/>
  <c r="BQ10" i="15"/>
  <c r="BS10" i="15" s="1"/>
  <c r="BU10" i="15" s="1"/>
  <c r="BX9" i="15"/>
  <c r="BZ9" i="15" s="1"/>
  <c r="CB9" i="15" s="1"/>
  <c r="CE8" i="15"/>
  <c r="CG8" i="15" s="1"/>
  <c r="CI8" i="15" s="1"/>
  <c r="CI11" i="15" s="1"/>
  <c r="CI15" i="15" s="1"/>
  <c r="CI16" i="15" s="1"/>
  <c r="CL9" i="15"/>
  <c r="CN9" i="15" s="1"/>
  <c r="CP9" i="15" s="1"/>
  <c r="BJ9" i="15"/>
  <c r="BL9" i="15" s="1"/>
  <c r="BN9" i="15" s="1"/>
  <c r="BQ8" i="15"/>
  <c r="BS8" i="15" s="1"/>
  <c r="BU8" i="15" s="1"/>
  <c r="DN10" i="15"/>
  <c r="DP10" i="15" s="1"/>
  <c r="M10" i="15"/>
  <c r="O10" i="15" s="1"/>
  <c r="Q10" i="15" s="1"/>
  <c r="AH10" i="15"/>
  <c r="AJ10" i="15" s="1"/>
  <c r="AL10" i="15" s="1"/>
  <c r="CE10" i="15"/>
  <c r="CG10" i="15" s="1"/>
  <c r="CS8" i="15"/>
  <c r="CU8" i="15" s="1"/>
  <c r="CW8" i="15" s="1"/>
  <c r="CS10" i="15"/>
  <c r="CU10" i="15" s="1"/>
  <c r="CW10" i="15" s="1"/>
  <c r="AA10" i="15"/>
  <c r="BX8" i="15"/>
  <c r="BZ8" i="15" s="1"/>
  <c r="CB8" i="15" s="1"/>
  <c r="BX10" i="15"/>
  <c r="BZ10" i="15" s="1"/>
  <c r="CB10" i="15" s="1"/>
  <c r="AH9" i="15"/>
  <c r="AJ9" i="15" s="1"/>
  <c r="AL9" i="15" s="1"/>
  <c r="AO8" i="15"/>
  <c r="AQ8" i="15" s="1"/>
  <c r="AS8" i="15" s="1"/>
  <c r="AO10" i="15"/>
  <c r="AQ10" i="15" s="1"/>
  <c r="AS10" i="15" s="1"/>
  <c r="CE9" i="15"/>
  <c r="CG9" i="15" s="1"/>
  <c r="CL8" i="15"/>
  <c r="CN8" i="15" s="1"/>
  <c r="CP8" i="15" s="1"/>
  <c r="AC10" i="15" l="1"/>
  <c r="AE10" i="15" s="1"/>
  <c r="AC9" i="15"/>
  <c r="AE9" i="15" s="1"/>
  <c r="AC8" i="15"/>
  <c r="AE8" i="15" s="1"/>
  <c r="Q6" i="5"/>
  <c r="CL28" i="4"/>
  <c r="BQ30" i="4"/>
  <c r="BD30" i="4"/>
  <c r="AP30" i="4"/>
  <c r="AD30" i="4"/>
  <c r="DS9" i="15"/>
  <c r="DS12" i="15"/>
  <c r="DS14" i="15"/>
  <c r="CH30" i="4" l="1"/>
  <c r="DJ20" i="15" s="1"/>
  <c r="S30" i="4"/>
  <c r="AU20" i="15" s="1"/>
  <c r="AU33" i="15" s="1"/>
  <c r="AU30" i="4"/>
  <c r="CC30" i="4"/>
  <c r="BI30" i="4"/>
  <c r="CK20" i="15" s="1"/>
  <c r="CK33" i="15" s="1"/>
  <c r="AI30" i="4"/>
  <c r="P30" i="4"/>
  <c r="N30" i="4"/>
  <c r="R6" i="5"/>
  <c r="W30" i="4"/>
  <c r="AY20" i="15" s="1"/>
  <c r="AY33" i="15" s="1"/>
  <c r="Y30" i="4"/>
  <c r="BA20" i="15" s="1"/>
  <c r="BA33" i="15" s="1"/>
  <c r="AL30" i="4"/>
  <c r="BN20" i="15" s="1"/>
  <c r="BN33" i="15" s="1"/>
  <c r="AY30" i="4"/>
  <c r="CA20" i="15" s="1"/>
  <c r="CA33" i="15" s="1"/>
  <c r="BM30" i="4"/>
  <c r="CO20" i="15" s="1"/>
  <c r="CO33" i="15" s="1"/>
  <c r="CE30" i="4"/>
  <c r="AK30" i="4"/>
  <c r="BM20" i="15" s="1"/>
  <c r="BM33" i="15" s="1"/>
  <c r="AW30" i="4"/>
  <c r="BY20" i="15" s="1"/>
  <c r="BY33" i="15" s="1"/>
  <c r="BK30" i="4"/>
  <c r="CM20" i="15" s="1"/>
  <c r="CM33" i="15" s="1"/>
  <c r="CD30" i="4"/>
  <c r="E30" i="4"/>
  <c r="AG20" i="15" s="1"/>
  <c r="AG33" i="15" s="1"/>
  <c r="Q30" i="4"/>
  <c r="AS20" i="15" s="1"/>
  <c r="AS33" i="15" s="1"/>
  <c r="BK20" i="15"/>
  <c r="BK33" i="15" s="1"/>
  <c r="BW20" i="15"/>
  <c r="BW33" i="15" s="1"/>
  <c r="Z30" i="4"/>
  <c r="AM30" i="4"/>
  <c r="BA30" i="4"/>
  <c r="BO30" i="4"/>
  <c r="CF30" i="4"/>
  <c r="BF20" i="15"/>
  <c r="BF33" i="15" s="1"/>
  <c r="BR20" i="15"/>
  <c r="BR33" i="15" s="1"/>
  <c r="CF20" i="15"/>
  <c r="CF33" i="15" s="1"/>
  <c r="CS20" i="15"/>
  <c r="CS33" i="15" s="1"/>
  <c r="M30" i="4"/>
  <c r="CG30" i="4"/>
  <c r="K30" i="4"/>
  <c r="AF30" i="4"/>
  <c r="AR30" i="4"/>
  <c r="CI30" i="4"/>
  <c r="I30" i="4"/>
  <c r="D30" i="4"/>
  <c r="R30" i="4"/>
  <c r="AN30" i="4"/>
  <c r="BB30" i="4"/>
  <c r="BP30" i="4"/>
  <c r="G30" i="4"/>
  <c r="DU12" i="15"/>
  <c r="DU9" i="15"/>
  <c r="DU14" i="15"/>
  <c r="DW14" i="15" s="1"/>
  <c r="BF30" i="4"/>
  <c r="BR30" i="4"/>
  <c r="CJ30" i="4"/>
  <c r="CK30" i="4"/>
  <c r="CM30" i="4"/>
  <c r="DO20" i="15" s="1"/>
  <c r="CO30" i="4"/>
  <c r="CN28" i="4"/>
  <c r="AT30" i="4"/>
  <c r="U30" i="4"/>
  <c r="DR10" i="15"/>
  <c r="DS10" i="15"/>
  <c r="L30" i="4"/>
  <c r="AG30" i="4"/>
  <c r="BH30" i="4"/>
  <c r="BT30" i="4"/>
  <c r="DO21" i="15" l="1"/>
  <c r="DO18" i="15"/>
  <c r="DG20" i="15"/>
  <c r="DF20" i="15"/>
  <c r="DE20" i="15"/>
  <c r="AR20" i="15"/>
  <c r="AR33" i="15" s="1"/>
  <c r="AP20" i="15"/>
  <c r="AP33" i="15" s="1"/>
  <c r="S6" i="5"/>
  <c r="AK20" i="15"/>
  <c r="AK33" i="15" s="1"/>
  <c r="AO20" i="15"/>
  <c r="AO33" i="15" s="1"/>
  <c r="CQ20" i="15"/>
  <c r="CQ33" i="15" s="1"/>
  <c r="AN20" i="15"/>
  <c r="AN33" i="15" s="1"/>
  <c r="AF20" i="15"/>
  <c r="AF33" i="15" s="1"/>
  <c r="DH20" i="15"/>
  <c r="AI20" i="15"/>
  <c r="AI33" i="15" s="1"/>
  <c r="CC20" i="15"/>
  <c r="CC33" i="15" s="1"/>
  <c r="BI20" i="15"/>
  <c r="BI33" i="15" s="1"/>
  <c r="DI20" i="15"/>
  <c r="AD33" i="15"/>
  <c r="Z33" i="15"/>
  <c r="CR20" i="15"/>
  <c r="CR33" i="15" s="1"/>
  <c r="BT20" i="15"/>
  <c r="BT33" i="15" s="1"/>
  <c r="BO20" i="15"/>
  <c r="BO33" i="15" s="1"/>
  <c r="DK20" i="15"/>
  <c r="AW20" i="15"/>
  <c r="AW33" i="15" s="1"/>
  <c r="CT20" i="15"/>
  <c r="CT33" i="15" s="1"/>
  <c r="CD20" i="15"/>
  <c r="CD33" i="15" s="1"/>
  <c r="BH20" i="15"/>
  <c r="BH33" i="15" s="1"/>
  <c r="BB20" i="15"/>
  <c r="BB33" i="15" s="1"/>
  <c r="AT20" i="15"/>
  <c r="AT33" i="15" s="1"/>
  <c r="CV20" i="15"/>
  <c r="CV33" i="15" s="1"/>
  <c r="BV20" i="15"/>
  <c r="BV33" i="15" s="1"/>
  <c r="CH20" i="15"/>
  <c r="CH33" i="15" s="1"/>
  <c r="BP20" i="15"/>
  <c r="BP33" i="15" s="1"/>
  <c r="AM20" i="15"/>
  <c r="AM33" i="15" s="1"/>
  <c r="CJ20" i="15"/>
  <c r="CJ33" i="15" s="1"/>
  <c r="BD20" i="15"/>
  <c r="BD33" i="15" s="1"/>
  <c r="Y33" i="15"/>
  <c r="DY14" i="15"/>
  <c r="DW9" i="15"/>
  <c r="DW12" i="15"/>
  <c r="DU10" i="15"/>
  <c r="DQ20" i="15"/>
  <c r="DM20" i="15"/>
  <c r="DL20" i="15"/>
  <c r="CP28" i="4"/>
  <c r="DS11" i="15"/>
  <c r="DS15" i="15" s="1"/>
  <c r="DO19" i="15" l="1"/>
  <c r="DS16" i="15"/>
  <c r="T6" i="5"/>
  <c r="DY12" i="15"/>
  <c r="DY9" i="15"/>
  <c r="DW10" i="15"/>
  <c r="DU11" i="15"/>
  <c r="DU15" i="15" s="1"/>
  <c r="DU16" i="15" s="1"/>
  <c r="DS24" i="15"/>
  <c r="DU24" i="15" s="1"/>
  <c r="DW24" i="15" s="1"/>
  <c r="DW28" i="15" s="1"/>
  <c r="DW29" i="15" s="1"/>
  <c r="U6" i="5" l="1"/>
  <c r="DY10" i="15"/>
  <c r="DW11" i="15"/>
  <c r="DW15" i="15" s="1"/>
  <c r="DW16" i="15" s="1"/>
  <c r="DS28" i="15"/>
  <c r="DS29" i="15" s="1"/>
  <c r="DY24" i="15"/>
  <c r="DY28" i="15" s="1"/>
  <c r="DY29" i="15" s="1"/>
  <c r="DW34" i="15"/>
  <c r="DU28" i="15"/>
  <c r="DU29" i="15" s="1"/>
  <c r="DS20" i="6"/>
  <c r="V6" i="5" l="1"/>
  <c r="DY11" i="15"/>
  <c r="DY15" i="15" s="1"/>
  <c r="DY34" i="15"/>
  <c r="DS31" i="15"/>
  <c r="DS34" i="15"/>
  <c r="DU34" i="15"/>
  <c r="DY16" i="15" l="1"/>
  <c r="DU31" i="15"/>
  <c r="DS32" i="15"/>
  <c r="W6" i="5"/>
  <c r="CQ30" i="4"/>
  <c r="CQ31" i="4" l="1"/>
  <c r="DW31" i="15"/>
  <c r="DU32" i="15"/>
  <c r="X6" i="5"/>
  <c r="DS20" i="15"/>
  <c r="DW32" i="15" l="1"/>
  <c r="DY31" i="15"/>
  <c r="DY32" i="15" s="1"/>
  <c r="Y6" i="5"/>
  <c r="DU20" i="15"/>
  <c r="DU21" i="15" s="1"/>
  <c r="DS21" i="15"/>
  <c r="DS18" i="15"/>
  <c r="CL20" i="4"/>
  <c r="CL17" i="4"/>
  <c r="CL15" i="4"/>
  <c r="DS19" i="15" l="1"/>
  <c r="Z6" i="5"/>
  <c r="DW20" i="15"/>
  <c r="DU18" i="15"/>
  <c r="DW18" i="15" l="1"/>
  <c r="DU19" i="15"/>
  <c r="AA6" i="5"/>
  <c r="H26" i="9"/>
  <c r="DW21" i="15"/>
  <c r="DY20" i="15"/>
  <c r="CL30" i="4"/>
  <c r="DY18" i="15" l="1"/>
  <c r="DW19" i="15"/>
  <c r="AB6" i="5"/>
  <c r="DN20" i="15"/>
  <c r="DY21" i="15"/>
  <c r="F31" i="9"/>
  <c r="E31" i="9"/>
  <c r="G31" i="9" s="1"/>
  <c r="DY19" i="15" l="1"/>
  <c r="AC6" i="5"/>
  <c r="DS46" i="6"/>
  <c r="AD6" i="5" l="1"/>
  <c r="DQ8" i="6"/>
  <c r="AE6" i="5" l="1"/>
  <c r="DQ20" i="6"/>
  <c r="DQ57" i="6"/>
  <c r="AF6" i="5" l="1"/>
  <c r="DR54" i="6"/>
  <c r="DR52" i="6"/>
  <c r="DR43" i="6"/>
  <c r="DR41" i="6"/>
  <c r="DR30" i="6"/>
  <c r="DR8" i="6"/>
  <c r="DQ46" i="6"/>
  <c r="DR22" i="6" l="1"/>
  <c r="AG6" i="5"/>
  <c r="DW31" i="6"/>
  <c r="DW42" i="6"/>
  <c r="DU53" i="6"/>
  <c r="DW53" i="6"/>
  <c r="DS42" i="6"/>
  <c r="DU42" i="6"/>
  <c r="DS31" i="6"/>
  <c r="DU31" i="6"/>
  <c r="DS53" i="6"/>
  <c r="DR20" i="6"/>
  <c r="AH6" i="5" l="1"/>
  <c r="DY42" i="6"/>
  <c r="DY31" i="6"/>
  <c r="DU21" i="6"/>
  <c r="DW21" i="6"/>
  <c r="DY53" i="6"/>
  <c r="DS21" i="6"/>
  <c r="AI6" i="5" l="1"/>
  <c r="DY21" i="6"/>
  <c r="DQ7" i="15"/>
  <c r="AJ6" i="5" l="1"/>
  <c r="DQ11" i="15"/>
  <c r="DQ15" i="15" s="1"/>
  <c r="DQ16" i="15" s="1"/>
  <c r="AK6" i="5" l="1"/>
  <c r="DQ18" i="15"/>
  <c r="DQ24" i="15"/>
  <c r="DQ28" i="15" s="1"/>
  <c r="DQ29" i="15" s="1"/>
  <c r="DQ21" i="15"/>
  <c r="DQ19" i="15" l="1"/>
  <c r="AL6" i="5"/>
  <c r="DQ34" i="15"/>
  <c r="DQ31" i="15"/>
  <c r="DQ32" i="15" s="1"/>
  <c r="DI45" i="6"/>
  <c r="DI48" i="6" s="1"/>
  <c r="DI49" i="6" s="1"/>
  <c r="AM6" i="5" l="1"/>
  <c r="DK45" i="6"/>
  <c r="DK48" i="6" s="1"/>
  <c r="DK49" i="6" s="1"/>
  <c r="AN6" i="5" l="1"/>
  <c r="BY15" i="4"/>
  <c r="CA15" i="4"/>
  <c r="BX17" i="4"/>
  <c r="CN20" i="4"/>
  <c r="AO6" i="5" l="1"/>
  <c r="CP20" i="4"/>
  <c r="BZ17" i="4"/>
  <c r="AP6" i="5" l="1"/>
  <c r="CA30" i="4"/>
  <c r="BY30" i="4"/>
  <c r="CB17" i="4"/>
  <c r="CN17" i="4"/>
  <c r="AQ6" i="5" l="1"/>
  <c r="DC20" i="15"/>
  <c r="DA20" i="15"/>
  <c r="CP17" i="4"/>
  <c r="CN15" i="4"/>
  <c r="AR6" i="5" l="1"/>
  <c r="CP15" i="4"/>
  <c r="CN30" i="4" l="1"/>
  <c r="DP20" i="15" s="1"/>
  <c r="AS6" i="5"/>
  <c r="CP30" i="4" l="1"/>
  <c r="CP31" i="4" s="1"/>
  <c r="AT6" i="5"/>
  <c r="DR8" i="15"/>
  <c r="DK8" i="6"/>
  <c r="DP8" i="6"/>
  <c r="DR20" i="15" l="1"/>
  <c r="AU6" i="5"/>
  <c r="DO8" i="6"/>
  <c r="AV6" i="5" l="1"/>
  <c r="AW6" i="5" l="1"/>
  <c r="DO57" i="6"/>
  <c r="AX6" i="5" l="1"/>
  <c r="DO46" i="6"/>
  <c r="AY6" i="5" l="1"/>
  <c r="DO20" i="6"/>
  <c r="AZ6" i="5" l="1"/>
  <c r="DP54" i="6"/>
  <c r="DP52" i="6"/>
  <c r="DQ53" i="6" s="1"/>
  <c r="DP43" i="6"/>
  <c r="DP41" i="6"/>
  <c r="DP32" i="6"/>
  <c r="DP30" i="6"/>
  <c r="DQ31" i="6" s="1"/>
  <c r="DP22" i="6" l="1"/>
  <c r="BA6" i="5"/>
  <c r="DP42" i="6"/>
  <c r="DQ42" i="6"/>
  <c r="DP20" i="6"/>
  <c r="DP53" i="6"/>
  <c r="BB6" i="5" l="1"/>
  <c r="DQ21" i="6"/>
  <c r="BC6" i="5" l="1"/>
  <c r="DM8" i="6"/>
  <c r="DN8" i="6"/>
  <c r="DE45" i="6"/>
  <c r="DE48" i="6" s="1"/>
  <c r="DE56" i="6"/>
  <c r="DE59" i="6" s="1"/>
  <c r="DE60" i="6" l="1"/>
  <c r="DL60" i="6"/>
  <c r="BD6" i="5"/>
  <c r="DE49" i="6"/>
  <c r="DL49" i="6"/>
  <c r="DE34" i="6"/>
  <c r="DG56" i="6"/>
  <c r="DG59" i="6" s="1"/>
  <c r="BE6" i="5" l="1"/>
  <c r="DE37" i="6"/>
  <c r="DE35" i="6"/>
  <c r="DL35" i="6"/>
  <c r="DI56" i="6"/>
  <c r="DI59" i="6" s="1"/>
  <c r="DI60" i="6" s="1"/>
  <c r="DG34" i="6"/>
  <c r="E36" i="9"/>
  <c r="BF6" i="5" l="1"/>
  <c r="DG37" i="6"/>
  <c r="DE38" i="6"/>
  <c r="DL38" i="6"/>
  <c r="DK56" i="6"/>
  <c r="DK59" i="6" s="1"/>
  <c r="DK60" i="6" s="1"/>
  <c r="DI34" i="6"/>
  <c r="DN43" i="6"/>
  <c r="DN32" i="6"/>
  <c r="DM57" i="6"/>
  <c r="DM46" i="6"/>
  <c r="BG6" i="5" l="1"/>
  <c r="DI37" i="6"/>
  <c r="DI38" i="6" s="1"/>
  <c r="DI35" i="6"/>
  <c r="DK34" i="6"/>
  <c r="DN54" i="6"/>
  <c r="DN22" i="6" s="1"/>
  <c r="BH6" i="5" l="1"/>
  <c r="DK37" i="6"/>
  <c r="DK38" i="6" s="1"/>
  <c r="DK35" i="6"/>
  <c r="BI6" i="5" l="1"/>
  <c r="DM7" i="15"/>
  <c r="BJ6" i="5" l="1"/>
  <c r="DM11" i="15"/>
  <c r="DM15" i="15" s="1"/>
  <c r="DM16" i="15" s="1"/>
  <c r="BK6" i="5" l="1"/>
  <c r="DM21" i="15"/>
  <c r="DM24" i="15"/>
  <c r="DM28" i="15" s="1"/>
  <c r="DM29" i="15" s="1"/>
  <c r="DM18" i="15"/>
  <c r="DM19" i="15" l="1"/>
  <c r="BL6" i="5"/>
  <c r="DM31" i="15"/>
  <c r="DM32" i="15" s="1"/>
  <c r="DM34" i="15"/>
  <c r="BM6" i="5" l="1"/>
  <c r="BN6" i="5" l="1"/>
  <c r="BO6" i="5" l="1"/>
  <c r="BP6" i="5" l="1"/>
  <c r="BQ6" i="5" l="1"/>
  <c r="BR6" i="5" l="1"/>
  <c r="BS6" i="5" l="1"/>
  <c r="BT6" i="5" l="1"/>
  <c r="BU6" i="5" l="1"/>
  <c r="DN52" i="6"/>
  <c r="DO53" i="6" s="1"/>
  <c r="DN41" i="6"/>
  <c r="DO42" i="6" s="1"/>
  <c r="BV6" i="5" l="1"/>
  <c r="DM20" i="6"/>
  <c r="DN30" i="6"/>
  <c r="DO31" i="6" s="1"/>
  <c r="DO21" i="6" s="1"/>
  <c r="BW6" i="5" l="1"/>
  <c r="DN20" i="6"/>
  <c r="BX6" i="5" l="1"/>
  <c r="F42" i="9"/>
  <c r="E42" i="9"/>
  <c r="BY6" i="5" l="1"/>
  <c r="BZ6" i="5" s="1"/>
  <c r="CA6" i="5" s="1"/>
  <c r="CB6" i="5" s="1"/>
  <c r="DS57" i="6"/>
  <c r="DL46" i="6" l="1"/>
  <c r="DN45" i="6"/>
  <c r="DN48" i="6" s="1"/>
  <c r="DL57" i="6"/>
  <c r="DN56" i="6"/>
  <c r="DN59" i="6" s="1"/>
  <c r="DN60" i="6" l="1"/>
  <c r="DU60" i="6"/>
  <c r="DN49" i="6"/>
  <c r="DU49" i="6"/>
  <c r="DN34" i="6"/>
  <c r="DP45" i="6"/>
  <c r="DP48" i="6" s="1"/>
  <c r="DU46" i="6"/>
  <c r="DP56" i="6"/>
  <c r="DP59" i="6" s="1"/>
  <c r="DU57" i="6"/>
  <c r="DL8" i="6"/>
  <c r="DN46" i="6"/>
  <c r="DN57" i="6"/>
  <c r="DP60" i="6" l="1"/>
  <c r="DW60" i="6"/>
  <c r="DP49" i="6"/>
  <c r="DW49" i="6"/>
  <c r="DN37" i="6"/>
  <c r="DN35" i="6"/>
  <c r="DU35" i="6"/>
  <c r="DP34" i="6"/>
  <c r="DP37" i="6" s="1"/>
  <c r="DR56" i="6"/>
  <c r="DR59" i="6" s="1"/>
  <c r="DW57" i="6"/>
  <c r="DR45" i="6"/>
  <c r="DR48" i="6" s="1"/>
  <c r="DW46" i="6"/>
  <c r="DP46" i="6"/>
  <c r="DP57" i="6"/>
  <c r="DR60" i="6" l="1"/>
  <c r="DY60" i="6"/>
  <c r="DR49" i="6"/>
  <c r="DY49" i="6"/>
  <c r="DP35" i="6"/>
  <c r="DW35" i="6"/>
  <c r="DN38" i="6"/>
  <c r="DU38" i="6"/>
  <c r="DR34" i="6"/>
  <c r="DR46" i="6"/>
  <c r="DY46" i="6"/>
  <c r="DY57" i="6"/>
  <c r="DR57" i="6"/>
  <c r="DR37" i="6" l="1"/>
  <c r="DR35" i="6"/>
  <c r="DY35" i="6"/>
  <c r="DP38" i="6"/>
  <c r="DW38" i="6"/>
  <c r="DR38" i="6" l="1"/>
  <c r="DY38" i="6"/>
  <c r="DL7" i="15" l="1"/>
  <c r="DL11" i="15" s="1"/>
  <c r="DL15" i="15" s="1"/>
  <c r="DL16" i="15" l="1"/>
  <c r="DL21" i="15"/>
  <c r="DN7" i="15"/>
  <c r="DL18" i="15"/>
  <c r="DL24" i="15"/>
  <c r="DL28" i="15" s="1"/>
  <c r="DL29" i="15" s="1"/>
  <c r="DN11" i="15" l="1"/>
  <c r="DN15" i="15" s="1"/>
  <c r="DP7" i="15"/>
  <c r="DP11" i="15" s="1"/>
  <c r="DP15" i="15" s="1"/>
  <c r="DL19" i="15"/>
  <c r="DN18" i="15"/>
  <c r="DN19" i="15" s="1"/>
  <c r="DN16" i="15"/>
  <c r="DN24" i="15"/>
  <c r="DN28" i="15" s="1"/>
  <c r="DN29" i="15" s="1"/>
  <c r="DN21" i="15"/>
  <c r="DL34" i="15"/>
  <c r="DL31" i="15"/>
  <c r="DL32" i="15" s="1"/>
  <c r="DR7" i="15"/>
  <c r="DP24" i="15" l="1"/>
  <c r="DP28" i="15" s="1"/>
  <c r="DP16" i="15"/>
  <c r="DP18" i="15"/>
  <c r="DP19" i="15" s="1"/>
  <c r="DP21" i="15"/>
  <c r="DN34" i="15"/>
  <c r="DN31" i="15"/>
  <c r="DP31" i="15" s="1"/>
  <c r="DP32" i="15" s="1"/>
  <c r="DR11" i="15"/>
  <c r="DR15" i="15" s="1"/>
  <c r="H31" i="9"/>
  <c r="DD70" i="6"/>
  <c r="DR16" i="15" l="1"/>
  <c r="DP34" i="15"/>
  <c r="DP29" i="15"/>
  <c r="DN32" i="15"/>
  <c r="DR21" i="15"/>
  <c r="DR24" i="15"/>
  <c r="DR18" i="15"/>
  <c r="DR19" i="15" l="1"/>
  <c r="DR31" i="15"/>
  <c r="DR32" i="15" s="1"/>
  <c r="DR28" i="15"/>
  <c r="DK70" i="6"/>
  <c r="DJ57" i="6"/>
  <c r="DK54" i="6"/>
  <c r="DK52" i="6"/>
  <c r="DJ46" i="6"/>
  <c r="DK43" i="6"/>
  <c r="DK41" i="6"/>
  <c r="DK32" i="6"/>
  <c r="DK30" i="6"/>
  <c r="DR31" i="6" s="1"/>
  <c r="DJ8" i="6"/>
  <c r="DJ20" i="6"/>
  <c r="DK22" i="6" l="1"/>
  <c r="DR34" i="15"/>
  <c r="DR29" i="15"/>
  <c r="DN53" i="6"/>
  <c r="DR53" i="6"/>
  <c r="DN42" i="6"/>
  <c r="DR42" i="6"/>
  <c r="DN31" i="6"/>
  <c r="DP31" i="6"/>
  <c r="DP21" i="6" s="1"/>
  <c r="DK20" i="6"/>
  <c r="DR21" i="6" l="1"/>
  <c r="DJ7" i="15" l="1"/>
  <c r="DJ11" i="15" s="1"/>
  <c r="DJ15" i="15" s="1"/>
  <c r="DJ16" i="15" s="1"/>
  <c r="DJ21" i="15" l="1"/>
  <c r="DJ24" i="15"/>
  <c r="DJ28" i="15" s="1"/>
  <c r="DJ18" i="15"/>
  <c r="DI8" i="6"/>
  <c r="DH8" i="6"/>
  <c r="DI70" i="6"/>
  <c r="DJ19" i="15" l="1"/>
  <c r="DJ34" i="15"/>
  <c r="DJ29" i="15"/>
  <c r="DJ31" i="15"/>
  <c r="DJ32" i="15" s="1"/>
  <c r="DH7" i="15" l="1"/>
  <c r="DH11" i="15" s="1"/>
  <c r="DH15" i="15" s="1"/>
  <c r="DH21" i="15" l="1"/>
  <c r="DH16" i="15"/>
  <c r="DH18" i="15"/>
  <c r="DH24" i="15"/>
  <c r="DH28" i="15" s="1"/>
  <c r="DH29" i="15" s="1"/>
  <c r="DH19" i="15" l="1"/>
  <c r="DH31" i="15"/>
  <c r="DH32" i="15" s="1"/>
  <c r="DH34" i="15"/>
  <c r="DF30" i="6" l="1"/>
  <c r="DG30" i="6" s="1"/>
  <c r="DH31" i="6" s="1"/>
  <c r="DD30" i="6"/>
  <c r="DK31" i="6" s="1"/>
  <c r="DB30" i="6"/>
  <c r="CZ30" i="6"/>
  <c r="CW30" i="6"/>
  <c r="CU30" i="6"/>
  <c r="CS30" i="6"/>
  <c r="CP30" i="6"/>
  <c r="CN30" i="6"/>
  <c r="CL30" i="6"/>
  <c r="CI30" i="6"/>
  <c r="CG30" i="6"/>
  <c r="CE30" i="6"/>
  <c r="CB30" i="6"/>
  <c r="BZ30" i="6"/>
  <c r="BX30" i="6"/>
  <c r="BS30" i="6"/>
  <c r="DF41" i="6"/>
  <c r="DD41" i="6"/>
  <c r="DK42" i="6" s="1"/>
  <c r="DB41" i="6"/>
  <c r="CZ41" i="6"/>
  <c r="CW41" i="6"/>
  <c r="CU41" i="6"/>
  <c r="CS41" i="6"/>
  <c r="CP41" i="6"/>
  <c r="CN41" i="6"/>
  <c r="CL41" i="6"/>
  <c r="CI41" i="6"/>
  <c r="CG41" i="6"/>
  <c r="CE41" i="6"/>
  <c r="CB41" i="6"/>
  <c r="BZ41" i="6"/>
  <c r="BX41" i="6"/>
  <c r="BU41" i="6"/>
  <c r="BS41" i="6"/>
  <c r="BQ41" i="6"/>
  <c r="BN41" i="6"/>
  <c r="BL41" i="6"/>
  <c r="BJ41" i="6"/>
  <c r="DG41" i="6" l="1"/>
  <c r="DE7" i="15" l="1"/>
  <c r="DE11" i="15" s="1"/>
  <c r="DE15" i="15" s="1"/>
  <c r="DE16" i="15" s="1"/>
  <c r="CX7" i="15" l="1"/>
  <c r="CX11" i="15" s="1"/>
  <c r="CX15" i="15" s="1"/>
  <c r="CX16" i="15" s="1"/>
  <c r="DE24" i="15"/>
  <c r="DE28" i="15" s="1"/>
  <c r="DE29" i="15" s="1"/>
  <c r="DE18" i="15"/>
  <c r="DE21" i="15"/>
  <c r="DE19" i="15" l="1"/>
  <c r="CY7" i="15"/>
  <c r="CY11" i="15" s="1"/>
  <c r="CY15" i="15" s="1"/>
  <c r="DE34" i="15"/>
  <c r="CX24" i="15"/>
  <c r="DE31" i="15"/>
  <c r="DE32" i="15" s="1"/>
  <c r="CY24" i="15" l="1"/>
  <c r="CY28" i="15" s="1"/>
  <c r="CY29" i="15" s="1"/>
  <c r="CY16" i="15"/>
  <c r="CZ7" i="15"/>
  <c r="CZ11" i="15" s="1"/>
  <c r="CZ15" i="15" s="1"/>
  <c r="CZ16" i="15" s="1"/>
  <c r="DA7" i="15"/>
  <c r="DA11" i="15" s="1"/>
  <c r="DA15" i="15" s="1"/>
  <c r="CX28" i="15"/>
  <c r="CX29" i="15" s="1"/>
  <c r="DA21" i="15" l="1"/>
  <c r="DA16" i="15"/>
  <c r="DB7" i="15"/>
  <c r="CY34" i="15"/>
  <c r="DC7" i="15"/>
  <c r="DC11" i="15" s="1"/>
  <c r="DC15" i="15" s="1"/>
  <c r="DC16" i="15" s="1"/>
  <c r="DA18" i="15"/>
  <c r="DA24" i="15"/>
  <c r="DA28" i="15" s="1"/>
  <c r="DA29" i="15" s="1"/>
  <c r="CY31" i="15"/>
  <c r="CY32" i="15" s="1"/>
  <c r="CX31" i="15"/>
  <c r="CX32" i="15" s="1"/>
  <c r="CX34" i="15"/>
  <c r="CZ24" i="15"/>
  <c r="CZ28" i="15" s="1"/>
  <c r="CZ29" i="15" s="1"/>
  <c r="DB11" i="15"/>
  <c r="DB15" i="15" s="1"/>
  <c r="DB16" i="15" s="1"/>
  <c r="DE20" i="6"/>
  <c r="DF52" i="6"/>
  <c r="DF31" i="6"/>
  <c r="DA19" i="15" l="1"/>
  <c r="DD7" i="15"/>
  <c r="DD11" i="15" s="1"/>
  <c r="DD15" i="15" s="1"/>
  <c r="DD16" i="15" s="1"/>
  <c r="DC24" i="15"/>
  <c r="DC28" i="15" s="1"/>
  <c r="DC29" i="15" s="1"/>
  <c r="DC21" i="15"/>
  <c r="DC18" i="15"/>
  <c r="DA31" i="15"/>
  <c r="DA32" i="15" s="1"/>
  <c r="DA34" i="15"/>
  <c r="CZ31" i="15"/>
  <c r="CZ32" i="15" s="1"/>
  <c r="CZ34" i="15"/>
  <c r="DB24" i="15"/>
  <c r="DB28" i="15" s="1"/>
  <c r="DB29" i="15" s="1"/>
  <c r="DG32" i="6"/>
  <c r="DF57" i="6"/>
  <c r="DG54" i="6"/>
  <c r="DF53" i="6"/>
  <c r="DG52" i="6"/>
  <c r="DF46" i="6"/>
  <c r="DG43" i="6"/>
  <c r="DF42" i="6"/>
  <c r="DG31" i="6"/>
  <c r="DG8" i="6"/>
  <c r="DF8" i="6"/>
  <c r="DG70" i="6"/>
  <c r="DF20" i="6"/>
  <c r="DC19" i="15" l="1"/>
  <c r="DG22" i="6"/>
  <c r="DD24" i="15"/>
  <c r="DD28" i="15" s="1"/>
  <c r="DD29" i="15" s="1"/>
  <c r="DB31" i="15"/>
  <c r="DB32" i="15" s="1"/>
  <c r="DC31" i="15"/>
  <c r="DC32" i="15" s="1"/>
  <c r="DC34" i="15"/>
  <c r="DB34" i="15"/>
  <c r="DG20" i="6"/>
  <c r="DD34" i="15" l="1"/>
  <c r="DD31" i="15"/>
  <c r="DD32" i="15" s="1"/>
  <c r="DF7" i="15" l="1"/>
  <c r="DF11" i="15" s="1"/>
  <c r="DF15" i="15" s="1"/>
  <c r="DF16" i="15" s="1"/>
  <c r="DG7" i="15" l="1"/>
  <c r="DI7" i="15" s="1"/>
  <c r="DF24" i="15"/>
  <c r="DF28" i="15" s="1"/>
  <c r="DF18" i="15"/>
  <c r="DF21" i="15"/>
  <c r="DF19" i="15" l="1"/>
  <c r="DG11" i="15"/>
  <c r="DG15" i="15" s="1"/>
  <c r="DG16" i="15" s="1"/>
  <c r="DF34" i="15"/>
  <c r="DF29" i="15"/>
  <c r="DF31" i="15"/>
  <c r="DF32" i="15" s="1"/>
  <c r="DI11" i="15"/>
  <c r="DI15" i="15" s="1"/>
  <c r="DI16" i="15" s="1"/>
  <c r="DK7" i="15"/>
  <c r="DK11" i="15" s="1"/>
  <c r="DK15" i="15" s="1"/>
  <c r="DK16" i="15" s="1"/>
  <c r="DG21" i="15" l="1"/>
  <c r="DG18" i="15"/>
  <c r="DG19" i="15" s="1"/>
  <c r="DG24" i="15"/>
  <c r="DG28" i="15" s="1"/>
  <c r="DG29" i="15" s="1"/>
  <c r="DG31" i="15"/>
  <c r="DK24" i="15"/>
  <c r="DK28" i="15" s="1"/>
  <c r="DK29" i="15" s="1"/>
  <c r="DI24" i="15"/>
  <c r="DI28" i="15" s="1"/>
  <c r="DI29" i="15" s="1"/>
  <c r="DI18" i="15"/>
  <c r="DI19" i="15" s="1"/>
  <c r="DI21" i="15"/>
  <c r="DK18" i="15"/>
  <c r="DK19" i="15" s="1"/>
  <c r="DK21" i="15"/>
  <c r="DG34" i="15" l="1"/>
  <c r="DI31" i="15"/>
  <c r="DI32" i="15" s="1"/>
  <c r="DG32" i="15"/>
  <c r="DK34" i="15"/>
  <c r="DI34" i="15"/>
  <c r="DK31" i="15" l="1"/>
  <c r="DK32" i="15" s="1"/>
  <c r="BW15" i="4"/>
  <c r="BV15" i="4"/>
  <c r="BV22" i="4" l="1"/>
  <c r="BV24" i="4"/>
  <c r="BW22" i="4"/>
  <c r="BW24" i="4"/>
  <c r="BV16" i="4"/>
  <c r="BW16" i="4"/>
  <c r="BX15" i="4"/>
  <c r="BX22" i="4" l="1"/>
  <c r="BX24" i="4"/>
  <c r="BX16" i="4"/>
  <c r="BV30" i="4"/>
  <c r="BW30" i="4"/>
  <c r="BZ15" i="4"/>
  <c r="BZ22" i="4" l="1"/>
  <c r="BZ24" i="4"/>
  <c r="BZ16" i="4"/>
  <c r="CX20" i="15"/>
  <c r="CX18" i="15" s="1"/>
  <c r="CY20" i="15"/>
  <c r="CY18" i="15" s="1"/>
  <c r="BX30" i="4"/>
  <c r="BX31" i="4" s="1"/>
  <c r="CB15" i="4"/>
  <c r="DE57" i="6"/>
  <c r="DE46" i="6"/>
  <c r="DE8" i="6"/>
  <c r="CY19" i="15" l="1"/>
  <c r="CX19" i="15"/>
  <c r="CB22" i="4"/>
  <c r="CB24" i="4"/>
  <c r="CB16" i="4"/>
  <c r="CX21" i="15"/>
  <c r="CY21" i="15"/>
  <c r="CZ20" i="15"/>
  <c r="CZ21" i="15" s="1"/>
  <c r="BZ30" i="4"/>
  <c r="BZ31" i="4" s="1"/>
  <c r="CZ18" i="15" l="1"/>
  <c r="CZ19" i="15" s="1"/>
  <c r="CB30" i="4"/>
  <c r="CB31" i="4" s="1"/>
  <c r="DB20" i="15"/>
  <c r="DD20" i="15" l="1"/>
  <c r="DD18" i="15" s="1"/>
  <c r="DD19" i="15" s="1"/>
  <c r="DB18" i="15"/>
  <c r="DB19" i="15" s="1"/>
  <c r="DB21" i="15"/>
  <c r="DD54" i="6"/>
  <c r="DD32" i="6"/>
  <c r="DD21" i="15" l="1"/>
  <c r="DD57" i="6"/>
  <c r="DC57" i="6"/>
  <c r="DD52" i="6"/>
  <c r="DK53" i="6" s="1"/>
  <c r="DK21" i="6" s="1"/>
  <c r="DD46" i="6"/>
  <c r="DC46" i="6"/>
  <c r="DD43" i="6"/>
  <c r="DD22" i="6" s="1"/>
  <c r="DD8" i="6"/>
  <c r="DC8" i="6"/>
  <c r="DC20" i="6"/>
  <c r="DE42" i="6" l="1"/>
  <c r="DG42" i="6"/>
  <c r="DE53" i="6"/>
  <c r="DG53" i="6"/>
  <c r="DE31" i="6"/>
  <c r="DF21" i="6"/>
  <c r="DD20" i="6"/>
  <c r="DG21" i="6" l="1"/>
  <c r="DE21" i="6"/>
  <c r="CU70" i="6" l="1"/>
  <c r="DB43" i="6" l="1"/>
  <c r="DB22" i="6" s="1"/>
  <c r="DC31" i="6"/>
  <c r="DB57" i="6" l="1"/>
  <c r="DA57" i="6"/>
  <c r="DB52" i="6"/>
  <c r="DB46" i="6"/>
  <c r="DA46" i="6"/>
  <c r="DB8" i="6"/>
  <c r="DA8" i="6"/>
  <c r="DA20" i="6"/>
  <c r="DC53" i="6" l="1"/>
  <c r="DC42" i="6"/>
  <c r="DB20" i="6"/>
  <c r="DC21" i="6" l="1"/>
  <c r="CY8" i="6" l="1"/>
  <c r="CZ70" i="6" l="1"/>
  <c r="CZ45" i="6"/>
  <c r="CZ48" i="6" s="1"/>
  <c r="CX46" i="6"/>
  <c r="CY46" i="6"/>
  <c r="CY57" i="6"/>
  <c r="CX57" i="6"/>
  <c r="CZ56" i="6"/>
  <c r="CZ59" i="6" s="1"/>
  <c r="CZ54" i="6"/>
  <c r="CZ43" i="6"/>
  <c r="CZ8" i="6"/>
  <c r="CZ22" i="6" l="1"/>
  <c r="CZ60" i="6"/>
  <c r="DG60" i="6"/>
  <c r="CZ49" i="6"/>
  <c r="DG49" i="6"/>
  <c r="DG46" i="6"/>
  <c r="CZ34" i="6"/>
  <c r="CZ46" i="6"/>
  <c r="CZ57" i="6"/>
  <c r="DG57" i="6"/>
  <c r="CZ37" i="6" l="1"/>
  <c r="CZ35" i="6"/>
  <c r="DG35" i="6"/>
  <c r="F48" i="9"/>
  <c r="G48" i="9" s="1"/>
  <c r="E48" i="9"/>
  <c r="CZ38" i="6" l="1"/>
  <c r="DG38" i="6"/>
  <c r="CX8" i="6" l="1"/>
  <c r="CQ9" i="15" l="1"/>
  <c r="CS9" i="15" s="1"/>
  <c r="CU9" i="15" s="1"/>
  <c r="CW9" i="15" s="1"/>
  <c r="CV8" i="6" l="1"/>
  <c r="CW57" i="6" l="1"/>
  <c r="CW46" i="6"/>
  <c r="CW52" i="6"/>
  <c r="CV57" i="6"/>
  <c r="CV46" i="6"/>
  <c r="DB53" i="6" l="1"/>
  <c r="DD53" i="6"/>
  <c r="DB42" i="6"/>
  <c r="DD42" i="6"/>
  <c r="CW54" i="6"/>
  <c r="CW43" i="6"/>
  <c r="CW32" i="6"/>
  <c r="CW22" i="6" l="1"/>
  <c r="CW8" i="6"/>
  <c r="CV7" i="15" l="1"/>
  <c r="CV11" i="15" s="1"/>
  <c r="CV15" i="15" s="1"/>
  <c r="CV34" i="15" l="1"/>
  <c r="CV16" i="15"/>
  <c r="CV18" i="15"/>
  <c r="CV19" i="15" s="1"/>
  <c r="CV21" i="15"/>
  <c r="CV31" i="15" l="1"/>
  <c r="CV32" i="15" s="1"/>
  <c r="CU57" i="6" l="1"/>
  <c r="CU52" i="6" l="1"/>
  <c r="CV42" i="6"/>
  <c r="CU8" i="6"/>
  <c r="CU20" i="6" l="1"/>
  <c r="CT57" i="6" l="1"/>
  <c r="CT46" i="6"/>
  <c r="CU32" i="6" l="1"/>
  <c r="CU22" i="6" s="1"/>
  <c r="CT8" i="6" l="1"/>
  <c r="CT7" i="15" l="1"/>
  <c r="CT11" i="15" s="1"/>
  <c r="CT15" i="15" s="1"/>
  <c r="CT34" i="15" l="1"/>
  <c r="CT16" i="15"/>
  <c r="CT18" i="15"/>
  <c r="CT19" i="15" s="1"/>
  <c r="CT21" i="15"/>
  <c r="CT31" i="15" l="1"/>
  <c r="CT32" i="15" s="1"/>
  <c r="CV53" i="6" l="1"/>
  <c r="CX53" i="6" l="1"/>
  <c r="CX42" i="6"/>
  <c r="CY53" i="6" l="1"/>
  <c r="CZ52" i="6" l="1"/>
  <c r="DA53" i="6" l="1"/>
  <c r="CZ53" i="6"/>
  <c r="BS27" i="4" l="1"/>
  <c r="BS19" i="4"/>
  <c r="BS17" i="4"/>
  <c r="BS15" i="4"/>
  <c r="BS24" i="4" l="1"/>
  <c r="BS26" i="4"/>
  <c r="BS18" i="4"/>
  <c r="BS16" i="4"/>
  <c r="BS22" i="4"/>
  <c r="BU15" i="4"/>
  <c r="BU27" i="4"/>
  <c r="BU17" i="4"/>
  <c r="BU19" i="4"/>
  <c r="BU26" i="4" l="1"/>
  <c r="BU22" i="4"/>
  <c r="BU24" i="4"/>
  <c r="BU16" i="4"/>
  <c r="BU18" i="4"/>
  <c r="BS30" i="4"/>
  <c r="CU20" i="15" l="1"/>
  <c r="CU33" i="15" s="1"/>
  <c r="BU30" i="4"/>
  <c r="CW20" i="15" l="1"/>
  <c r="CW33" i="15" s="1"/>
  <c r="CR7" i="15"/>
  <c r="CR11" i="15" s="1"/>
  <c r="CR15" i="15" s="1"/>
  <c r="CR34" i="15" l="1"/>
  <c r="CR16" i="15"/>
  <c r="CR18" i="15"/>
  <c r="CR19" i="15" s="1"/>
  <c r="CR21" i="15"/>
  <c r="CR31" i="15" l="1"/>
  <c r="CR32" i="15" s="1"/>
  <c r="E60" i="9" l="1"/>
  <c r="E54" i="9"/>
  <c r="F54" i="9"/>
  <c r="G54" i="9" s="1"/>
  <c r="CG70" i="6" l="1"/>
  <c r="BZ70" i="6"/>
  <c r="BS70" i="6"/>
  <c r="BE70" i="6"/>
  <c r="BX70" i="6"/>
  <c r="BJ70" i="6"/>
  <c r="CN70" i="6"/>
  <c r="CL70" i="6"/>
  <c r="CH70" i="6"/>
  <c r="CE70" i="6"/>
  <c r="CA70" i="6"/>
  <c r="BT70" i="6"/>
  <c r="BQ70" i="6"/>
  <c r="BM70" i="6"/>
  <c r="BL70" i="6"/>
  <c r="BF70" i="6"/>
  <c r="BC70" i="6"/>
  <c r="AY70" i="6"/>
  <c r="AX70" i="6"/>
  <c r="AV70" i="6"/>
  <c r="CS57" i="6" l="1"/>
  <c r="CR57" i="6"/>
  <c r="CS54" i="6"/>
  <c r="CR53" i="6"/>
  <c r="CS52" i="6"/>
  <c r="CT53" i="6" s="1"/>
  <c r="CS46" i="6"/>
  <c r="CR46" i="6"/>
  <c r="CS43" i="6"/>
  <c r="CR42" i="6"/>
  <c r="CT42" i="6"/>
  <c r="CS32" i="6"/>
  <c r="CS22" i="6" s="1"/>
  <c r="CR31" i="6"/>
  <c r="CT31" i="6"/>
  <c r="CS8" i="6"/>
  <c r="CR8" i="6"/>
  <c r="CR20" i="6"/>
  <c r="CR21" i="6" l="1"/>
  <c r="CT21" i="6"/>
  <c r="CS20" i="6"/>
  <c r="CT20" i="6"/>
  <c r="CQ8" i="6"/>
  <c r="CQ7" i="15" l="1"/>
  <c r="CS7" i="15" l="1"/>
  <c r="CQ11" i="15"/>
  <c r="CQ15" i="15" s="1"/>
  <c r="CQ34" i="15" l="1"/>
  <c r="CQ16" i="15"/>
  <c r="CQ18" i="15"/>
  <c r="CQ19" i="15" s="1"/>
  <c r="CQ21" i="15"/>
  <c r="CS11" i="15"/>
  <c r="CS15" i="15" s="1"/>
  <c r="CU7" i="15"/>
  <c r="CS34" i="15" l="1"/>
  <c r="CS16" i="15"/>
  <c r="CQ31" i="15"/>
  <c r="CQ32" i="15" s="1"/>
  <c r="CS18" i="15"/>
  <c r="CS19" i="15" s="1"/>
  <c r="CS21" i="15"/>
  <c r="CW7" i="15"/>
  <c r="CW11" i="15" s="1"/>
  <c r="CW15" i="15" s="1"/>
  <c r="CU11" i="15"/>
  <c r="CU15" i="15" s="1"/>
  <c r="CW34" i="15" l="1"/>
  <c r="CW16" i="15"/>
  <c r="CU34" i="15"/>
  <c r="CU16" i="15"/>
  <c r="CS31" i="15"/>
  <c r="CS32" i="15" s="1"/>
  <c r="CW18" i="15"/>
  <c r="CW19" i="15" s="1"/>
  <c r="CW21" i="15"/>
  <c r="CU18" i="15"/>
  <c r="CU19" i="15" s="1"/>
  <c r="CU21" i="15"/>
  <c r="CW31" i="15" l="1"/>
  <c r="CW32" i="15" s="1"/>
  <c r="CU31" i="15"/>
  <c r="CU32" i="15" s="1"/>
  <c r="CQ57" i="6" l="1"/>
  <c r="CQ46" i="6"/>
  <c r="CQ20" i="6"/>
  <c r="CP54" i="6" l="1"/>
  <c r="CP43" i="6"/>
  <c r="CP32" i="6"/>
  <c r="CP22" i="6" l="1"/>
  <c r="CO7" i="15"/>
  <c r="CO11" i="15" s="1"/>
  <c r="CO15" i="15" s="1"/>
  <c r="CO34" i="15" l="1"/>
  <c r="CO16" i="15"/>
  <c r="CO18" i="15"/>
  <c r="CO19" i="15" s="1"/>
  <c r="CO21" i="15"/>
  <c r="CO31" i="15" l="1"/>
  <c r="CO32" i="15" s="1"/>
  <c r="CM7" i="15" l="1"/>
  <c r="CM11" i="15" s="1"/>
  <c r="CM15" i="15" s="1"/>
  <c r="CM34" i="15" l="1"/>
  <c r="CM16" i="15"/>
  <c r="CM18" i="15"/>
  <c r="CM19" i="15" s="1"/>
  <c r="CM21" i="15"/>
  <c r="CP57" i="6"/>
  <c r="CO57" i="6"/>
  <c r="CP52" i="6"/>
  <c r="CP46" i="6"/>
  <c r="CO46" i="6"/>
  <c r="CP8" i="6"/>
  <c r="CO8" i="6"/>
  <c r="CO20" i="6"/>
  <c r="CN57" i="6"/>
  <c r="CN52" i="6"/>
  <c r="CN46" i="6"/>
  <c r="CN8" i="6"/>
  <c r="CM31" i="15" l="1"/>
  <c r="CM32" i="15" s="1"/>
  <c r="CN20" i="6"/>
  <c r="CS31" i="6"/>
  <c r="CU31" i="6" s="1"/>
  <c r="CQ31" i="6"/>
  <c r="CS53" i="6"/>
  <c r="CU53" i="6" s="1"/>
  <c r="CW53" i="6" s="1"/>
  <c r="CQ53" i="6"/>
  <c r="CS42" i="6"/>
  <c r="CU42" i="6" s="1"/>
  <c r="CW42" i="6" s="1"/>
  <c r="CQ42" i="6"/>
  <c r="CO53" i="6"/>
  <c r="CO42" i="6"/>
  <c r="CP20" i="6"/>
  <c r="CU21" i="6" l="1"/>
  <c r="CO21" i="6"/>
  <c r="CQ21" i="6"/>
  <c r="CS21" i="6"/>
  <c r="CM8" i="6" l="1"/>
  <c r="CL8" i="6"/>
  <c r="CK8" i="6"/>
  <c r="CM57" i="6" l="1"/>
  <c r="CL57" i="6"/>
  <c r="CL54" i="6"/>
  <c r="CL52" i="6"/>
  <c r="CM53" i="6" s="1"/>
  <c r="CM46" i="6"/>
  <c r="CL46" i="6"/>
  <c r="CL43" i="6"/>
  <c r="CM42" i="6"/>
  <c r="CL32" i="6"/>
  <c r="CM31" i="6"/>
  <c r="CM20" i="6"/>
  <c r="BJ27" i="4"/>
  <c r="BJ19" i="4"/>
  <c r="BJ17" i="4"/>
  <c r="BJ15" i="4"/>
  <c r="CK7" i="15"/>
  <c r="CK11" i="15" s="1"/>
  <c r="CK15" i="15" s="1"/>
  <c r="CL22" i="6" l="1"/>
  <c r="CK34" i="15"/>
  <c r="CK16" i="15"/>
  <c r="BJ26" i="4"/>
  <c r="BJ22" i="4"/>
  <c r="BJ24" i="4"/>
  <c r="BJ16" i="4"/>
  <c r="BJ18" i="4"/>
  <c r="CK18" i="15"/>
  <c r="CK19" i="15" s="1"/>
  <c r="CK21" i="15"/>
  <c r="BL15" i="4"/>
  <c r="BL27" i="4"/>
  <c r="BL19" i="4"/>
  <c r="BN19" i="4" s="1"/>
  <c r="BL17" i="4"/>
  <c r="CL20" i="6"/>
  <c r="CM21" i="6"/>
  <c r="BL24" i="4" l="1"/>
  <c r="BL26" i="4"/>
  <c r="BL16" i="4"/>
  <c r="BL22" i="4"/>
  <c r="BL18" i="4"/>
  <c r="BJ30" i="4"/>
  <c r="BJ31" i="4" s="1"/>
  <c r="CK31" i="15"/>
  <c r="CK32" i="15" s="1"/>
  <c r="BN15" i="4"/>
  <c r="BN27" i="4"/>
  <c r="BN17" i="4"/>
  <c r="BN24" i="4" l="1"/>
  <c r="BN26" i="4"/>
  <c r="BN18" i="4"/>
  <c r="BN22" i="4"/>
  <c r="BN16" i="4"/>
  <c r="CL20" i="15"/>
  <c r="CL33" i="15" s="1"/>
  <c r="BL30" i="4"/>
  <c r="BL31" i="4" s="1"/>
  <c r="CN20" i="15" l="1"/>
  <c r="CN33" i="15" s="1"/>
  <c r="BN30" i="4"/>
  <c r="BN31" i="4" s="1"/>
  <c r="CP20" i="15" l="1"/>
  <c r="CP33" i="15" s="1"/>
  <c r="CK31" i="6"/>
  <c r="CJ8" i="6" l="1"/>
  <c r="F60" i="9" l="1"/>
  <c r="CJ7" i="15"/>
  <c r="CL7" i="15" l="1"/>
  <c r="CJ11" i="15"/>
  <c r="CJ15" i="15" s="1"/>
  <c r="CJ34" i="15" l="1"/>
  <c r="CJ16" i="15"/>
  <c r="CJ18" i="15"/>
  <c r="CJ19" i="15" s="1"/>
  <c r="CJ21" i="15"/>
  <c r="CL11" i="15"/>
  <c r="CL15" i="15" s="1"/>
  <c r="CN7" i="15"/>
  <c r="CK57" i="6"/>
  <c r="CK53" i="6"/>
  <c r="CK46" i="6"/>
  <c r="CK42" i="6"/>
  <c r="CK20" i="6"/>
  <c r="CL34" i="15" l="1"/>
  <c r="CL16" i="15"/>
  <c r="CJ31" i="15"/>
  <c r="CJ32" i="15" s="1"/>
  <c r="CL18" i="15"/>
  <c r="CL19" i="15" s="1"/>
  <c r="CL21" i="15"/>
  <c r="CN11" i="15"/>
  <c r="CN15" i="15" s="1"/>
  <c r="CP7" i="15"/>
  <c r="CP11" i="15" s="1"/>
  <c r="CP15" i="15" s="1"/>
  <c r="CK21" i="6"/>
  <c r="CN34" i="15" l="1"/>
  <c r="CN16" i="15"/>
  <c r="CP34" i="15"/>
  <c r="CP16" i="15"/>
  <c r="CL31" i="15"/>
  <c r="CL32" i="15" s="1"/>
  <c r="CP18" i="15"/>
  <c r="CP19" i="15" s="1"/>
  <c r="CP21" i="15"/>
  <c r="CN18" i="15"/>
  <c r="CN19" i="15" s="1"/>
  <c r="CN21" i="15"/>
  <c r="CN31" i="15" l="1"/>
  <c r="CN32" i="15" s="1"/>
  <c r="CP31" i="15"/>
  <c r="CP32" i="15" s="1"/>
  <c r="CJ46" i="6"/>
  <c r="CJ57" i="6"/>
  <c r="CJ20" i="6"/>
  <c r="CI8" i="6" l="1"/>
  <c r="CH8" i="6"/>
  <c r="CI54" i="6" l="1"/>
  <c r="CI57" i="6"/>
  <c r="CH57" i="6"/>
  <c r="CI46" i="6"/>
  <c r="CH46" i="6"/>
  <c r="CI43" i="6"/>
  <c r="CI32" i="6"/>
  <c r="CH7" i="15"/>
  <c r="CH11" i="15" s="1"/>
  <c r="CH15" i="15" s="1"/>
  <c r="CI22" i="6" l="1"/>
  <c r="CH34" i="15"/>
  <c r="CH16" i="15"/>
  <c r="CH18" i="15"/>
  <c r="CH19" i="15" s="1"/>
  <c r="CH21" i="15"/>
  <c r="CH31" i="15" l="1"/>
  <c r="CH32" i="15" s="1"/>
  <c r="BC15" i="4" l="1"/>
  <c r="BC17" i="4"/>
  <c r="BC19" i="4"/>
  <c r="BC27" i="4"/>
  <c r="BC24" i="4" l="1"/>
  <c r="BC26" i="4"/>
  <c r="BC18" i="4"/>
  <c r="BC22" i="4"/>
  <c r="BC16" i="4"/>
  <c r="BC30" i="4" l="1"/>
  <c r="CF57" i="6"/>
  <c r="CE20" i="15" l="1"/>
  <c r="CE33" i="15" s="1"/>
  <c r="BC31" i="4"/>
  <c r="CF46" i="6"/>
  <c r="CI52" i="6" l="1"/>
  <c r="CH20" i="6"/>
  <c r="CG57" i="6"/>
  <c r="CG54" i="6"/>
  <c r="CG46" i="6"/>
  <c r="CG43" i="6"/>
  <c r="CG32" i="6"/>
  <c r="CG22" i="6" l="1"/>
  <c r="CN42" i="6"/>
  <c r="CP42" i="6"/>
  <c r="CP31" i="6"/>
  <c r="CN31" i="6"/>
  <c r="CN53" i="6"/>
  <c r="CP53" i="6"/>
  <c r="CI20" i="6"/>
  <c r="CL31" i="6"/>
  <c r="CJ31" i="6"/>
  <c r="CL42" i="6"/>
  <c r="CJ42" i="6"/>
  <c r="CL53" i="6"/>
  <c r="CJ53" i="6"/>
  <c r="BE27" i="4"/>
  <c r="BE19" i="4"/>
  <c r="BE17" i="4"/>
  <c r="BE15" i="4"/>
  <c r="CF7" i="15"/>
  <c r="CF11" i="15" s="1"/>
  <c r="CF15" i="15" s="1"/>
  <c r="CF34" i="15" l="1"/>
  <c r="CF16" i="15"/>
  <c r="BE24" i="4"/>
  <c r="BE26" i="4"/>
  <c r="BE16" i="4"/>
  <c r="BE18" i="4"/>
  <c r="BE22" i="4"/>
  <c r="CF18" i="15"/>
  <c r="CF19" i="15" s="1"/>
  <c r="CF21" i="15"/>
  <c r="CN21" i="6"/>
  <c r="CJ21" i="6"/>
  <c r="CP21" i="6"/>
  <c r="BG17" i="4"/>
  <c r="BG27" i="4"/>
  <c r="BG19" i="4"/>
  <c r="CL21" i="6"/>
  <c r="BG24" i="4" l="1"/>
  <c r="BG26" i="4"/>
  <c r="BG18" i="4"/>
  <c r="BG22" i="4"/>
  <c r="BE30" i="4"/>
  <c r="CF31" i="15"/>
  <c r="CF32" i="15" s="1"/>
  <c r="CG20" i="15" l="1"/>
  <c r="CG33" i="15" s="1"/>
  <c r="BE31" i="4"/>
  <c r="BG30" i="4"/>
  <c r="F67" i="9"/>
  <c r="BG31" i="4" l="1"/>
  <c r="CI20" i="15"/>
  <c r="CG52" i="6"/>
  <c r="CH31" i="6"/>
  <c r="CF20" i="6"/>
  <c r="CI33" i="15" l="1"/>
  <c r="CI18" i="15"/>
  <c r="CI31" i="15" s="1"/>
  <c r="CI32" i="15" s="1"/>
  <c r="CI21" i="15"/>
  <c r="CH42" i="6"/>
  <c r="CH53" i="6"/>
  <c r="CG20" i="6"/>
  <c r="CH21" i="6" l="1"/>
  <c r="CD53" i="6"/>
  <c r="BW53" i="6"/>
  <c r="BV53" i="6"/>
  <c r="BP53" i="6"/>
  <c r="BK53" i="6"/>
  <c r="BJ53" i="6"/>
  <c r="BI53" i="6"/>
  <c r="BH53" i="6"/>
  <c r="BG53" i="6"/>
  <c r="BF53" i="6"/>
  <c r="BE53" i="6"/>
  <c r="BD53" i="6"/>
  <c r="BC53" i="6"/>
  <c r="BB53" i="6"/>
  <c r="BA53" i="6"/>
  <c r="AZ53" i="6"/>
  <c r="AY53" i="6"/>
  <c r="AX53" i="6"/>
  <c r="AW53" i="6"/>
  <c r="AV53" i="6"/>
  <c r="AU53" i="6"/>
  <c r="AT53" i="6"/>
  <c r="AS53" i="6"/>
  <c r="AR53" i="6"/>
  <c r="AQ53" i="6"/>
  <c r="AP53" i="6"/>
  <c r="AO53" i="6"/>
  <c r="AN53" i="6"/>
  <c r="AM53" i="6"/>
  <c r="AL53" i="6"/>
  <c r="AK53" i="6"/>
  <c r="AJ53" i="6"/>
  <c r="AI53" i="6"/>
  <c r="AH53" i="6"/>
  <c r="AG53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CD42" i="6"/>
  <c r="BW42" i="6"/>
  <c r="BP42" i="6"/>
  <c r="BI42" i="6"/>
  <c r="Q31" i="6"/>
  <c r="P31" i="6"/>
  <c r="O31" i="6"/>
  <c r="N31" i="6"/>
  <c r="M31" i="6"/>
  <c r="L31" i="6"/>
  <c r="K31" i="6"/>
  <c r="X31" i="6"/>
  <c r="W31" i="6"/>
  <c r="V31" i="6"/>
  <c r="U31" i="6"/>
  <c r="T31" i="6"/>
  <c r="S31" i="6"/>
  <c r="R31" i="6"/>
  <c r="AE31" i="6"/>
  <c r="AD31" i="6"/>
  <c r="AC31" i="6"/>
  <c r="AB31" i="6"/>
  <c r="AA31" i="6"/>
  <c r="Z31" i="6"/>
  <c r="Y31" i="6"/>
  <c r="AL31" i="6"/>
  <c r="AK31" i="6"/>
  <c r="AJ31" i="6"/>
  <c r="AI31" i="6"/>
  <c r="AH31" i="6"/>
  <c r="AG31" i="6"/>
  <c r="AF31" i="6"/>
  <c r="AS31" i="6"/>
  <c r="AR31" i="6"/>
  <c r="AQ31" i="6"/>
  <c r="AP31" i="6"/>
  <c r="AO31" i="6"/>
  <c r="AN31" i="6"/>
  <c r="AM31" i="6"/>
  <c r="AZ31" i="6"/>
  <c r="AY31" i="6"/>
  <c r="AX31" i="6"/>
  <c r="AW31" i="6"/>
  <c r="AV31" i="6"/>
  <c r="AU31" i="6"/>
  <c r="AT31" i="6"/>
  <c r="BG31" i="6"/>
  <c r="BF31" i="6"/>
  <c r="BE31" i="6"/>
  <c r="BD31" i="6"/>
  <c r="BC31" i="6"/>
  <c r="BB31" i="6"/>
  <c r="BA31" i="6"/>
  <c r="BN31" i="6"/>
  <c r="BM31" i="6"/>
  <c r="BL31" i="6"/>
  <c r="BK31" i="6"/>
  <c r="BJ31" i="6"/>
  <c r="BI31" i="6"/>
  <c r="BH31" i="6"/>
  <c r="BU31" i="6"/>
  <c r="BR31" i="6"/>
  <c r="BQ31" i="6"/>
  <c r="BP31" i="6"/>
  <c r="BO31" i="6"/>
  <c r="BW31" i="6"/>
  <c r="BV31" i="6"/>
  <c r="CD31" i="6"/>
  <c r="CE57" i="6"/>
  <c r="CE54" i="6"/>
  <c r="CE52" i="6"/>
  <c r="CF53" i="6" s="1"/>
  <c r="CE46" i="6"/>
  <c r="CE43" i="6"/>
  <c r="CF42" i="6"/>
  <c r="CE32" i="6"/>
  <c r="CE22" i="6" l="1"/>
  <c r="CE20" i="6"/>
  <c r="CF31" i="6"/>
  <c r="CF21" i="6" s="1"/>
  <c r="CD21" i="6"/>
  <c r="BW21" i="6"/>
  <c r="BP21" i="6"/>
  <c r="BI21" i="6"/>
  <c r="BB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AV27" i="4" l="1"/>
  <c r="AO27" i="4"/>
  <c r="AH27" i="4"/>
  <c r="AA27" i="4"/>
  <c r="AC27" i="4" s="1"/>
  <c r="X27" i="4"/>
  <c r="O27" i="4"/>
  <c r="O22" i="4" s="1"/>
  <c r="F27" i="4"/>
  <c r="F22" i="4" s="1"/>
  <c r="AC26" i="4"/>
  <c r="AV19" i="4"/>
  <c r="AO19" i="4"/>
  <c r="AH19" i="4"/>
  <c r="AA19" i="4"/>
  <c r="AC19" i="4" s="1"/>
  <c r="O19" i="4"/>
  <c r="F19" i="4"/>
  <c r="AV17" i="4"/>
  <c r="AO17" i="4"/>
  <c r="AH17" i="4"/>
  <c r="AA17" i="4"/>
  <c r="AC17" i="4" s="1"/>
  <c r="AV15" i="4"/>
  <c r="AC18" i="4" l="1"/>
  <c r="AC22" i="4"/>
  <c r="AA22" i="4"/>
  <c r="AA26" i="4"/>
  <c r="AV22" i="4"/>
  <c r="AV24" i="4"/>
  <c r="AH22" i="4"/>
  <c r="AH26" i="4"/>
  <c r="AO22" i="4"/>
  <c r="AO26" i="4"/>
  <c r="X22" i="4"/>
  <c r="AV26" i="4"/>
  <c r="AO18" i="4"/>
  <c r="AH18" i="4"/>
  <c r="AV18" i="4"/>
  <c r="AV16" i="4"/>
  <c r="V30" i="4"/>
  <c r="V31" i="4" s="1"/>
  <c r="AA18" i="4"/>
  <c r="AA33" i="15"/>
  <c r="F30" i="4"/>
  <c r="O30" i="4"/>
  <c r="H27" i="4"/>
  <c r="H22" i="4" s="1"/>
  <c r="AE27" i="4"/>
  <c r="AX27" i="4"/>
  <c r="X17" i="4"/>
  <c r="AX19" i="4"/>
  <c r="AJ17" i="4"/>
  <c r="AQ19" i="4"/>
  <c r="AQ27" i="4"/>
  <c r="AX15" i="4"/>
  <c r="AQ17" i="4"/>
  <c r="X19" i="4"/>
  <c r="AJ19" i="4"/>
  <c r="AX17" i="4"/>
  <c r="AJ27" i="4"/>
  <c r="H19" i="4"/>
  <c r="AC30" i="4" l="1"/>
  <c r="AC31" i="4" s="1"/>
  <c r="AE26" i="4"/>
  <c r="AQ22" i="4"/>
  <c r="AQ26" i="4"/>
  <c r="AX26" i="4"/>
  <c r="AX22" i="4"/>
  <c r="AX24" i="4"/>
  <c r="AJ22" i="4"/>
  <c r="AJ26" i="4"/>
  <c r="AX16" i="4"/>
  <c r="AX18" i="4"/>
  <c r="AQ18" i="4"/>
  <c r="AJ18" i="4"/>
  <c r="AE22" i="4"/>
  <c r="X30" i="4"/>
  <c r="X31" i="4" s="1"/>
  <c r="T30" i="4"/>
  <c r="AH20" i="15"/>
  <c r="AH33" i="15" s="1"/>
  <c r="AX20" i="15"/>
  <c r="AX33" i="15" s="1"/>
  <c r="AQ20" i="15"/>
  <c r="AQ33" i="15" s="1"/>
  <c r="AA30" i="4"/>
  <c r="AA31" i="4" s="1"/>
  <c r="AH30" i="4"/>
  <c r="AH31" i="4" s="1"/>
  <c r="AO30" i="4"/>
  <c r="AO31" i="4" s="1"/>
  <c r="AV30" i="4"/>
  <c r="AV31" i="4" s="1"/>
  <c r="H30" i="4"/>
  <c r="J27" i="4"/>
  <c r="J22" i="4" s="1"/>
  <c r="AZ27" i="4"/>
  <c r="AS19" i="4"/>
  <c r="J19" i="4"/>
  <c r="AE17" i="4"/>
  <c r="AZ15" i="4"/>
  <c r="AE19" i="4"/>
  <c r="AZ17" i="4"/>
  <c r="AS27" i="4"/>
  <c r="AV20" i="15" l="1"/>
  <c r="AV33" i="15" s="1"/>
  <c r="T31" i="4"/>
  <c r="AS22" i="4"/>
  <c r="AS26" i="4"/>
  <c r="AZ22" i="4"/>
  <c r="AZ26" i="4"/>
  <c r="AZ18" i="4"/>
  <c r="AZ16" i="4"/>
  <c r="AE30" i="4"/>
  <c r="AE31" i="4" s="1"/>
  <c r="AE18" i="4"/>
  <c r="BX20" i="15"/>
  <c r="BX33" i="15" s="1"/>
  <c r="BQ20" i="15"/>
  <c r="BQ33" i="15" s="1"/>
  <c r="BE20" i="15"/>
  <c r="BE33" i="15" s="1"/>
  <c r="AJ20" i="15"/>
  <c r="AJ33" i="15" s="1"/>
  <c r="BJ20" i="15"/>
  <c r="BJ33" i="15" s="1"/>
  <c r="BC20" i="15"/>
  <c r="BC33" i="15" s="1"/>
  <c r="AZ20" i="15"/>
  <c r="AZ33" i="15" s="1"/>
  <c r="AQ30" i="4"/>
  <c r="AQ31" i="4" s="1"/>
  <c r="AJ30" i="4"/>
  <c r="AJ31" i="4" s="1"/>
  <c r="AX30" i="4"/>
  <c r="AX31" i="4" s="1"/>
  <c r="J30" i="4"/>
  <c r="BG20" i="15" l="1"/>
  <c r="BG33" i="15" s="1"/>
  <c r="BZ20" i="15"/>
  <c r="BZ33" i="15" s="1"/>
  <c r="AL20" i="15"/>
  <c r="AL33" i="15" s="1"/>
  <c r="AE33" i="15"/>
  <c r="BL20" i="15"/>
  <c r="BL33" i="15" s="1"/>
  <c r="BS20" i="15"/>
  <c r="BS33" i="15" s="1"/>
  <c r="AS30" i="4"/>
  <c r="AZ30" i="4"/>
  <c r="AZ31" i="4" s="1"/>
  <c r="CB20" i="15" l="1"/>
  <c r="CB33" i="15" s="1"/>
  <c r="BU20" i="15"/>
  <c r="BU33" i="15" s="1"/>
  <c r="CD57" i="6"/>
  <c r="CD46" i="6"/>
  <c r="CD7" i="15"/>
  <c r="CD11" i="15" s="1"/>
  <c r="CD15" i="15" s="1"/>
  <c r="CD34" i="15" l="1"/>
  <c r="CD16" i="15"/>
  <c r="CD18" i="15"/>
  <c r="CD19" i="15" s="1"/>
  <c r="CD21" i="15"/>
  <c r="CD31" i="15" l="1"/>
  <c r="CD32" i="15" s="1"/>
  <c r="CD20" i="6" l="1"/>
  <c r="F66" i="9" l="1"/>
  <c r="CC57" i="6" l="1"/>
  <c r="CC20" i="6"/>
  <c r="CC7" i="15" l="1"/>
  <c r="CC11" i="15" l="1"/>
  <c r="CC15" i="15" s="1"/>
  <c r="CE7" i="15"/>
  <c r="CC34" i="15" l="1"/>
  <c r="CC16" i="15"/>
  <c r="CC18" i="15"/>
  <c r="CC19" i="15" s="1"/>
  <c r="CC21" i="15"/>
  <c r="CE11" i="15"/>
  <c r="CE15" i="15" s="1"/>
  <c r="CG7" i="15"/>
  <c r="CE34" i="15" l="1"/>
  <c r="CE16" i="15"/>
  <c r="CC31" i="15"/>
  <c r="CC32" i="15" s="1"/>
  <c r="CE18" i="15"/>
  <c r="CE19" i="15" s="1"/>
  <c r="CE21" i="15"/>
  <c r="CG11" i="15"/>
  <c r="CG15" i="15" s="1"/>
  <c r="CI34" i="15" l="1"/>
  <c r="CG34" i="15"/>
  <c r="CG16" i="15"/>
  <c r="CE31" i="15"/>
  <c r="CE32" i="15" s="1"/>
  <c r="CI19" i="15"/>
  <c r="CG18" i="15"/>
  <c r="CG19" i="15" s="1"/>
  <c r="CG21" i="15"/>
  <c r="BO57" i="6"/>
  <c r="BQ57" i="6"/>
  <c r="BZ57" i="6"/>
  <c r="BY57" i="6"/>
  <c r="BX57" i="6"/>
  <c r="BW57" i="6"/>
  <c r="BV57" i="6"/>
  <c r="CB57" i="6"/>
  <c r="CG31" i="15" l="1"/>
  <c r="CG32" i="15" s="1"/>
  <c r="BP57" i="6" l="1"/>
  <c r="CA57" i="6" l="1"/>
  <c r="BU57" i="6"/>
  <c r="BT57" i="6"/>
  <c r="BS57" i="6"/>
  <c r="BR57" i="6"/>
  <c r="CB46" i="6"/>
  <c r="CA46" i="6"/>
  <c r="BZ46" i="6"/>
  <c r="BY46" i="6"/>
  <c r="BX46" i="6"/>
  <c r="BW46" i="6"/>
  <c r="BV46" i="6"/>
  <c r="BU46" i="6"/>
  <c r="BT46" i="6"/>
  <c r="BS46" i="6"/>
  <c r="BR46" i="6"/>
  <c r="BQ46" i="6"/>
  <c r="BP46" i="6"/>
  <c r="BO46" i="6"/>
  <c r="CA20" i="6" l="1"/>
  <c r="BY20" i="6"/>
  <c r="BW20" i="6"/>
  <c r="BV20" i="6"/>
  <c r="BT20" i="6"/>
  <c r="BR20" i="6"/>
  <c r="BP20" i="6"/>
  <c r="BO20" i="6"/>
  <c r="BM20" i="6"/>
  <c r="BK20" i="6"/>
  <c r="BI20" i="6"/>
  <c r="BH20" i="6"/>
  <c r="BF20" i="6"/>
  <c r="BD20" i="6"/>
  <c r="BB20" i="6"/>
  <c r="BA20" i="6"/>
  <c r="AW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B54" i="6"/>
  <c r="BX54" i="6"/>
  <c r="CB52" i="6"/>
  <c r="BZ52" i="6"/>
  <c r="BX52" i="6"/>
  <c r="BS52" i="6"/>
  <c r="BQ52" i="6"/>
  <c r="BN52" i="6"/>
  <c r="BL52" i="6"/>
  <c r="CB43" i="6"/>
  <c r="BZ43" i="6"/>
  <c r="BX43" i="6"/>
  <c r="AX21" i="6"/>
  <c r="BH42" i="6" l="1"/>
  <c r="BH21" i="6" s="1"/>
  <c r="BR42" i="6"/>
  <c r="BQ42" i="6"/>
  <c r="CA42" i="6"/>
  <c r="BZ42" i="6"/>
  <c r="BT53" i="6"/>
  <c r="BS53" i="6"/>
  <c r="AY21" i="6"/>
  <c r="BK42" i="6"/>
  <c r="BK21" i="6" s="1"/>
  <c r="BJ42" i="6"/>
  <c r="BJ21" i="6" s="1"/>
  <c r="BS42" i="6"/>
  <c r="BT42" i="6"/>
  <c r="CI42" i="6"/>
  <c r="CG42" i="6"/>
  <c r="CC42" i="6"/>
  <c r="CB42" i="6"/>
  <c r="CE42" i="6"/>
  <c r="BM53" i="6"/>
  <c r="BL53" i="6"/>
  <c r="BY53" i="6"/>
  <c r="BX53" i="6"/>
  <c r="BD21" i="6"/>
  <c r="BM42" i="6"/>
  <c r="BL42" i="6"/>
  <c r="BV42" i="6"/>
  <c r="BV21" i="6" s="1"/>
  <c r="BU42" i="6"/>
  <c r="BN53" i="6"/>
  <c r="BU53" i="6"/>
  <c r="BO53" i="6"/>
  <c r="BZ53" i="6"/>
  <c r="CA53" i="6"/>
  <c r="AU21" i="6"/>
  <c r="BF21" i="6"/>
  <c r="BO42" i="6"/>
  <c r="BN42" i="6"/>
  <c r="BY42" i="6"/>
  <c r="BX42" i="6"/>
  <c r="BR53" i="6"/>
  <c r="BQ53" i="6"/>
  <c r="CI53" i="6"/>
  <c r="CG53" i="6"/>
  <c r="CC53" i="6"/>
  <c r="CB53" i="6"/>
  <c r="CE53" i="6"/>
  <c r="AX20" i="6"/>
  <c r="BE20" i="6"/>
  <c r="BJ20" i="6"/>
  <c r="BQ20" i="6"/>
  <c r="BN20" i="6"/>
  <c r="AU20" i="6"/>
  <c r="AY20" i="6"/>
  <c r="BC20" i="6"/>
  <c r="BG20" i="6"/>
  <c r="BU20" i="6"/>
  <c r="BL20" i="6"/>
  <c r="BQ21" i="6" l="1"/>
  <c r="BU21" i="6"/>
  <c r="BN21" i="6"/>
  <c r="BR21" i="6"/>
  <c r="BA21" i="6"/>
  <c r="AZ21" i="6"/>
  <c r="BC21" i="6"/>
  <c r="BO21" i="6"/>
  <c r="BL21" i="6"/>
  <c r="AW21" i="6"/>
  <c r="AV21" i="6"/>
  <c r="BE21" i="6"/>
  <c r="BM21" i="6"/>
  <c r="BG21" i="6"/>
  <c r="AZ20" i="6"/>
  <c r="AV20" i="6"/>
  <c r="CB32" i="6" l="1"/>
  <c r="CB22" i="6" s="1"/>
  <c r="CI31" i="6" l="1"/>
  <c r="CI21" i="6" s="1"/>
  <c r="CG31" i="6"/>
  <c r="CG21" i="6" s="1"/>
  <c r="CB31" i="6"/>
  <c r="CB21" i="6" s="1"/>
  <c r="CE31" i="6"/>
  <c r="CE21" i="6" s="1"/>
  <c r="CC31" i="6"/>
  <c r="CC21" i="6" s="1"/>
  <c r="CB20" i="6"/>
  <c r="CA7" i="15"/>
  <c r="CA11" i="15" s="1"/>
  <c r="CA15" i="15" s="1"/>
  <c r="CA34" i="15" l="1"/>
  <c r="CA16" i="15"/>
  <c r="CA18" i="15"/>
  <c r="CA19" i="15" s="1"/>
  <c r="CA21" i="15"/>
  <c r="CA31" i="15" l="1"/>
  <c r="CA32" i="15" s="1"/>
  <c r="F72" i="9"/>
  <c r="BW7" i="15" l="1"/>
  <c r="BW11" i="15" s="1"/>
  <c r="BW15" i="15" s="1"/>
  <c r="BY7" i="15"/>
  <c r="BY11" i="15" s="1"/>
  <c r="BY15" i="15" s="1"/>
  <c r="BY34" i="15" l="1"/>
  <c r="BY16" i="15"/>
  <c r="BW34" i="15"/>
  <c r="BW16" i="15"/>
  <c r="BY18" i="15"/>
  <c r="BY19" i="15" s="1"/>
  <c r="BY21" i="15"/>
  <c r="BW18" i="15"/>
  <c r="BW19" i="15" s="1"/>
  <c r="BW21" i="15"/>
  <c r="BW31" i="15" l="1"/>
  <c r="BW32" i="15" s="1"/>
  <c r="BY31" i="15"/>
  <c r="BY32" i="15" s="1"/>
  <c r="BZ32" i="6" l="1"/>
  <c r="BZ22" i="6" s="1"/>
  <c r="CA31" i="6" l="1"/>
  <c r="CA21" i="6" s="1"/>
  <c r="BZ31" i="6"/>
  <c r="BZ21" i="6" s="1"/>
  <c r="BZ20" i="6"/>
  <c r="BX32" i="6" l="1"/>
  <c r="BX22" i="6" s="1"/>
  <c r="BX31" i="6" l="1"/>
  <c r="BX21" i="6" s="1"/>
  <c r="BY31" i="6"/>
  <c r="BY21" i="6" s="1"/>
  <c r="BX20" i="6"/>
  <c r="BV7" i="15" l="1"/>
  <c r="BX7" i="15" s="1"/>
  <c r="BV11" i="15" l="1"/>
  <c r="BV15" i="15" s="1"/>
  <c r="BV34" i="15" s="1"/>
  <c r="BX11" i="15"/>
  <c r="BX15" i="15" s="1"/>
  <c r="BZ7" i="15"/>
  <c r="BV21" i="15" l="1"/>
  <c r="BV18" i="15"/>
  <c r="BV19" i="15" s="1"/>
  <c r="BV16" i="15"/>
  <c r="BX34" i="15"/>
  <c r="BX16" i="15"/>
  <c r="BX18" i="15"/>
  <c r="BX19" i="15" s="1"/>
  <c r="BX21" i="15"/>
  <c r="BZ11" i="15"/>
  <c r="BZ15" i="15" s="1"/>
  <c r="CB7" i="15"/>
  <c r="CB11" i="15" s="1"/>
  <c r="CB15" i="15" s="1"/>
  <c r="BV31" i="15" l="1"/>
  <c r="BV32" i="15" s="1"/>
  <c r="CB34" i="15"/>
  <c r="CB16" i="15"/>
  <c r="BZ34" i="15"/>
  <c r="BZ16" i="15"/>
  <c r="BX31" i="15"/>
  <c r="BX32" i="15" s="1"/>
  <c r="CB18" i="15"/>
  <c r="CB19" i="15" s="1"/>
  <c r="CB21" i="15"/>
  <c r="BZ18" i="15"/>
  <c r="BZ19" i="15" s="1"/>
  <c r="BZ21" i="15"/>
  <c r="CB31" i="15" l="1"/>
  <c r="CB32" i="15" s="1"/>
  <c r="BZ31" i="15"/>
  <c r="BZ32" i="15" s="1"/>
  <c r="E72" i="9" l="1"/>
  <c r="BT7" i="15" l="1"/>
  <c r="BT11" i="15" s="1"/>
  <c r="BT15" i="15" s="1"/>
  <c r="BT34" i="15" l="1"/>
  <c r="BT16" i="15"/>
  <c r="BT18" i="15"/>
  <c r="BT19" i="15" s="1"/>
  <c r="BT21" i="15"/>
  <c r="BT31" i="15" l="1"/>
  <c r="BT32" i="15" s="1"/>
  <c r="BT31" i="6" l="1"/>
  <c r="BT21" i="6" s="1"/>
  <c r="BS31" i="6"/>
  <c r="BS21" i="6" s="1"/>
  <c r="BS20" i="6"/>
  <c r="BR7" i="15" l="1"/>
  <c r="BR11" i="15" s="1"/>
  <c r="BR15" i="15" s="1"/>
  <c r="BR34" i="15" l="1"/>
  <c r="BR16" i="15"/>
  <c r="BR18" i="15"/>
  <c r="BR19" i="15" s="1"/>
  <c r="BR21" i="15"/>
  <c r="BR31" i="15" l="1"/>
  <c r="BR32" i="15" s="1"/>
  <c r="BQ32" i="6" l="1"/>
  <c r="BQ22" i="6" s="1"/>
  <c r="BP7" i="15" l="1"/>
  <c r="BP11" i="15" s="1"/>
  <c r="BP15" i="15" s="1"/>
  <c r="BP34" i="15" l="1"/>
  <c r="BP16" i="15"/>
  <c r="BP18" i="15"/>
  <c r="BP19" i="15" s="1"/>
  <c r="BP21" i="15"/>
  <c r="BP31" i="15" l="1"/>
  <c r="BP32" i="15" s="1"/>
  <c r="BO7" i="15" l="1"/>
  <c r="BQ7" i="15" l="1"/>
  <c r="BO11" i="15"/>
  <c r="BO15" i="15" s="1"/>
  <c r="BO34" i="15" l="1"/>
  <c r="BO16" i="15"/>
  <c r="BO18" i="15"/>
  <c r="BO19" i="15" s="1"/>
  <c r="BO21" i="15"/>
  <c r="BQ11" i="15"/>
  <c r="BQ15" i="15" s="1"/>
  <c r="BS7" i="15"/>
  <c r="BQ34" i="15" l="1"/>
  <c r="BQ16" i="15"/>
  <c r="BO31" i="15"/>
  <c r="BO32" i="15" s="1"/>
  <c r="BQ18" i="15"/>
  <c r="BQ19" i="15" s="1"/>
  <c r="BQ21" i="15"/>
  <c r="BS11" i="15"/>
  <c r="BS15" i="15" s="1"/>
  <c r="BU7" i="15"/>
  <c r="BU11" i="15" s="1"/>
  <c r="BU15" i="15" s="1"/>
  <c r="BU34" i="15" l="1"/>
  <c r="BU16" i="15"/>
  <c r="BS34" i="15"/>
  <c r="BS16" i="15"/>
  <c r="BQ31" i="15"/>
  <c r="BQ32" i="15" s="1"/>
  <c r="BS18" i="15"/>
  <c r="BS19" i="15" s="1"/>
  <c r="BS21" i="15"/>
  <c r="BU18" i="15"/>
  <c r="BU19" i="15" s="1"/>
  <c r="BU21" i="15"/>
  <c r="BU31" i="15" l="1"/>
  <c r="BU32" i="15" s="1"/>
  <c r="BS31" i="15"/>
  <c r="BS32" i="15" s="1"/>
  <c r="BM7" i="15" l="1"/>
  <c r="BM11" i="15" s="1"/>
  <c r="BM15" i="15" s="1"/>
  <c r="BM34" i="15" l="1"/>
  <c r="BM16" i="15"/>
  <c r="BM18" i="15"/>
  <c r="BM19" i="15" s="1"/>
  <c r="BM21" i="15"/>
  <c r="BM31" i="15" l="1"/>
  <c r="BM32" i="15" s="1"/>
  <c r="BF7" i="15" l="1"/>
  <c r="BF11" i="15" s="1"/>
  <c r="BF15" i="15" s="1"/>
  <c r="BF34" i="15" l="1"/>
  <c r="BF16" i="15"/>
  <c r="BF18" i="15"/>
  <c r="BF19" i="15" s="1"/>
  <c r="BF21" i="15"/>
  <c r="BF31" i="15" l="1"/>
  <c r="BF32" i="15" s="1"/>
  <c r="BK7" i="15" l="1"/>
  <c r="BK11" i="15" s="1"/>
  <c r="BK15" i="15" s="1"/>
  <c r="BK34" i="15" l="1"/>
  <c r="BK16" i="15"/>
  <c r="BK18" i="15"/>
  <c r="BK19" i="15" s="1"/>
  <c r="BK21" i="15"/>
  <c r="BK31" i="15" l="1"/>
  <c r="BK32" i="15" s="1"/>
  <c r="BI7" i="15" l="1"/>
  <c r="BI11" i="15" s="1"/>
  <c r="BI15" i="15" s="1"/>
  <c r="BI34" i="15" l="1"/>
  <c r="BI16" i="15"/>
  <c r="BI18" i="15"/>
  <c r="BI19" i="15" s="1"/>
  <c r="BI21" i="15"/>
  <c r="BI31" i="15" l="1"/>
  <c r="BI32" i="15" s="1"/>
  <c r="BH7" i="15" l="1"/>
  <c r="BJ7" i="15" l="1"/>
  <c r="BH11" i="15"/>
  <c r="BH15" i="15" s="1"/>
  <c r="BH34" i="15" l="1"/>
  <c r="BH16" i="15"/>
  <c r="BH18" i="15"/>
  <c r="BH19" i="15" s="1"/>
  <c r="BH21" i="15"/>
  <c r="BJ11" i="15"/>
  <c r="BJ15" i="15" s="1"/>
  <c r="BL7" i="15"/>
  <c r="BJ34" i="15" l="1"/>
  <c r="BJ16" i="15"/>
  <c r="BH31" i="15"/>
  <c r="BH32" i="15" s="1"/>
  <c r="BJ18" i="15"/>
  <c r="BJ19" i="15" s="1"/>
  <c r="BJ21" i="15"/>
  <c r="BL11" i="15"/>
  <c r="BL15" i="15" s="1"/>
  <c r="BN7" i="15"/>
  <c r="BN11" i="15" s="1"/>
  <c r="BN15" i="15" s="1"/>
  <c r="BN34" i="15" l="1"/>
  <c r="BN16" i="15"/>
  <c r="BL34" i="15"/>
  <c r="BL16" i="15"/>
  <c r="BJ31" i="15"/>
  <c r="BJ32" i="15" s="1"/>
  <c r="BL18" i="15"/>
  <c r="BL19" i="15" s="1"/>
  <c r="BL21" i="15"/>
  <c r="BN18" i="15"/>
  <c r="BN19" i="15" s="1"/>
  <c r="BN21" i="15"/>
  <c r="BL31" i="15" l="1"/>
  <c r="BL32" i="15" s="1"/>
  <c r="BN31" i="15"/>
  <c r="BN32" i="15" s="1"/>
  <c r="F84" i="9" l="1"/>
  <c r="E84" i="9"/>
  <c r="BD7" i="15" l="1"/>
  <c r="BD11" i="15" s="1"/>
  <c r="BD15" i="15" s="1"/>
  <c r="BE32" i="6"/>
  <c r="BE37" i="6" l="1"/>
  <c r="BE38" i="6" s="1"/>
  <c r="BE22" i="6"/>
  <c r="BD34" i="15"/>
  <c r="BD16" i="15"/>
  <c r="BD18" i="15"/>
  <c r="BD19" i="15" s="1"/>
  <c r="BD21" i="15"/>
  <c r="BL38" i="6" l="1"/>
  <c r="BD31" i="15"/>
  <c r="BD32" i="15" s="1"/>
  <c r="BB7" i="15" l="1"/>
  <c r="BB11" i="15" s="1"/>
  <c r="BB15" i="15" s="1"/>
  <c r="BB34" i="15" l="1"/>
  <c r="BB16" i="15"/>
  <c r="BB18" i="15"/>
  <c r="BB19" i="15" s="1"/>
  <c r="BB21" i="15"/>
  <c r="BB31" i="15" l="1"/>
  <c r="BB32" i="15" s="1"/>
  <c r="AU7" i="15" l="1"/>
  <c r="AU11" i="15" s="1"/>
  <c r="AU15" i="15" s="1"/>
  <c r="AW7" i="15"/>
  <c r="AW11" i="15" s="1"/>
  <c r="AW15" i="15" s="1"/>
  <c r="AY7" i="15"/>
  <c r="AY11" i="15" s="1"/>
  <c r="AY15" i="15" s="1"/>
  <c r="BA7" i="15"/>
  <c r="AY34" i="15" l="1"/>
  <c r="AY16" i="15"/>
  <c r="AW34" i="15"/>
  <c r="AW16" i="15"/>
  <c r="AU34" i="15"/>
  <c r="AU16" i="15"/>
  <c r="AY18" i="15"/>
  <c r="AY19" i="15" s="1"/>
  <c r="AY21" i="15"/>
  <c r="AU18" i="15"/>
  <c r="AU19" i="15" s="1"/>
  <c r="AU21" i="15"/>
  <c r="AW18" i="15"/>
  <c r="AW19" i="15" s="1"/>
  <c r="AW21" i="15"/>
  <c r="BC7" i="15"/>
  <c r="BA11" i="15"/>
  <c r="BA15" i="15" s="1"/>
  <c r="BA34" i="15" l="1"/>
  <c r="BA16" i="15"/>
  <c r="AU31" i="15"/>
  <c r="AU32" i="15" s="1"/>
  <c r="AW31" i="15"/>
  <c r="AW32" i="15" s="1"/>
  <c r="AY31" i="15"/>
  <c r="AY32" i="15" s="1"/>
  <c r="BA18" i="15"/>
  <c r="BA19" i="15" s="1"/>
  <c r="BA21" i="15"/>
  <c r="BC11" i="15"/>
  <c r="BC15" i="15" s="1"/>
  <c r="BE7" i="15"/>
  <c r="BC34" i="15" l="1"/>
  <c r="BC16" i="15"/>
  <c r="BA31" i="15"/>
  <c r="BA32" i="15" s="1"/>
  <c r="BC18" i="15"/>
  <c r="BC19" i="15" s="1"/>
  <c r="BC21" i="15"/>
  <c r="BE11" i="15"/>
  <c r="BE15" i="15" s="1"/>
  <c r="BG7" i="15"/>
  <c r="BG11" i="15" s="1"/>
  <c r="BG15" i="15" s="1"/>
  <c r="E90" i="9"/>
  <c r="F95" i="9"/>
  <c r="F90" i="9" s="1"/>
  <c r="F97" i="9"/>
  <c r="F96" i="9" s="1"/>
  <c r="F99" i="9"/>
  <c r="E102" i="9"/>
  <c r="F102" i="9"/>
  <c r="E105" i="9"/>
  <c r="F105" i="9"/>
  <c r="E108" i="9"/>
  <c r="F108" i="9"/>
  <c r="F112" i="9"/>
  <c r="E113" i="9"/>
  <c r="E112" i="9" s="1"/>
  <c r="T8" i="6"/>
  <c r="E7" i="15"/>
  <c r="E11" i="15" s="1"/>
  <c r="E15" i="15" s="1"/>
  <c r="I7" i="15"/>
  <c r="I11" i="15" s="1"/>
  <c r="I15" i="15" s="1"/>
  <c r="K7" i="15"/>
  <c r="L7" i="15"/>
  <c r="L11" i="15" s="1"/>
  <c r="L15" i="15" s="1"/>
  <c r="N7" i="15"/>
  <c r="N11" i="15" s="1"/>
  <c r="N15" i="15" s="1"/>
  <c r="P7" i="15"/>
  <c r="P11" i="15" s="1"/>
  <c r="P15" i="15" s="1"/>
  <c r="R7" i="15"/>
  <c r="S7" i="15"/>
  <c r="S11" i="15" s="1"/>
  <c r="S15" i="15" s="1"/>
  <c r="U7" i="15"/>
  <c r="U11" i="15" s="1"/>
  <c r="U15" i="15" s="1"/>
  <c r="W7" i="15"/>
  <c r="W11" i="15" s="1"/>
  <c r="W15" i="15" s="1"/>
  <c r="Y7" i="15"/>
  <c r="Z7" i="15"/>
  <c r="Z11" i="15" s="1"/>
  <c r="Z15" i="15" s="1"/>
  <c r="AD7" i="15"/>
  <c r="AD11" i="15" s="1"/>
  <c r="AD15" i="15" s="1"/>
  <c r="AF7" i="15"/>
  <c r="AF11" i="15" s="1"/>
  <c r="AF15" i="15" s="1"/>
  <c r="AG7" i="15"/>
  <c r="AI7" i="15"/>
  <c r="AI11" i="15" s="1"/>
  <c r="AI15" i="15" s="1"/>
  <c r="AK7" i="15"/>
  <c r="AK11" i="15" s="1"/>
  <c r="AK15" i="15" s="1"/>
  <c r="AM7" i="15"/>
  <c r="AN7" i="15"/>
  <c r="AN11" i="15" s="1"/>
  <c r="AN15" i="15" s="1"/>
  <c r="AP7" i="15"/>
  <c r="AP11" i="15" s="1"/>
  <c r="AP15" i="15" s="1"/>
  <c r="AR7" i="15"/>
  <c r="AR11" i="15" s="1"/>
  <c r="AR15" i="15" s="1"/>
  <c r="AT7" i="15"/>
  <c r="AD34" i="15" l="1"/>
  <c r="AD16" i="15"/>
  <c r="AI34" i="15"/>
  <c r="AI16" i="15"/>
  <c r="U34" i="15"/>
  <c r="U16" i="15"/>
  <c r="E34" i="15"/>
  <c r="E16" i="15"/>
  <c r="BG34" i="15"/>
  <c r="BG16" i="15"/>
  <c r="BE34" i="15"/>
  <c r="BE16" i="15"/>
  <c r="P34" i="15"/>
  <c r="P16" i="15"/>
  <c r="AF34" i="15"/>
  <c r="AF16" i="15"/>
  <c r="N34" i="15"/>
  <c r="N16" i="15"/>
  <c r="L34" i="15"/>
  <c r="L16" i="15"/>
  <c r="S34" i="15"/>
  <c r="S16" i="15"/>
  <c r="AR34" i="15"/>
  <c r="AR16" i="15"/>
  <c r="AN34" i="15"/>
  <c r="AN16" i="15"/>
  <c r="Z34" i="15"/>
  <c r="Z16" i="15"/>
  <c r="AP34" i="15"/>
  <c r="AP16" i="15"/>
  <c r="AK34" i="15"/>
  <c r="AK16" i="15"/>
  <c r="W34" i="15"/>
  <c r="W16" i="15"/>
  <c r="I34" i="15"/>
  <c r="I16" i="15"/>
  <c r="BC31" i="15"/>
  <c r="BC32" i="15" s="1"/>
  <c r="U18" i="15"/>
  <c r="U19" i="15" s="1"/>
  <c r="U21" i="15"/>
  <c r="AN18" i="15"/>
  <c r="AN19" i="15" s="1"/>
  <c r="AN21" i="15"/>
  <c r="AD18" i="15"/>
  <c r="AD19" i="15" s="1"/>
  <c r="AD21" i="15"/>
  <c r="AF18" i="15"/>
  <c r="AF19" i="15" s="1"/>
  <c r="AF21" i="15"/>
  <c r="P18" i="15"/>
  <c r="P19" i="15" s="1"/>
  <c r="P21" i="15"/>
  <c r="S18" i="15"/>
  <c r="S19" i="15" s="1"/>
  <c r="S21" i="15"/>
  <c r="Z18" i="15"/>
  <c r="Z19" i="15" s="1"/>
  <c r="Z21" i="15"/>
  <c r="N18" i="15"/>
  <c r="N19" i="15" s="1"/>
  <c r="N21" i="15"/>
  <c r="BG18" i="15"/>
  <c r="BG19" i="15" s="1"/>
  <c r="BG21" i="15"/>
  <c r="E18" i="15"/>
  <c r="E19" i="15" s="1"/>
  <c r="E21" i="15"/>
  <c r="AK18" i="15"/>
  <c r="AK19" i="15" s="1"/>
  <c r="AK21" i="15"/>
  <c r="L18" i="15"/>
  <c r="L19" i="15" s="1"/>
  <c r="L21" i="15"/>
  <c r="BE18" i="15"/>
  <c r="BE19" i="15" s="1"/>
  <c r="BE21" i="15"/>
  <c r="AR18" i="15"/>
  <c r="AR19" i="15" s="1"/>
  <c r="AR21" i="15"/>
  <c r="AP18" i="15"/>
  <c r="AP19" i="15" s="1"/>
  <c r="AP21" i="15"/>
  <c r="AI18" i="15"/>
  <c r="AI19" i="15" s="1"/>
  <c r="AI21" i="15"/>
  <c r="W18" i="15"/>
  <c r="W19" i="15" s="1"/>
  <c r="W21" i="15"/>
  <c r="I18" i="15"/>
  <c r="I19" i="15" s="1"/>
  <c r="I21" i="15"/>
  <c r="M7" i="15"/>
  <c r="K11" i="15"/>
  <c r="K15" i="15" s="1"/>
  <c r="AT11" i="15"/>
  <c r="AT15" i="15" s="1"/>
  <c r="AV7" i="15"/>
  <c r="AH7" i="15"/>
  <c r="AG11" i="15"/>
  <c r="AG15" i="15" s="1"/>
  <c r="R11" i="15"/>
  <c r="R15" i="15" s="1"/>
  <c r="T7" i="15"/>
  <c r="AO7" i="15"/>
  <c r="AM11" i="15"/>
  <c r="AM15" i="15" s="1"/>
  <c r="Y11" i="15"/>
  <c r="Y15" i="15" s="1"/>
  <c r="AA7" i="15"/>
  <c r="AC7" i="15" s="1"/>
  <c r="AC11" i="15" s="1"/>
  <c r="AC15" i="15" s="1"/>
  <c r="AC21" i="15" l="1"/>
  <c r="AC16" i="15"/>
  <c r="AC34" i="15"/>
  <c r="AC18" i="15"/>
  <c r="AT34" i="15"/>
  <c r="AT16" i="15"/>
  <c r="AM34" i="15"/>
  <c r="AM16" i="15"/>
  <c r="R34" i="15"/>
  <c r="R16" i="15"/>
  <c r="Y34" i="15"/>
  <c r="Y16" i="15"/>
  <c r="AG34" i="15"/>
  <c r="AG16" i="15"/>
  <c r="K34" i="15"/>
  <c r="K16" i="15"/>
  <c r="G13" i="15"/>
  <c r="H13" i="15" s="1"/>
  <c r="J13" i="15" s="1"/>
  <c r="W31" i="15"/>
  <c r="W32" i="15" s="1"/>
  <c r="BE31" i="15"/>
  <c r="BE32" i="15" s="1"/>
  <c r="BG31" i="15"/>
  <c r="BG32" i="15" s="1"/>
  <c r="P31" i="15"/>
  <c r="P32" i="15" s="1"/>
  <c r="AN31" i="15"/>
  <c r="AN32" i="15" s="1"/>
  <c r="AI31" i="15"/>
  <c r="AI32" i="15" s="1"/>
  <c r="L31" i="15"/>
  <c r="L32" i="15" s="1"/>
  <c r="N31" i="15"/>
  <c r="N32" i="15" s="1"/>
  <c r="U31" i="15"/>
  <c r="U32" i="15" s="1"/>
  <c r="AP31" i="15"/>
  <c r="AP32" i="15" s="1"/>
  <c r="AK31" i="15"/>
  <c r="AK32" i="15" s="1"/>
  <c r="Z31" i="15"/>
  <c r="Z32" i="15" s="1"/>
  <c r="AF31" i="15"/>
  <c r="AF32" i="15" s="1"/>
  <c r="I31" i="15"/>
  <c r="I32" i="15" s="1"/>
  <c r="AR31" i="15"/>
  <c r="AR32" i="15" s="1"/>
  <c r="E31" i="15"/>
  <c r="E32" i="15" s="1"/>
  <c r="S31" i="15"/>
  <c r="S32" i="15" s="1"/>
  <c r="AD31" i="15"/>
  <c r="AD32" i="15" s="1"/>
  <c r="AM18" i="15"/>
  <c r="AM19" i="15" s="1"/>
  <c r="AM21" i="15"/>
  <c r="K18" i="15"/>
  <c r="K19" i="15" s="1"/>
  <c r="K21" i="15"/>
  <c r="R18" i="15"/>
  <c r="R19" i="15" s="1"/>
  <c r="R21" i="15"/>
  <c r="AG18" i="15"/>
  <c r="AG19" i="15" s="1"/>
  <c r="AG21" i="15"/>
  <c r="Y18" i="15"/>
  <c r="Y19" i="15" s="1"/>
  <c r="Y21" i="15"/>
  <c r="AT18" i="15"/>
  <c r="AT19" i="15" s="1"/>
  <c r="AT21" i="15"/>
  <c r="T11" i="15"/>
  <c r="T15" i="15" s="1"/>
  <c r="AH11" i="15"/>
  <c r="AH15" i="15" s="1"/>
  <c r="AJ7" i="15"/>
  <c r="AA11" i="15"/>
  <c r="AA15" i="15" s="1"/>
  <c r="AV11" i="15"/>
  <c r="AV15" i="15" s="1"/>
  <c r="AX7" i="15"/>
  <c r="AO11" i="15"/>
  <c r="AO15" i="15" s="1"/>
  <c r="AQ7" i="15"/>
  <c r="M11" i="15"/>
  <c r="M15" i="15" s="1"/>
  <c r="O7" i="15"/>
  <c r="D7" i="15"/>
  <c r="AC19" i="15" l="1"/>
  <c r="AC31" i="15"/>
  <c r="AC32" i="15" s="1"/>
  <c r="AH34" i="15"/>
  <c r="AH16" i="15"/>
  <c r="T34" i="15"/>
  <c r="T16" i="15"/>
  <c r="M34" i="15"/>
  <c r="M16" i="15"/>
  <c r="AO34" i="15"/>
  <c r="AO16" i="15"/>
  <c r="AV34" i="15"/>
  <c r="AV16" i="15"/>
  <c r="AA34" i="15"/>
  <c r="AA16" i="15"/>
  <c r="AT31" i="15"/>
  <c r="AT32" i="15" s="1"/>
  <c r="K31" i="15"/>
  <c r="K32" i="15" s="1"/>
  <c r="Y31" i="15"/>
  <c r="Y32" i="15" s="1"/>
  <c r="AM31" i="15"/>
  <c r="AM32" i="15" s="1"/>
  <c r="AG31" i="15"/>
  <c r="AG32" i="15" s="1"/>
  <c r="R31" i="15"/>
  <c r="R32" i="15" s="1"/>
  <c r="M18" i="15"/>
  <c r="M19" i="15" s="1"/>
  <c r="M21" i="15"/>
  <c r="AH18" i="15"/>
  <c r="AH19" i="15" s="1"/>
  <c r="AH21" i="15"/>
  <c r="AO18" i="15"/>
  <c r="AO19" i="15" s="1"/>
  <c r="AO21" i="15"/>
  <c r="T18" i="15"/>
  <c r="T19" i="15" s="1"/>
  <c r="T21" i="15"/>
  <c r="AV18" i="15"/>
  <c r="AV19" i="15" s="1"/>
  <c r="AV21" i="15"/>
  <c r="AA18" i="15"/>
  <c r="AA19" i="15" s="1"/>
  <c r="AA21" i="15"/>
  <c r="AZ7" i="15"/>
  <c r="AZ11" i="15" s="1"/>
  <c r="AZ15" i="15" s="1"/>
  <c r="AX11" i="15"/>
  <c r="AX15" i="15" s="1"/>
  <c r="AE7" i="15"/>
  <c r="AE11" i="15" s="1"/>
  <c r="AE15" i="15" s="1"/>
  <c r="Q7" i="15"/>
  <c r="Q11" i="15" s="1"/>
  <c r="Q15" i="15" s="1"/>
  <c r="O11" i="15"/>
  <c r="O15" i="15" s="1"/>
  <c r="AJ11" i="15"/>
  <c r="AJ15" i="15" s="1"/>
  <c r="AL7" i="15"/>
  <c r="AL11" i="15" s="1"/>
  <c r="AL15" i="15" s="1"/>
  <c r="D11" i="15"/>
  <c r="D15" i="15" s="1"/>
  <c r="F7" i="15"/>
  <c r="AQ11" i="15"/>
  <c r="AQ15" i="15" s="1"/>
  <c r="AS7" i="15"/>
  <c r="AS11" i="15" s="1"/>
  <c r="AS15" i="15" s="1"/>
  <c r="X7" i="15"/>
  <c r="X11" i="15" s="1"/>
  <c r="X15" i="15" s="1"/>
  <c r="D34" i="15" l="1"/>
  <c r="D16" i="15"/>
  <c r="AJ34" i="15"/>
  <c r="AJ16" i="15"/>
  <c r="V34" i="15"/>
  <c r="O34" i="15"/>
  <c r="O16" i="15"/>
  <c r="AS34" i="15"/>
  <c r="AS16" i="15"/>
  <c r="AE34" i="15"/>
  <c r="AE16" i="15"/>
  <c r="AX34" i="15"/>
  <c r="AX16" i="15"/>
  <c r="AZ34" i="15"/>
  <c r="AZ16" i="15"/>
  <c r="AL34" i="15"/>
  <c r="AL16" i="15"/>
  <c r="X34" i="15"/>
  <c r="X16" i="15"/>
  <c r="Q34" i="15"/>
  <c r="Q16" i="15"/>
  <c r="AQ34" i="15"/>
  <c r="AQ16" i="15"/>
  <c r="G7" i="15"/>
  <c r="G11" i="15" s="1"/>
  <c r="G15" i="15" s="1"/>
  <c r="G18" i="15" s="1"/>
  <c r="G19" i="15" s="1"/>
  <c r="AO31" i="15"/>
  <c r="AO32" i="15" s="1"/>
  <c r="AA31" i="15"/>
  <c r="AA32" i="15" s="1"/>
  <c r="AH31" i="15"/>
  <c r="AH32" i="15" s="1"/>
  <c r="AV31" i="15"/>
  <c r="AV32" i="15" s="1"/>
  <c r="M31" i="15"/>
  <c r="M32" i="15" s="1"/>
  <c r="T31" i="15"/>
  <c r="T32" i="15" s="1"/>
  <c r="AS18" i="15"/>
  <c r="AS19" i="15" s="1"/>
  <c r="AS21" i="15"/>
  <c r="AE18" i="15"/>
  <c r="AE19" i="15" s="1"/>
  <c r="AE21" i="15"/>
  <c r="AQ18" i="15"/>
  <c r="AQ19" i="15" s="1"/>
  <c r="AQ21" i="15"/>
  <c r="AX18" i="15"/>
  <c r="AX19" i="15" s="1"/>
  <c r="AX21" i="15"/>
  <c r="D18" i="15"/>
  <c r="D19" i="15" s="1"/>
  <c r="D21" i="15"/>
  <c r="AZ18" i="15"/>
  <c r="AZ19" i="15" s="1"/>
  <c r="AZ21" i="15"/>
  <c r="AL18" i="15"/>
  <c r="AL19" i="15" s="1"/>
  <c r="AL21" i="15"/>
  <c r="AJ18" i="15"/>
  <c r="AJ19" i="15" s="1"/>
  <c r="AJ21" i="15"/>
  <c r="X18" i="15"/>
  <c r="X19" i="15" s="1"/>
  <c r="X21" i="15"/>
  <c r="O18" i="15"/>
  <c r="O19" i="15" s="1"/>
  <c r="O21" i="15"/>
  <c r="V21" i="15"/>
  <c r="Q18" i="15"/>
  <c r="Q19" i="15" s="1"/>
  <c r="Q21" i="15"/>
  <c r="F11" i="15"/>
  <c r="F15" i="15" s="1"/>
  <c r="G21" i="15" l="1"/>
  <c r="H7" i="15"/>
  <c r="F34" i="15"/>
  <c r="F16" i="15"/>
  <c r="G34" i="15"/>
  <c r="G16" i="15"/>
  <c r="X31" i="15"/>
  <c r="X32" i="15" s="1"/>
  <c r="D31" i="15"/>
  <c r="D32" i="15" s="1"/>
  <c r="AQ31" i="15"/>
  <c r="AQ32" i="15" s="1"/>
  <c r="G31" i="15"/>
  <c r="G32" i="15" s="1"/>
  <c r="AE31" i="15"/>
  <c r="AE32" i="15" s="1"/>
  <c r="AJ31" i="15"/>
  <c r="AJ32" i="15" s="1"/>
  <c r="V31" i="15"/>
  <c r="V32" i="15" s="1"/>
  <c r="AL31" i="15"/>
  <c r="AL32" i="15" s="1"/>
  <c r="AX31" i="15"/>
  <c r="AX32" i="15" s="1"/>
  <c r="AS31" i="15"/>
  <c r="AS32" i="15" s="1"/>
  <c r="Q31" i="15"/>
  <c r="Q32" i="15" s="1"/>
  <c r="O31" i="15"/>
  <c r="O32" i="15" s="1"/>
  <c r="AZ31" i="15"/>
  <c r="AZ32" i="15" s="1"/>
  <c r="F18" i="15"/>
  <c r="F19" i="15" s="1"/>
  <c r="F21" i="15"/>
  <c r="J7" i="15"/>
  <c r="J11" i="15" s="1"/>
  <c r="J15" i="15" s="1"/>
  <c r="H11" i="15"/>
  <c r="H15" i="15" s="1"/>
  <c r="J34" i="15" l="1"/>
  <c r="J16" i="15"/>
  <c r="H34" i="15"/>
  <c r="H16" i="15"/>
  <c r="F31" i="15"/>
  <c r="F32" i="15" s="1"/>
  <c r="H18" i="15"/>
  <c r="H19" i="15" s="1"/>
  <c r="H21" i="15"/>
  <c r="J18" i="15"/>
  <c r="J19" i="15" s="1"/>
  <c r="J21" i="15"/>
  <c r="J31" i="15" l="1"/>
  <c r="J32" i="15" s="1"/>
  <c r="H31" i="15"/>
  <c r="H32" i="15" s="1"/>
  <c r="CU46" i="6" l="1"/>
  <c r="CY42" i="6" l="1"/>
  <c r="CX20" i="6"/>
  <c r="CY20" i="6" l="1"/>
  <c r="DA42" i="6"/>
  <c r="CZ42" i="6"/>
  <c r="DA31" i="6" l="1"/>
  <c r="DA21" i="6" s="1"/>
  <c r="CZ20" i="6"/>
  <c r="CX31" i="6"/>
  <c r="CX21" i="6" s="1"/>
  <c r="CV31" i="6"/>
  <c r="CW31" i="6" s="1"/>
  <c r="CV20" i="6"/>
  <c r="CW20" i="6" s="1"/>
  <c r="DD31" i="6" l="1"/>
  <c r="DD21" i="6" s="1"/>
  <c r="CV21" i="6"/>
  <c r="CW21" i="6" s="1"/>
  <c r="DB31" i="6"/>
  <c r="DB21" i="6" s="1"/>
  <c r="CY31" i="6"/>
  <c r="CY21" i="6" s="1"/>
  <c r="CZ31" i="6"/>
  <c r="CZ21" i="6" s="1"/>
  <c r="DH57" i="6" l="1"/>
  <c r="DH46" i="6"/>
  <c r="DI46" i="6" l="1"/>
  <c r="DK46" i="6"/>
  <c r="DI57" i="6"/>
  <c r="DK57" i="6"/>
  <c r="DI52" i="6"/>
  <c r="DH53" i="6"/>
  <c r="DI43" i="6"/>
  <c r="DI54" i="6"/>
  <c r="DI53" i="6" l="1"/>
  <c r="DJ53" i="6"/>
  <c r="DI41" i="6"/>
  <c r="DH42" i="6"/>
  <c r="DI42" i="6" l="1"/>
  <c r="DJ42" i="6"/>
  <c r="DH21" i="6"/>
  <c r="DI32" i="6"/>
  <c r="DI22" i="6" s="1"/>
  <c r="DI30" i="6"/>
  <c r="DH20" i="6"/>
  <c r="DI31" i="6" l="1"/>
  <c r="DI21" i="6" s="1"/>
  <c r="DJ31" i="6"/>
  <c r="DJ21" i="6" s="1"/>
  <c r="DI20" i="6"/>
  <c r="F36" i="9" l="1"/>
  <c r="DM31" i="6" l="1"/>
  <c r="DL31" i="6" l="1"/>
  <c r="DM53" i="6"/>
  <c r="DN21" i="6" l="1"/>
  <c r="DL53" i="6"/>
  <c r="DM42" i="6"/>
  <c r="DM21" i="6" l="1"/>
  <c r="DL42" i="6"/>
  <c r="DL20" i="6"/>
  <c r="DL21" i="6" l="1"/>
  <c r="DZ8" i="15" l="1"/>
  <c r="DZ10" i="15"/>
  <c r="DZ9" i="15"/>
  <c r="EB9" i="15" l="1"/>
  <c r="ED9" i="15" s="1"/>
  <c r="EF9" i="15" s="1"/>
  <c r="EB10" i="15"/>
  <c r="ED10" i="15" s="1"/>
  <c r="EF10" i="15" s="1"/>
  <c r="EB8" i="15"/>
  <c r="ED8" i="15" s="1"/>
  <c r="DZ7" i="15"/>
  <c r="EB7" i="15" l="1"/>
  <c r="EB11" i="15" s="1"/>
  <c r="EB15" i="15" s="1"/>
  <c r="EB16" i="15" s="1"/>
  <c r="EF8" i="15"/>
  <c r="DZ11" i="15"/>
  <c r="DZ15" i="15" s="1"/>
  <c r="DZ16" i="15" l="1"/>
  <c r="EB21" i="15"/>
  <c r="DZ18" i="15"/>
  <c r="DZ21" i="15"/>
  <c r="DZ24" i="15"/>
  <c r="DZ28" i="15" s="1"/>
  <c r="DZ29" i="15" s="1"/>
  <c r="DZ19" i="15" l="1"/>
  <c r="DZ31" i="15"/>
  <c r="DZ32" i="15" s="1"/>
  <c r="EB24" i="15"/>
  <c r="EB18" i="15"/>
  <c r="EB19" i="15" s="1"/>
  <c r="DZ34" i="15"/>
  <c r="EB28" i="15" l="1"/>
  <c r="EB31" i="15"/>
  <c r="EB32" i="15" s="1"/>
  <c r="EB34" i="15" l="1"/>
  <c r="EB29" i="15"/>
  <c r="BV42" i="5"/>
  <c r="V16" i="4" l="1"/>
  <c r="CI26" i="4"/>
  <c r="AB29" i="4"/>
  <c r="AB16" i="4"/>
  <c r="AB31" i="4"/>
  <c r="AB22" i="4"/>
  <c r="AC29" i="4"/>
  <c r="CI16" i="4"/>
  <c r="CI29" i="4"/>
  <c r="AB26" i="4"/>
  <c r="AB24" i="4"/>
  <c r="AB18" i="4"/>
  <c r="CI24" i="4"/>
  <c r="CI22" i="4"/>
  <c r="CI18" i="4"/>
  <c r="AC24" i="4"/>
  <c r="AC16" i="4"/>
  <c r="CJ14" i="4"/>
  <c r="CO14" i="4"/>
  <c r="CM14" i="4"/>
  <c r="CK14" i="4"/>
  <c r="CL14" i="4"/>
  <c r="CN14" i="4"/>
  <c r="CP14" i="4"/>
  <c r="K16" i="4"/>
  <c r="D16" i="4"/>
  <c r="CO16" i="4"/>
  <c r="CK18" i="4"/>
  <c r="CJ18" i="4"/>
  <c r="CK16" i="4"/>
  <c r="G16" i="4"/>
  <c r="CM16" i="4"/>
  <c r="E16" i="4"/>
  <c r="I16" i="4"/>
  <c r="J16" i="4"/>
  <c r="CO18" i="4"/>
  <c r="H16" i="4"/>
  <c r="F16" i="4"/>
  <c r="CJ16" i="4"/>
  <c r="CM18" i="4"/>
  <c r="CL18" i="4"/>
  <c r="CL16" i="4"/>
  <c r="CN18" i="4"/>
  <c r="CP18" i="4"/>
  <c r="CP16" i="4"/>
  <c r="CN16" i="4"/>
  <c r="BO22" i="4"/>
  <c r="CC22" i="4"/>
  <c r="K22" i="4"/>
  <c r="R22" i="4"/>
  <c r="AF22" i="4"/>
  <c r="D22" i="4"/>
  <c r="E22" i="4"/>
  <c r="G22" i="4"/>
  <c r="AL22" i="4"/>
  <c r="I22" i="4"/>
  <c r="Q22" i="4"/>
  <c r="BQ22" i="4"/>
  <c r="BT22" i="4"/>
  <c r="AM22" i="4"/>
  <c r="U22" i="4"/>
  <c r="CH22" i="4"/>
  <c r="BF22" i="4"/>
  <c r="CG22" i="4"/>
  <c r="BA22" i="4"/>
  <c r="W22" i="4"/>
  <c r="BI22" i="4"/>
  <c r="AU22" i="4"/>
  <c r="AG22" i="4"/>
  <c r="AW22" i="4"/>
  <c r="CE22" i="4"/>
  <c r="BH22" i="4"/>
  <c r="CF22" i="4"/>
  <c r="AD22" i="4"/>
  <c r="P22" i="4"/>
  <c r="BK22" i="4"/>
  <c r="T22" i="4"/>
  <c r="BM22" i="4"/>
  <c r="N22" i="4"/>
  <c r="AT22" i="4"/>
  <c r="BR22" i="4"/>
  <c r="AP22" i="4"/>
  <c r="AK22" i="4"/>
  <c r="AR22" i="4"/>
  <c r="S22" i="4"/>
  <c r="CM22" i="4"/>
  <c r="BD22" i="4"/>
  <c r="CJ22" i="4"/>
  <c r="CO22" i="4"/>
  <c r="CK22" i="4"/>
  <c r="AI22" i="4"/>
  <c r="BB22" i="4"/>
  <c r="V22" i="4"/>
  <c r="AY22" i="4"/>
  <c r="CD22" i="4"/>
  <c r="L22" i="4"/>
  <c r="M22" i="4"/>
  <c r="BP22" i="4"/>
  <c r="Y22" i="4"/>
  <c r="AN22" i="4"/>
  <c r="Z22" i="4"/>
  <c r="CL22" i="4"/>
  <c r="BY22" i="4"/>
  <c r="CA22" i="4"/>
  <c r="CN22" i="4"/>
  <c r="CP22" i="4"/>
  <c r="CO31" i="4"/>
  <c r="CW31" i="4"/>
  <c r="AY26" i="4"/>
  <c r="K24" i="4"/>
  <c r="BO26" i="4"/>
  <c r="AM24" i="4"/>
  <c r="CJ24" i="4"/>
  <c r="AQ16" i="4"/>
  <c r="BA16" i="4"/>
  <c r="BV18" i="4"/>
  <c r="AW31" i="4"/>
  <c r="CE24" i="4"/>
  <c r="AI29" i="4"/>
  <c r="CF24" i="4"/>
  <c r="U31" i="4"/>
  <c r="O24" i="4"/>
  <c r="E24" i="4"/>
  <c r="AL16" i="4"/>
  <c r="AK16" i="4"/>
  <c r="AT26" i="4"/>
  <c r="AP16" i="4"/>
  <c r="CE18" i="4"/>
  <c r="BF31" i="4"/>
  <c r="BY26" i="4"/>
  <c r="AD16" i="4"/>
  <c r="BB31" i="4"/>
  <c r="CE29" i="4"/>
  <c r="CK24" i="4"/>
  <c r="BH26" i="4"/>
  <c r="CN29" i="4"/>
  <c r="BH24" i="4"/>
  <c r="AK29" i="4"/>
  <c r="P29" i="4"/>
  <c r="BW18" i="4"/>
  <c r="CJ29" i="4"/>
  <c r="BT26" i="4"/>
  <c r="AP29" i="4"/>
  <c r="CF18" i="4"/>
  <c r="BU29" i="4"/>
  <c r="M16" i="4"/>
  <c r="BI24" i="4"/>
  <c r="BW29" i="4"/>
  <c r="BT18" i="4"/>
  <c r="AU31" i="4"/>
  <c r="AW24" i="4"/>
  <c r="BQ31" i="4"/>
  <c r="U24" i="4"/>
  <c r="CK26" i="4"/>
  <c r="AD29" i="4"/>
  <c r="CG16" i="4"/>
  <c r="AI24" i="4"/>
  <c r="I31" i="4"/>
  <c r="L24" i="4"/>
  <c r="CF16" i="4"/>
  <c r="AS29" i="4"/>
  <c r="Z16" i="4"/>
  <c r="AI16" i="4"/>
  <c r="AE29" i="4"/>
  <c r="BM24" i="4"/>
  <c r="V29" i="4"/>
  <c r="AJ16" i="4"/>
  <c r="AK26" i="4"/>
  <c r="CP29" i="4"/>
  <c r="BI29" i="4"/>
  <c r="BV26" i="4"/>
  <c r="I29" i="4"/>
  <c r="H31" i="4"/>
  <c r="CA26" i="4"/>
  <c r="T24" i="4"/>
  <c r="CC29" i="4"/>
  <c r="AK24" i="4"/>
  <c r="BH29" i="4"/>
  <c r="CA29" i="4"/>
  <c r="Q16" i="4"/>
  <c r="AG18" i="4"/>
  <c r="L29" i="4"/>
  <c r="AO29" i="4"/>
  <c r="Z29" i="4"/>
  <c r="BQ24" i="4"/>
  <c r="BI16" i="4"/>
  <c r="BB16" i="4"/>
  <c r="D24" i="4"/>
  <c r="O31" i="4"/>
  <c r="AF26" i="4"/>
  <c r="BI31" i="4"/>
  <c r="BB29" i="4"/>
  <c r="CO26" i="4"/>
  <c r="F24" i="4"/>
  <c r="BT16" i="4"/>
  <c r="M29" i="4"/>
  <c r="AM26" i="4"/>
  <c r="CE16" i="4"/>
  <c r="AA24" i="4"/>
  <c r="J24" i="4"/>
  <c r="V24" i="4"/>
  <c r="AG24" i="4"/>
  <c r="BT31" i="4"/>
  <c r="CH29" i="4"/>
  <c r="E29" i="4"/>
  <c r="AS18" i="4"/>
  <c r="CG31" i="4"/>
  <c r="M24" i="4"/>
  <c r="AM31" i="4"/>
  <c r="BF26" i="4"/>
  <c r="AN29" i="4"/>
  <c r="AF16" i="4"/>
  <c r="N29" i="4"/>
  <c r="AA29" i="4"/>
  <c r="AI26" i="4"/>
  <c r="AU29" i="4"/>
  <c r="Z26" i="4"/>
  <c r="BH31" i="4"/>
  <c r="AU16" i="4"/>
  <c r="AP26" i="4"/>
  <c r="AL29" i="4"/>
  <c r="AK18" i="4"/>
  <c r="BY29" i="4"/>
  <c r="R29" i="4"/>
  <c r="W24" i="4"/>
  <c r="BM31" i="4"/>
  <c r="BB18" i="4"/>
  <c r="H29" i="4"/>
  <c r="BO31" i="4"/>
  <c r="BT24" i="4"/>
  <c r="AI31" i="4"/>
  <c r="T29" i="4"/>
  <c r="BD18" i="4"/>
  <c r="BC29" i="4"/>
  <c r="AW18" i="4"/>
  <c r="BR18" i="4"/>
  <c r="BO24" i="4"/>
  <c r="E31" i="4"/>
  <c r="AY31" i="4"/>
  <c r="CF31" i="4"/>
  <c r="AL26" i="4"/>
  <c r="CD24" i="4"/>
  <c r="BR24" i="4"/>
  <c r="BW31" i="4"/>
  <c r="AM16" i="4"/>
  <c r="AT31" i="4"/>
  <c r="AU26" i="4"/>
  <c r="H24" i="4"/>
  <c r="CF26" i="4"/>
  <c r="BX29" i="4"/>
  <c r="AW26" i="4"/>
  <c r="CC18" i="4"/>
  <c r="AF31" i="4"/>
  <c r="AS31" i="4"/>
  <c r="AR16" i="4"/>
  <c r="L31" i="4"/>
  <c r="AD26" i="4"/>
  <c r="AR26" i="4"/>
  <c r="BS29" i="4"/>
  <c r="BA24" i="4"/>
  <c r="CO29" i="4"/>
  <c r="AR29" i="4"/>
  <c r="AS16" i="4"/>
  <c r="AG31" i="4"/>
  <c r="BD16" i="4"/>
  <c r="F31" i="4"/>
  <c r="BO16" i="4"/>
  <c r="AF29" i="4"/>
  <c r="AT24" i="4"/>
  <c r="BA31" i="4"/>
  <c r="N24" i="4"/>
  <c r="CJ26" i="4"/>
  <c r="BD26" i="4"/>
  <c r="CJ31" i="4"/>
  <c r="CG18" i="4"/>
  <c r="AM29" i="4"/>
  <c r="BQ18" i="4"/>
  <c r="I24" i="4"/>
  <c r="S16" i="4"/>
  <c r="G24" i="4"/>
  <c r="AJ24" i="4"/>
  <c r="AL31" i="4"/>
  <c r="BP16" i="4"/>
  <c r="AW29" i="4"/>
  <c r="BM18" i="4"/>
  <c r="AY18" i="4"/>
  <c r="Z31" i="4"/>
  <c r="AN24" i="4"/>
  <c r="Y29" i="4"/>
  <c r="Q31" i="4"/>
  <c r="BK16" i="4"/>
  <c r="BM26" i="4"/>
  <c r="BD24" i="4"/>
  <c r="U29" i="4"/>
  <c r="CG24" i="4"/>
  <c r="CD18" i="4"/>
  <c r="W16" i="4"/>
  <c r="BL29" i="4"/>
  <c r="BM16" i="4"/>
  <c r="CF29" i="4"/>
  <c r="CC24" i="4"/>
  <c r="AD31" i="4"/>
  <c r="CM31" i="4"/>
  <c r="AP24" i="4"/>
  <c r="BG16" i="4"/>
  <c r="K31" i="4"/>
  <c r="BV31" i="4"/>
  <c r="AU24" i="4"/>
  <c r="S31" i="4"/>
  <c r="AN16" i="4"/>
  <c r="AN26" i="4"/>
  <c r="BD31" i="4"/>
  <c r="AN18" i="4"/>
  <c r="AO24" i="4"/>
  <c r="BV29" i="4"/>
  <c r="BY18" i="4"/>
  <c r="BP18" i="4"/>
  <c r="U16" i="4"/>
  <c r="BE29" i="4"/>
  <c r="BF16" i="4"/>
  <c r="BP31" i="4"/>
  <c r="BQ29" i="4"/>
  <c r="BR31" i="4"/>
  <c r="CH16" i="4"/>
  <c r="R31" i="4"/>
  <c r="CD16" i="4"/>
  <c r="BO29" i="4"/>
  <c r="CD26" i="4"/>
  <c r="R16" i="4"/>
  <c r="CM26" i="4"/>
  <c r="CB29" i="4"/>
  <c r="AX29" i="4"/>
  <c r="AH16" i="4"/>
  <c r="AE24" i="4"/>
  <c r="T16" i="4"/>
  <c r="X24" i="4"/>
  <c r="BK24" i="4"/>
  <c r="BT29" i="4"/>
  <c r="G31" i="4"/>
  <c r="K29" i="4"/>
  <c r="BI18" i="4"/>
  <c r="AG26" i="4"/>
  <c r="BR29" i="4"/>
  <c r="S29" i="4"/>
  <c r="CM24" i="4"/>
  <c r="P31" i="4"/>
  <c r="CA18" i="4"/>
  <c r="CK31" i="4"/>
  <c r="AF24" i="4"/>
  <c r="BG29" i="4"/>
  <c r="BO18" i="4"/>
  <c r="BI26" i="4"/>
  <c r="BB24" i="4"/>
  <c r="CK29" i="4"/>
  <c r="CA31" i="4"/>
  <c r="AI18" i="4"/>
  <c r="W29" i="4"/>
  <c r="O16" i="4"/>
  <c r="BP29" i="4"/>
  <c r="CH24" i="4"/>
  <c r="J31" i="4"/>
  <c r="AY24" i="4"/>
  <c r="BA29" i="4"/>
  <c r="BP26" i="4"/>
  <c r="AV29" i="4"/>
  <c r="CH18" i="4"/>
  <c r="CL29" i="4"/>
  <c r="BF29" i="4"/>
  <c r="Y16" i="4"/>
  <c r="BY31" i="4"/>
  <c r="AL24" i="4"/>
  <c r="CO24" i="4"/>
  <c r="AN31" i="4"/>
  <c r="P16" i="4"/>
  <c r="W31" i="4"/>
  <c r="AL18" i="4"/>
  <c r="AW16" i="4"/>
  <c r="P24" i="4"/>
  <c r="BF24" i="4"/>
  <c r="AY16" i="4"/>
  <c r="CE31" i="4"/>
  <c r="BK26" i="4"/>
  <c r="S24" i="4"/>
  <c r="Y24" i="4"/>
  <c r="AA16" i="4"/>
  <c r="AG16" i="4"/>
  <c r="X29" i="4"/>
  <c r="CG26" i="4"/>
  <c r="AK31" i="4"/>
  <c r="AE16" i="4"/>
  <c r="AR24" i="4"/>
  <c r="AP18" i="4"/>
  <c r="BK31" i="4"/>
  <c r="L16" i="4"/>
  <c r="AT18" i="4"/>
  <c r="AP31" i="4"/>
  <c r="BH16" i="4"/>
  <c r="BH18" i="4"/>
  <c r="BZ29" i="4"/>
  <c r="AD24" i="4"/>
  <c r="AR31" i="4"/>
  <c r="BQ26" i="4"/>
  <c r="O29" i="4"/>
  <c r="BA26" i="4"/>
  <c r="CD29" i="4"/>
  <c r="N31" i="4"/>
  <c r="BQ16" i="4"/>
  <c r="Z18" i="4"/>
  <c r="AF18" i="4"/>
  <c r="BS31" i="4"/>
  <c r="CG29" i="4"/>
  <c r="AM18" i="4"/>
  <c r="AZ29" i="4"/>
  <c r="AR18" i="4"/>
  <c r="CH26" i="4"/>
  <c r="D29" i="4"/>
  <c r="AU18" i="4"/>
  <c r="AY29" i="4"/>
  <c r="Z24" i="4"/>
  <c r="M31" i="4"/>
  <c r="BN29" i="4"/>
  <c r="Y31" i="4"/>
  <c r="BK18" i="4"/>
  <c r="AH29" i="4"/>
  <c r="D31" i="4"/>
  <c r="G29" i="4"/>
  <c r="N16" i="4"/>
  <c r="J29" i="4"/>
  <c r="AH24" i="4"/>
  <c r="CD31" i="4"/>
  <c r="BW26" i="4"/>
  <c r="R24" i="4"/>
  <c r="AO16" i="4"/>
  <c r="AT16" i="4"/>
  <c r="BU31" i="4"/>
  <c r="Q29" i="4"/>
  <c r="AS24" i="4"/>
  <c r="BF18" i="4"/>
  <c r="F29" i="4"/>
  <c r="AD18" i="4"/>
  <c r="AQ24" i="4"/>
  <c r="BD29" i="4"/>
  <c r="CC26" i="4"/>
  <c r="CM29" i="4"/>
  <c r="BB26" i="4"/>
  <c r="BA18" i="4"/>
  <c r="CC16" i="4"/>
  <c r="Q24" i="4"/>
  <c r="BR16" i="4"/>
  <c r="BM29" i="4"/>
  <c r="AZ24" i="4"/>
  <c r="CH31" i="4"/>
  <c r="X16" i="4"/>
  <c r="CC31" i="4"/>
  <c r="AT29" i="4"/>
  <c r="AQ29" i="4"/>
  <c r="AG29" i="4"/>
  <c r="BR26" i="4"/>
  <c r="BP24" i="4"/>
  <c r="AJ29" i="4"/>
  <c r="CE26" i="4"/>
  <c r="BJ29" i="4"/>
  <c r="BK29" i="4"/>
  <c r="CL24" i="4"/>
  <c r="CL31" i="4"/>
  <c r="CL26" i="4"/>
  <c r="BX26" i="4"/>
  <c r="CA24" i="4"/>
  <c r="BY24" i="4"/>
  <c r="BX18" i="4"/>
  <c r="BY16" i="4"/>
  <c r="CN24" i="4"/>
  <c r="CN31" i="4"/>
  <c r="BZ18" i="4"/>
  <c r="CN26" i="4"/>
  <c r="CB18" i="4"/>
  <c r="CA16" i="4"/>
  <c r="BZ26" i="4"/>
  <c r="CP26" i="4"/>
  <c r="CB26" i="4"/>
  <c r="CP24" i="4"/>
  <c r="EC7" i="15" l="1"/>
  <c r="EE7" i="15" l="1"/>
  <c r="ED7" i="15"/>
  <c r="EC11" i="15"/>
  <c r="EC15" i="15" s="1"/>
  <c r="EC16" i="15" s="1"/>
  <c r="EE11" i="15" l="1"/>
  <c r="EE15" i="15" s="1"/>
  <c r="EE16" i="15" s="1"/>
  <c r="ED11" i="15"/>
  <c r="ED15" i="15" s="1"/>
  <c r="EC24" i="15"/>
  <c r="EC18" i="15"/>
  <c r="EC21" i="15"/>
  <c r="EC19" i="15" l="1"/>
  <c r="ED21" i="15"/>
  <c r="ED16" i="15"/>
  <c r="EE24" i="15"/>
  <c r="EE18" i="15"/>
  <c r="EE21" i="15"/>
  <c r="EF7" i="15"/>
  <c r="ED18" i="15"/>
  <c r="ED19" i="15" s="1"/>
  <c r="ED24" i="15"/>
  <c r="EC28" i="15"/>
  <c r="EC29" i="15" s="1"/>
  <c r="EE19" i="15" l="1"/>
  <c r="H21" i="9"/>
  <c r="EE28" i="15"/>
  <c r="EE29" i="15" s="1"/>
  <c r="EF11" i="15"/>
  <c r="EF15" i="15" s="1"/>
  <c r="ED28" i="15"/>
  <c r="ED29" i="15" s="1"/>
  <c r="EF24" i="15"/>
  <c r="EF28" i="15" s="1"/>
  <c r="EF29" i="15" s="1"/>
  <c r="EC31" i="15"/>
  <c r="EC32" i="15" s="1"/>
  <c r="EC34" i="15"/>
  <c r="EF16" i="15" l="1"/>
  <c r="EE34" i="15"/>
  <c r="EE31" i="15"/>
  <c r="EE32" i="15" s="1"/>
  <c r="EF21" i="15"/>
  <c r="EF34" i="15"/>
  <c r="ED34" i="15"/>
  <c r="EF18" i="15"/>
  <c r="ED31" i="15"/>
  <c r="ED32" i="15" s="1"/>
  <c r="EF19" i="15" l="1"/>
  <c r="EF31" i="15"/>
  <c r="EF32" i="15" s="1"/>
  <c r="EI30" i="6" l="1"/>
  <c r="EH20" i="6"/>
  <c r="EI31" i="6" l="1"/>
  <c r="EI21" i="6" s="1"/>
  <c r="EJ31" i="6"/>
  <c r="EJ21" i="6" s="1"/>
  <c r="EI20" i="6"/>
  <c r="DF22" i="4" l="1"/>
  <c r="DF30" i="4" l="1"/>
  <c r="DF31" i="4" s="1"/>
  <c r="EH20" i="15" l="1"/>
  <c r="EH18" i="15" l="1"/>
  <c r="E23" i="28"/>
  <c r="EH21" i="15"/>
  <c r="EH19" i="15"/>
  <c r="DG24" i="4"/>
  <c r="DE22" i="4"/>
  <c r="E24" i="28" l="1"/>
  <c r="E21" i="28"/>
  <c r="E22" i="28" s="1"/>
  <c r="DE30" i="4"/>
  <c r="DI24" i="4"/>
  <c r="DG22" i="4"/>
  <c r="DE31" i="4" l="1"/>
  <c r="DI22" i="4"/>
  <c r="DK24" i="4"/>
  <c r="DG30" i="4"/>
  <c r="DG31" i="4" s="1"/>
  <c r="EG20" i="15"/>
  <c r="D23" i="28" s="1"/>
  <c r="D21" i="28" l="1"/>
  <c r="D22" i="28" s="1"/>
  <c r="D24" i="28"/>
  <c r="EG18" i="15"/>
  <c r="EI20" i="15"/>
  <c r="F23" i="28" s="1"/>
  <c r="EG21" i="15"/>
  <c r="DI30" i="4"/>
  <c r="DI31" i="4" s="1"/>
  <c r="F24" i="28" l="1"/>
  <c r="F21" i="28"/>
  <c r="F22" i="28" s="1"/>
  <c r="DK22" i="4"/>
  <c r="EK20" i="15"/>
  <c r="H23" i="28" s="1"/>
  <c r="EI21" i="15"/>
  <c r="DK30" i="4"/>
  <c r="DK31" i="4" s="1"/>
  <c r="EI18" i="15"/>
  <c r="EG19" i="15"/>
  <c r="H21" i="28" l="1"/>
  <c r="H22" i="28" s="1"/>
  <c r="H24" i="28"/>
  <c r="EK21" i="15"/>
  <c r="EM20" i="15"/>
  <c r="EK18" i="15"/>
  <c r="EI19" i="15"/>
  <c r="EM21" i="15" l="1"/>
  <c r="J23" i="28"/>
  <c r="EK19" i="15"/>
  <c r="EM18" i="15"/>
  <c r="J21" i="28" l="1"/>
  <c r="J22" i="28" s="1"/>
  <c r="J24" i="28"/>
  <c r="EM19" i="15"/>
  <c r="EO10" i="15" l="1"/>
  <c r="L10" i="28" s="1"/>
  <c r="EP10" i="15" l="1"/>
  <c r="ER10" i="15" l="1"/>
  <c r="M10" i="28"/>
  <c r="ET10" i="15" l="1"/>
  <c r="O10" i="28"/>
  <c r="EO7" i="15"/>
  <c r="L7" i="28" s="1"/>
  <c r="L11" i="28" s="1"/>
  <c r="L15" i="28" s="1"/>
  <c r="Q10" i="28" l="1"/>
  <c r="L18" i="28"/>
  <c r="L19" i="28" s="1"/>
  <c r="L16" i="28"/>
  <c r="H11" i="9"/>
  <c r="EO11" i="15"/>
  <c r="EO15" i="15" s="1"/>
  <c r="EP7" i="15"/>
  <c r="ER7" i="15" l="1"/>
  <c r="ER11" i="15" s="1"/>
  <c r="ER15" i="15" s="1"/>
  <c r="M7" i="28"/>
  <c r="M11" i="28" s="1"/>
  <c r="M15" i="28" s="1"/>
  <c r="EP11" i="15"/>
  <c r="EP15" i="15" s="1"/>
  <c r="EP16" i="15" s="1"/>
  <c r="EO21" i="15"/>
  <c r="EO18" i="15"/>
  <c r="EO24" i="15"/>
  <c r="EO16" i="15"/>
  <c r="M16" i="28" l="1"/>
  <c r="M18" i="28"/>
  <c r="M19" i="28" s="1"/>
  <c r="ET7" i="15"/>
  <c r="O7" i="28"/>
  <c r="O11" i="28" s="1"/>
  <c r="O15" i="28" s="1"/>
  <c r="ER16" i="15"/>
  <c r="ER21" i="15"/>
  <c r="EP21" i="15"/>
  <c r="EO28" i="15"/>
  <c r="EP24" i="15"/>
  <c r="EO19" i="15"/>
  <c r="EP18" i="15"/>
  <c r="O16" i="28" l="1"/>
  <c r="O18" i="28"/>
  <c r="O19" i="28" s="1"/>
  <c r="Q7" i="28"/>
  <c r="Q11" i="28" s="1"/>
  <c r="Q15" i="28" s="1"/>
  <c r="ET11" i="15"/>
  <c r="ET15" i="15" s="1"/>
  <c r="EP28" i="15"/>
  <c r="EP29" i="15" s="1"/>
  <c r="ER24" i="15"/>
  <c r="EP19" i="15"/>
  <c r="ER18" i="15"/>
  <c r="EO31" i="15"/>
  <c r="EO29" i="15"/>
  <c r="EO34" i="15"/>
  <c r="ET16" i="15" l="1"/>
  <c r="Q18" i="28"/>
  <c r="Q19" i="28" s="1"/>
  <c r="Q16" i="28"/>
  <c r="ER28" i="15"/>
  <c r="ER34" i="15" s="1"/>
  <c r="ET24" i="15"/>
  <c r="ET28" i="15" s="1"/>
  <c r="ET29" i="15" s="1"/>
  <c r="ER19" i="15"/>
  <c r="EP34" i="15"/>
  <c r="EO32" i="15"/>
  <c r="EP31" i="15"/>
  <c r="ER29" i="15" l="1"/>
  <c r="EP32" i="15"/>
  <c r="ER31" i="15"/>
  <c r="ER32" i="15" l="1"/>
  <c r="ER45" i="6"/>
  <c r="ET45" i="6" s="1"/>
  <c r="ET48" i="6" l="1"/>
  <c r="ET49" i="6" s="1"/>
  <c r="ET46" i="6"/>
  <c r="ET34" i="6"/>
  <c r="ER48" i="6"/>
  <c r="ER49" i="6" s="1"/>
  <c r="ER46" i="6"/>
  <c r="ER34" i="6"/>
  <c r="ET37" i="6" l="1"/>
  <c r="ET38" i="6" s="1"/>
  <c r="ET35" i="6"/>
  <c r="ER35" i="6"/>
  <c r="ER37" i="6"/>
  <c r="ER38" i="6" s="1"/>
  <c r="X8" i="19" l="1"/>
  <c r="V16" i="19"/>
  <c r="X16" i="19" l="1"/>
  <c r="DR20" i="4" l="1"/>
  <c r="DR15" i="4" l="1"/>
  <c r="DR16" i="4" s="1"/>
  <c r="DQ16" i="4"/>
  <c r="DR17" i="4"/>
  <c r="DR18" i="4" s="1"/>
  <c r="DQ18" i="4"/>
  <c r="DQ30" i="4" l="1"/>
  <c r="DQ14" i="4"/>
  <c r="DQ31" i="4" l="1"/>
  <c r="ES33" i="15"/>
  <c r="ES20" i="15"/>
  <c r="P23" i="28" s="1"/>
  <c r="DR30" i="4"/>
  <c r="DR31" i="4" s="1"/>
  <c r="DR14" i="4"/>
  <c r="P21" i="28" l="1"/>
  <c r="P22" i="28" s="1"/>
  <c r="P24" i="28"/>
  <c r="ES21" i="15"/>
  <c r="ES18" i="15"/>
  <c r="ET20" i="15"/>
  <c r="ET33" i="15"/>
  <c r="ET34" i="15" s="1"/>
  <c r="ES34" i="15"/>
  <c r="ES31" i="15"/>
  <c r="DR26" i="4"/>
  <c r="ET21" i="15" l="1"/>
  <c r="Q23" i="28"/>
  <c r="ES32" i="15"/>
  <c r="ET31" i="15"/>
  <c r="ET32" i="15" s="1"/>
  <c r="ES19" i="15"/>
  <c r="ET18" i="15"/>
  <c r="DQ26" i="4"/>
  <c r="EG21" i="6"/>
  <c r="EH31" i="6"/>
  <c r="EH21" i="6" s="1"/>
  <c r="EG20" i="6"/>
  <c r="Q24" i="28" l="1"/>
  <c r="Q21" i="28"/>
  <c r="Q22" i="28" s="1"/>
  <c r="ET19" i="15"/>
  <c r="EU41" i="6"/>
  <c r="EU20" i="6" s="1"/>
  <c r="EU21" i="6"/>
  <c r="EV41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Melina Afonso Rodrigues</author>
  </authors>
  <commentList>
    <comment ref="CV38" authorId="0" shapeId="0" xr:uid="{00000000-0006-0000-0200-000001000000}">
      <text>
        <r>
          <rPr>
            <b/>
            <sz val="9"/>
            <color indexed="81"/>
            <rFont val="Segoe UI"/>
            <family val="2"/>
          </rPr>
          <t>Melina Afonso Rodrigues:</t>
        </r>
        <r>
          <rPr>
            <sz val="9"/>
            <color indexed="81"/>
            <rFont val="Segoe UI"/>
            <family val="2"/>
          </rPr>
          <t xml:space="preserve">
Não considera depreciação e amortização</t>
        </r>
      </text>
    </comment>
    <comment ref="CV39" authorId="0" shapeId="0" xr:uid="{00000000-0006-0000-0200-000002000000}">
      <text>
        <r>
          <rPr>
            <b/>
            <sz val="9"/>
            <color indexed="81"/>
            <rFont val="Segoe UI"/>
            <family val="2"/>
          </rPr>
          <t>Melina Afonso Rodrigues:</t>
        </r>
        <r>
          <rPr>
            <sz val="9"/>
            <color indexed="81"/>
            <rFont val="Segoe UI"/>
            <family val="2"/>
          </rPr>
          <t xml:space="preserve">
não considera Remuneraçao dos adms e depreciação e amortização
</t>
        </r>
      </text>
    </comment>
    <comment ref="CV46" authorId="0" shapeId="0" xr:uid="{00000000-0006-0000-0200-000003000000}">
      <text>
        <r>
          <rPr>
            <sz val="8"/>
            <color indexed="81"/>
            <rFont val="Segoe UI"/>
            <family val="2"/>
          </rPr>
          <t>A partir do 4T18, a remuneração dos administradores é reconhecida como parte da remuneração variavel</t>
        </r>
      </text>
    </comment>
  </commentList>
</comments>
</file>

<file path=xl/sharedStrings.xml><?xml version="1.0" encoding="utf-8"?>
<sst xmlns="http://schemas.openxmlformats.org/spreadsheetml/2006/main" count="8415" uniqueCount="2635">
  <si>
    <t>Outros Resultados Operacionais</t>
  </si>
  <si>
    <t>Liabilities and Shareholder's Equity</t>
  </si>
  <si>
    <t>Total Assets</t>
  </si>
  <si>
    <t>Ativo Total</t>
  </si>
  <si>
    <t>Trade Accounts Receivable</t>
  </si>
  <si>
    <t>Inventories</t>
  </si>
  <si>
    <t>Estoques</t>
  </si>
  <si>
    <t>Recoverable Taxes</t>
  </si>
  <si>
    <t>Other Accounts Receivable</t>
  </si>
  <si>
    <t>Outras Contas a Receber</t>
  </si>
  <si>
    <t>Prepaid Expenses</t>
  </si>
  <si>
    <t>Despesas Antecipadas</t>
  </si>
  <si>
    <t>Judicial Deposits</t>
  </si>
  <si>
    <t>Depósitos Judiciais</t>
  </si>
  <si>
    <t>Ativo não circulante mantido para venda</t>
  </si>
  <si>
    <t>Investments</t>
  </si>
  <si>
    <t>Investimentos</t>
  </si>
  <si>
    <t>Suppliers</t>
  </si>
  <si>
    <t>Fornecedores</t>
  </si>
  <si>
    <t>Taxes and Contributions Payable</t>
  </si>
  <si>
    <t>Impostos e Contribuições a Recolher</t>
  </si>
  <si>
    <t>Other Accounts Payable</t>
  </si>
  <si>
    <t>Outras Obrigações</t>
  </si>
  <si>
    <t>Obrigações Estatutárias</t>
  </si>
  <si>
    <t>Shareholder's Equity</t>
  </si>
  <si>
    <t>Patrimônio Líquido</t>
  </si>
  <si>
    <t>Capital Social</t>
  </si>
  <si>
    <t>Capital Reserve</t>
  </si>
  <si>
    <t>Reservas de Capital</t>
  </si>
  <si>
    <t>Profit Reserve</t>
  </si>
  <si>
    <t>Reservas de Lucros</t>
  </si>
  <si>
    <t>9M05</t>
  </si>
  <si>
    <t>9M06</t>
  </si>
  <si>
    <t>9M07</t>
  </si>
  <si>
    <t>9M08</t>
  </si>
  <si>
    <t>9M09</t>
  </si>
  <si>
    <t>9M10</t>
  </si>
  <si>
    <t>na</t>
  </si>
  <si>
    <t>Forma de Pagamento</t>
  </si>
  <si>
    <t>Data de Aprovação</t>
  </si>
  <si>
    <t>Data de Pagamento</t>
  </si>
  <si>
    <t>Total (R$)</t>
  </si>
  <si>
    <t>Yield</t>
  </si>
  <si>
    <t>Form of Payment</t>
  </si>
  <si>
    <t>Date of Approval</t>
  </si>
  <si>
    <t>Date of Payment</t>
  </si>
  <si>
    <t>Total 2010</t>
  </si>
  <si>
    <t>Total 2009</t>
  </si>
  <si>
    <t>Total 2008</t>
  </si>
  <si>
    <t>Total 2007</t>
  </si>
  <si>
    <t>Total 2006</t>
  </si>
  <si>
    <t>Total 2005</t>
  </si>
  <si>
    <t>Total</t>
  </si>
  <si>
    <t>-</t>
  </si>
  <si>
    <t>Plano de Opção de Compra de Ações</t>
  </si>
  <si>
    <t>Depreciações e amortizações</t>
  </si>
  <si>
    <t>Resultado de Equivalência Patrimonial</t>
  </si>
  <si>
    <t>Income and Social Contribution Taxes</t>
  </si>
  <si>
    <t>Imposto de Renda e Contribuição Social</t>
  </si>
  <si>
    <t>Participações Estatutárias</t>
  </si>
  <si>
    <t xml:space="preserve">Passivo Total </t>
  </si>
  <si>
    <t>Long Term Assets Mantained for Sale</t>
  </si>
  <si>
    <t>Statutory Participation</t>
  </si>
  <si>
    <t>Financiamentos - Operações Serviços Financeiros</t>
  </si>
  <si>
    <t>Passivo e Patrimônio Líquido</t>
  </si>
  <si>
    <t>Resultado Financeiro, Líquido</t>
  </si>
  <si>
    <t>Custo das Mercadorias Vendidas</t>
  </si>
  <si>
    <t xml:space="preserve">Property and Equipment </t>
  </si>
  <si>
    <t>Intangible</t>
  </si>
  <si>
    <t>Imobilizado</t>
  </si>
  <si>
    <t>Intangível</t>
  </si>
  <si>
    <t>Costs of Goods Sold</t>
  </si>
  <si>
    <t>Costs of Financial Services</t>
  </si>
  <si>
    <t>Circulante</t>
  </si>
  <si>
    <t>Não Circulante</t>
  </si>
  <si>
    <t>Capital</t>
  </si>
  <si>
    <t>Credit Losses, Net of Recoveries</t>
  </si>
  <si>
    <t>Perdas em Créditos, Líquidas das Recuperações</t>
  </si>
  <si>
    <t>Total 2011</t>
  </si>
  <si>
    <t>Dividend per Share (R$)</t>
  </si>
  <si>
    <t xml:space="preserve">Current </t>
  </si>
  <si>
    <t xml:space="preserve">Noncurrent </t>
  </si>
  <si>
    <t>9M11</t>
  </si>
  <si>
    <t>4T11</t>
  </si>
  <si>
    <t>Imports Financing</t>
  </si>
  <si>
    <t>Financiamentos - importações</t>
  </si>
  <si>
    <t>Total 2012</t>
  </si>
  <si>
    <t>9M12</t>
  </si>
  <si>
    <t>Total 2013</t>
  </si>
  <si>
    <t>9M13</t>
  </si>
  <si>
    <t>Total 2014</t>
  </si>
  <si>
    <t>Obligations with Card Administrators</t>
  </si>
  <si>
    <t>Financing Lease</t>
  </si>
  <si>
    <t>9M14</t>
  </si>
  <si>
    <t>Loans, Financing and Debentures</t>
  </si>
  <si>
    <t>Net Operating Revenues</t>
  </si>
  <si>
    <t>Derivatives</t>
  </si>
  <si>
    <t>Co-branded Card</t>
  </si>
  <si>
    <t>Derivativos</t>
  </si>
  <si>
    <t>Obrigações com Administradora de Cartões</t>
  </si>
  <si>
    <t>A Vencer</t>
  </si>
  <si>
    <t>Financing - Financial Products Operations</t>
  </si>
  <si>
    <t xml:space="preserve">Financing - Financial Products Operations </t>
  </si>
  <si>
    <t>9M15</t>
  </si>
  <si>
    <t>Total 2015</t>
  </si>
  <si>
    <t>Novas lojas</t>
  </si>
  <si>
    <t>Remodelação de instalações</t>
  </si>
  <si>
    <t>Sistemas e equipamentos de tecnologia</t>
  </si>
  <si>
    <t>New Stores</t>
  </si>
  <si>
    <t>Remodelling of Installations</t>
  </si>
  <si>
    <t>IT Equipament &amp; Systems</t>
  </si>
  <si>
    <t>Others Investments</t>
  </si>
  <si>
    <t>Outros Investimentos</t>
  </si>
  <si>
    <t>Treasury Shares</t>
  </si>
  <si>
    <t>Ações em Tesouraria</t>
  </si>
  <si>
    <t>Total 2016</t>
  </si>
  <si>
    <t>Renner</t>
  </si>
  <si>
    <t>RS</t>
  </si>
  <si>
    <t>SP</t>
  </si>
  <si>
    <t>MT</t>
  </si>
  <si>
    <t>BA</t>
  </si>
  <si>
    <t>PE</t>
  </si>
  <si>
    <t>RJ</t>
  </si>
  <si>
    <t>GO</t>
  </si>
  <si>
    <t>São Paulo</t>
  </si>
  <si>
    <t>Recife</t>
  </si>
  <si>
    <t>Camicado</t>
  </si>
  <si>
    <t>Youcom</t>
  </si>
  <si>
    <t>Rio de Janeiro</t>
  </si>
  <si>
    <t>Porto Alegre</t>
  </si>
  <si>
    <t>Fortaleza</t>
  </si>
  <si>
    <t>Belém</t>
  </si>
  <si>
    <t>Teresina</t>
  </si>
  <si>
    <t>Cuiabá</t>
  </si>
  <si>
    <t>Salvador</t>
  </si>
  <si>
    <t>Florianópolis</t>
  </si>
  <si>
    <t>Belo Horizonte</t>
  </si>
  <si>
    <t>Boa Vista</t>
  </si>
  <si>
    <t>Manaus</t>
  </si>
  <si>
    <t>João Pessoa</t>
  </si>
  <si>
    <t>Goiânia</t>
  </si>
  <si>
    <t>Campo Grande</t>
  </si>
  <si>
    <t>Brasília</t>
  </si>
  <si>
    <t>Macapá</t>
  </si>
  <si>
    <t>Maceió</t>
  </si>
  <si>
    <t>Natal</t>
  </si>
  <si>
    <t>Curitiba</t>
  </si>
  <si>
    <t>SC</t>
  </si>
  <si>
    <t>CE</t>
  </si>
  <si>
    <t>MG</t>
  </si>
  <si>
    <t>PA</t>
  </si>
  <si>
    <t>PI</t>
  </si>
  <si>
    <t>ES</t>
  </si>
  <si>
    <t>RN</t>
  </si>
  <si>
    <t>MA</t>
  </si>
  <si>
    <t>RR</t>
  </si>
  <si>
    <t>DF</t>
  </si>
  <si>
    <t>AM</t>
  </si>
  <si>
    <t>PB</t>
  </si>
  <si>
    <t>AL</t>
  </si>
  <si>
    <t>MS</t>
  </si>
  <si>
    <t>PR</t>
  </si>
  <si>
    <t>AP</t>
  </si>
  <si>
    <t>SE</t>
  </si>
  <si>
    <t>RO</t>
  </si>
  <si>
    <t>AC</t>
  </si>
  <si>
    <t>TO</t>
  </si>
  <si>
    <t>Region</t>
  </si>
  <si>
    <t>Vitória</t>
  </si>
  <si>
    <t>Aracaju</t>
  </si>
  <si>
    <t>Rio Branco</t>
  </si>
  <si>
    <t>São Luís</t>
  </si>
  <si>
    <t>South</t>
  </si>
  <si>
    <t>North</t>
  </si>
  <si>
    <t>Midwest</t>
  </si>
  <si>
    <t>R$ 0,3628*</t>
  </si>
  <si>
    <t>Payout</t>
  </si>
  <si>
    <t>Palmas</t>
  </si>
  <si>
    <t>Porto Velho</t>
  </si>
  <si>
    <t>Gross Operating Revenues</t>
  </si>
  <si>
    <t>Others</t>
  </si>
  <si>
    <t>Outros</t>
  </si>
  <si>
    <t>Vencidos</t>
  </si>
  <si>
    <t>Comissões e Operações a Receber</t>
  </si>
  <si>
    <t>Provisão para Perdas em Crédito - EP</t>
  </si>
  <si>
    <t>Fees and Transactions Receivable</t>
  </si>
  <si>
    <t>Total Third-Party Credit Card Companies</t>
  </si>
  <si>
    <t>Carteira de Crédito Total, Líquida</t>
  </si>
  <si>
    <t>Total Credit Portfolio, Net</t>
  </si>
  <si>
    <t>9M16</t>
  </si>
  <si>
    <t>Deferred Taxes</t>
  </si>
  <si>
    <t>Trimestre</t>
  </si>
  <si>
    <t>JSCP / Interest on Equity Capital</t>
  </si>
  <si>
    <t xml:space="preserve">Dividendos / Dividends </t>
  </si>
  <si>
    <t>Dividendo por ação</t>
  </si>
  <si>
    <t>Prazo Médio de Estoque (dias)</t>
  </si>
  <si>
    <t>Prazo Médio de Cliente Líq, Op. Varejo (dias)</t>
  </si>
  <si>
    <t>Prazo Médio de Fornecedores (dias)</t>
  </si>
  <si>
    <t>Days Payable Outstanding</t>
  </si>
  <si>
    <t xml:space="preserve">Days Sales Outstanding </t>
  </si>
  <si>
    <t xml:space="preserve">Days Inventory Outstanding </t>
  </si>
  <si>
    <t>Total 2017</t>
  </si>
  <si>
    <t>Uruguay</t>
  </si>
  <si>
    <t>9M17</t>
  </si>
  <si>
    <t>Cash &amp; Cash Equivalents</t>
  </si>
  <si>
    <t>Short-Term Investments</t>
  </si>
  <si>
    <t xml:space="preserve">Result on Sales, Write-off of or Impairment of Fixed Assets </t>
  </si>
  <si>
    <t>3Q18</t>
  </si>
  <si>
    <t>Total 2018</t>
  </si>
  <si>
    <t>Imposto de renda e contribuição social diferidos</t>
  </si>
  <si>
    <t>Estimated Credit Losses</t>
  </si>
  <si>
    <t>ROIC LTM ( %)</t>
  </si>
  <si>
    <t>4Q18</t>
  </si>
  <si>
    <t>9M18</t>
  </si>
  <si>
    <t>Deferred Income Tax and Social Contribution</t>
  </si>
  <si>
    <t>1Q19</t>
  </si>
  <si>
    <t>Right of use</t>
  </si>
  <si>
    <t>2Q19</t>
  </si>
  <si>
    <t>Total 2019</t>
  </si>
  <si>
    <t>9M19</t>
  </si>
  <si>
    <t>3Q19</t>
  </si>
  <si>
    <t>4Q19</t>
  </si>
  <si>
    <t>Argentina</t>
  </si>
  <si>
    <t>1Q20</t>
  </si>
  <si>
    <t>3Q20</t>
  </si>
  <si>
    <t>2Q20</t>
  </si>
  <si>
    <t>9M20</t>
  </si>
  <si>
    <t>3Q17</t>
  </si>
  <si>
    <t>1Q05</t>
  </si>
  <si>
    <t>2Q05</t>
  </si>
  <si>
    <t>3Q05</t>
  </si>
  <si>
    <t>4Q05</t>
  </si>
  <si>
    <t>1Q06</t>
  </si>
  <si>
    <t>2Q06</t>
  </si>
  <si>
    <t>3Q06</t>
  </si>
  <si>
    <t>4Q06</t>
  </si>
  <si>
    <t>1Q07</t>
  </si>
  <si>
    <t>2Q07</t>
  </si>
  <si>
    <t>3Q07</t>
  </si>
  <si>
    <t>4Q07</t>
  </si>
  <si>
    <t>1Q08</t>
  </si>
  <si>
    <t>2Q08</t>
  </si>
  <si>
    <t>3Q08</t>
  </si>
  <si>
    <t>4Q08</t>
  </si>
  <si>
    <t>1Q09</t>
  </si>
  <si>
    <t>2Q09</t>
  </si>
  <si>
    <t>3Q09</t>
  </si>
  <si>
    <t>4Q09</t>
  </si>
  <si>
    <t>1Q10</t>
  </si>
  <si>
    <t>2Q10</t>
  </si>
  <si>
    <t>3Q10</t>
  </si>
  <si>
    <t>4Q10</t>
  </si>
  <si>
    <t>1Q11</t>
  </si>
  <si>
    <t>2Q11</t>
  </si>
  <si>
    <t>3Q11</t>
  </si>
  <si>
    <t>1Q12</t>
  </si>
  <si>
    <t>2Q12</t>
  </si>
  <si>
    <t>3Q12</t>
  </si>
  <si>
    <t>4Q12</t>
  </si>
  <si>
    <t>1Q13</t>
  </si>
  <si>
    <t>2Q13</t>
  </si>
  <si>
    <t>3Q13</t>
  </si>
  <si>
    <t>4Q13</t>
  </si>
  <si>
    <t>1Q14</t>
  </si>
  <si>
    <t>2Q14</t>
  </si>
  <si>
    <t>3Q14</t>
  </si>
  <si>
    <t>4Q14</t>
  </si>
  <si>
    <t>1Q15</t>
  </si>
  <si>
    <t>2Q15</t>
  </si>
  <si>
    <t>3Q15</t>
  </si>
  <si>
    <t>4Q15</t>
  </si>
  <si>
    <t>1Q16</t>
  </si>
  <si>
    <t>2Q16</t>
  </si>
  <si>
    <t>3Q16</t>
  </si>
  <si>
    <t>4Q16</t>
  </si>
  <si>
    <t>1Q17</t>
  </si>
  <si>
    <t>2Q17</t>
  </si>
  <si>
    <t>4Q17</t>
  </si>
  <si>
    <t>1Q18</t>
  </si>
  <si>
    <t>2Q18</t>
  </si>
  <si>
    <t>4Q20</t>
  </si>
  <si>
    <t>Reserve for Risks</t>
  </si>
  <si>
    <t>1Q21</t>
  </si>
  <si>
    <t>Total 2020</t>
  </si>
  <si>
    <t>UF</t>
  </si>
  <si>
    <t>Unidade da Federação</t>
  </si>
  <si>
    <t>Rondônia</t>
  </si>
  <si>
    <t>Acre</t>
  </si>
  <si>
    <t>Amazonas</t>
  </si>
  <si>
    <t>Roraima</t>
  </si>
  <si>
    <t>Pará</t>
  </si>
  <si>
    <t>Amapá</t>
  </si>
  <si>
    <t>Tocantins</t>
  </si>
  <si>
    <t>Maranhão</t>
  </si>
  <si>
    <t>Northest</t>
  </si>
  <si>
    <t>Piauí</t>
  </si>
  <si>
    <t>Ceará</t>
  </si>
  <si>
    <t>Rio Grande do Norte</t>
  </si>
  <si>
    <t>Paraíba</t>
  </si>
  <si>
    <t>Pernambuco</t>
  </si>
  <si>
    <t>Alagoas</t>
  </si>
  <si>
    <t>Sergipe</t>
  </si>
  <si>
    <t>Bahia</t>
  </si>
  <si>
    <t>Minas Gerais</t>
  </si>
  <si>
    <t>Southest</t>
  </si>
  <si>
    <t>Espírito Santo</t>
  </si>
  <si>
    <t>Paraná</t>
  </si>
  <si>
    <t>Santa Catarina</t>
  </si>
  <si>
    <t>Rio Grande do Sul</t>
  </si>
  <si>
    <t>Mato Grosso do Sul</t>
  </si>
  <si>
    <t>Mato Grosso</t>
  </si>
  <si>
    <t>Goiás</t>
  </si>
  <si>
    <t>Distrito Federal</t>
  </si>
  <si>
    <t>Mês</t>
  </si>
  <si>
    <t>1Q</t>
  </si>
  <si>
    <t>2Q</t>
  </si>
  <si>
    <t>3Q</t>
  </si>
  <si>
    <t>4Q</t>
  </si>
  <si>
    <t>UY</t>
  </si>
  <si>
    <t>AR</t>
  </si>
  <si>
    <t>2Q21</t>
  </si>
  <si>
    <t>1H05</t>
  </si>
  <si>
    <t>1H06</t>
  </si>
  <si>
    <t>1H07</t>
  </si>
  <si>
    <t>1H08</t>
  </si>
  <si>
    <t>1H09</t>
  </si>
  <si>
    <t>1H10</t>
  </si>
  <si>
    <t>1H11</t>
  </si>
  <si>
    <t>1H12</t>
  </si>
  <si>
    <t>1H13</t>
  </si>
  <si>
    <t>1H14</t>
  </si>
  <si>
    <t>1H15</t>
  </si>
  <si>
    <t>1H16</t>
  </si>
  <si>
    <t>1H17</t>
  </si>
  <si>
    <t>1H18</t>
  </si>
  <si>
    <t>1H19</t>
  </si>
  <si>
    <t>1H20</t>
  </si>
  <si>
    <t>1H21</t>
  </si>
  <si>
    <t>Outras receitas operacionais</t>
  </si>
  <si>
    <t>Other operating revenues</t>
  </si>
  <si>
    <t>Total 2021</t>
  </si>
  <si>
    <t>3Q21</t>
  </si>
  <si>
    <t>9M21</t>
  </si>
  <si>
    <t>Lucro Líquido do Período</t>
  </si>
  <si>
    <t/>
  </si>
  <si>
    <t>4Q21</t>
  </si>
  <si>
    <t>Receita Bruta de Serviços</t>
  </si>
  <si>
    <t>Vendas</t>
  </si>
  <si>
    <t>Gerais e Administrativas</t>
  </si>
  <si>
    <t>Remuneração dos Administradores</t>
  </si>
  <si>
    <t>1Q22</t>
  </si>
  <si>
    <t>Total 2022</t>
  </si>
  <si>
    <t>Balanço Patrimonial Consolidado (R$ mil)</t>
  </si>
  <si>
    <t>Non-current</t>
  </si>
  <si>
    <t>Direito de Uso</t>
  </si>
  <si>
    <t>Total Liabilities</t>
  </si>
  <si>
    <t>Balance Sheet Consolidated (thousand of R$)</t>
  </si>
  <si>
    <t>Income Statement Consolidated (thousand of R$)</t>
  </si>
  <si>
    <t xml:space="preserve">Costs of Sales and Services </t>
  </si>
  <si>
    <t>Custos das Vendas e Serviços</t>
  </si>
  <si>
    <t>Gross Profit</t>
  </si>
  <si>
    <t>Operating Expenses</t>
  </si>
  <si>
    <t>Despesas Operacionais</t>
  </si>
  <si>
    <t>Stock Option Plan</t>
  </si>
  <si>
    <t>Losses on Receivables, Net</t>
  </si>
  <si>
    <t>Financial Services Expenses</t>
  </si>
  <si>
    <t>Depreciation and Amortization</t>
  </si>
  <si>
    <t>Other Operating Income</t>
  </si>
  <si>
    <t>Equity Pick-ups</t>
  </si>
  <si>
    <t>Financial Result, Net</t>
  </si>
  <si>
    <t>Income before Income and Social Contribution Taxes</t>
  </si>
  <si>
    <t>Lucro antes do Imposto de Renda, e da Contribuição Social</t>
  </si>
  <si>
    <t>Income before financial results</t>
  </si>
  <si>
    <t>Despesas Serviços Financeiros</t>
  </si>
  <si>
    <t>Resultado de Serviços Financeiros (R$ mil)</t>
  </si>
  <si>
    <t>Receitas, líquidas de funding</t>
  </si>
  <si>
    <t>Revenues, net from funding</t>
  </si>
  <si>
    <t>Private Label Card</t>
  </si>
  <si>
    <t>Cartão Renner</t>
  </si>
  <si>
    <t>Cartão Bandeira</t>
  </si>
  <si>
    <t>Empréstimos Pessoais e outros serviços</t>
  </si>
  <si>
    <t>Personal Loans and other services</t>
  </si>
  <si>
    <t xml:space="preserve">Operating expenses </t>
  </si>
  <si>
    <t>Despesas operacionais</t>
  </si>
  <si>
    <t>Resultado de Serviços Financeiros</t>
  </si>
  <si>
    <t>Financial Services Results (thousand of R$)</t>
  </si>
  <si>
    <t>Financial Services Results</t>
  </si>
  <si>
    <t xml:space="preserve">Net Income </t>
  </si>
  <si>
    <t>EBITDA Total</t>
  </si>
  <si>
    <t>EBITDA Reconciliation (thousand of R$)</t>
  </si>
  <si>
    <t>Reconciliação do EBITDA (R$ mil)</t>
  </si>
  <si>
    <t>Resultado da Venda ou Baixa de Ativos Fixos</t>
  </si>
  <si>
    <t>Net Revenues from Financial Services</t>
  </si>
  <si>
    <t>Receita Líquida de Serviços Financeiros</t>
  </si>
  <si>
    <t>Costs of Retailing Operation</t>
  </si>
  <si>
    <t>Costs of Services</t>
  </si>
  <si>
    <t>Custos dos Serviços</t>
  </si>
  <si>
    <t>Custo dos Serviços Financeiros</t>
  </si>
  <si>
    <t>Receita Operacional Líquida</t>
  </si>
  <si>
    <t>% from Net Revenues from Retailing Operation</t>
  </si>
  <si>
    <t>% da Receita Líquida da Operação de Varejo</t>
  </si>
  <si>
    <t>% of Total Adjusted EBITDA (post IFRS 16)</t>
  </si>
  <si>
    <t>Depreciationfor Leasing (IFRS16) (*)</t>
  </si>
  <si>
    <t>Financial Expenses for Leasing (IFRS16) (**)</t>
  </si>
  <si>
    <t>Adjusted EBITDA Total (pre IFRS 16)</t>
  </si>
  <si>
    <t>EBITDA Total Ajustado (pré IFRS 16)</t>
  </si>
  <si>
    <t>Adjusted EBITDA from Retailing Operation (pre IFRS 16)</t>
  </si>
  <si>
    <t>EBITDA from Financial Services (pre IFRS 16)</t>
  </si>
  <si>
    <t>% of Total Adjusted EBITDA (pre IFRS 16)</t>
  </si>
  <si>
    <t>EBITDA Ajustado da Operação de Varejo (pré IFRS 16)</t>
  </si>
  <si>
    <t>EBITDA de Serviços Financeiros (pré IFRS 16)</t>
  </si>
  <si>
    <t>% do EBITDA Total Ajustado (pré IFRS16)</t>
  </si>
  <si>
    <t>Accounts Receivables (thousand of R$)</t>
  </si>
  <si>
    <t>Contas a Receber de Clientes (R$ mil)</t>
  </si>
  <si>
    <t>Vencidos de 1 a 90 dias</t>
  </si>
  <si>
    <t>Renner Card (Private Label)</t>
  </si>
  <si>
    <t>Cartão Renner (Private Label)</t>
  </si>
  <si>
    <t>Total portfolio</t>
  </si>
  <si>
    <t>Carteira total</t>
  </si>
  <si>
    <t>Renner Card (Private Label) - Net portfolio</t>
  </si>
  <si>
    <t>Cartão Renner (Private Label) - Carteira líquida</t>
  </si>
  <si>
    <t>Vencidos de 91 a 180 dias</t>
  </si>
  <si>
    <t>Vencidos de 181 a 360 dias</t>
  </si>
  <si>
    <t>Perdas Estimadas em Crédito</t>
  </si>
  <si>
    <t>Meu Cartão (Co-Branded)</t>
  </si>
  <si>
    <t>Meu Cartão (Co-Branded) - Net portfolio</t>
  </si>
  <si>
    <t>Meu Cartão (Co-Branded) - Carteira líquida</t>
  </si>
  <si>
    <t>Personal Loans (Quick Withdrawal)</t>
  </si>
  <si>
    <t>Empréstimo Pessoal (Saque Rápido)</t>
  </si>
  <si>
    <t>Personal Loans (Quick Withdrawal) - Net portfolio</t>
  </si>
  <si>
    <t>Empréstimo Pessoal (Saque Rápido) - Carteira líquida</t>
  </si>
  <si>
    <t>Total Credit Portfolio</t>
  </si>
  <si>
    <t>Carteira de Crédito Total</t>
  </si>
  <si>
    <t>Operating Data</t>
  </si>
  <si>
    <t>Dados Operacionais</t>
  </si>
  <si>
    <t>CAPEX - Investments (millions of R$)</t>
  </si>
  <si>
    <t>CAPEX Breakdown</t>
  </si>
  <si>
    <t>Composição do CAPEX</t>
  </si>
  <si>
    <t>Same Store Sales (%)</t>
  </si>
  <si>
    <t>Condições de Pagamento</t>
  </si>
  <si>
    <t>Payment Conditions</t>
  </si>
  <si>
    <t>Average Ticket</t>
  </si>
  <si>
    <t>Ticket Médio</t>
  </si>
  <si>
    <t>Cartão Renner + Meu Cartão (R$)</t>
  </si>
  <si>
    <t>Renner Card + Co-Branded Card (R$)</t>
  </si>
  <si>
    <t>Companhia (R$)</t>
  </si>
  <si>
    <t>Company (R$)</t>
  </si>
  <si>
    <t>Dados por negócio</t>
  </si>
  <si>
    <t>Data by business</t>
  </si>
  <si>
    <t>Consolidated</t>
  </si>
  <si>
    <t>Consolidado</t>
  </si>
  <si>
    <t>Receita Líquida de Varejo</t>
  </si>
  <si>
    <t>Custo de Varejo</t>
  </si>
  <si>
    <t>Lucro bruto de Serviços Financeiros</t>
  </si>
  <si>
    <t>Gross Profit of Retailing Operation</t>
  </si>
  <si>
    <t>Gross Profit of Financial Services</t>
  </si>
  <si>
    <t>Demonstração do Resultado Consolidado (R$ mil)</t>
  </si>
  <si>
    <t>CAPEX - Investimentos (R$ milhões)</t>
  </si>
  <si>
    <t>Selling</t>
  </si>
  <si>
    <t>General and Administrative</t>
  </si>
  <si>
    <t xml:space="preserve">Management Compensation </t>
  </si>
  <si>
    <t>Penetration of digital sales</t>
  </si>
  <si>
    <t>Vencidos de 91 a 360 dias</t>
  </si>
  <si>
    <t>Contas a Receber Total</t>
  </si>
  <si>
    <t>Total Accounts Receivables</t>
  </si>
  <si>
    <t xml:space="preserve">% de vencidos sobre a carteira </t>
  </si>
  <si>
    <t>Vencidos &gt; 90 dias</t>
  </si>
  <si>
    <t>4Q11</t>
  </si>
  <si>
    <t>2Q22</t>
  </si>
  <si>
    <t>1H22</t>
  </si>
  <si>
    <t>Outros ativos</t>
  </si>
  <si>
    <t>Other assets</t>
  </si>
  <si>
    <t>Liabilities Under Bylaws</t>
  </si>
  <si>
    <t>EBITDA Total Ajustado</t>
  </si>
  <si>
    <t>Adjusted EBITDA Total</t>
  </si>
  <si>
    <t>Adjusted EBITDA from Retailing Operation</t>
  </si>
  <si>
    <t>EBITDA Ajustado da Operação de Varejo</t>
  </si>
  <si>
    <t>EBITDA from Financial Services</t>
  </si>
  <si>
    <t>EBITDA de Serviços Financeiros</t>
  </si>
  <si>
    <t>% do EBITDA Total Ajustado</t>
  </si>
  <si>
    <t>GMV Digital (R$ MM)</t>
  </si>
  <si>
    <t>Digital GMV (R$ MM)</t>
  </si>
  <si>
    <t>Caixa e equivalentes de caixa</t>
  </si>
  <si>
    <t>Aplicações financeiras</t>
  </si>
  <si>
    <t>Contas a receber</t>
  </si>
  <si>
    <t>Tributos a recuperar</t>
  </si>
  <si>
    <t>Instrumentos financeiros derivativos</t>
  </si>
  <si>
    <t>Empréstimos, financiamentos e debêntures</t>
  </si>
  <si>
    <t>Arrendamentos a pagar</t>
  </si>
  <si>
    <t>Obrigações fiscais</t>
  </si>
  <si>
    <t>Obrigações sociais e trabalhistas</t>
  </si>
  <si>
    <t>Social and labor obligations</t>
  </si>
  <si>
    <t>Taxes obligations</t>
  </si>
  <si>
    <t>Provisão para Riscos</t>
  </si>
  <si>
    <t xml:space="preserve">Tributos a Recuperar </t>
  </si>
  <si>
    <t xml:space="preserve">Empréstimos, financiamentos e debêntures </t>
  </si>
  <si>
    <t xml:space="preserve">Financiamentos - Operações Serviços Financeiros </t>
  </si>
  <si>
    <t xml:space="preserve">Arrendamentos a pagar </t>
  </si>
  <si>
    <t xml:space="preserve">Provisão para Riscos </t>
  </si>
  <si>
    <t xml:space="preserve">Fornecedores </t>
  </si>
  <si>
    <t xml:space="preserve">Outros ativos </t>
  </si>
  <si>
    <t xml:space="preserve">Instrumentos financeiros derivativos </t>
  </si>
  <si>
    <t xml:space="preserve">Outras Obrigações </t>
  </si>
  <si>
    <t xml:space="preserve">Imposto de renda e contribuição social diferidos </t>
  </si>
  <si>
    <t>Past due</t>
  </si>
  <si>
    <t>Past due from 1 to 90 days</t>
  </si>
  <si>
    <t xml:space="preserve">    Past due from 91 to 360 days</t>
  </si>
  <si>
    <t>Past due from 91 to 180 days</t>
  </si>
  <si>
    <t>Past due from 181 to 360 days</t>
  </si>
  <si>
    <t>% of Past due portfolio</t>
  </si>
  <si>
    <t>Past due &gt; 90 days</t>
  </si>
  <si>
    <t>3Q22</t>
  </si>
  <si>
    <t>Ajuste a Valor Presente</t>
  </si>
  <si>
    <t>Adjustment to Present Value</t>
  </si>
  <si>
    <t>9M22</t>
  </si>
  <si>
    <t>Depreciação de Arrendamento (IFRS 16)</t>
  </si>
  <si>
    <t>Despesa Financeira de Arrendamento (IFRS 16)</t>
  </si>
  <si>
    <t>*Considera somente área de vendas, não considerando áreas de estoque, retaguarda e administrativas.</t>
  </si>
  <si>
    <t>*Considers only sales area, not considering stock, back-office and administrative areas.</t>
  </si>
  <si>
    <t>4Q22</t>
  </si>
  <si>
    <t>Participação Vendas sem Encargos</t>
  </si>
  <si>
    <t>Participação Vendas com Encargos</t>
  </si>
  <si>
    <t>Pagamentos à Vista</t>
  </si>
  <si>
    <t>Outros Cartões de Crédito</t>
  </si>
  <si>
    <t>Interest-free credit sales</t>
  </si>
  <si>
    <t>Interest-bearing credit sales</t>
  </si>
  <si>
    <t>Cash Payments</t>
  </si>
  <si>
    <t>Other Credit Cards</t>
  </si>
  <si>
    <t>Renner's Cards Penetration (Private Label + Co-Branded)</t>
  </si>
  <si>
    <t>Participação dos Cartões Renner (Private Label + Co-branded)</t>
  </si>
  <si>
    <t>Obrigações - Risco Sacado</t>
  </si>
  <si>
    <t>Obligations - Forfait</t>
  </si>
  <si>
    <t>Cartão Renner - Perdas</t>
  </si>
  <si>
    <t>Cartão Bandeira - Perdas</t>
  </si>
  <si>
    <t>Total - Perdas</t>
  </si>
  <si>
    <t>1Q23</t>
  </si>
  <si>
    <t>Retained Earnings (Accumulated Deficit)</t>
  </si>
  <si>
    <t>Total 2023</t>
  </si>
  <si>
    <t>Dividend Payment History / Histórico de Pagamento de Dividendos</t>
  </si>
  <si>
    <t>Demonstração dos Fluxos de Caixa (R$ mil)</t>
  </si>
  <si>
    <t>Cash Flow Statement (thousand of R$)</t>
  </si>
  <si>
    <t>Fluxos de caixa das atividades operacionais</t>
  </si>
  <si>
    <t>Lucro líquido do período</t>
  </si>
  <si>
    <t>Juros e custos de estruturação sobre empréstimos, financiamentos e arrendamento</t>
  </si>
  <si>
    <t xml:space="preserve">Imposto de renda e contribuição social </t>
  </si>
  <si>
    <t>Descontos - arrendamentos a pagar</t>
  </si>
  <si>
    <t>Outros ajustes do lucro líquido</t>
  </si>
  <si>
    <t>Ajustes</t>
  </si>
  <si>
    <t>Lucro líquido ajustado</t>
  </si>
  <si>
    <t>(Aumento) Redução nos Ativos</t>
  </si>
  <si>
    <t>Contas a receber de clientes</t>
  </si>
  <si>
    <t>Aumento (Redução) nos Passivos</t>
  </si>
  <si>
    <t>Obrigações - risco sacado</t>
  </si>
  <si>
    <t>Obrigações com administradoras de cartões</t>
  </si>
  <si>
    <t>Outras obrigações</t>
  </si>
  <si>
    <t>Pagamento de imposto de renda e contribuição social</t>
  </si>
  <si>
    <t>Juros pagos sobre empréstimos, financiamentos e debêntures</t>
  </si>
  <si>
    <t>Caixa líquido gerado pelas atividades operacionais, antes das aplic. financeiras</t>
  </si>
  <si>
    <t>Fluxos de caixa das atividades de investimentos</t>
  </si>
  <si>
    <t>Aquisições de imobilizado e intangível</t>
  </si>
  <si>
    <t>Aporte de capital em controladas e aquisição de controladas, líquida de caixa adquirido</t>
  </si>
  <si>
    <t>Caixa líquido consumido pelas atividades de investimentos</t>
  </si>
  <si>
    <t>Fluxos de caixa das atividades de financiamentos</t>
  </si>
  <si>
    <t>Recompra de ações</t>
  </si>
  <si>
    <t>Captações e amortizações de empréstimos e debêntures</t>
  </si>
  <si>
    <t>Contraprestação de arrendamentos a pagar</t>
  </si>
  <si>
    <t>Juros sobre capital próprio e dividendos pagos</t>
  </si>
  <si>
    <t>Efeito da variação cambial sobre o saldo de caixa e equivalentes de caixa</t>
  </si>
  <si>
    <t>(Redução) no caixa e equivalentes de caixa</t>
  </si>
  <si>
    <t>Caixa e equivalentes de caixa no início do período</t>
  </si>
  <si>
    <t>Caixa e equivalentes de caixa no fim do período</t>
  </si>
  <si>
    <t>Aumento do capital social, líquido das custas de emissão</t>
  </si>
  <si>
    <t>Vendas em Mesmas Lojas</t>
  </si>
  <si>
    <t>Cartão Renner - Receitas</t>
  </si>
  <si>
    <t>Cartão Bandeira - Receitas</t>
  </si>
  <si>
    <t xml:space="preserve"> Cash flows from operating activities </t>
  </si>
  <si>
    <t xml:space="preserve"> Net profit for the period </t>
  </si>
  <si>
    <t>Adjustments</t>
  </si>
  <si>
    <t xml:space="preserve"> Depreciation and amortization </t>
  </si>
  <si>
    <t xml:space="preserve"> Interest and structuring costs on loans, financing and leasing </t>
  </si>
  <si>
    <t xml:space="preserve"> Income tax and social contribution  </t>
  </si>
  <si>
    <t xml:space="preserve"> (Reversals) Losses estimated in assets, net </t>
  </si>
  <si>
    <t xml:space="preserve"> Discounts – leases payable </t>
  </si>
  <si>
    <t xml:space="preserve"> Other adjustments to net profit </t>
  </si>
  <si>
    <t xml:space="preserve"> Adjusted net income </t>
  </si>
  <si>
    <t xml:space="preserve"> (Increase) Reduction in the Assets </t>
  </si>
  <si>
    <t xml:space="preserve"> Accounts receivable from customers </t>
  </si>
  <si>
    <t xml:space="preserve"> Inventories</t>
  </si>
  <si>
    <t xml:space="preserve"> Taxes recoverable </t>
  </si>
  <si>
    <t xml:space="preserve"> Other assets </t>
  </si>
  <si>
    <t xml:space="preserve"> Increase (Reduction) in Labilities </t>
  </si>
  <si>
    <t xml:space="preserve"> Suppliers </t>
  </si>
  <si>
    <t xml:space="preserve"> Obligations with card administrators </t>
  </si>
  <si>
    <t xml:space="preserve"> Fiscal obligations </t>
  </si>
  <si>
    <t xml:space="preserve"> Other obligations </t>
  </si>
  <si>
    <t xml:space="preserve"> Payment of income tax and social contribution </t>
  </si>
  <si>
    <t xml:space="preserve"> Interest paid on loans, financing and debentures </t>
  </si>
  <si>
    <t xml:space="preserve"> Obligations - forfait</t>
  </si>
  <si>
    <t xml:space="preserve"> Cash flows from operational activities before financial investments </t>
  </si>
  <si>
    <t xml:space="preserve"> Financial investments </t>
  </si>
  <si>
    <t xml:space="preserve"> Cash flows from operational activities </t>
  </si>
  <si>
    <t xml:space="preserve"> Acquisitions of fixed and intangible assets </t>
  </si>
  <si>
    <t xml:space="preserve"> Capital paid-up in subsidiaries and acquisition of subsidiaries, net of cash acquired </t>
  </si>
  <si>
    <t xml:space="preserve"> Net cash consumed by investment activities </t>
  </si>
  <si>
    <t xml:space="preserve"> Cash flows from investment activities </t>
  </si>
  <si>
    <t>Cash flows from financing activities</t>
  </si>
  <si>
    <t xml:space="preserve"> Capital increase net of issuance costs </t>
  </si>
  <si>
    <t xml:space="preserve"> Share buy-back </t>
  </si>
  <si>
    <t xml:space="preserve"> Borrowing and amortization of loans and debentures </t>
  </si>
  <si>
    <t xml:space="preserve"> Lease installment payable </t>
  </si>
  <si>
    <t>Effect of exchange rate variation on balance of cash and cash equivalents</t>
  </si>
  <si>
    <t>Variation in cash and cash equivalents</t>
  </si>
  <si>
    <t xml:space="preserve"> Cash and cash equivalents at the start of the period </t>
  </si>
  <si>
    <t>Cash and cash equivalents at the end of the period</t>
  </si>
  <si>
    <t>2Q23</t>
  </si>
  <si>
    <t>1H23</t>
  </si>
  <si>
    <t>3Q23</t>
  </si>
  <si>
    <t>9M23</t>
  </si>
  <si>
    <t>Caixa líquido gerado pelas atividades operacionais</t>
  </si>
  <si>
    <t>On Due</t>
  </si>
  <si>
    <t>Quantidade de lojas - Renner</t>
  </si>
  <si>
    <t>Inaugurações líquidas de lojas - Renner</t>
  </si>
  <si>
    <t>Quantity of stores - Renner</t>
  </si>
  <si>
    <t>Net openings of stores - Renner</t>
  </si>
  <si>
    <t>ND</t>
  </si>
  <si>
    <t>Receita líquida de varejo - Renner (R$ MM)</t>
  </si>
  <si>
    <t>Crescimento da receita líquida de varejo - Renner</t>
  </si>
  <si>
    <t>Gross margin - Renner (%)</t>
  </si>
  <si>
    <t>Quantidade de lojas - Camicado</t>
  </si>
  <si>
    <t>Inaugurações líquidas de lojas - Camicado</t>
  </si>
  <si>
    <t>Receita líquida de varejo - Camicado (R$ MM)</t>
  </si>
  <si>
    <t>Crescimento da receita líquida de varejo - Camicado</t>
  </si>
  <si>
    <t>Quantity of stores - Camicado</t>
  </si>
  <si>
    <t>Net openings of stores - Camicado</t>
  </si>
  <si>
    <t>Gross margin - Camicado (%)</t>
  </si>
  <si>
    <t>Quantity of stores - Youcom</t>
  </si>
  <si>
    <t>Quantidade de lojas - Youcom</t>
  </si>
  <si>
    <t>Net openings of stores - Youcom</t>
  </si>
  <si>
    <t>Inaugurações líquidas de lojas - Youcom</t>
  </si>
  <si>
    <t>Receita líquida de varejo - Youcom (R$ MM)</t>
  </si>
  <si>
    <t>Crescimento da receita líquida de varejo - Youcom</t>
  </si>
  <si>
    <t>Gross margin - Youcom (%)</t>
  </si>
  <si>
    <t>4Q23</t>
  </si>
  <si>
    <t>Perdas estimadas em ativos, líquidas</t>
  </si>
  <si>
    <t>Resultado da Venda ou Baixa de Ativos</t>
  </si>
  <si>
    <t>1Q24</t>
  </si>
  <si>
    <t>Total 2024</t>
  </si>
  <si>
    <t>Vendas de Mercadorias, líquida de devoluções e cancelamentos</t>
  </si>
  <si>
    <t>Services</t>
  </si>
  <si>
    <t>Merchandise Sales, net of returns and cancelations</t>
  </si>
  <si>
    <t>Vendas de Mercadorias</t>
  </si>
  <si>
    <t>Lucro bruto de Varejo</t>
  </si>
  <si>
    <t>Goods</t>
  </si>
  <si>
    <t>Receita Operacional Bruta</t>
  </si>
  <si>
    <t>Lucro Bruto</t>
  </si>
  <si>
    <t>Margem Bruta</t>
  </si>
  <si>
    <t>Margem Bruta de Serviços Financeiros</t>
  </si>
  <si>
    <t>Margem Bruta de Varejo</t>
  </si>
  <si>
    <t>Estágio 1</t>
  </si>
  <si>
    <t>Estágio 2</t>
  </si>
  <si>
    <t>Stage 1</t>
  </si>
  <si>
    <t>Stage 2</t>
  </si>
  <si>
    <t>#</t>
  </si>
  <si>
    <t>Business</t>
  </si>
  <si>
    <t>Opening date</t>
  </si>
  <si>
    <t>Closing date</t>
  </si>
  <si>
    <t>Country</t>
  </si>
  <si>
    <t>State</t>
  </si>
  <si>
    <t>City</t>
  </si>
  <si>
    <t>Location</t>
  </si>
  <si>
    <t>Shopping Mall / Street</t>
  </si>
  <si>
    <t>Total Area (m2)</t>
  </si>
  <si>
    <t>RNR-569</t>
  </si>
  <si>
    <t>Brazil</t>
  </si>
  <si>
    <t>Rio das Ostras</t>
  </si>
  <si>
    <t>Shopping Plaza Rio das Ostras</t>
  </si>
  <si>
    <t>Shopping Mall</t>
  </si>
  <si>
    <t>RNR-566</t>
  </si>
  <si>
    <t>Araranguá</t>
  </si>
  <si>
    <t>Shopping Araranguá</t>
  </si>
  <si>
    <t>YCM-156</t>
  </si>
  <si>
    <t>Uberaba</t>
  </si>
  <si>
    <t>Shopping Uberaba</t>
  </si>
  <si>
    <t>YCM-157</t>
  </si>
  <si>
    <t>Santa Barbara d'Oeste</t>
  </si>
  <si>
    <t>Shopping Tivoli</t>
  </si>
  <si>
    <t>RNR-11013</t>
  </si>
  <si>
    <t>Maldonado</t>
  </si>
  <si>
    <t>Shopping Atlantico Punta</t>
  </si>
  <si>
    <t>YCM-151</t>
  </si>
  <si>
    <t>Shopping Barra Salvador</t>
  </si>
  <si>
    <t>RNR-583</t>
  </si>
  <si>
    <t>Aracruz</t>
  </si>
  <si>
    <t>Shopping Orundi</t>
  </si>
  <si>
    <t>YCM-149</t>
  </si>
  <si>
    <t>Lauro de Freitas</t>
  </si>
  <si>
    <t>Parque Shopping da Bahia</t>
  </si>
  <si>
    <t>YCM-148</t>
  </si>
  <si>
    <t>Shopping Cidade São Paulo</t>
  </si>
  <si>
    <t>Shopping Villa Lobos (troca de ponto)</t>
  </si>
  <si>
    <t>ASH-722</t>
  </si>
  <si>
    <t>Ashua</t>
  </si>
  <si>
    <t>Santos</t>
  </si>
  <si>
    <t>Shopping Praiamar</t>
  </si>
  <si>
    <t>YCM-142</t>
  </si>
  <si>
    <t>YCM-153</t>
  </si>
  <si>
    <t>Shopping Praia de Belas</t>
  </si>
  <si>
    <t>RNR-557</t>
  </si>
  <si>
    <t>Shopping Campo Limpo</t>
  </si>
  <si>
    <t>YCM-147</t>
  </si>
  <si>
    <t>Shopping JK DF</t>
  </si>
  <si>
    <t>RNR-542</t>
  </si>
  <si>
    <t>Montenegro</t>
  </si>
  <si>
    <t>Loja Montenegro</t>
  </si>
  <si>
    <t>Street</t>
  </si>
  <si>
    <t>RNR-575</t>
  </si>
  <si>
    <t>Ituiutaba</t>
  </si>
  <si>
    <t>Shopping Ituiutaba</t>
  </si>
  <si>
    <t>RNR-576</t>
  </si>
  <si>
    <t>Videira</t>
  </si>
  <si>
    <t>Shopping Videira</t>
  </si>
  <si>
    <t>ASH-723</t>
  </si>
  <si>
    <t>Shopping Vitória</t>
  </si>
  <si>
    <t>YCM-145</t>
  </si>
  <si>
    <t>Shopping Manaíra</t>
  </si>
  <si>
    <t>YCM-144</t>
  </si>
  <si>
    <t>Shopping Passeio da Águas</t>
  </si>
  <si>
    <t>YCM-137</t>
  </si>
  <si>
    <t>Shopping Villa Lobos</t>
  </si>
  <si>
    <t>RNR-553</t>
  </si>
  <si>
    <t>Taquara</t>
  </si>
  <si>
    <t>Loja Taquara</t>
  </si>
  <si>
    <t>RNR-573</t>
  </si>
  <si>
    <t>Cajamar</t>
  </si>
  <si>
    <t>Shopping Anhanguera</t>
  </si>
  <si>
    <t>RNR-544</t>
  </si>
  <si>
    <t>Canela</t>
  </si>
  <si>
    <t>Loja Canela</t>
  </si>
  <si>
    <t>RNR-547</t>
  </si>
  <si>
    <t>Alfenas</t>
  </si>
  <si>
    <t>Loja Alfenas</t>
  </si>
  <si>
    <t>RNR-568</t>
  </si>
  <si>
    <t>Muriaé</t>
  </si>
  <si>
    <t>Shopping Muriaé</t>
  </si>
  <si>
    <t>ASH-720</t>
  </si>
  <si>
    <t>RNR-567</t>
  </si>
  <si>
    <t>Eusébio</t>
  </si>
  <si>
    <t>Shopping Terrazo</t>
  </si>
  <si>
    <t>YCM-139</t>
  </si>
  <si>
    <t>Shopping Via Verde</t>
  </si>
  <si>
    <t>RNR-555</t>
  </si>
  <si>
    <t>Mogi Mirim</t>
  </si>
  <si>
    <t>Shopping Park Mogi Mirim</t>
  </si>
  <si>
    <t>YCM-138</t>
  </si>
  <si>
    <t>Shopping Rio Poty</t>
  </si>
  <si>
    <t>Niterói</t>
  </si>
  <si>
    <t>Shopping Plaza Niterói</t>
  </si>
  <si>
    <t>RNR-571</t>
  </si>
  <si>
    <t>Penápolis</t>
  </si>
  <si>
    <t>Shopping Penápolis Garden</t>
  </si>
  <si>
    <t>YCM-141</t>
  </si>
  <si>
    <t>Bauru</t>
  </si>
  <si>
    <t>Shopping Boulevard Bauru</t>
  </si>
  <si>
    <t>ASH-719</t>
  </si>
  <si>
    <t>Sorocaba</t>
  </si>
  <si>
    <t>Shopping Iguatemi Esplanada</t>
  </si>
  <si>
    <t>RNR-561</t>
  </si>
  <si>
    <t>Catanduva</t>
  </si>
  <si>
    <t>Shopping Garden Catanduva</t>
  </si>
  <si>
    <t>RNR-543</t>
  </si>
  <si>
    <t>Mogi das Cruzes</t>
  </si>
  <si>
    <t>Shopping Patteo Urupema</t>
  </si>
  <si>
    <t>RNR-11012</t>
  </si>
  <si>
    <t>Shopping Paseo del Este</t>
  </si>
  <si>
    <t>ASH-717</t>
  </si>
  <si>
    <t>Campinas</t>
  </si>
  <si>
    <t>Shopping Dom Pedro</t>
  </si>
  <si>
    <t>ASH-716</t>
  </si>
  <si>
    <t>Shopping Salvador</t>
  </si>
  <si>
    <t>RNR-549</t>
  </si>
  <si>
    <t>Petrópolis</t>
  </si>
  <si>
    <t>Shopping Pátio Petrópolis</t>
  </si>
  <si>
    <t>YCM-135</t>
  </si>
  <si>
    <t>São José do Rio Preto</t>
  </si>
  <si>
    <t>Shopping Rio Preto</t>
  </si>
  <si>
    <t>São Vicente</t>
  </si>
  <si>
    <t>Loja São Vicente</t>
  </si>
  <si>
    <t>Londrina</t>
  </si>
  <si>
    <t>Shopping Londrina Norte</t>
  </si>
  <si>
    <t>Teixeira de Freitas</t>
  </si>
  <si>
    <t>Shopping Pátio Mix Teixeira de Freitas</t>
  </si>
  <si>
    <t>YCM-134</t>
  </si>
  <si>
    <t>Passo Fundo</t>
  </si>
  <si>
    <t>Shopping Passo Fundo</t>
  </si>
  <si>
    <t>Cachoeira do Sul</t>
  </si>
  <si>
    <t>Loja Cachoeira do Sul</t>
  </si>
  <si>
    <t>ASH-715</t>
  </si>
  <si>
    <t>Shopping Boulevard BH</t>
  </si>
  <si>
    <t>YCM-125</t>
  </si>
  <si>
    <t>Shopping Iguatemi Fortaleza</t>
  </si>
  <si>
    <t>Chapecó</t>
  </si>
  <si>
    <t>Shopping Pátio Chapecó</t>
  </si>
  <si>
    <t>Alegrete</t>
  </si>
  <si>
    <t>Loja Alegrete</t>
  </si>
  <si>
    <t>Carazinho</t>
  </si>
  <si>
    <t>Loja Carazinho</t>
  </si>
  <si>
    <t>Montevidéu</t>
  </si>
  <si>
    <t>Shopping Montevideo</t>
  </si>
  <si>
    <t>Esteio</t>
  </si>
  <si>
    <t>Loja Esteio</t>
  </si>
  <si>
    <t>São Bento</t>
  </si>
  <si>
    <t>Loja São Bento</t>
  </si>
  <si>
    <t>Santa Rosa</t>
  </si>
  <si>
    <t>Loja Santa Rosa</t>
  </si>
  <si>
    <t>Criciúma</t>
  </si>
  <si>
    <t>Baurú</t>
  </si>
  <si>
    <t>Shopping Boulevard Baurú</t>
  </si>
  <si>
    <t>Ijuí</t>
  </si>
  <si>
    <t>Loja Ijuí</t>
  </si>
  <si>
    <t>Campo Mourão</t>
  </si>
  <si>
    <t>Loja Campo Mourão</t>
  </si>
  <si>
    <t>ASH-714</t>
  </si>
  <si>
    <t>Shopping Riomar Recife</t>
  </si>
  <si>
    <t>YCM-132</t>
  </si>
  <si>
    <t>Shopping Midway Mall</t>
  </si>
  <si>
    <t>YCM-133</t>
  </si>
  <si>
    <t>Shopping Park Maceió</t>
  </si>
  <si>
    <t>YCM-131</t>
  </si>
  <si>
    <t>Shopping da Ilha</t>
  </si>
  <si>
    <t>YCM-130</t>
  </si>
  <si>
    <t>Aracajú</t>
  </si>
  <si>
    <t>Shopping Riomar Aracajú</t>
  </si>
  <si>
    <t>Shopping Riomar Fortaleza</t>
  </si>
  <si>
    <t>Assis</t>
  </si>
  <si>
    <t>Loja Assis</t>
  </si>
  <si>
    <t>YCM-129</t>
  </si>
  <si>
    <t>Vila Velha</t>
  </si>
  <si>
    <t>Shopping Vila Velha</t>
  </si>
  <si>
    <t>Bento Gonçalves</t>
  </si>
  <si>
    <t>Shopping Piazza Salton</t>
  </si>
  <si>
    <t>Shopping Bourbon Teresópolis</t>
  </si>
  <si>
    <t>Pato Branco</t>
  </si>
  <si>
    <t>Sapucaia do Sul</t>
  </si>
  <si>
    <t>Loja Sapucaia do Sul</t>
  </si>
  <si>
    <t>YCM-128</t>
  </si>
  <si>
    <t>YCM-127</t>
  </si>
  <si>
    <t>Rio de janeiro</t>
  </si>
  <si>
    <t>Norte Shopping</t>
  </si>
  <si>
    <t>Jacarepaguá</t>
  </si>
  <si>
    <t>Shopping Jacarepaguá</t>
  </si>
  <si>
    <t>Pelotas</t>
  </si>
  <si>
    <t>Shopping Pelotas</t>
  </si>
  <si>
    <t>Sinop</t>
  </si>
  <si>
    <t>Shopping Sinop</t>
  </si>
  <si>
    <t>Torres</t>
  </si>
  <si>
    <t>Shopping Vesta</t>
  </si>
  <si>
    <t>YCM-124</t>
  </si>
  <si>
    <t>Shopping Interlagos</t>
  </si>
  <si>
    <t>Shopping Plaza Casa Forte</t>
  </si>
  <si>
    <t>Catalão</t>
  </si>
  <si>
    <t>Shopping Catalão</t>
  </si>
  <si>
    <t>Shopping Natal Norte</t>
  </si>
  <si>
    <t>Umuarama</t>
  </si>
  <si>
    <t>Shopping Palladium Uruamama</t>
  </si>
  <si>
    <t>Macaé</t>
  </si>
  <si>
    <t>Shopping Plaza Macaé</t>
  </si>
  <si>
    <t>Araras</t>
  </si>
  <si>
    <t>Loja Araras</t>
  </si>
  <si>
    <t>Shopping Campo Grande</t>
  </si>
  <si>
    <t>Loja Quitanda</t>
  </si>
  <si>
    <t>Mogi Guaçu</t>
  </si>
  <si>
    <t>Shopping Buriti Mogi Guaçu</t>
  </si>
  <si>
    <t>Farroupilha</t>
  </si>
  <si>
    <t>Loja Farroupilha</t>
  </si>
  <si>
    <t>Maricá</t>
  </si>
  <si>
    <t>Boulevard Maricá</t>
  </si>
  <si>
    <t>Shopping Bosque Grão Pará</t>
  </si>
  <si>
    <t>Rio do Sul</t>
  </si>
  <si>
    <t>Bagé</t>
  </si>
  <si>
    <t>Loja Bagé</t>
  </si>
  <si>
    <t>Macapá Shopping</t>
  </si>
  <si>
    <t>Caraguatatuba</t>
  </si>
  <si>
    <t>Serramar Shopping</t>
  </si>
  <si>
    <t>Shopping Rio Sul</t>
  </si>
  <si>
    <t>Shopping Muller</t>
  </si>
  <si>
    <t>Shopping Ibirapuera</t>
  </si>
  <si>
    <t>Shopping Santa Cruz</t>
  </si>
  <si>
    <t>Shopping Eldorado</t>
  </si>
  <si>
    <t>Garibaldi</t>
  </si>
  <si>
    <t>Juazeiro do Norte</t>
  </si>
  <si>
    <t>Shopping Cariri Garden</t>
  </si>
  <si>
    <t>Shopping Rio Design Leblon</t>
  </si>
  <si>
    <t>Cacoal</t>
  </si>
  <si>
    <t>Shopping Cacoal</t>
  </si>
  <si>
    <t>Ribeirão Preto</t>
  </si>
  <si>
    <t>Shopping Iguatemi Ribeirão Preto</t>
  </si>
  <si>
    <t>Village Mall</t>
  </si>
  <si>
    <t>Guarulhos</t>
  </si>
  <si>
    <t>Aeroporto de Guarulhos</t>
  </si>
  <si>
    <t>Sorriso</t>
  </si>
  <si>
    <t>Shopping Sorriso</t>
  </si>
  <si>
    <t>Shopping Barra Rio</t>
  </si>
  <si>
    <t>Shopping Recife</t>
  </si>
  <si>
    <t>Tangará da Serra</t>
  </si>
  <si>
    <t>Tangará Shopping</t>
  </si>
  <si>
    <t>Piracicaba</t>
  </si>
  <si>
    <t>Shopping Piracicaba</t>
  </si>
  <si>
    <t>Jataí</t>
  </si>
  <si>
    <t>Jatahy Shopping</t>
  </si>
  <si>
    <t>Parque Shopping Bahia</t>
  </si>
  <si>
    <t>Buenos Aires</t>
  </si>
  <si>
    <t>Calle Florida</t>
  </si>
  <si>
    <t>Calle Santa Fé</t>
  </si>
  <si>
    <t>Córdoba</t>
  </si>
  <si>
    <t>Paseo del Jockey</t>
  </si>
  <si>
    <t>Três Lagoas</t>
  </si>
  <si>
    <t>Shopping Três Lagoas</t>
  </si>
  <si>
    <t>Shopping Diamond</t>
  </si>
  <si>
    <t>Shopping Tres Cruces</t>
  </si>
  <si>
    <t>Shopping Patio Olmos</t>
  </si>
  <si>
    <t>Aeroporto Salgado Filho</t>
  </si>
  <si>
    <t>Santo Ándré</t>
  </si>
  <si>
    <t>Shopping ABC</t>
  </si>
  <si>
    <t>Shopping Nuevo Centro</t>
  </si>
  <si>
    <t>Santo Ângelo</t>
  </si>
  <si>
    <t>Loja de Santo Ângelo</t>
  </si>
  <si>
    <t>Shopping D</t>
  </si>
  <si>
    <t>Tramandaí</t>
  </si>
  <si>
    <t>Loja de Tramandaí</t>
  </si>
  <si>
    <t xml:space="preserve">Park Shopping Brasília </t>
  </si>
  <si>
    <t>Nova Friburgo</t>
  </si>
  <si>
    <t>Cadima Shopping</t>
  </si>
  <si>
    <t>Shopping Boa Vista</t>
  </si>
  <si>
    <t>Barra Shopping Sul</t>
  </si>
  <si>
    <t>Sumaré</t>
  </si>
  <si>
    <t>Shopping Park City Sumaré</t>
  </si>
  <si>
    <t>Sete Lagoas</t>
  </si>
  <si>
    <t>Shopping Sete Lagoas</t>
  </si>
  <si>
    <t>Volta Redonda</t>
  </si>
  <si>
    <t>Shopping Park Sul</t>
  </si>
  <si>
    <t>BeiraMar Shopping</t>
  </si>
  <si>
    <t>Shopping Iguatemi POA</t>
  </si>
  <si>
    <t>Pantanal Shopping</t>
  </si>
  <si>
    <t>Shopping Jockey Plaza</t>
  </si>
  <si>
    <t>Shopping Frei Caneca</t>
  </si>
  <si>
    <t>Cachoeiro De Itapemirim</t>
  </si>
  <si>
    <t>Shopping Sul</t>
  </si>
  <si>
    <t>São José De Ribamar</t>
  </si>
  <si>
    <t>Shopping Pátio Norte</t>
  </si>
  <si>
    <t>Shopping SP Market</t>
  </si>
  <si>
    <t>Caxias do Sul</t>
  </si>
  <si>
    <t>Shopping Iguatemi Caxias</t>
  </si>
  <si>
    <t>Loja Rua Oscar Freire</t>
  </si>
  <si>
    <t>Ourinhos</t>
  </si>
  <si>
    <t>Shopping Center Ourinhos</t>
  </si>
  <si>
    <t>Cruz Alta</t>
  </si>
  <si>
    <t>Loja de Cruz Alta</t>
  </si>
  <si>
    <t>Maringá</t>
  </si>
  <si>
    <t>Shopping Catuaí Maringá</t>
  </si>
  <si>
    <t>Sobral</t>
  </si>
  <si>
    <t>North Shopping Sobral</t>
  </si>
  <si>
    <t>Shopping Flamboyant</t>
  </si>
  <si>
    <t>Shopping Penha</t>
  </si>
  <si>
    <t>Bangu Shopping</t>
  </si>
  <si>
    <t xml:space="preserve">Ribeirão Shopping </t>
  </si>
  <si>
    <t>Shopping Capim Dourado</t>
  </si>
  <si>
    <t>Shopping Cidade Jardim</t>
  </si>
  <si>
    <t>Jaú</t>
  </si>
  <si>
    <t>Jaú Shopping</t>
  </si>
  <si>
    <t>Porto Velho Shopping</t>
  </si>
  <si>
    <t>Praia Grande</t>
  </si>
  <si>
    <t>Litoral Plaza Shopping</t>
  </si>
  <si>
    <t>Brasília Shopping</t>
  </si>
  <si>
    <t>Shopping Praia da Costa</t>
  </si>
  <si>
    <t>Passo Fundo Shopping</t>
  </si>
  <si>
    <t>Shopping Pátio Belém</t>
  </si>
  <si>
    <t>Shopping Las Piedras</t>
  </si>
  <si>
    <t>Santarém</t>
  </si>
  <si>
    <t>Rio Tapajós Shopping</t>
  </si>
  <si>
    <t>Loja Centro de Floripa</t>
  </si>
  <si>
    <t>Shopping Conjunto Nacional</t>
  </si>
  <si>
    <t>Poços de Caldas</t>
  </si>
  <si>
    <t>Shopping Poços de Caldas</t>
  </si>
  <si>
    <t>Barbacena</t>
  </si>
  <si>
    <t>Parque Barbacena Shopping</t>
  </si>
  <si>
    <t>Rondonópolis</t>
  </si>
  <si>
    <t>Rondon Plaza Shopping</t>
  </si>
  <si>
    <t>Punta del Este</t>
  </si>
  <si>
    <t>Loja Punta del Este</t>
  </si>
  <si>
    <t>Shopping Litoral Plaza</t>
  </si>
  <si>
    <t>Paranavaí</t>
  </si>
  <si>
    <t>Shopping Cidade Paranavaí</t>
  </si>
  <si>
    <t>Itu</t>
  </si>
  <si>
    <t>Plaza Shopping Itu</t>
  </si>
  <si>
    <t>Shopping Estação Cuiabá</t>
  </si>
  <si>
    <t>Ponta Grossa</t>
  </si>
  <si>
    <t>Palladium Ponta Grossa</t>
  </si>
  <si>
    <t>Shopping Manauara</t>
  </si>
  <si>
    <t>Itapetininga</t>
  </si>
  <si>
    <t>Itapê Shopping</t>
  </si>
  <si>
    <t>Shopping Metrô Tucuruvi</t>
  </si>
  <si>
    <t>Uberaba Shopping Center</t>
  </si>
  <si>
    <t>Shopping Anália Franco</t>
  </si>
  <si>
    <t>Imperatriz</t>
  </si>
  <si>
    <t>Shopping Imperial</t>
  </si>
  <si>
    <t>Recreio Shopping Center</t>
  </si>
  <si>
    <t>Divinópolis</t>
  </si>
  <si>
    <t>Shopping Pátio Divinópolis</t>
  </si>
  <si>
    <t>Campina Grande</t>
  </si>
  <si>
    <t>Blumenau</t>
  </si>
  <si>
    <t>Shopping Neumarkt</t>
  </si>
  <si>
    <t>Shopping Riomar Aracaju</t>
  </si>
  <si>
    <t>Shopping Del Rey</t>
  </si>
  <si>
    <t>Joinville</t>
  </si>
  <si>
    <t>Shopping Joinville Garten</t>
  </si>
  <si>
    <t>Conjunto Nacional</t>
  </si>
  <si>
    <t>Shopping Metrô Itaquera</t>
  </si>
  <si>
    <t>Suzano</t>
  </si>
  <si>
    <t>Suzano Shopping</t>
  </si>
  <si>
    <t>Shopping Amazonas</t>
  </si>
  <si>
    <t>Olinda</t>
  </si>
  <si>
    <t>Shopping Patteo Olinda</t>
  </si>
  <si>
    <t>Portones Shopping</t>
  </si>
  <si>
    <t>Rivera</t>
  </si>
  <si>
    <t>Dourados</t>
  </si>
  <si>
    <t>Avenida Shopping Dourados</t>
  </si>
  <si>
    <t>Valinhos</t>
  </si>
  <si>
    <t>Shopping Valinhos</t>
  </si>
  <si>
    <t>Camaragibe</t>
  </si>
  <si>
    <t>Camará Shopping Center</t>
  </si>
  <si>
    <t>Guarapuava</t>
  </si>
  <si>
    <t>Shopping Cidade dos Lagos</t>
  </si>
  <si>
    <t>Vitória da Conquista</t>
  </si>
  <si>
    <t>Shopping Boulevard Vitória da Conquista</t>
  </si>
  <si>
    <t>Shopping Boulevard Brasília</t>
  </si>
  <si>
    <t>São Caetano</t>
  </si>
  <si>
    <t>ParkShopping São Caetano</t>
  </si>
  <si>
    <t>Shopping Tijuca</t>
  </si>
  <si>
    <t>Shopping Buriti</t>
  </si>
  <si>
    <t>Salvador Shopping</t>
  </si>
  <si>
    <t>Parnaíba</t>
  </si>
  <si>
    <t>Parnaíba Shopping</t>
  </si>
  <si>
    <t>Shopping Goiânia</t>
  </si>
  <si>
    <t>Varginha</t>
  </si>
  <si>
    <t>Via Café Shopping</t>
  </si>
  <si>
    <t>Ananindeua</t>
  </si>
  <si>
    <t>Shopping Metrópole Ananindeua</t>
  </si>
  <si>
    <t>Shopping Costa Urbana</t>
  </si>
  <si>
    <t>Shopping Estação Curitiba</t>
  </si>
  <si>
    <t>Shopping DF Plaza</t>
  </si>
  <si>
    <t>Canoas</t>
  </si>
  <si>
    <t>ParkShopping Canoas</t>
  </si>
  <si>
    <t>Punta Carretas Shopping</t>
  </si>
  <si>
    <t>Guarujá</t>
  </si>
  <si>
    <t>Shopping La Plage</t>
  </si>
  <si>
    <t>Shopping Jardim Pamplona</t>
  </si>
  <si>
    <t>Shopping Internacional Guarulhos</t>
  </si>
  <si>
    <t>Taubaté</t>
  </si>
  <si>
    <t>Taubaté Shopping</t>
  </si>
  <si>
    <t>Shopping Iguatemi JK</t>
  </si>
  <si>
    <t>Shopping Castanheira</t>
  </si>
  <si>
    <t>Shopping Porto Alegre CenterLar</t>
  </si>
  <si>
    <t>Pátio Savassi</t>
  </si>
  <si>
    <t>Indaiatuba</t>
  </si>
  <si>
    <t>Polo Shopping Indaiatuba</t>
  </si>
  <si>
    <t>Itajaí</t>
  </si>
  <si>
    <t>Itajaí Shopping</t>
  </si>
  <si>
    <t>Shopping Via Sul</t>
  </si>
  <si>
    <t>Shopping Metrô Santa Cruz</t>
  </si>
  <si>
    <t>Shopping Golden Calhau</t>
  </si>
  <si>
    <t>Via Barreiro Shopping</t>
  </si>
  <si>
    <t>Santa Maria</t>
  </si>
  <si>
    <t>Shopping Praça Nova Santa Maria</t>
  </si>
  <si>
    <t>Shopping Metrô Tatuapé</t>
  </si>
  <si>
    <t>Gramado</t>
  </si>
  <si>
    <t>Loja de Gramado</t>
  </si>
  <si>
    <t>Loja 18 de Julio</t>
  </si>
  <si>
    <t>Shopping Catuaí Londrina</t>
  </si>
  <si>
    <t>Praça Nova Santa Maria</t>
  </si>
  <si>
    <t>São Leopoldo</t>
  </si>
  <si>
    <t>Bourbon São Leopoldo</t>
  </si>
  <si>
    <t>Loja Domingos de Moraes</t>
  </si>
  <si>
    <t xml:space="preserve">Shopping Rio Design Barra </t>
  </si>
  <si>
    <t>Shopping Miramar</t>
  </si>
  <si>
    <t>Jardim Pamplona Shopping</t>
  </si>
  <si>
    <t>Santa Cruz do Sul</t>
  </si>
  <si>
    <t>Loja Santa Cruz do Sul</t>
  </si>
  <si>
    <t>Maceió Shopping</t>
  </si>
  <si>
    <t>Loja Centro de Teresina</t>
  </si>
  <si>
    <t>Shopping Butantã</t>
  </si>
  <si>
    <t>BH Shopping</t>
  </si>
  <si>
    <t>Midway Mall Natal</t>
  </si>
  <si>
    <t>Itabuna</t>
  </si>
  <si>
    <t>Shopping Jequitibá Itabuna</t>
  </si>
  <si>
    <t>Guaíba</t>
  </si>
  <si>
    <t>Loja de Guaíba</t>
  </si>
  <si>
    <t>Shopping Total</t>
  </si>
  <si>
    <t>Juiz de Fora</t>
  </si>
  <si>
    <t>Shopping Independência</t>
  </si>
  <si>
    <t>Independência Shopping</t>
  </si>
  <si>
    <t>Casa &amp; Gourmet Shopping</t>
  </si>
  <si>
    <t>Jaraguá do Sul</t>
  </si>
  <si>
    <t>Jaraguá do Sul Park Shopping</t>
  </si>
  <si>
    <t>Pátio Batel</t>
  </si>
  <si>
    <t>Nova Iguaçu</t>
  </si>
  <si>
    <t>Top Shopping</t>
  </si>
  <si>
    <t>Shopping Paralela</t>
  </si>
  <si>
    <t xml:space="preserve">Passo Fundo </t>
  </si>
  <si>
    <t>Itaquaquecetuba</t>
  </si>
  <si>
    <t>Itaquá Garden</t>
  </si>
  <si>
    <t>Barueri</t>
  </si>
  <si>
    <t>Shopping Iguatemi Alphaville</t>
  </si>
  <si>
    <t>Iguatemi Alphaville</t>
  </si>
  <si>
    <t>Uberlândia</t>
  </si>
  <si>
    <t>Center Shopping Uberlândia</t>
  </si>
  <si>
    <t xml:space="preserve">Shopping Iguatemi Caxias </t>
  </si>
  <si>
    <t>São José</t>
  </si>
  <si>
    <t>Continente Park Shopping</t>
  </si>
  <si>
    <t>Linhares</t>
  </si>
  <si>
    <t>Pátio Mix Linhares</t>
  </si>
  <si>
    <t>Governador Valadares</t>
  </si>
  <si>
    <t>GV Shopping</t>
  </si>
  <si>
    <t>Parauapebas</t>
  </si>
  <si>
    <t>Partage Shopping Parauapebas</t>
  </si>
  <si>
    <t>Joinville Garten Shopping</t>
  </si>
  <si>
    <t>Shopping Nações Criciúma</t>
  </si>
  <si>
    <t>São Bernardo do Campo</t>
  </si>
  <si>
    <t>Shopping Metrópole</t>
  </si>
  <si>
    <t>Parque Dom Pedro</t>
  </si>
  <si>
    <t>Grand Shopping Messejana</t>
  </si>
  <si>
    <t>Shopping Maringá Park</t>
  </si>
  <si>
    <t>São José dos Pinhais</t>
  </si>
  <si>
    <t>Shopping São José</t>
  </si>
  <si>
    <t>Bragança Paulista</t>
  </si>
  <si>
    <t>Bragança Garden Shopping</t>
  </si>
  <si>
    <t>Shopping Pátio Brasil</t>
  </si>
  <si>
    <t>Shopping Pátio Paulista</t>
  </si>
  <si>
    <t>Teresópolis</t>
  </si>
  <si>
    <t>Teresópolis Shopping Center</t>
  </si>
  <si>
    <t>Carapicuíba</t>
  </si>
  <si>
    <t>Plaza Shopping Carapicuíba</t>
  </si>
  <si>
    <t>Riomar Presidente Kennedy</t>
  </si>
  <si>
    <t>Boulevard Belém</t>
  </si>
  <si>
    <t>Minas Shopping</t>
  </si>
  <si>
    <t>Center Shopping Rio</t>
  </si>
  <si>
    <t>Balneário Camboriú</t>
  </si>
  <si>
    <t>Balneário Shopping</t>
  </si>
  <si>
    <t>Shopping da Bahia</t>
  </si>
  <si>
    <t>Shopping Morumbi Town</t>
  </si>
  <si>
    <t>Shopping Taguatinga</t>
  </si>
  <si>
    <t>Taguatinga Shopping</t>
  </si>
  <si>
    <t>Partage Shopping Campina Grande</t>
  </si>
  <si>
    <t>Galleria Shopping</t>
  </si>
  <si>
    <t>Capão da Canoa</t>
  </si>
  <si>
    <t>Loja em Capão da Canoa</t>
  </si>
  <si>
    <t>Santo André</t>
  </si>
  <si>
    <t>Boulevard Vila Velha</t>
  </si>
  <si>
    <t>Shopping Jardim Sul</t>
  </si>
  <si>
    <t>Shopping Recreio</t>
  </si>
  <si>
    <t>Shopping Jardim Norte Juiz de Fora</t>
  </si>
  <si>
    <t>Foz do Iguaçu</t>
  </si>
  <si>
    <t>Palladium Foz do Iguaçú</t>
  </si>
  <si>
    <t>Patio Cianê Shopping</t>
  </si>
  <si>
    <t xml:space="preserve">Shopping Palladium </t>
  </si>
  <si>
    <t>Osasco</t>
  </si>
  <si>
    <t>Shopping União Osasco</t>
  </si>
  <si>
    <t>Contagem</t>
  </si>
  <si>
    <t>Itaú Power Shopping</t>
  </si>
  <si>
    <t>Parque Shopping Maceió</t>
  </si>
  <si>
    <t>Shopping Nova Iguaçu</t>
  </si>
  <si>
    <t>Cantareira Norte Shopping</t>
  </si>
  <si>
    <t>Iguatemi Porto Alegre</t>
  </si>
  <si>
    <t>Shopping Cerrado</t>
  </si>
  <si>
    <t>Paulista</t>
  </si>
  <si>
    <t>Paulista North Way Shopping</t>
  </si>
  <si>
    <t>Santana Parque Shopping</t>
  </si>
  <si>
    <t>Via Café Garden Shopping</t>
  </si>
  <si>
    <t>Mogi Shopping</t>
  </si>
  <si>
    <t>SP Market</t>
  </si>
  <si>
    <t>Shopping Light</t>
  </si>
  <si>
    <t>Juazeiro</t>
  </si>
  <si>
    <t>Juá Garden Shopping</t>
  </si>
  <si>
    <t>Floripa Shopping</t>
  </si>
  <si>
    <t>Uruguaiana</t>
  </si>
  <si>
    <t>Loja de Uruguaiana</t>
  </si>
  <si>
    <t>Mueller Shopping Joinville</t>
  </si>
  <si>
    <t>Jundiaí</t>
  </si>
  <si>
    <t>Valparaíso de Goiás</t>
  </si>
  <si>
    <t>Barretos</t>
  </si>
  <si>
    <t>North Shopping Barretos</t>
  </si>
  <si>
    <t>Tacaruna Shopping</t>
  </si>
  <si>
    <t>Guaratinguetá</t>
  </si>
  <si>
    <t>Buriti Shopping Guará</t>
  </si>
  <si>
    <t>Angra dos Reis</t>
  </si>
  <si>
    <t>Shopping Piratas Mall</t>
  </si>
  <si>
    <t>Camaçari</t>
  </si>
  <si>
    <t>Boulevard Shopping Camaçari</t>
  </si>
  <si>
    <t>Várzea Grande</t>
  </si>
  <si>
    <t>Várzea Grande Shopping</t>
  </si>
  <si>
    <t>Bourbon São Paulo</t>
  </si>
  <si>
    <t>Lorena</t>
  </si>
  <si>
    <t>Eco Valle Shopping</t>
  </si>
  <si>
    <t>Taboão da Serra</t>
  </si>
  <si>
    <t>São José dos Campos</t>
  </si>
  <si>
    <t>Vale Sul Shopping</t>
  </si>
  <si>
    <t>São Bernardo Plaza Shopping</t>
  </si>
  <si>
    <t>Rio Grande</t>
  </si>
  <si>
    <t>Partage Shopping Rio Grande</t>
  </si>
  <si>
    <t>Shopping Center Itaguaçu</t>
  </si>
  <si>
    <t>Balneário Shopping Camboriú</t>
  </si>
  <si>
    <t>Shopping Metro Tucuruvi</t>
  </si>
  <si>
    <t>Ipatinga</t>
  </si>
  <si>
    <t>Shopping Vale do Aço</t>
  </si>
  <si>
    <t>Shopping Pantanal</t>
  </si>
  <si>
    <t>Araraquara</t>
  </si>
  <si>
    <t>Shopping Jaraguá Araraquara</t>
  </si>
  <si>
    <t>Grand Plaza Shopping</t>
  </si>
  <si>
    <t>Novo Hamburgo</t>
  </si>
  <si>
    <t>Bourbon Shopping Novo Hamburgo</t>
  </si>
  <si>
    <t>Américas Shopping</t>
  </si>
  <si>
    <t>Palhoça</t>
  </si>
  <si>
    <t>Shopping Via Catarina</t>
  </si>
  <si>
    <t>Plaza Shopping Avenida</t>
  </si>
  <si>
    <t>Carioca Shopping</t>
  </si>
  <si>
    <t>Santa Bárbara D'Oeste</t>
  </si>
  <si>
    <t>Tivoli Shopping Center</t>
  </si>
  <si>
    <t>Loja Rua Padre Chagas</t>
  </si>
  <si>
    <t>Plaza Shopping Niterói</t>
  </si>
  <si>
    <t>Parque Shopping Maia</t>
  </si>
  <si>
    <t>Iguatemi Fortaleza</t>
  </si>
  <si>
    <t>Itaboraí</t>
  </si>
  <si>
    <t>Itaboraí Plaza</t>
  </si>
  <si>
    <t>Loja Manaus Centro</t>
  </si>
  <si>
    <t>Arapiraca</t>
  </si>
  <si>
    <t>Pátio Arapiraca Garden</t>
  </si>
  <si>
    <t>Roraima Garden Shopping</t>
  </si>
  <si>
    <t>Mangabeira Shopping</t>
  </si>
  <si>
    <t>Shopping Manaus Via Norte</t>
  </si>
  <si>
    <t>Loja Largo do Machado</t>
  </si>
  <si>
    <t>Colinas Shopping</t>
  </si>
  <si>
    <t>Sumaúma Park Shopping</t>
  </si>
  <si>
    <t>Tietê Plaza Shopping</t>
  </si>
  <si>
    <t>Terraço Shopping</t>
  </si>
  <si>
    <t>Pátio Roraima</t>
  </si>
  <si>
    <t>Lages</t>
  </si>
  <si>
    <t>Lages Garden Shopping</t>
  </si>
  <si>
    <t>Rio Verde</t>
  </si>
  <si>
    <t>Buriti Shopping Rio Verde</t>
  </si>
  <si>
    <t>Shopping Plaza Sul</t>
  </si>
  <si>
    <t>Araçatuba</t>
  </si>
  <si>
    <t>Praça Nova Araçatuba</t>
  </si>
  <si>
    <t xml:space="preserve">Shopping Cidade </t>
  </si>
  <si>
    <t>Riomar Shopping Fortaleza</t>
  </si>
  <si>
    <t>Rio Claro</t>
  </si>
  <si>
    <t>Shopping Center Rio Claro</t>
  </si>
  <si>
    <t>Beiramar Shopping</t>
  </si>
  <si>
    <t>Boulevard Shopping Belo Horizonte</t>
  </si>
  <si>
    <t>Lajeado</t>
  </si>
  <si>
    <t>Shopping Lajeado</t>
  </si>
  <si>
    <t>Pátio Brasil</t>
  </si>
  <si>
    <t>Mooca Plaza Shopping</t>
  </si>
  <si>
    <t>São Carlos</t>
  </si>
  <si>
    <t>Iguatemi São Carlos</t>
  </si>
  <si>
    <t>Mogi Shopping Center</t>
  </si>
  <si>
    <t>Loja Sete de Setembro</t>
  </si>
  <si>
    <t>Botucatu</t>
  </si>
  <si>
    <t>Shopping Patio Botucatu</t>
  </si>
  <si>
    <t>São Luis Shopping</t>
  </si>
  <si>
    <t>Cariacica</t>
  </si>
  <si>
    <t xml:space="preserve">Moxuara Shopping </t>
  </si>
  <si>
    <t>Iguatemi São José do Rio Preto</t>
  </si>
  <si>
    <t xml:space="preserve">Rio Preto Shopping Iguatemi </t>
  </si>
  <si>
    <t>Mossoró</t>
  </si>
  <si>
    <t>West Shopping Mossoró</t>
  </si>
  <si>
    <t>Betim</t>
  </si>
  <si>
    <t>Serra</t>
  </si>
  <si>
    <t>Shopping Montserrat</t>
  </si>
  <si>
    <t xml:space="preserve">Mooca Shopping </t>
  </si>
  <si>
    <t>Shopping Metropolitano Barra</t>
  </si>
  <si>
    <t>Ribeirão Shopping</t>
  </si>
  <si>
    <t>Pindamonhangaba</t>
  </si>
  <si>
    <t>Shopping Pátio Pinda</t>
  </si>
  <si>
    <t>Parque Shopping Sulacap</t>
  </si>
  <si>
    <t>Golden Square Shopping</t>
  </si>
  <si>
    <t>Natal Shopping</t>
  </si>
  <si>
    <t>Shopping Parangaba</t>
  </si>
  <si>
    <t>Shopping Contagem</t>
  </si>
  <si>
    <t>Pátio Shopping Maceió</t>
  </si>
  <si>
    <t>Gravataí</t>
  </si>
  <si>
    <t>Shopping Gravataí</t>
  </si>
  <si>
    <t>Shopping Pátio Cianê</t>
  </si>
  <si>
    <t>JK Shopping &amp; Tower</t>
  </si>
  <si>
    <t>Iguatemi Esplanada</t>
  </si>
  <si>
    <t>North Shopping Jóquei</t>
  </si>
  <si>
    <t>Rio Anil Shopping</t>
  </si>
  <si>
    <t>Passeio das Águas Shopping</t>
  </si>
  <si>
    <t>Centervale Shopping</t>
  </si>
  <si>
    <t>Shopping Cidade Sorocaba</t>
  </si>
  <si>
    <t>Metrô Boulevard Tatuapé</t>
  </si>
  <si>
    <t xml:space="preserve">Shopping Center Norte </t>
  </si>
  <si>
    <t>Shopping Tamboré</t>
  </si>
  <si>
    <t>Ponta Negra Shopping</t>
  </si>
  <si>
    <t>Shopping Iguatemi Campinas</t>
  </si>
  <si>
    <t>Iguatemi Brasília</t>
  </si>
  <si>
    <t>Amapá Garden Shopping</t>
  </si>
  <si>
    <t>Metropolitan Shopping Betim</t>
  </si>
  <si>
    <t>Presidente Prudente</t>
  </si>
  <si>
    <t>Prudenshopping</t>
  </si>
  <si>
    <t>Shopping Teresina</t>
  </si>
  <si>
    <t>Marabá</t>
  </si>
  <si>
    <t>Shopping Pátio Marabá</t>
  </si>
  <si>
    <t>Boulevard Londrina Shopping</t>
  </si>
  <si>
    <t>Pouso Alegre</t>
  </si>
  <si>
    <t>Shopping Serrasul</t>
  </si>
  <si>
    <t>Praiamar Shopping</t>
  </si>
  <si>
    <t>Boulevard Shopping Nações Bauru</t>
  </si>
  <si>
    <t>Mauá</t>
  </si>
  <si>
    <t>Mauá Plaza Shopping</t>
  </si>
  <si>
    <t>Park Shopping Campo Grande</t>
  </si>
  <si>
    <t>Parque das Bandeiras Shopping</t>
  </si>
  <si>
    <t xml:space="preserve">Shopping Jardim das Américas </t>
  </si>
  <si>
    <t>CenterVale Shopping</t>
  </si>
  <si>
    <t>Shopping Nova América</t>
  </si>
  <si>
    <t>Center Shopping</t>
  </si>
  <si>
    <t>Jundiaí Shopping</t>
  </si>
  <si>
    <t>Caruaru</t>
  </si>
  <si>
    <t>North Shopping Caruaru</t>
  </si>
  <si>
    <t>Shopping Santa Úrsula</t>
  </si>
  <si>
    <t>Shopping Bela Vista</t>
  </si>
  <si>
    <t>Loja Nossa Senhora de Copacabana</t>
  </si>
  <si>
    <t>Parque Shopping Belém</t>
  </si>
  <si>
    <t>Shopping Estação BH</t>
  </si>
  <si>
    <t>Bourbon Shopping Wallig</t>
  </si>
  <si>
    <t>Uberlândia Shopping</t>
  </si>
  <si>
    <t>Limeira</t>
  </si>
  <si>
    <t>Pátio Limeira Shopping</t>
  </si>
  <si>
    <t>Cataratas JL Shopping</t>
  </si>
  <si>
    <t>Jacareí</t>
  </si>
  <si>
    <t>Jacareí Shopping Center</t>
  </si>
  <si>
    <t>Diadema</t>
  </si>
  <si>
    <t xml:space="preserve">Shopping Praça da Moça </t>
  </si>
  <si>
    <t>Shopping Mestre Álvaro</t>
  </si>
  <si>
    <t>Shopping Conquista Sul</t>
  </si>
  <si>
    <t>Montes Claros</t>
  </si>
  <si>
    <t xml:space="preserve">Montes Claros Shopping </t>
  </si>
  <si>
    <t>Palladium Ponta Grossa Shopping</t>
  </si>
  <si>
    <t>Parque Shopping Baruerí</t>
  </si>
  <si>
    <t>São Caetano do Sul</t>
  </si>
  <si>
    <t>Park Shopping São Caetano</t>
  </si>
  <si>
    <t>Shopping Vila Olímpia</t>
  </si>
  <si>
    <t>Via Verde Shopping</t>
  </si>
  <si>
    <t>Marília</t>
  </si>
  <si>
    <t>Loja centro de Marília</t>
  </si>
  <si>
    <t>Erechim</t>
  </si>
  <si>
    <t>Loja de rua Erechim</t>
  </si>
  <si>
    <t>Pátio Chapecó Shopping</t>
  </si>
  <si>
    <t>Feira de Santana</t>
  </si>
  <si>
    <t>Boulevard Feira</t>
  </si>
  <si>
    <t>Novo Shopping Ribeirão</t>
  </si>
  <si>
    <t>Resende</t>
  </si>
  <si>
    <t>Pátio Mix Resende</t>
  </si>
  <si>
    <t>Campos dos Goytacazes</t>
  </si>
  <si>
    <t>Boulevard Campos</t>
  </si>
  <si>
    <t>Shopping Rio Mar Aracaju</t>
  </si>
  <si>
    <t>Blumenau Norte Shopping</t>
  </si>
  <si>
    <t>Norte Sul Plaza</t>
  </si>
  <si>
    <t>Franca</t>
  </si>
  <si>
    <t>Franca Shopping</t>
  </si>
  <si>
    <t>Royal Plaza Santa Maria</t>
  </si>
  <si>
    <t>São Gonçalo</t>
  </si>
  <si>
    <t>Boulevard São Gonçalo</t>
  </si>
  <si>
    <t>Cotia</t>
  </si>
  <si>
    <t>Shopping Granja Viana</t>
  </si>
  <si>
    <t>San Pelegrino Mall</t>
  </si>
  <si>
    <t>Norte Shopping Salvador</t>
  </si>
  <si>
    <t>Boulevard Shopping BH</t>
  </si>
  <si>
    <t>Boulevard BH</t>
  </si>
  <si>
    <t>Shopping Raposo Tavares</t>
  </si>
  <si>
    <t>Shopping West Campo Grande</t>
  </si>
  <si>
    <t>Loja Avenida Paulista</t>
  </si>
  <si>
    <t>Bourbon Shopping Ipiranga</t>
  </si>
  <si>
    <t>Boulevard Belém Shopping</t>
  </si>
  <si>
    <t>Park Shopping Brasília</t>
  </si>
  <si>
    <t>Goiânia Shopping</t>
  </si>
  <si>
    <t>Shopping União de Osasco</t>
  </si>
  <si>
    <t>Suzano Shopping Center</t>
  </si>
  <si>
    <t>Shopping Bella Citta</t>
  </si>
  <si>
    <t>Shopping Boulevard Brasilia</t>
  </si>
  <si>
    <t>Bauru Shopping</t>
  </si>
  <si>
    <t xml:space="preserve">Manauara Shopping </t>
  </si>
  <si>
    <t>Praia da Costa</t>
  </si>
  <si>
    <t>Anápolis</t>
  </si>
  <si>
    <t>Brasil Park Shopping</t>
  </si>
  <si>
    <t>Catuaí Shopping</t>
  </si>
  <si>
    <t>Duque de Caxias</t>
  </si>
  <si>
    <t>Caxias Shopping</t>
  </si>
  <si>
    <t>Campinas Shopping Center</t>
  </si>
  <si>
    <t>Aparecida de Goiânia</t>
  </si>
  <si>
    <t>São José dos Pinhais Shopping</t>
  </si>
  <si>
    <t>Shopping Taubaté</t>
  </si>
  <si>
    <t>Palladium Shopping Center</t>
  </si>
  <si>
    <t>São João de Meriti</t>
  </si>
  <si>
    <t>Shopping Grande Rio</t>
  </si>
  <si>
    <t>Shopping Taboão</t>
  </si>
  <si>
    <t>Shopping Bourbon Pompéia</t>
  </si>
  <si>
    <t>Shopping Prataviera</t>
  </si>
  <si>
    <t>Cascavel</t>
  </si>
  <si>
    <t>Shopping JL Cascavel</t>
  </si>
  <si>
    <t>Shopping Balneário Camboriu</t>
  </si>
  <si>
    <t>Praia de Belas Shopping</t>
  </si>
  <si>
    <t>Shopping Jardins</t>
  </si>
  <si>
    <t>Shopping Bougainville</t>
  </si>
  <si>
    <t>Shopping Leblon</t>
  </si>
  <si>
    <t>Shopping Via Parque</t>
  </si>
  <si>
    <t>Tubarão</t>
  </si>
  <si>
    <t>Shopping Farol</t>
  </si>
  <si>
    <t>Cachoeirinha</t>
  </si>
  <si>
    <t>Shopping do Vale</t>
  </si>
  <si>
    <t xml:space="preserve">North Shopping </t>
  </si>
  <si>
    <t>Maxi Shopping Jundiaí</t>
  </si>
  <si>
    <t>Shopping Estação</t>
  </si>
  <si>
    <t>Shopping Iguatemi</t>
  </si>
  <si>
    <t>Jaboatão dos Guararapes</t>
  </si>
  <si>
    <t>Shopping Guararapes</t>
  </si>
  <si>
    <t>Shopping Mueller</t>
  </si>
  <si>
    <t>Shopping Bourbon São Leopoldo</t>
  </si>
  <si>
    <t>Super Shopping Osasco</t>
  </si>
  <si>
    <t>Shopping Londrina</t>
  </si>
  <si>
    <t>Shopping Itaú Power</t>
  </si>
  <si>
    <t>Park Shopping Barigui</t>
  </si>
  <si>
    <t>Shopping Barigui</t>
  </si>
  <si>
    <t>Shopping Leste Aricanduva</t>
  </si>
  <si>
    <t>Boulevard Rio Shopping</t>
  </si>
  <si>
    <t>Pátio Brasil Shopping</t>
  </si>
  <si>
    <t>Shopping Center Iguatemi Campinas</t>
  </si>
  <si>
    <t>Plaza Sul</t>
  </si>
  <si>
    <t>Praiamar Shopping Center</t>
  </si>
  <si>
    <t>Flamboyant Shop. Center</t>
  </si>
  <si>
    <t>Morumbi Shopping</t>
  </si>
  <si>
    <t>Loja centro de Campinas</t>
  </si>
  <si>
    <t>West Plaza Shop. Center</t>
  </si>
  <si>
    <t>Shopping Center Norte</t>
  </si>
  <si>
    <t>Plaza Sul Shopping Center</t>
  </si>
  <si>
    <t>Anália Franco</t>
  </si>
  <si>
    <t>Miramar Shopping Center</t>
  </si>
  <si>
    <t>Sider Shopping Center</t>
  </si>
  <si>
    <t>Park Shopping</t>
  </si>
  <si>
    <t>Plaza Shopping</t>
  </si>
  <si>
    <t>Barra Shopping</t>
  </si>
  <si>
    <t>Rio Sul Shopping</t>
  </si>
  <si>
    <t>Madureira Shopping Rio</t>
  </si>
  <si>
    <t>Pátio Higienópolis</t>
  </si>
  <si>
    <t>Ilha Plaza Shopping</t>
  </si>
  <si>
    <t>Internacional Shop. Guarulhos</t>
  </si>
  <si>
    <t>Internacional Guarulhos S.C</t>
  </si>
  <si>
    <t>Loja centro de Curitiba</t>
  </si>
  <si>
    <t>Shopping Esplanada</t>
  </si>
  <si>
    <t>Shopping Canoas</t>
  </si>
  <si>
    <t>Shopping Neumarket</t>
  </si>
  <si>
    <t>Shopping Continental</t>
  </si>
  <si>
    <t>Iguatemi Caxias</t>
  </si>
  <si>
    <t>Shopping Curitiba</t>
  </si>
  <si>
    <t>Beira Mar Shopping</t>
  </si>
  <si>
    <t>Novo Shopping</t>
  </si>
  <si>
    <t>Loja Rio Grande</t>
  </si>
  <si>
    <t>Iguatemi Shopping Center</t>
  </si>
  <si>
    <t>Loja Santa Maria</t>
  </si>
  <si>
    <t>Otávio Rocha</t>
  </si>
  <si>
    <t>Centro Comercial Canoas</t>
  </si>
  <si>
    <t>Shopping João Pessoa</t>
  </si>
  <si>
    <t>Loja Pelotas</t>
  </si>
  <si>
    <t>Limite de crédito disponível (Off Balance)</t>
  </si>
  <si>
    <t>Credit limit available (Off Balance)</t>
  </si>
  <si>
    <t>Total (On balance)</t>
  </si>
  <si>
    <t>Coverages</t>
  </si>
  <si>
    <t>Coberturas</t>
  </si>
  <si>
    <t>Total Estimated Credit Losses (ECL)</t>
  </si>
  <si>
    <t>Perdas de Crédito Esperadas (PCE) Total</t>
  </si>
  <si>
    <t>Estimated Credit Losses (ECL) (thousand of R$)</t>
  </si>
  <si>
    <t>Perdas de Crédito Esperadas (PCE) (R$ mil)</t>
  </si>
  <si>
    <t>Carteira de Crédito Total (On balance)</t>
  </si>
  <si>
    <t>Total Total Credit Portfolio (On balance)</t>
  </si>
  <si>
    <t>% sobre a carteira média</t>
  </si>
  <si>
    <t>% sobre a carteira média Cartão Renner</t>
  </si>
  <si>
    <t>% sobre a carteira média Cartão Bandeira</t>
  </si>
  <si>
    <t>% over the average portfolio Private Label</t>
  </si>
  <si>
    <t>% over the average portfolio Co-Branded</t>
  </si>
  <si>
    <t>% over the average of portfolio</t>
  </si>
  <si>
    <t>2Q24</t>
  </si>
  <si>
    <t>YCM-160</t>
  </si>
  <si>
    <t>ASH-724</t>
  </si>
  <si>
    <t>YCM-158</t>
  </si>
  <si>
    <t>1H24</t>
  </si>
  <si>
    <t>% coverage of estimated Credit Losses</t>
  </si>
  <si>
    <t>% cobertura das perdas esperadas em crédito</t>
  </si>
  <si>
    <t>RNR-591</t>
  </si>
  <si>
    <t>Luziânia</t>
  </si>
  <si>
    <t>Shopping Luziânia</t>
  </si>
  <si>
    <t>RNR-593</t>
  </si>
  <si>
    <t>YCM-161</t>
  </si>
  <si>
    <t>RNR-587</t>
  </si>
  <si>
    <t>Campos do Jordão</t>
  </si>
  <si>
    <t>Santana do Livramento</t>
  </si>
  <si>
    <t>Loja Campos do Jordão</t>
  </si>
  <si>
    <t>Loja Santana do Livramento</t>
  </si>
  <si>
    <t>Status</t>
  </si>
  <si>
    <t>Y</t>
  </si>
  <si>
    <t xml:space="preserve">Loja Rio do Sul </t>
  </si>
  <si>
    <t xml:space="preserve">Shopping Garibaldi </t>
  </si>
  <si>
    <t xml:space="preserve">Aracaju Parque Shopping </t>
  </si>
  <si>
    <t xml:space="preserve">Shopping Tacaruna </t>
  </si>
  <si>
    <t xml:space="preserve">Partage Campina Grande </t>
  </si>
  <si>
    <t xml:space="preserve">Shopping Melancia </t>
  </si>
  <si>
    <t xml:space="preserve">Shopping Jardins Aracaju </t>
  </si>
  <si>
    <t xml:space="preserve">Shopping Bella Città </t>
  </si>
  <si>
    <t xml:space="preserve">Teresina Shopping </t>
  </si>
  <si>
    <t xml:space="preserve">Shopping Center Penha </t>
  </si>
  <si>
    <t xml:space="preserve">Shopping Plaza Casa Forte </t>
  </si>
  <si>
    <t xml:space="preserve">Shopping Metrópole </t>
  </si>
  <si>
    <t xml:space="preserve">Atrium Shopping </t>
  </si>
  <si>
    <t xml:space="preserve">Loja Centro de Bento Gonçalves </t>
  </si>
  <si>
    <t xml:space="preserve">Loja Visconde de Pirajá </t>
  </si>
  <si>
    <t xml:space="preserve">Shopping Natal </t>
  </si>
  <si>
    <t xml:space="preserve">Campinas Shopping </t>
  </si>
  <si>
    <t xml:space="preserve">Estação BH </t>
  </si>
  <si>
    <t xml:space="preserve">Canoas Shopping </t>
  </si>
  <si>
    <t xml:space="preserve">Shopping São Luís </t>
  </si>
  <si>
    <t xml:space="preserve">Anchieta Garden Shopping </t>
  </si>
  <si>
    <t xml:space="preserve">Maxi Shopping Jundiaí </t>
  </si>
  <si>
    <t xml:space="preserve">Shopping Taboão </t>
  </si>
  <si>
    <t xml:space="preserve">Loja Av. Ibirapuera </t>
  </si>
  <si>
    <t xml:space="preserve">West Plaza Shopping Center </t>
  </si>
  <si>
    <t xml:space="preserve">Praça Uberaba Shopping Center </t>
  </si>
  <si>
    <t xml:space="preserve">Loja na Rua Barão do Rio Branco </t>
  </si>
  <si>
    <t xml:space="preserve">Shopping Jardim Guadalupe  </t>
  </si>
  <si>
    <t xml:space="preserve">Via Vale Shopping </t>
  </si>
  <si>
    <t xml:space="preserve">Parque Shopping Maia </t>
  </si>
  <si>
    <t xml:space="preserve">Passeio das Águas Shopping </t>
  </si>
  <si>
    <t xml:space="preserve">Barra Shopping Sul </t>
  </si>
  <si>
    <t xml:space="preserve">Iguatemi São José do Rio Preto </t>
  </si>
  <si>
    <t xml:space="preserve">Tietê Plaza Shopping </t>
  </si>
  <si>
    <t xml:space="preserve">Shopping Contagem </t>
  </si>
  <si>
    <t xml:space="preserve">Monte Carmo Shopping Betim </t>
  </si>
  <si>
    <t xml:space="preserve">Palladium Curitiba </t>
  </si>
  <si>
    <t xml:space="preserve">Praia de Belas Shopping </t>
  </si>
  <si>
    <t xml:space="preserve">Golden Square Shopping </t>
  </si>
  <si>
    <t xml:space="preserve">Golden Square </t>
  </si>
  <si>
    <t xml:space="preserve">Bourbon Ipiranga </t>
  </si>
  <si>
    <t xml:space="preserve">Bourbon Wallig </t>
  </si>
  <si>
    <t xml:space="preserve">Shopping Bosque dos Ipês </t>
  </si>
  <si>
    <t xml:space="preserve">Loja Centro Vitória </t>
  </si>
  <si>
    <t xml:space="preserve">Goiabeiras Shopping </t>
  </si>
  <si>
    <t xml:space="preserve">Park Shopping Campo Grande </t>
  </si>
  <si>
    <t xml:space="preserve">Portal Shopping </t>
  </si>
  <si>
    <t xml:space="preserve">Super Shopping Osasco </t>
  </si>
  <si>
    <t xml:space="preserve">Shopping Santa Úrsula </t>
  </si>
  <si>
    <t xml:space="preserve">Shopping Center Itaguaçú </t>
  </si>
  <si>
    <t xml:space="preserve">Loja Rua dos Andradas </t>
  </si>
  <si>
    <t xml:space="preserve">Bourbon Novo Hamburgo </t>
  </si>
  <si>
    <t xml:space="preserve">Loja centro de Natal </t>
  </si>
  <si>
    <t xml:space="preserve">Shopping Vila Olímpia </t>
  </si>
  <si>
    <t xml:space="preserve">Barra Shopping </t>
  </si>
  <si>
    <t xml:space="preserve">Santana Parque Shopping </t>
  </si>
  <si>
    <t xml:space="preserve">Loja Imperatriz </t>
  </si>
  <si>
    <t xml:space="preserve">Shopping Interlagos </t>
  </si>
  <si>
    <t xml:space="preserve">Shopping Nova América </t>
  </si>
  <si>
    <t xml:space="preserve">Shopping Aricanduva </t>
  </si>
  <si>
    <t xml:space="preserve">BH Centro </t>
  </si>
  <si>
    <t xml:space="preserve">West Plaza </t>
  </si>
  <si>
    <t xml:space="preserve">Central Plaza Shopping </t>
  </si>
  <si>
    <t>Code</t>
  </si>
  <si>
    <t>RNR-552</t>
  </si>
  <si>
    <t>RNR-551</t>
  </si>
  <si>
    <t>RNR-535</t>
  </si>
  <si>
    <t>RNR-559</t>
  </si>
  <si>
    <t>RNR-503</t>
  </si>
  <si>
    <t>RNR-541</t>
  </si>
  <si>
    <t>RNR-525</t>
  </si>
  <si>
    <t>RNR-11011</t>
  </si>
  <si>
    <t>RNR-524</t>
  </si>
  <si>
    <t>RNR-517</t>
  </si>
  <si>
    <t>RNR-539</t>
  </si>
  <si>
    <t>RNR-496</t>
  </si>
  <si>
    <t>RNR-533</t>
  </si>
  <si>
    <t>RNR-531</t>
  </si>
  <si>
    <t>RNR-506</t>
  </si>
  <si>
    <t>RNR-548</t>
  </si>
  <si>
    <t>RNR-487</t>
  </si>
  <si>
    <t>RNR-532</t>
  </si>
  <si>
    <t>RNR-491</t>
  </si>
  <si>
    <t>RNR-394</t>
  </si>
  <si>
    <t>RNR-522</t>
  </si>
  <si>
    <t>RNR-515</t>
  </si>
  <si>
    <t>RNR-521</t>
  </si>
  <si>
    <t>RNR-393</t>
  </si>
  <si>
    <t>RNR-413</t>
  </si>
  <si>
    <t>RNR-523</t>
  </si>
  <si>
    <t>RNR-510</t>
  </si>
  <si>
    <t>RNR-512</t>
  </si>
  <si>
    <t>RNR-538</t>
  </si>
  <si>
    <t>RNR-514</t>
  </si>
  <si>
    <t>RNR-528</t>
  </si>
  <si>
    <t>RNR-513</t>
  </si>
  <si>
    <t>RNR-498</t>
  </si>
  <si>
    <t>RNR-516</t>
  </si>
  <si>
    <t>RNR-480</t>
  </si>
  <si>
    <t>RNR-537</t>
  </si>
  <si>
    <t>RNR-527</t>
  </si>
  <si>
    <t>RNR-509</t>
  </si>
  <si>
    <t>RNR-502</t>
  </si>
  <si>
    <t>RNR-454</t>
  </si>
  <si>
    <t>RNR-489</t>
  </si>
  <si>
    <t>RNR-13003</t>
  </si>
  <si>
    <t>RNR-13004</t>
  </si>
  <si>
    <t>RNR-13001</t>
  </si>
  <si>
    <t>RNR-488</t>
  </si>
  <si>
    <t>RNR-490</t>
  </si>
  <si>
    <t>RNR-11010</t>
  </si>
  <si>
    <t>RNR-13002</t>
  </si>
  <si>
    <t>RNR-505</t>
  </si>
  <si>
    <t>RNR-11008</t>
  </si>
  <si>
    <t>RNR-485</t>
  </si>
  <si>
    <t>RNR-501</t>
  </si>
  <si>
    <t>RNR-479</t>
  </si>
  <si>
    <t>RNR-466</t>
  </si>
  <si>
    <t>RNR-500</t>
  </si>
  <si>
    <t>RNR-377</t>
  </si>
  <si>
    <t>RNR-452</t>
  </si>
  <si>
    <t>RNR-408</t>
  </si>
  <si>
    <t>RNR-495</t>
  </si>
  <si>
    <t>RNR-494</t>
  </si>
  <si>
    <t>RNR-481</t>
  </si>
  <si>
    <t>RNR-468</t>
  </si>
  <si>
    <t>RNR-470</t>
  </si>
  <si>
    <t>RNR-427</t>
  </si>
  <si>
    <t>RNR-476</t>
  </si>
  <si>
    <t>RNR-467</t>
  </si>
  <si>
    <t>RNR-442</t>
  </si>
  <si>
    <t>RNR-486</t>
  </si>
  <si>
    <t>RNR-483</t>
  </si>
  <si>
    <t>RNR-11007</t>
  </si>
  <si>
    <t>RNR-463</t>
  </si>
  <si>
    <t>RNR-458</t>
  </si>
  <si>
    <t>RNR-453</t>
  </si>
  <si>
    <t>RNR-484</t>
  </si>
  <si>
    <t>RNR-482</t>
  </si>
  <si>
    <t>RNR-430</t>
  </si>
  <si>
    <t>RNR-11006</t>
  </si>
  <si>
    <t>RNR-404</t>
  </si>
  <si>
    <t>RNR-478</t>
  </si>
  <si>
    <t>RNR-417</t>
  </si>
  <si>
    <t>RNR-473</t>
  </si>
  <si>
    <t>RNR-360</t>
  </si>
  <si>
    <t>RNR-474</t>
  </si>
  <si>
    <t>RNR-472</t>
  </si>
  <si>
    <t>RNR-373</t>
  </si>
  <si>
    <t>RNR-475</t>
  </si>
  <si>
    <t>RNR-402</t>
  </si>
  <si>
    <t>RNR-11005</t>
  </si>
  <si>
    <t>RNR-455</t>
  </si>
  <si>
    <t>RNR-457</t>
  </si>
  <si>
    <t>RNR-416</t>
  </si>
  <si>
    <t>RNR-448</t>
  </si>
  <si>
    <t>RNR-450</t>
  </si>
  <si>
    <t>RNR-447</t>
  </si>
  <si>
    <t>RNR-405</t>
  </si>
  <si>
    <t>RNR-11003</t>
  </si>
  <si>
    <t>RNR-385</t>
  </si>
  <si>
    <t>RNR-11002</t>
  </si>
  <si>
    <t>RNR-395</t>
  </si>
  <si>
    <t>RNR-439</t>
  </si>
  <si>
    <t>RNR-443</t>
  </si>
  <si>
    <t>RNR-451</t>
  </si>
  <si>
    <t>RNR-449</t>
  </si>
  <si>
    <t>RNR-291</t>
  </si>
  <si>
    <t>RNR-426</t>
  </si>
  <si>
    <t>RNR-444</t>
  </si>
  <si>
    <t>RNR-321</t>
  </si>
  <si>
    <t>RNR-371</t>
  </si>
  <si>
    <t>RNR-432</t>
  </si>
  <si>
    <t>RNR-11001</t>
  </si>
  <si>
    <t>RNR-361</t>
  </si>
  <si>
    <t>RNR-366</t>
  </si>
  <si>
    <t>RNR-351</t>
  </si>
  <si>
    <t>RNR-433</t>
  </si>
  <si>
    <t>RNR-434</t>
  </si>
  <si>
    <t>RNR-374</t>
  </si>
  <si>
    <t>RNR-440</t>
  </si>
  <si>
    <t>RNR-345</t>
  </si>
  <si>
    <t>RNR-396</t>
  </si>
  <si>
    <t>RNR-441</t>
  </si>
  <si>
    <t>RNR-431</t>
  </si>
  <si>
    <t>RNR-437</t>
  </si>
  <si>
    <t>RNR-438</t>
  </si>
  <si>
    <t>RNR-436</t>
  </si>
  <si>
    <t>RNR-383</t>
  </si>
  <si>
    <t>RNR-249</t>
  </si>
  <si>
    <t>RNR-382</t>
  </si>
  <si>
    <t>RNR-390</t>
  </si>
  <si>
    <t>RNR-388</t>
  </si>
  <si>
    <t>RNR-389</t>
  </si>
  <si>
    <t>RNR-356</t>
  </si>
  <si>
    <t>RNR-428</t>
  </si>
  <si>
    <t>RNR-419</t>
  </si>
  <si>
    <t>RNR-342</t>
  </si>
  <si>
    <t>RNR-332</t>
  </si>
  <si>
    <t>RNR-398</t>
  </si>
  <si>
    <t>RNR-384</t>
  </si>
  <si>
    <t>RNR-338</t>
  </si>
  <si>
    <t>RNR-334</t>
  </si>
  <si>
    <t>RNR-339</t>
  </si>
  <si>
    <t>RNR-354</t>
  </si>
  <si>
    <t>RNR-380</t>
  </si>
  <si>
    <t>RNR-387</t>
  </si>
  <si>
    <t>RNR-376</t>
  </si>
  <si>
    <t>RNR-327</t>
  </si>
  <si>
    <t>RNR-386</t>
  </si>
  <si>
    <t>RNR-243</t>
  </si>
  <si>
    <t>RNR-353</t>
  </si>
  <si>
    <t>RNR-381</t>
  </si>
  <si>
    <t>RNR-409</t>
  </si>
  <si>
    <t>RNR-329</t>
  </si>
  <si>
    <t>RNR-369</t>
  </si>
  <si>
    <t>RNR-298</t>
  </si>
  <si>
    <t>RNR-328</t>
  </si>
  <si>
    <t>RNR-303</t>
  </si>
  <si>
    <t>RNR-326</t>
  </si>
  <si>
    <t>RNR-317</t>
  </si>
  <si>
    <t>RNR-363</t>
  </si>
  <si>
    <t>RNR-333</t>
  </si>
  <si>
    <t>RNR-293</t>
  </si>
  <si>
    <t>RNR-362</t>
  </si>
  <si>
    <t>RNR-313</t>
  </si>
  <si>
    <t>RNR-401</t>
  </si>
  <si>
    <t>RNR-289</t>
  </si>
  <si>
    <t>RNR-235</t>
  </si>
  <si>
    <t>RNR-358</t>
  </si>
  <si>
    <t>RNR-287</t>
  </si>
  <si>
    <t>RNR-323</t>
  </si>
  <si>
    <t>RNR-355</t>
  </si>
  <si>
    <t>RNR-400</t>
  </si>
  <si>
    <t>RNR-322</t>
  </si>
  <si>
    <t>RNR-315</t>
  </si>
  <si>
    <t>RNR-299</t>
  </si>
  <si>
    <t>RNR-306</t>
  </si>
  <si>
    <t>RNR-305</t>
  </si>
  <si>
    <t>RNR-340</t>
  </si>
  <si>
    <t>RNR-330</t>
  </si>
  <si>
    <t>RNR-318</t>
  </si>
  <si>
    <t>RNR-292</t>
  </si>
  <si>
    <t>RNR-297</t>
  </si>
  <si>
    <t>RNR-312</t>
  </si>
  <si>
    <t>RNR-276</t>
  </si>
  <si>
    <t>RNR-270</t>
  </si>
  <si>
    <t>RNR-316</t>
  </si>
  <si>
    <t>RNR-258</t>
  </si>
  <si>
    <t>RNR-261</t>
  </si>
  <si>
    <t>RNR-307</t>
  </si>
  <si>
    <t>RNR-308</t>
  </si>
  <si>
    <t>RNR-295</t>
  </si>
  <si>
    <t>RNR-403</t>
  </si>
  <si>
    <t>RNR-309</t>
  </si>
  <si>
    <t>RNR-301</t>
  </si>
  <si>
    <t>RNR-262</t>
  </si>
  <si>
    <t>RNR-256</t>
  </si>
  <si>
    <t>RNR-268</t>
  </si>
  <si>
    <t>RNR-283</t>
  </si>
  <si>
    <t>RNR-290</t>
  </si>
  <si>
    <t>RNR-300</t>
  </si>
  <si>
    <t>RNR-273</t>
  </si>
  <si>
    <t>RNR-281</t>
  </si>
  <si>
    <t>RNR-288</t>
  </si>
  <si>
    <t>RNR-279</t>
  </si>
  <si>
    <t>RNR-275</t>
  </si>
  <si>
    <t>RNR-285</t>
  </si>
  <si>
    <t>RNR-282</t>
  </si>
  <si>
    <t>RNR-278</t>
  </si>
  <si>
    <t>RNR-286</t>
  </si>
  <si>
    <t>RNR-277</t>
  </si>
  <si>
    <t>RNR-259</t>
  </si>
  <si>
    <t>RNR-266</t>
  </si>
  <si>
    <t>RNR-252</t>
  </si>
  <si>
    <t>RNR-260</t>
  </si>
  <si>
    <t>RNR-257</t>
  </si>
  <si>
    <t>RNR-271</t>
  </si>
  <si>
    <t>RNR-269</t>
  </si>
  <si>
    <t>RNR-267</t>
  </si>
  <si>
    <t>RNR-280</t>
  </si>
  <si>
    <t>RNR-133</t>
  </si>
  <si>
    <t>RNR-251</t>
  </si>
  <si>
    <t>RNR-190</t>
  </si>
  <si>
    <t>RNR-241</t>
  </si>
  <si>
    <t>RNR-245</t>
  </si>
  <si>
    <t>RNR-239</t>
  </si>
  <si>
    <t>RNR-188</t>
  </si>
  <si>
    <t>RNR-250</t>
  </si>
  <si>
    <t>RNR-176</t>
  </si>
  <si>
    <t>RNR-234</t>
  </si>
  <si>
    <t>RNR-233</t>
  </si>
  <si>
    <t>RNR-244</t>
  </si>
  <si>
    <t>RNR-237</t>
  </si>
  <si>
    <t>RNR-186</t>
  </si>
  <si>
    <t>RNR-108</t>
  </si>
  <si>
    <t>RNR-231</t>
  </si>
  <si>
    <t>RNR-196</t>
  </si>
  <si>
    <t>RNR-185</t>
  </si>
  <si>
    <t>RNR-236</t>
  </si>
  <si>
    <t>RNR-166</t>
  </si>
  <si>
    <t>RNR-170</t>
  </si>
  <si>
    <t>RNR-179</t>
  </si>
  <si>
    <t>RNR-154</t>
  </si>
  <si>
    <t>RNR-172</t>
  </si>
  <si>
    <t>RNR-200</t>
  </si>
  <si>
    <t>RNR-230</t>
  </si>
  <si>
    <t>RNR-147</t>
  </si>
  <si>
    <t>RNR-197</t>
  </si>
  <si>
    <t>RNR-198</t>
  </si>
  <si>
    <t>RNR-174</t>
  </si>
  <si>
    <t>RNR-123</t>
  </si>
  <si>
    <t>RNR-195</t>
  </si>
  <si>
    <t>RNR-167</t>
  </si>
  <si>
    <t>RNR-191</t>
  </si>
  <si>
    <t>RNR-189</t>
  </si>
  <si>
    <t>RNR-199</t>
  </si>
  <si>
    <t>RNR-187</t>
  </si>
  <si>
    <t>RNR-194</t>
  </si>
  <si>
    <t>RNR-151</t>
  </si>
  <si>
    <t>RNR-177</t>
  </si>
  <si>
    <t>RNR-178</t>
  </si>
  <si>
    <t>RNR-193</t>
  </si>
  <si>
    <t>RNR-149</t>
  </si>
  <si>
    <t>RNR-183</t>
  </si>
  <si>
    <t>RNR-161</t>
  </si>
  <si>
    <t>RNR-180</t>
  </si>
  <si>
    <t>RNR-182</t>
  </si>
  <si>
    <t>RNR-156</t>
  </si>
  <si>
    <t>RNR-173</t>
  </si>
  <si>
    <t>RNR-157</t>
  </si>
  <si>
    <t>RNR-162</t>
  </si>
  <si>
    <t>RNR-148</t>
  </si>
  <si>
    <t>RNR-155</t>
  </si>
  <si>
    <t>RNR-169</t>
  </si>
  <si>
    <t>RNR-143</t>
  </si>
  <si>
    <t>RNR-158</t>
  </si>
  <si>
    <t>RNR-137</t>
  </si>
  <si>
    <t>RNR-171</t>
  </si>
  <si>
    <t>RNR-153</t>
  </si>
  <si>
    <t>RNR-168</t>
  </si>
  <si>
    <t>RNR-150</t>
  </si>
  <si>
    <t>RNR-145</t>
  </si>
  <si>
    <t>RNR-175</t>
  </si>
  <si>
    <t>RNR-163</t>
  </si>
  <si>
    <t>RNR-096</t>
  </si>
  <si>
    <t>RNR-140</t>
  </si>
  <si>
    <t>RNR-159</t>
  </si>
  <si>
    <t>RNR-138</t>
  </si>
  <si>
    <t>RNR-139</t>
  </si>
  <si>
    <t>RNR-135</t>
  </si>
  <si>
    <t>RNR-142</t>
  </si>
  <si>
    <t>RNR-113</t>
  </si>
  <si>
    <t>RNR-128</t>
  </si>
  <si>
    <t>RNR-141</t>
  </si>
  <si>
    <t>RNR-146</t>
  </si>
  <si>
    <t>RNR-130</t>
  </si>
  <si>
    <t>RNR-129</t>
  </si>
  <si>
    <t>RNR-126</t>
  </si>
  <si>
    <t>RNR-125</t>
  </si>
  <si>
    <t>RNR-132</t>
  </si>
  <si>
    <t>RNR-136</t>
  </si>
  <si>
    <t>RNR-127</t>
  </si>
  <si>
    <t>RNR-122</t>
  </si>
  <si>
    <t>RNR-131</t>
  </si>
  <si>
    <t>RNR-119</t>
  </si>
  <si>
    <t>RNR-115</t>
  </si>
  <si>
    <t>RNR-120</t>
  </si>
  <si>
    <t>RNR-121</t>
  </si>
  <si>
    <t>RNR-111</t>
  </si>
  <si>
    <t>RNR-107</t>
  </si>
  <si>
    <t>RNR-106</t>
  </si>
  <si>
    <t>RNR-118</t>
  </si>
  <si>
    <t>RNR-116</t>
  </si>
  <si>
    <t>RNR-117</t>
  </si>
  <si>
    <t>RNR-110</t>
  </si>
  <si>
    <t>RNR-109</t>
  </si>
  <si>
    <t>RNR-112</t>
  </si>
  <si>
    <t>RNR-101</t>
  </si>
  <si>
    <t>RNR-102</t>
  </si>
  <si>
    <t>RNR-105</t>
  </si>
  <si>
    <t>RNR-100</t>
  </si>
  <si>
    <t>RNR-088</t>
  </si>
  <si>
    <t>RNR-103</t>
  </si>
  <si>
    <t>RNR-091</t>
  </si>
  <si>
    <t>RNR-097</t>
  </si>
  <si>
    <t>RNR-090</t>
  </si>
  <si>
    <t>RNR-098</t>
  </si>
  <si>
    <t>RNR-089</t>
  </si>
  <si>
    <t>RNR-095</t>
  </si>
  <si>
    <t>RNR-093</t>
  </si>
  <si>
    <t>RNR-087</t>
  </si>
  <si>
    <t>RNR-092</t>
  </si>
  <si>
    <t>RNR-082</t>
  </si>
  <si>
    <t>RNR-085</t>
  </si>
  <si>
    <t>RNR-086</t>
  </si>
  <si>
    <t>RNR-084</t>
  </si>
  <si>
    <t>RNR-083</t>
  </si>
  <si>
    <t>RNR-081</t>
  </si>
  <si>
    <t>RNR-079</t>
  </si>
  <si>
    <t>RNR-078</t>
  </si>
  <si>
    <t>RNR-076</t>
  </si>
  <si>
    <t>RNR-077</t>
  </si>
  <si>
    <t>RNR-073</t>
  </si>
  <si>
    <t>RNR-072</t>
  </si>
  <si>
    <t>RNR-070</t>
  </si>
  <si>
    <t>RNR-068</t>
  </si>
  <si>
    <t>RNR-069</t>
  </si>
  <si>
    <t>RNR-067</t>
  </si>
  <si>
    <t>RNR-066</t>
  </si>
  <si>
    <t>RNR-063</t>
  </si>
  <si>
    <t>RNR-065</t>
  </si>
  <si>
    <t>RNR-062</t>
  </si>
  <si>
    <t>RNR-061</t>
  </si>
  <si>
    <t>RNR-060</t>
  </si>
  <si>
    <t>RNR-059</t>
  </si>
  <si>
    <t>RNR-058</t>
  </si>
  <si>
    <t>RNR-044</t>
  </si>
  <si>
    <t>RNR-053</t>
  </si>
  <si>
    <t>RNR-057</t>
  </si>
  <si>
    <t>RNR-042</t>
  </si>
  <si>
    <t>RNR-050</t>
  </si>
  <si>
    <t>RNR-055</t>
  </si>
  <si>
    <t>RNR-056</t>
  </si>
  <si>
    <t>RNR-043</t>
  </si>
  <si>
    <t>RNR-045</t>
  </si>
  <si>
    <t>RNR-051</t>
  </si>
  <si>
    <t>RNR-049</t>
  </si>
  <si>
    <t>RNR-052</t>
  </si>
  <si>
    <t>RNR-048</t>
  </si>
  <si>
    <t>RNR-041</t>
  </si>
  <si>
    <t>RNR-047</t>
  </si>
  <si>
    <t>RNR-037</t>
  </si>
  <si>
    <t>RNR-046</t>
  </si>
  <si>
    <t>RNR-039</t>
  </si>
  <si>
    <t>RNR-040</t>
  </si>
  <si>
    <t>RNR-033</t>
  </si>
  <si>
    <t>RNR-038</t>
  </si>
  <si>
    <t>RNR-035</t>
  </si>
  <si>
    <t>RNR-036</t>
  </si>
  <si>
    <t>RNR-031</t>
  </si>
  <si>
    <t>RNR-030</t>
  </si>
  <si>
    <t>RNR-029</t>
  </si>
  <si>
    <t>RNR-028</t>
  </si>
  <si>
    <t>RNR-027</t>
  </si>
  <si>
    <t>RNR-026</t>
  </si>
  <si>
    <t>RNR-025</t>
  </si>
  <si>
    <t>RNR-018</t>
  </si>
  <si>
    <t>RNR-022</t>
  </si>
  <si>
    <t>RNR-021</t>
  </si>
  <si>
    <t>RNR-012</t>
  </si>
  <si>
    <t>RNR-009</t>
  </si>
  <si>
    <t>RNR-006</t>
  </si>
  <si>
    <t>RNR-004</t>
  </si>
  <si>
    <t>RNR-002</t>
  </si>
  <si>
    <t>RNR-010</t>
  </si>
  <si>
    <t>RNR-007</t>
  </si>
  <si>
    <t>RNR-013</t>
  </si>
  <si>
    <t>RNR-011</t>
  </si>
  <si>
    <t>RNR-001</t>
  </si>
  <si>
    <t>RNR-008</t>
  </si>
  <si>
    <t>RNR-003</t>
  </si>
  <si>
    <t>RNR-005</t>
  </si>
  <si>
    <t>ASH-721</t>
  </si>
  <si>
    <t>ASH-712</t>
  </si>
  <si>
    <t>ASH-709</t>
  </si>
  <si>
    <t>ASH-706</t>
  </si>
  <si>
    <t>ASH-707</t>
  </si>
  <si>
    <t>ASH-705</t>
  </si>
  <si>
    <t>ASH-704</t>
  </si>
  <si>
    <t>ASH-703</t>
  </si>
  <si>
    <t>ASH-702</t>
  </si>
  <si>
    <t>ASH-701</t>
  </si>
  <si>
    <t xml:space="preserve">Shopping Iguatemi Esplanada </t>
  </si>
  <si>
    <t>Shopping Plaza Niteroi</t>
  </si>
  <si>
    <t>Shopping Palladium</t>
  </si>
  <si>
    <t>Shopping Villa Romana</t>
  </si>
  <si>
    <t>CMC-010</t>
  </si>
  <si>
    <t>CMC-007</t>
  </si>
  <si>
    <t>CMC-008</t>
  </si>
  <si>
    <t>CMC-009</t>
  </si>
  <si>
    <t>CMC-001</t>
  </si>
  <si>
    <t>CMC-005</t>
  </si>
  <si>
    <t>CMC-006</t>
  </si>
  <si>
    <t>CMC-002</t>
  </si>
  <si>
    <t>CMC-003</t>
  </si>
  <si>
    <t>CMC-004</t>
  </si>
  <si>
    <t>CMC-011</t>
  </si>
  <si>
    <t>CMC-012</t>
  </si>
  <si>
    <t>CMC-013</t>
  </si>
  <si>
    <t>CMC-014</t>
  </si>
  <si>
    <t>CMC-016</t>
  </si>
  <si>
    <t>CMC-018</t>
  </si>
  <si>
    <t>CMC-017</t>
  </si>
  <si>
    <t>CMC-019</t>
  </si>
  <si>
    <t>CMC-020</t>
  </si>
  <si>
    <t>CMC-021</t>
  </si>
  <si>
    <t>CMC-023</t>
  </si>
  <si>
    <t>CMC-022</t>
  </si>
  <si>
    <t>CMC-026</t>
  </si>
  <si>
    <t>CMC-027</t>
  </si>
  <si>
    <t>CMC-028</t>
  </si>
  <si>
    <t>CMC-024</t>
  </si>
  <si>
    <t>CMC-029</t>
  </si>
  <si>
    <t>CMC-025</t>
  </si>
  <si>
    <t>CMC-030</t>
  </si>
  <si>
    <t>CMC-032</t>
  </si>
  <si>
    <t>CMC-031</t>
  </si>
  <si>
    <t>CMC-033</t>
  </si>
  <si>
    <t>CMC-034</t>
  </si>
  <si>
    <t>CMC-038</t>
  </si>
  <si>
    <t>CMC-035</t>
  </si>
  <si>
    <t>CMC-041</t>
  </si>
  <si>
    <t>CMC-036</t>
  </si>
  <si>
    <t>CMC-043</t>
  </si>
  <si>
    <t>CMC-039</t>
  </si>
  <si>
    <t>CMC-037</t>
  </si>
  <si>
    <t>CMC-044</t>
  </si>
  <si>
    <t>CMC-047</t>
  </si>
  <si>
    <t>CMC-048</t>
  </si>
  <si>
    <t>CMC-046</t>
  </si>
  <si>
    <t>CMC-049</t>
  </si>
  <si>
    <t>CMC-051</t>
  </si>
  <si>
    <t>CMC-052</t>
  </si>
  <si>
    <t>CMC-053</t>
  </si>
  <si>
    <t>CMC-055</t>
  </si>
  <si>
    <t>CMC-054</t>
  </si>
  <si>
    <t>CMC-050</t>
  </si>
  <si>
    <t>CMC-057</t>
  </si>
  <si>
    <t>CMC-058</t>
  </si>
  <si>
    <t>CMC-060</t>
  </si>
  <si>
    <t>CMC-056</t>
  </si>
  <si>
    <t>CMC-059</t>
  </si>
  <si>
    <t>CMC-061</t>
  </si>
  <si>
    <t>CMC-063</t>
  </si>
  <si>
    <t>CMC-065</t>
  </si>
  <si>
    <t>CMC-064</t>
  </si>
  <si>
    <t>CMC-062</t>
  </si>
  <si>
    <t>CMC-066</t>
  </si>
  <si>
    <t>CMC-069</t>
  </si>
  <si>
    <t>CMC-068</t>
  </si>
  <si>
    <t>CMC-071</t>
  </si>
  <si>
    <t>CMC-074</t>
  </si>
  <si>
    <t>CMC-070</t>
  </si>
  <si>
    <t>CMC-081</t>
  </si>
  <si>
    <t>CMC-073</t>
  </si>
  <si>
    <t>CMC-083</t>
  </si>
  <si>
    <t>CMC-082</t>
  </si>
  <si>
    <t>CMC-077</t>
  </si>
  <si>
    <t>CMC-080</t>
  </si>
  <si>
    <t>CMC-078</t>
  </si>
  <si>
    <t>CMC-090</t>
  </si>
  <si>
    <t>CMC-072</t>
  </si>
  <si>
    <t>CMC-076</t>
  </si>
  <si>
    <t>CMC-089</t>
  </si>
  <si>
    <t>CMC-091</t>
  </si>
  <si>
    <t>CMC-079</t>
  </si>
  <si>
    <t>CMC-093</t>
  </si>
  <si>
    <t>CMC-087</t>
  </si>
  <si>
    <t>CMC-085</t>
  </si>
  <si>
    <t>CMC-086</t>
  </si>
  <si>
    <t>CMC-095</t>
  </si>
  <si>
    <t>CMC-075</t>
  </si>
  <si>
    <t>CMC-102</t>
  </si>
  <si>
    <t>CMC-103</t>
  </si>
  <si>
    <t>CMC-088</t>
  </si>
  <si>
    <t>CMC-084</t>
  </si>
  <si>
    <t>CMC-107</t>
  </si>
  <si>
    <t>CMC-106</t>
  </si>
  <si>
    <t>CMC-096</t>
  </si>
  <si>
    <t>CMC-105</t>
  </si>
  <si>
    <t>CMC-101</t>
  </si>
  <si>
    <t>CMC-108</t>
  </si>
  <si>
    <t>CMC-104</t>
  </si>
  <si>
    <t>CMC-094</t>
  </si>
  <si>
    <t>CMC-109</t>
  </si>
  <si>
    <t>CMC-110</t>
  </si>
  <si>
    <t>CMC-111</t>
  </si>
  <si>
    <t>CMC-117</t>
  </si>
  <si>
    <t>CMC-113</t>
  </si>
  <si>
    <t>CMC-115</t>
  </si>
  <si>
    <t>CMC-122</t>
  </si>
  <si>
    <t>CMC-120</t>
  </si>
  <si>
    <t>CMC-114</t>
  </si>
  <si>
    <t>CMC-112</t>
  </si>
  <si>
    <t>CMC-118</t>
  </si>
  <si>
    <t>CMC-123</t>
  </si>
  <si>
    <t>CMC-119</t>
  </si>
  <si>
    <t>CMC-121</t>
  </si>
  <si>
    <t>CMC-116</t>
  </si>
  <si>
    <t>CMC-125</t>
  </si>
  <si>
    <t>CMC-126</t>
  </si>
  <si>
    <t>CMC-129</t>
  </si>
  <si>
    <t>CMC-127</t>
  </si>
  <si>
    <t>CMC-124</t>
  </si>
  <si>
    <t>CMC-128</t>
  </si>
  <si>
    <t>CMC-131</t>
  </si>
  <si>
    <t>CMC-132</t>
  </si>
  <si>
    <t>CMC-133</t>
  </si>
  <si>
    <t>CMC-141</t>
  </si>
  <si>
    <t>CMC-134</t>
  </si>
  <si>
    <t>CMC-142</t>
  </si>
  <si>
    <t>CMC-138</t>
  </si>
  <si>
    <t>CMC-139</t>
  </si>
  <si>
    <t>CMC-140</t>
  </si>
  <si>
    <t>CMC-145</t>
  </si>
  <si>
    <t>CMC-146</t>
  </si>
  <si>
    <t>CMC-147</t>
  </si>
  <si>
    <t>CMC-148</t>
  </si>
  <si>
    <t>YCM-007</t>
  </si>
  <si>
    <t>YCM-005</t>
  </si>
  <si>
    <t>YCM-004</t>
  </si>
  <si>
    <t>YCM-012</t>
  </si>
  <si>
    <t>YCM-016</t>
  </si>
  <si>
    <t>YCM-018</t>
  </si>
  <si>
    <t>YCM-019</t>
  </si>
  <si>
    <t>YCM-017</t>
  </si>
  <si>
    <t>YCM-020</t>
  </si>
  <si>
    <t>YCM-035</t>
  </si>
  <si>
    <t>YCM-038</t>
  </si>
  <si>
    <t>YCM-039</t>
  </si>
  <si>
    <t>YCM-049</t>
  </si>
  <si>
    <t>YCM-050</t>
  </si>
  <si>
    <t>YCM-048</t>
  </si>
  <si>
    <t>YCM-066</t>
  </si>
  <si>
    <t>YCM-070</t>
  </si>
  <si>
    <t>YCM-006</t>
  </si>
  <si>
    <t>YCM-008</t>
  </si>
  <si>
    <t>YCM-009</t>
  </si>
  <si>
    <t>YCM-010</t>
  </si>
  <si>
    <t>YCM-011</t>
  </si>
  <si>
    <t>YCM-003</t>
  </si>
  <si>
    <t>YCM-014</t>
  </si>
  <si>
    <t>YCM-013</t>
  </si>
  <si>
    <t>YCM-015</t>
  </si>
  <si>
    <t>YCM-023</t>
  </si>
  <si>
    <t>YCM-024</t>
  </si>
  <si>
    <t>YCM-021</t>
  </si>
  <si>
    <t>YCM-022</t>
  </si>
  <si>
    <t>YCM-025</t>
  </si>
  <si>
    <t>YCM-027</t>
  </si>
  <si>
    <t>YCM-026</t>
  </si>
  <si>
    <t>YCM-029</t>
  </si>
  <si>
    <t>YCM-031</t>
  </si>
  <si>
    <t>YCM-030</t>
  </si>
  <si>
    <t>YCM-033</t>
  </si>
  <si>
    <t>YCM-032</t>
  </si>
  <si>
    <t>YCM-034</t>
  </si>
  <si>
    <t>YCM-036</t>
  </si>
  <si>
    <t>YCM-037</t>
  </si>
  <si>
    <t>YCM-040</t>
  </si>
  <si>
    <t>YCM-041</t>
  </si>
  <si>
    <t>YCM-042</t>
  </si>
  <si>
    <t>YCM-043</t>
  </si>
  <si>
    <t>YCM-044</t>
  </si>
  <si>
    <t>YCM-045</t>
  </si>
  <si>
    <t>YCM-047</t>
  </si>
  <si>
    <t>YCM-046</t>
  </si>
  <si>
    <t>YCM-053</t>
  </si>
  <si>
    <t>YCM-051</t>
  </si>
  <si>
    <t>YCM-052</t>
  </si>
  <si>
    <t>YCM-054</t>
  </si>
  <si>
    <t>YCM-055</t>
  </si>
  <si>
    <t>YCM-061</t>
  </si>
  <si>
    <t>YCM-056</t>
  </si>
  <si>
    <t>YCM-062</t>
  </si>
  <si>
    <t>YCM-058</t>
  </si>
  <si>
    <t>YCM-059</t>
  </si>
  <si>
    <t>YCM-057</t>
  </si>
  <si>
    <t>YCM-067</t>
  </si>
  <si>
    <t>YCM-060</t>
  </si>
  <si>
    <t>YCM-063</t>
  </si>
  <si>
    <t>YCM-065</t>
  </si>
  <si>
    <t>YCM-064</t>
  </si>
  <si>
    <t>YCM-068</t>
  </si>
  <si>
    <t>YCM-072</t>
  </si>
  <si>
    <t>YCM-069</t>
  </si>
  <si>
    <t>YCM-074</t>
  </si>
  <si>
    <t>YCM-073</t>
  </si>
  <si>
    <t>YCM-075</t>
  </si>
  <si>
    <t>YCM-077</t>
  </si>
  <si>
    <t>YCM-078</t>
  </si>
  <si>
    <t>YCM-083</t>
  </si>
  <si>
    <t>YCM-085</t>
  </si>
  <si>
    <t>YCM-084</t>
  </si>
  <si>
    <t>YCM-076</t>
  </si>
  <si>
    <t>YCM-081</t>
  </si>
  <si>
    <t>YCM-080</t>
  </si>
  <si>
    <t>YCM-087</t>
  </si>
  <si>
    <t>YCM-088</t>
  </si>
  <si>
    <t>YCM-079</t>
  </si>
  <si>
    <t>YCM-086</t>
  </si>
  <si>
    <t>YCM-089</t>
  </si>
  <si>
    <t>YCM-082</t>
  </si>
  <si>
    <t>YCM-090</t>
  </si>
  <si>
    <t>YCM-092</t>
  </si>
  <si>
    <t>YCM-094</t>
  </si>
  <si>
    <t>YCM-095</t>
  </si>
  <si>
    <t>YCM-096</t>
  </si>
  <si>
    <t>YCM-028</t>
  </si>
  <si>
    <t>YCM-071</t>
  </si>
  <si>
    <t>YCM-097</t>
  </si>
  <si>
    <t>YCM-100</t>
  </si>
  <si>
    <t>YCM-099</t>
  </si>
  <si>
    <t>YCM-101</t>
  </si>
  <si>
    <t>YCM-098</t>
  </si>
  <si>
    <t>YCM-105</t>
  </si>
  <si>
    <t>YCM-091</t>
  </si>
  <si>
    <t>YCM-093</t>
  </si>
  <si>
    <t>YCM-107</t>
  </si>
  <si>
    <t>YCM-106</t>
  </si>
  <si>
    <t>YCM-110</t>
  </si>
  <si>
    <t>YCM-109</t>
  </si>
  <si>
    <t>YCM-108</t>
  </si>
  <si>
    <t>YCM-111</t>
  </si>
  <si>
    <t>YCM-113</t>
  </si>
  <si>
    <t>YCM-112</t>
  </si>
  <si>
    <t>YCM-115</t>
  </si>
  <si>
    <t>YCM-116</t>
  </si>
  <si>
    <t>YCM-117</t>
  </si>
  <si>
    <t>YCM-123</t>
  </si>
  <si>
    <t>YCM-119</t>
  </si>
  <si>
    <t>YCM-122</t>
  </si>
  <si>
    <t>YCM-121</t>
  </si>
  <si>
    <t>YCM-136</t>
  </si>
  <si>
    <t>YCM-126</t>
  </si>
  <si>
    <t>RNR-511</t>
  </si>
  <si>
    <t>RNR-032</t>
  </si>
  <si>
    <t>RNR-071</t>
  </si>
  <si>
    <t>RNR-080</t>
  </si>
  <si>
    <t>RNR-184</t>
  </si>
  <si>
    <t>RNR-192</t>
  </si>
  <si>
    <t>RNR-247</t>
  </si>
  <si>
    <t>RNR-232</t>
  </si>
  <si>
    <t>RNR-238</t>
  </si>
  <si>
    <t>RNR-242</t>
  </si>
  <si>
    <t>RNR-264</t>
  </si>
  <si>
    <t>RNR-302</t>
  </si>
  <si>
    <t>RNR-319</t>
  </si>
  <si>
    <t>RNR-341</t>
  </si>
  <si>
    <t>RNR-368</t>
  </si>
  <si>
    <t>RNR-365</t>
  </si>
  <si>
    <t>RNR-367</t>
  </si>
  <si>
    <t>RNR-272</t>
  </si>
  <si>
    <t>RNR-375</t>
  </si>
  <si>
    <t>RNR-320</t>
  </si>
  <si>
    <t>RNR-364</t>
  </si>
  <si>
    <t>RNR-425</t>
  </si>
  <si>
    <t>RNR-418</t>
  </si>
  <si>
    <t>RNR-435</t>
  </si>
  <si>
    <t>RNR-343</t>
  </si>
  <si>
    <t>RNR-421</t>
  </si>
  <si>
    <t>RNR-11004</t>
  </si>
  <si>
    <t>RNR-446</t>
  </si>
  <si>
    <t>RNR-530</t>
  </si>
  <si>
    <t>RNR-508</t>
  </si>
  <si>
    <t>RNR-518</t>
  </si>
  <si>
    <t>RNR-507</t>
  </si>
  <si>
    <t>Shopping Lar Center</t>
  </si>
  <si>
    <t>RNR-556</t>
  </si>
  <si>
    <t>Cabo Frio</t>
  </si>
  <si>
    <t>Shopping Park Lagos</t>
  </si>
  <si>
    <t>RNR-570</t>
  </si>
  <si>
    <t>Shopping Três Américas</t>
  </si>
  <si>
    <t>3Q24</t>
  </si>
  <si>
    <t>9M24</t>
  </si>
  <si>
    <t xml:space="preserve">Cartões de Terceiros </t>
  </si>
  <si>
    <t>YCM-150</t>
  </si>
  <si>
    <t>Colombo</t>
  </si>
  <si>
    <t>Shopping Colombo Park</t>
  </si>
  <si>
    <t>RNR-588</t>
  </si>
  <si>
    <t>Araguaína</t>
  </si>
  <si>
    <t>RNR-558</t>
  </si>
  <si>
    <t>Shopping Lago Center Araguaína</t>
  </si>
  <si>
    <t>YCM-162</t>
  </si>
  <si>
    <t>Closed</t>
  </si>
  <si>
    <t>Shopping Catuai Cascavel</t>
  </si>
  <si>
    <t>RNR-580</t>
  </si>
  <si>
    <t>RNR-578</t>
  </si>
  <si>
    <t>Conselheiro Lafaiete</t>
  </si>
  <si>
    <t>YCM-152</t>
  </si>
  <si>
    <t>Shopping Américas</t>
  </si>
  <si>
    <t>YCM-165</t>
  </si>
  <si>
    <t>YCM-164</t>
  </si>
  <si>
    <t>Shopping Patio Paulista</t>
  </si>
  <si>
    <t>Loja Conselheiro Lafaiete</t>
  </si>
  <si>
    <t>YCM-163</t>
  </si>
  <si>
    <t>RNR-550</t>
  </si>
  <si>
    <t>Toledo</t>
  </si>
  <si>
    <t>Loja Toledo</t>
  </si>
  <si>
    <t>Shopping Cataratas JL</t>
  </si>
  <si>
    <t>4Q24</t>
  </si>
  <si>
    <t>Logística</t>
  </si>
  <si>
    <t>Logistics</t>
  </si>
  <si>
    <t xml:space="preserve"> Interest on capital and dividends payable </t>
  </si>
  <si>
    <t>RNR-560</t>
  </si>
  <si>
    <t>Vilhena</t>
  </si>
  <si>
    <t>Shopping Jardins de Vilhena</t>
  </si>
  <si>
    <t>Retailing net revenue</t>
  </si>
  <si>
    <t>Merchandise</t>
  </si>
  <si>
    <t>Financial services net revenue</t>
  </si>
  <si>
    <t>Venda de Serviços</t>
  </si>
  <si>
    <t>Lucro Bruto de Mercadorias</t>
  </si>
  <si>
    <t>Lucro Bruto de Serviços</t>
  </si>
  <si>
    <t>Margem Bruta Mercadorias</t>
  </si>
  <si>
    <t>Margem Bruta de Serviços</t>
  </si>
  <si>
    <t>Outras receitas e despesas</t>
  </si>
  <si>
    <t>Other income and expenses</t>
  </si>
  <si>
    <t>1Q25</t>
  </si>
  <si>
    <t>Average selling area of the period - Camicado (thousand sq. meters)*</t>
  </si>
  <si>
    <t>Retailing net revenues - Camicado (R$ MM)</t>
  </si>
  <si>
    <t>Margem bruta - Camicado (%)</t>
  </si>
  <si>
    <t>Receita líquida por m² - Camicado (R$ mil)</t>
  </si>
  <si>
    <t>Crescimento da receita líquida por m² - Camicado</t>
  </si>
  <si>
    <t>Selling area  (thousand sq. meters) - Camicado</t>
  </si>
  <si>
    <t>Área de vendas - Camicado (mil m²)</t>
  </si>
  <si>
    <t>Área de vendas média do período - Camicado (mil m²)</t>
  </si>
  <si>
    <t>Retailing net revenues growth - Camicado (R$ MM)</t>
  </si>
  <si>
    <t>Retailing net revenues per square meters - Camicado (R$ thousand)</t>
  </si>
  <si>
    <t>Retailing net revenues per square meters growth - Camicado (R$ thousand)</t>
  </si>
  <si>
    <t>Selling area  (thousand sq. meters) - Youcom</t>
  </si>
  <si>
    <t>Área de vendas - Youcom (mil m²)</t>
  </si>
  <si>
    <t>Average selling area of the period - Youcom (thousand sq. meters)*</t>
  </si>
  <si>
    <t>Área de vendas média do período - Youcom (mil m²)</t>
  </si>
  <si>
    <t>Retailing net revenues - Youcom (R$ MM)</t>
  </si>
  <si>
    <t>Retailing net revenues growth - Youcom (R$ MM)</t>
  </si>
  <si>
    <t>Margem bruta - Youcom (%)</t>
  </si>
  <si>
    <t>Retailing net revenues per square meters - Youcom (R$ thousand)</t>
  </si>
  <si>
    <t>Receita líquida por m² - Youcom (R$ mil)</t>
  </si>
  <si>
    <t>Retailing net revenues per square meters growth - Youcom (R$ thousand)</t>
  </si>
  <si>
    <t>Crescimento da receita líquida por m² - Youcom</t>
  </si>
  <si>
    <t>Selling area  (thousand sq. meters) - Renner</t>
  </si>
  <si>
    <t>Área de vendas - Renner (mil m²)</t>
  </si>
  <si>
    <t>Average selling area of the period - Renner (thousand sq. meters)*</t>
  </si>
  <si>
    <t>Área de vendas média do período - Renner (mil m²)</t>
  </si>
  <si>
    <t>Retailing net revenues - Renner (R$ MM)</t>
  </si>
  <si>
    <t>Retailing net revenues growth - Renner (R$ MM)</t>
  </si>
  <si>
    <t>Margem bruta - Renner (%)</t>
  </si>
  <si>
    <t>Retailing net revenues per square meters - Renner (R$ thousand)</t>
  </si>
  <si>
    <t>Receita líquida por m² - Renner (R$ mil)</t>
  </si>
  <si>
    <t>Retailing net revenues per square meters growth - Renner (R$ thousand)</t>
  </si>
  <si>
    <t>Crescimento da receita líquida por m² - Renner</t>
  </si>
  <si>
    <t>Quantidade de lojas - Consolidado</t>
  </si>
  <si>
    <t>Inaugurações líquidas de lojas - Consolidado</t>
  </si>
  <si>
    <t>Área de vendas - Consolidado (mil m²)</t>
  </si>
  <si>
    <t>Área de vendas média do período - Consolidado (mil m²)</t>
  </si>
  <si>
    <t>Receita líquida de varejo - Consolidado (R$ MM)</t>
  </si>
  <si>
    <t>Crescimento da receita líquida de varejo - Consolidado</t>
  </si>
  <si>
    <t>Receita líquida por m² - Consolidado (R$ mil)</t>
  </si>
  <si>
    <t>Crescimento da receita líquida por m² - Consolidado</t>
  </si>
  <si>
    <t>Quantity of stores - Consolidated</t>
  </si>
  <si>
    <t>Net openings of stores - Consolidated</t>
  </si>
  <si>
    <t>Selling area  (thousand sq. meters) - Consolidated</t>
  </si>
  <si>
    <t>Average selling area of the period - Consolidated (thousand sq. meters)*</t>
  </si>
  <si>
    <t>Retailing net revenues - Consolidated (R$ MM)</t>
  </si>
  <si>
    <t>Retailing net revenues growth - Consolidated (R$ MM)</t>
  </si>
  <si>
    <t>Retailing net revenues per square meters - Consolidated (R$ thousand)</t>
  </si>
  <si>
    <t>Retailing net revenues per square meters growth - Consolidated (R$ thousand)</t>
  </si>
  <si>
    <t>Descontinuado
Discontinued</t>
  </si>
  <si>
    <t>Resultado Financeiro</t>
  </si>
  <si>
    <t>Financial Result</t>
  </si>
  <si>
    <t>Lucro operacional antes do resultado financeiro</t>
  </si>
  <si>
    <t>Perdas em crédito</t>
  </si>
  <si>
    <t>Lucros (prejuízos) acumulados</t>
  </si>
  <si>
    <t>Total 2025</t>
  </si>
  <si>
    <t>Stage 3 - up to 360 days</t>
  </si>
  <si>
    <t>Estágio 3 - até 360 dias</t>
  </si>
  <si>
    <t>% over the average total portfolio</t>
  </si>
  <si>
    <t>% sobre a carteira média total</t>
  </si>
  <si>
    <t>(+) Eliminação de Operação Intercompany</t>
  </si>
  <si>
    <t>(=) Custo dos Serviços Financeiros - Consolidado</t>
  </si>
  <si>
    <t>Costs of Financial Services - Consolidated</t>
  </si>
  <si>
    <t>(+) Intercompany Operation Elimination</t>
  </si>
  <si>
    <t>(-) Custo dos Serviços Financeiros - Realize CFI</t>
  </si>
  <si>
    <t>(-) Costs of Financial Services - Realize CFI</t>
  </si>
  <si>
    <t>Co-Branded Card</t>
  </si>
  <si>
    <t>Other Receivables</t>
  </si>
  <si>
    <t>Outros Recebíveis</t>
  </si>
  <si>
    <t>Private Label Card - Net Portfolio</t>
  </si>
  <si>
    <t>Co-Branded Card - Net Portolio</t>
  </si>
  <si>
    <t>A vencer</t>
  </si>
  <si>
    <t>de 91 a 180 dias</t>
  </si>
  <si>
    <t>acima de 180 dias</t>
  </si>
  <si>
    <t>até 90 dias</t>
  </si>
  <si>
    <t>Accounts Receivables by due date (thousand of R$)</t>
  </si>
  <si>
    <t>Contas a Receber por faixa de vencimento (R$ mil)</t>
  </si>
  <si>
    <t>On due</t>
  </si>
  <si>
    <t>up to 90 days</t>
  </si>
  <si>
    <t>from 91 up to 180 days</t>
  </si>
  <si>
    <t>over 180 days</t>
  </si>
  <si>
    <t>Private Label Card - Total Portfolio</t>
  </si>
  <si>
    <t>Cartão Renner - Carteira Total</t>
  </si>
  <si>
    <t>Meu Cartão</t>
  </si>
  <si>
    <t>Co-Branded Card - Total Portfolio</t>
  </si>
  <si>
    <t>Meu Cartão - Carteira Total</t>
  </si>
  <si>
    <t>Contas a Receber - Total</t>
  </si>
  <si>
    <t>Accounts Receivables - Total</t>
  </si>
  <si>
    <t>Cartões de Terceiros - Valor Presente Líquido</t>
  </si>
  <si>
    <t>Third Parties Cards - Net Present Value</t>
  </si>
  <si>
    <t>Cartão Renner - Carteira Líquida</t>
  </si>
  <si>
    <t>Meu Cartão - Carteira Líquida</t>
  </si>
  <si>
    <t>ECL / Total Portfolio - Up to 540 days</t>
  </si>
  <si>
    <t>ECL / Past Due Portfolio - Up to 540 days</t>
  </si>
  <si>
    <t>ECL / Stage 3 - Up to 540 days</t>
  </si>
  <si>
    <t>ECL / Past Due Stage 3 - Up to 540 days</t>
  </si>
  <si>
    <t>Private Label (thousand of R$)</t>
  </si>
  <si>
    <t>Cartão Renner (R$ mil)</t>
  </si>
  <si>
    <t>Co-Branded Card (thousand of R$)</t>
  </si>
  <si>
    <t>Meu Cartão (R$ mil)</t>
  </si>
  <si>
    <r>
      <t>ROIC</t>
    </r>
    <r>
      <rPr>
        <vertAlign val="superscript"/>
        <sz val="8"/>
        <rFont val="Arial"/>
        <family val="2"/>
      </rPr>
      <t>LTM</t>
    </r>
  </si>
  <si>
    <t>Caldas Novas</t>
  </si>
  <si>
    <t>RNR-603</t>
  </si>
  <si>
    <t>YCM-167</t>
  </si>
  <si>
    <t>Shopping Singapura City</t>
  </si>
  <si>
    <t>Shopping Franca</t>
  </si>
  <si>
    <t>YCM-154</t>
  </si>
  <si>
    <t>YCM-143</t>
  </si>
  <si>
    <t>YCM-170</t>
  </si>
  <si>
    <t>Shopping Sider</t>
  </si>
  <si>
    <t>Shopping Praça Nova Araçatuba</t>
  </si>
  <si>
    <t>2Q25</t>
  </si>
  <si>
    <t>1H25</t>
  </si>
  <si>
    <t>Imposto de renda e contribuição social a recuperar</t>
  </si>
  <si>
    <t>Recoverable income tax and social contribution</t>
  </si>
  <si>
    <t xml:space="preserve">Imposto de renda e contribuição social a recuperar </t>
  </si>
  <si>
    <t>Shopping Galleria</t>
  </si>
  <si>
    <t>CMC-150</t>
  </si>
  <si>
    <t>YCM-168</t>
  </si>
  <si>
    <t>YCM-166</t>
  </si>
  <si>
    <t>Loja Balneário Camboriú</t>
  </si>
  <si>
    <t>Estágio 3</t>
  </si>
  <si>
    <t>RNR-607</t>
  </si>
  <si>
    <t>YCM-169</t>
  </si>
  <si>
    <t>YCM-172</t>
  </si>
  <si>
    <t>Passos</t>
  </si>
  <si>
    <t>Loja Passos</t>
  </si>
  <si>
    <t>Shopping Super Osasco</t>
  </si>
  <si>
    <t>3Q25</t>
  </si>
  <si>
    <t>9M25</t>
  </si>
  <si>
    <t>10,5%</t>
  </si>
  <si>
    <t>RNR-585</t>
  </si>
  <si>
    <t>YCM-174</t>
  </si>
  <si>
    <t>YCM-173</t>
  </si>
  <si>
    <t>YCM-155</t>
  </si>
  <si>
    <t>Jundiai</t>
  </si>
  <si>
    <t>Americana</t>
  </si>
  <si>
    <t>Shopping Americana</t>
  </si>
  <si>
    <t>Shopping Maxi Jundiai</t>
  </si>
  <si>
    <t>Shopping Terraço</t>
  </si>
  <si>
    <t>CMC-149</t>
  </si>
  <si>
    <t>YCM-171</t>
  </si>
  <si>
    <t>Shopping Manhattan</t>
  </si>
  <si>
    <t>Stage 3</t>
  </si>
  <si>
    <t>PCE / Carteira total</t>
  </si>
  <si>
    <t>PCE / Carteira Vencida</t>
  </si>
  <si>
    <t>PCE / Estágio 3</t>
  </si>
  <si>
    <t>PCE / Estágio 3 Vencido</t>
  </si>
  <si>
    <t>ROIC Calculation</t>
  </si>
  <si>
    <t>Cálculo ROIC</t>
  </si>
  <si>
    <t>3Q25 LTM</t>
  </si>
  <si>
    <t>3Q24 LTM</t>
  </si>
  <si>
    <t>% ROIC</t>
  </si>
  <si>
    <t>(=) NOPAT</t>
  </si>
  <si>
    <t>(=) Average Invested Capital</t>
  </si>
  <si>
    <t>(=) Capital Investido Médio</t>
  </si>
  <si>
    <t>Caixa e Aplicações</t>
  </si>
  <si>
    <t>Clients</t>
  </si>
  <si>
    <t>Clientes</t>
  </si>
  <si>
    <t>Recoverable Taxes (Short term)</t>
  </si>
  <si>
    <t>Impostos a Recuperar CP</t>
  </si>
  <si>
    <t>Recoverable Taxes (Long term)</t>
  </si>
  <si>
    <t>Impostos a Recuperar LP</t>
  </si>
  <si>
    <t>Other assets  (Short term)</t>
  </si>
  <si>
    <t>Outros Ativos CP</t>
  </si>
  <si>
    <t>Other assets  (Long term)</t>
  </si>
  <si>
    <t>Outros Ativos LP</t>
  </si>
  <si>
    <t>Other liabilities  (Short term)</t>
  </si>
  <si>
    <t>Outros Passivos de CP</t>
  </si>
  <si>
    <t>Other liabilities (Long term)</t>
  </si>
  <si>
    <t>Outros Passivos de LP</t>
  </si>
  <si>
    <t>Fixed assets</t>
  </si>
  <si>
    <t xml:space="preserve">Ativos Fixos </t>
  </si>
  <si>
    <t>Or</t>
  </si>
  <si>
    <t>Ou</t>
  </si>
  <si>
    <t>(+) Shareholder's Equity</t>
  </si>
  <si>
    <t>(+) Patrimônio Líquido</t>
  </si>
  <si>
    <t>(+) Loans and Financing</t>
  </si>
  <si>
    <t>(+) Empréstimos e Financiamentos</t>
  </si>
  <si>
    <t>(+) Liabilities Under Bylaws</t>
  </si>
  <si>
    <t>(+) Obrigações Estatutárias</t>
  </si>
  <si>
    <t xml:space="preserve">Para fins de Capital Investido Médio, consideramos todo o capital alocado no negócio, incluindo Caixa e Equivalentes, Ativos e Passivos de Curto e Longo Prazo e Ativos Fixos. </t>
  </si>
  <si>
    <t>For purposes of Average Invested Capital, we consider all capital allocated to the business, including Cash and Cash Equivalents, Current and Non-Current Assets and Liabilities, and Fixed Assets.</t>
  </si>
  <si>
    <t>RNR-610</t>
  </si>
  <si>
    <t>Shopping Centro Norte Apucarana</t>
  </si>
  <si>
    <t>Apucarana</t>
  </si>
  <si>
    <t>YCM-175</t>
  </si>
  <si>
    <t>Shopping Jaragua Araraquara</t>
  </si>
  <si>
    <t>RNR-620</t>
  </si>
  <si>
    <t>Patos de Minas</t>
  </si>
  <si>
    <t>Shopping Patio Central</t>
  </si>
  <si>
    <t>YCM-179</t>
  </si>
  <si>
    <t>Campo Largo</t>
  </si>
  <si>
    <t>Shopping City Center Outlet</t>
  </si>
  <si>
    <t>CMC-151</t>
  </si>
  <si>
    <t>Shopping Aurora</t>
  </si>
  <si>
    <t>Lavras</t>
  </si>
  <si>
    <t>Shopping Lavras</t>
  </si>
  <si>
    <t>RNR-572</t>
  </si>
  <si>
    <t>RNR-597</t>
  </si>
  <si>
    <t>Shopping Aparecida</t>
  </si>
  <si>
    <t>YCM-176</t>
  </si>
  <si>
    <t>Shopping Natal</t>
  </si>
  <si>
    <t>YCM-177</t>
  </si>
  <si>
    <t>Shopping Park Campo Grande</t>
  </si>
  <si>
    <t>YCM-178</t>
  </si>
  <si>
    <t>Tijucas</t>
  </si>
  <si>
    <t>Shopping IFashion Outlet SC</t>
  </si>
  <si>
    <t>RNR-615</t>
  </si>
  <si>
    <t>RNR-600</t>
  </si>
  <si>
    <t>RNR-617</t>
  </si>
  <si>
    <t>RNR-611</t>
  </si>
  <si>
    <t>RNR-579</t>
  </si>
  <si>
    <t>RNR-612</t>
  </si>
  <si>
    <t>Itabaiana</t>
  </si>
  <si>
    <t>Shopping Peixoto</t>
  </si>
  <si>
    <t>Shopping Campos Gerais</t>
  </si>
  <si>
    <t>Pará de Minas</t>
  </si>
  <si>
    <t>Shopping Fabrika Mall</t>
  </si>
  <si>
    <t>Lucas do Rio Verde</t>
  </si>
  <si>
    <t>Shopping Lucas do Rio Verde</t>
  </si>
  <si>
    <t>Boituva</t>
  </si>
  <si>
    <t>Shopping Boituva</t>
  </si>
  <si>
    <t>Teófilo Otoni</t>
  </si>
  <si>
    <t>Shopping Teófilo Otoni</t>
  </si>
  <si>
    <t>4Q25</t>
  </si>
  <si>
    <t>YCM-181</t>
  </si>
  <si>
    <t>Shopping Outlet Premium Salvador</t>
  </si>
  <si>
    <t>Ajuste de avaliação patrimonial</t>
  </si>
  <si>
    <t>Equity Valuation Adjustment</t>
  </si>
  <si>
    <t>Outras despesas</t>
  </si>
  <si>
    <t>Other expenses</t>
  </si>
  <si>
    <t>Participação (%)</t>
  </si>
  <si>
    <t>4Q24 LTM</t>
  </si>
  <si>
    <t>4Q25 LTM</t>
  </si>
  <si>
    <t>Contraprestação de arrendamento</t>
  </si>
  <si>
    <t>Lease Payments</t>
  </si>
  <si>
    <t>RNR-613</t>
  </si>
  <si>
    <t>RNR-618</t>
  </si>
  <si>
    <t>Fernandópolis</t>
  </si>
  <si>
    <t>Shopping Praia Sul</t>
  </si>
  <si>
    <t>1Q26</t>
  </si>
  <si>
    <t>Imposto de renda e contribuição social a pagar</t>
  </si>
  <si>
    <t>Income tax and social security contributions payable</t>
  </si>
  <si>
    <t>Participação dos resultados e incentivos de longo prazo</t>
  </si>
  <si>
    <t>Profit sharing and long-term incentives</t>
  </si>
  <si>
    <t>Participação dos resultados</t>
  </si>
  <si>
    <t>Incentivos de longo prazo</t>
  </si>
  <si>
    <t>Profit sharing</t>
  </si>
  <si>
    <t>Long-term incentives</t>
  </si>
  <si>
    <t>Prazo Médio de Estoque LTM (dias)</t>
  </si>
  <si>
    <t>Prazo Médio de Cliente Líq, Op. Varejo LTM (dias)</t>
  </si>
  <si>
    <t>Prazo Médio de Fornecedores LTM (dias)</t>
  </si>
  <si>
    <t>Days Inventory Outstanding LTM</t>
  </si>
  <si>
    <t>Days Sales Outstanding LTM</t>
  </si>
  <si>
    <t>Days Payable Outstanding LTM</t>
  </si>
  <si>
    <t>1Q26 LTM</t>
  </si>
  <si>
    <t>1Q25 LTM</t>
  </si>
  <si>
    <t>2Q25 LTM</t>
  </si>
  <si>
    <t>Uberlandia</t>
  </si>
  <si>
    <t>Shopping Uberlandia</t>
  </si>
  <si>
    <t>Brasilia</t>
  </si>
  <si>
    <t>CMC-153</t>
  </si>
  <si>
    <t>CMC-154</t>
  </si>
  <si>
    <t>CMC-152</t>
  </si>
  <si>
    <t>YCM-186</t>
  </si>
  <si>
    <t>YCM-180</t>
  </si>
  <si>
    <t>Shopping Top Center</t>
  </si>
  <si>
    <t>Gross Margin of Retailing Operation</t>
  </si>
  <si>
    <t>Private Label + Co Branded (thousand of R$)</t>
  </si>
  <si>
    <t>Cartão Renner + Meu Cartão (R$ mil)</t>
  </si>
  <si>
    <t>Write-off</t>
  </si>
  <si>
    <t>Baixas</t>
  </si>
  <si>
    <t>NPL Formation</t>
  </si>
  <si>
    <t>Formação de vencidos</t>
  </si>
  <si>
    <t>NPL Formation (stage 3)</t>
  </si>
  <si>
    <t>Formação de vencidos (estágio 3)</t>
  </si>
  <si>
    <t>% on average portfolio</t>
  </si>
  <si>
    <t>EBITDA from Retailing Operation</t>
  </si>
  <si>
    <t>EBITDA Operação de Varejo</t>
  </si>
  <si>
    <t>RNR-616</t>
  </si>
  <si>
    <t>YCM-183</t>
  </si>
  <si>
    <t>YCM-185</t>
  </si>
  <si>
    <t>YCM-184</t>
  </si>
  <si>
    <t>Paulínia</t>
  </si>
  <si>
    <t>Shopping Paulínia</t>
  </si>
  <si>
    <t xml:space="preserve">Outlet Só Marcas </t>
  </si>
  <si>
    <t>Shopping Park Jacarepagua</t>
  </si>
  <si>
    <t>Shopping Boulevard Feira de Santana</t>
  </si>
  <si>
    <t>YCM-189</t>
  </si>
  <si>
    <t>YCM-190</t>
  </si>
  <si>
    <t>Shopping Morumbi</t>
  </si>
  <si>
    <t>Shopping Serramar</t>
  </si>
  <si>
    <t>Shopping Mestre Alvaro</t>
  </si>
  <si>
    <t>YCM-187</t>
  </si>
  <si>
    <t>YCM-188</t>
  </si>
  <si>
    <t>CMC-155</t>
  </si>
  <si>
    <t>2Q26</t>
  </si>
  <si>
    <t>1H26</t>
  </si>
  <si>
    <t>RNR-606</t>
  </si>
  <si>
    <t>Barra do Garças</t>
  </si>
  <si>
    <t>Loja Barra do Garças</t>
  </si>
  <si>
    <t>RNR-621</t>
  </si>
  <si>
    <t>Nossa Senhora do Socorro</t>
  </si>
  <si>
    <t>Shopping Prêmio</t>
  </si>
  <si>
    <t>2Q26 LTM</t>
  </si>
  <si>
    <t>% sobre a carteira média do trimestre</t>
  </si>
  <si>
    <t>(Tudo)</t>
  </si>
  <si>
    <t>Rótulos de Linha</t>
  </si>
  <si>
    <t>Total Geral</t>
  </si>
  <si>
    <t>2022</t>
  </si>
  <si>
    <t>2023</t>
  </si>
  <si>
    <t>2024</t>
  </si>
  <si>
    <t>2025</t>
  </si>
  <si>
    <t>2026</t>
  </si>
  <si>
    <t>Trimestres (Opening date)</t>
  </si>
  <si>
    <t>Meses (Opening date)</t>
  </si>
  <si>
    <t>Rótulos de Coluna</t>
  </si>
  <si>
    <t>Soma de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</si>
</sst>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9">
    <numFmt numFmtId="7" formatCode="&quot;R$&quot;\ #,##0.00_);\(&quot;R$&quot;\ #,##0.00\)"/>
    <numFmt numFmtId="8" formatCode="&quot;R$&quot;\ #,##0.00_);[Red]\(&quot;R$&quot;\ #,##0.00\)"/>
    <numFmt numFmtId="41" formatCode="_(* #,##0_);_(* \(#,##0\);_(* &quot;-&quot;_);_(@_)"/>
    <numFmt numFmtId="44" formatCode="_(&quot;R$&quot;\ * #,##0.00_);_(&quot;R$&quot;\ * \(#,##0.00\);_(&quot;R$&quot;\ * &quot;-&quot;??_);_(@_)"/>
    <numFmt numFmtId="43" formatCode="_(* #,##0.00_);_(* \(#,##0.00\);_(* &quot;-&quot;??_);_(@_)"/>
    <numFmt numFmtId="164" formatCode="_-&quot;R$&quot;\ * #,##0_-;\-&quot;R$&quot;\ * #,##0_-;_-&quot;R$&quot;\ * &quot;-&quot;_-;_-@_-"/>
    <numFmt numFmtId="165" formatCode="_-* #,##0_-;\-* #,##0_-;_-* &quot;-&quot;_-;_-@_-"/>
    <numFmt numFmtId="166" formatCode="_-&quot;R$&quot;\ * #,##0.00_-;\-&quot;R$&quot;\ * #,##0.00_-;_-&quot;R$&quot;\ * &quot;-&quot;??_-;_-@_-"/>
    <numFmt numFmtId="167" formatCode="_-* #,##0.00_-;\-* #,##0.00_-;_-* &quot;-&quot;??_-;_-@_-"/>
    <numFmt numFmtId="168" formatCode="&quot;R$&quot;#,##0.00;\-&quot;R$&quot;#,##0.00"/>
    <numFmt numFmtId="169" formatCode="_-&quot;R$&quot;* #,##0_-;\-&quot;R$&quot;* #,##0_-;_-&quot;R$&quot;* &quot;-&quot;_-;_-@_-"/>
    <numFmt numFmtId="170" formatCode="_-&quot;R$&quot;* #,##0.00_-;\-&quot;R$&quot;* #,##0.00_-;_-&quot;R$&quot;* &quot;-&quot;??_-;_-@_-"/>
    <numFmt numFmtId="171" formatCode="&quot;R$ &quot;#,##0.00_);\(&quot;R$ &quot;#,##0.00\)"/>
    <numFmt numFmtId="172" formatCode="_(* #,##0_);_(* \(#,##0\);_(* &quot;-&quot;??_);_(@_)"/>
    <numFmt numFmtId="173" formatCode="0.0%"/>
    <numFmt numFmtId="174" formatCode="[$€]#,##0.00_);[Red]\([$€]#,##0.00\)"/>
    <numFmt numFmtId="175" formatCode="#,##0.0"/>
    <numFmt numFmtId="176" formatCode="#,##0.0000_);\(#,##0.0000\)"/>
    <numFmt numFmtId="177" formatCode="_-* #,##0_-;\-* #,##0_-;_-* &quot;-&quot;??_-;_-@_-"/>
    <numFmt numFmtId="178" formatCode="0.0"/>
    <numFmt numFmtId="179" formatCode="_(* #,##0.00_);_(* \(#,##0.00\);_(* &quot;-&quot;_);_(@_)"/>
    <numFmt numFmtId="180" formatCode="_([$€-2]* #,##0.00_);_([$€-2]* \(#,##0.00\);_([$€-2]* &quot;-&quot;??_)"/>
    <numFmt numFmtId="181" formatCode="_(* #,##0.0_);_(* \(#,##0.0\);_(* &quot;-&quot;??_);_(@_)"/>
    <numFmt numFmtId="182" formatCode="&quot;R$ &quot;#,##0_);[Red]\(&quot;R$ &quot;#,##0\)"/>
    <numFmt numFmtId="183" formatCode="_(&quot;R$ &quot;* #,##0_);_(&quot;R$ &quot;* \(#,##0\);_(&quot;R$ &quot;* &quot;-&quot;_);_(@_)"/>
    <numFmt numFmtId="184" formatCode="_(&quot;R$ &quot;* #,##0.00_);_(&quot;R$ &quot;* \(#,##0.00\);_(&quot;R$ &quot;* &quot;-&quot;??_);_(@_)"/>
    <numFmt numFmtId="185" formatCode="\£\ #,##0_);[Red]\(\£\ #,##0\)"/>
    <numFmt numFmtId="186" formatCode="\¥\ #,##0_);[Red]\(\¥\ #,##0\)"/>
    <numFmt numFmtId="187" formatCode="m\-d\-yy"/>
    <numFmt numFmtId="188" formatCode="[Blue]#,##0_);[Red]\(#,##0\)"/>
    <numFmt numFmtId="189" formatCode="_(* #,##0.0_);_(* \(#,##0.0\);_(* &quot;-&quot;?_);@_)"/>
    <numFmt numFmtId="190" formatCode="\•\ \ @"/>
    <numFmt numFmtId="191" formatCode="###0_);[Red]\(###0\)"/>
    <numFmt numFmtId="192" formatCode="\$#,##0.00_);\(\$#,##0.00\)"/>
    <numFmt numFmtId="193" formatCode="&quot;Cr$&quot;\ #,##0_);[Red]\(&quot;Cr$&quot;\ #,##0\)"/>
    <numFmt numFmtId="194" formatCode="&quot;R$&quot;#,##0.0_);[Red]\(&quot;R$&quot;#,##0.0\)"/>
    <numFmt numFmtId="195" formatCode="&quot;R$&quot;#,##0\ ;\(&quot;R$&quot;#,##0\)"/>
    <numFmt numFmtId="196" formatCode="\$#,##0_);\(\$#,##0\)"/>
    <numFmt numFmtId="197" formatCode="_(\ #,##0_);_(\ \(#,##0\);_(\ &quot;-&quot;??_);_(@_)"/>
    <numFmt numFmtId="198" formatCode="\ \ _•\–\ \ \ \ @"/>
    <numFmt numFmtId="199" formatCode="#,##0.0_);[Red]\(#,##0.0\)"/>
    <numFmt numFmtId="200" formatCode="mmm\-d\-yyyy"/>
    <numFmt numFmtId="201" formatCode="mmm\-yyyy"/>
    <numFmt numFmtId="202" formatCode="mmmm\ d\,\ yyyy"/>
    <numFmt numFmtId="203" formatCode="d\-mmm\-yyyy"/>
    <numFmt numFmtId="204" formatCode="d\-mmm\-yyyy\ \ h:mm"/>
    <numFmt numFmtId="205" formatCode="dd\ mmm\ yyyy_);;&quot;-  &quot;;&quot; &quot;@"/>
    <numFmt numFmtId="206" formatCode="dd\ mmm\ yy_);;&quot;-  &quot;;&quot; &quot;@"/>
    <numFmt numFmtId="207" formatCode="_-* #,##0\ _D_M_-;\-* #,##0\ _D_M_-;_-* &quot;-&quot;\ _D_M_-;_-@_-"/>
    <numFmt numFmtId="208" formatCode="_([$€]* #,##0.00_);_([$€]* \(#,##0.00\);_([$€]* &quot;-&quot;??_);_(@_)"/>
    <numFmt numFmtId="209" formatCode="#,##0."/>
    <numFmt numFmtId="210" formatCode="#,##0.0000_);\(#,##0.0000\);&quot;-  &quot;;&quot; &quot;@"/>
    <numFmt numFmtId="211" formatCode="###0_);\(###0\)"/>
    <numFmt numFmtId="212" formatCode="#,##0.00&quot; $&quot;;\-#,##0.00&quot; $&quot;"/>
    <numFmt numFmtId="213" formatCode="0.00_)"/>
    <numFmt numFmtId="214" formatCode="_-* #,##0_-;_-* #,##0\-;_-* &quot;-&quot;_-;_-@_-"/>
    <numFmt numFmtId="215" formatCode="_-* #,##0.00_-;_-* #,##0.00\-;_-* &quot;-&quot;??_-;_-@_-"/>
    <numFmt numFmtId="216" formatCode="mmmm\-yy"/>
    <numFmt numFmtId="217" formatCode="#,###.##000"/>
    <numFmt numFmtId="218" formatCode="#,##0.0000000000000000000_);\(#,##0.0000000000000000000\)"/>
    <numFmt numFmtId="219" formatCode="#,##0\x;\(#,##0\x\)"/>
    <numFmt numFmtId="220" formatCode="#,##0%;\(#,##0%\)"/>
    <numFmt numFmtId="221" formatCode="_(&quot;Cr$&quot;\ * #,##0_);_(&quot;Cr$&quot;\ * \(#,##0\);_(&quot;Cr$&quot;\ * &quot;-&quot;_);_(@_)"/>
    <numFmt numFmtId="222" formatCode="#,##0.0_);[Red]\(#,##0.0\);&quot;N/A &quot;"/>
    <numFmt numFmtId="223" formatCode="#,##0.000_);[Red]\(#,##0.000\)"/>
    <numFmt numFmtId="224" formatCode="#,##0.0_)\ \ ;[Red]\(#,##0.0\)\ \ "/>
    <numFmt numFmtId="225" formatCode="mmmm/yyyy"/>
    <numFmt numFmtId="226" formatCode="0.0%&quot;NetPPE/sales&quot;"/>
    <numFmt numFmtId="227" formatCode="0.0%&quot;NWI/Sls&quot;"/>
    <numFmt numFmtId="228" formatCode=";;;"/>
    <numFmt numFmtId="229" formatCode="0%;[Red]\(0%\)"/>
    <numFmt numFmtId="230" formatCode="0.0%;[Red]\(0.0%\)"/>
    <numFmt numFmtId="231" formatCode="0.0%&quot;Sales&quot;"/>
    <numFmt numFmtId="232" formatCode="_ * #,##0_ ;_ * \-#,##0_ ;_ * &quot;-&quot;_ ;_ @_ "/>
    <numFmt numFmtId="233" formatCode="#,##0&quot;£&quot;_);[Red]\(#,##0&quot;£&quot;\)"/>
    <numFmt numFmtId="234" formatCode="#,##0_);\(#,##0\);&quot;-  &quot;;&quot; &quot;@"/>
    <numFmt numFmtId="235" formatCode="_ * #,##0.00_ ;_ * \-#,##0.00_ ;_ * &quot;-&quot;??_ ;_ @_ "/>
    <numFmt numFmtId="236" formatCode="\+0%"/>
    <numFmt numFmtId="237" formatCode="0.0&quot; meses&quot;"/>
    <numFmt numFmtId="238" formatCode="0.0%&quot; a.a.&quot;"/>
    <numFmt numFmtId="239" formatCode="#,##0.00\x"/>
    <numFmt numFmtId="240" formatCode="#,###;\(#,###\);\-\-\-\-"/>
    <numFmt numFmtId="241" formatCode="General_)"/>
    <numFmt numFmtId="242" formatCode="0____"/>
    <numFmt numFmtId="243" formatCode="_-&quot;F&quot;\ * #,##0_-;_-&quot;F&quot;\ * #,##0\-;_-&quot;F&quot;\ * &quot;-&quot;_-;_-@_-"/>
    <numFmt numFmtId="244" formatCode="_-&quot;F&quot;\ * #,##0.00_-;_-&quot;F&quot;\ * #,##0.00\-;_-&quot;F&quot;\ * &quot;-&quot;??_-;_-@_-"/>
    <numFmt numFmtId="245" formatCode="_-* #,##0\ &quot;DM&quot;_-;\-* #,##0\ &quot;DM&quot;_-;_-* &quot;-&quot;\ &quot;DM&quot;_-;_-@_-"/>
    <numFmt numFmtId="246" formatCode="_-* #,##0.00\ &quot;DM&quot;_-;\-* #,##0.00\ &quot;DM&quot;_-;_-* &quot;-&quot;??\ &quot;DM&quot;_-;_-@_-"/>
    <numFmt numFmtId="247" formatCode="_-&quot;£&quot;* #,##0_-;\-&quot;£&quot;* #,##0_-;_-&quot;£&quot;* &quot;-&quot;_-;_-@_-"/>
    <numFmt numFmtId="248" formatCode="_-&quot;£&quot;* #,##0.00_-;\-&quot;£&quot;* #,##0.00_-;_-&quot;£&quot;* &quot;-&quot;??_-;_-@_-"/>
    <numFmt numFmtId="249" formatCode="&quot;R$ &quot;#,##0_);\(&quot;R$ &quot;#,##0\)"/>
    <numFmt numFmtId="250" formatCode="0.0_)\%;\(0.0\)\%;0.0_)\%;@_)_%"/>
    <numFmt numFmtId="251" formatCode="#,##0.0_)_%;\(#,##0.0\)_%;0.0_)_%;@_)_%"/>
    <numFmt numFmtId="252" formatCode="#,##0.0_);\(#,##0.0\);#,##0.0_);@_)"/>
    <numFmt numFmtId="253" formatCode="&quot;R$&quot;_(#,##0.00_);&quot;R$&quot;\(#,##0.00\);&quot;R$&quot;_(0.00_);@_)"/>
    <numFmt numFmtId="254" formatCode="#,##0.00_);\(#,##0.00\);0.00_);@_)"/>
    <numFmt numFmtId="255" formatCode="\€_(#,##0.00_);\€\(#,##0.00\);\€_(0.00_);@_)"/>
    <numFmt numFmtId="256" formatCode="#,##0_)\x;\(#,##0\)\x;0_)\x;@_)_x"/>
    <numFmt numFmtId="257" formatCode="#,##0_)_x;\(#,##0\)_x;0_)_x;@_)_x"/>
    <numFmt numFmtId="258" formatCode="_-&quot;R$ &quot;* #,##0_-;\-&quot;R$ &quot;* #,##0_-;_-&quot;R$ &quot;* &quot;-&quot;_-;_-@_-"/>
    <numFmt numFmtId="259" formatCode="mmmyy"/>
    <numFmt numFmtId="260" formatCode="[Blue]_(* #,##0_);[Red]_(* \(#,##0\);_(* &quot;-&quot;_);_(@_)"/>
    <numFmt numFmtId="261" formatCode="[Blue]_(* #,##0.0_);[Red]_(* \(#,##0.0\);_(* &quot;-&quot;_);_(@_)"/>
    <numFmt numFmtId="262" formatCode="_(* #,##0.00_);[Red]_(* \(#,##0.00\);_(* &quot;-&quot;_);_(@_)"/>
    <numFmt numFmtId="263" formatCode="_(* #,##0,_);[Red]_(* \(#,##0,\);_(* &quot;-&quot;_);_(@_)"/>
    <numFmt numFmtId="264" formatCode="&quot;£&quot;#,##0;[Red]\-&quot;£&quot;#,##0"/>
    <numFmt numFmtId="265" formatCode="_([$€]\ * #,##0.00_);_([$€]\ * \(#,##0.00\);_([$€]\ * &quot;-&quot;??_);_(@_)"/>
    <numFmt numFmtId="266" formatCode="#,#00"/>
    <numFmt numFmtId="267" formatCode="#,##0.0;\(#,##0.0\)"/>
    <numFmt numFmtId="268" formatCode="#,##0.000;\(#,##0.000\)"/>
    <numFmt numFmtId="269" formatCode="#,##0.0\x;\(#,##0.0\)\x"/>
    <numFmt numFmtId="270" formatCode="0%;\(0%\)"/>
    <numFmt numFmtId="271" formatCode="%#,#00"/>
    <numFmt numFmtId="272" formatCode="#.##000"/>
    <numFmt numFmtId="273" formatCode="mm/dd/yy"/>
    <numFmt numFmtId="274" formatCode="#,##0.00%"/>
    <numFmt numFmtId="275" formatCode="_(&quot;R$&quot;* #,##0.0_);_(&quot;R$&quot;* \(#,##0.0\);_(* &quot;-&quot;_);_(@_)"/>
    <numFmt numFmtId="276" formatCode="mmm"/>
    <numFmt numFmtId="277" formatCode="#,"/>
    <numFmt numFmtId="278" formatCode="_(&quot;R$ &quot;* #,##0_);_(&quot;R$ &quot;* \(#,##0\);_(&quot;R$ &quot;* &quot;-&quot;??_);_(@_)"/>
    <numFmt numFmtId="279" formatCode="_-* #,##0.00\ _€_-;\-* #,##0.00\ _€_-;_-* &quot;-&quot;??\ _€_-;_-@_-"/>
    <numFmt numFmtId="280" formatCode="&quot;$&quot;_(#,##0.00_);&quot;$&quot;\(#,##0.00\);&quot;$&quot;_(0.00_);@_)"/>
    <numFmt numFmtId="281" formatCode="_(&quot;$&quot;* #,##0.00_);_(&quot;$&quot;* \(#,##0.00\);_(&quot;$&quot;* &quot;-&quot;??_);_(@_)"/>
    <numFmt numFmtId="282" formatCode="_(&quot;$&quot;* #,##0.0_);_(&quot;$&quot;* \(#,##0.0\);_(* &quot;-&quot;_);_(@_)"/>
    <numFmt numFmtId="283" formatCode="_(&quot;R$&quot;\ * #,##0.000000_);_(&quot;R$&quot;\ * \(#,##0.000000\);_(&quot;R$&quot;\ * &quot;-&quot;??_);_(@_)"/>
    <numFmt numFmtId="284" formatCode="_(* #,##0.0_);_(* \(#,##0.0\);_(* &quot;-&quot;_);_(@_)"/>
    <numFmt numFmtId="285" formatCode="_(* #,##0.0000_);_(* \(#,##0.0000\);_(* &quot;-&quot;??_);_(@_)"/>
    <numFmt numFmtId="286" formatCode="_(* #,##0.0_);_(* \(#,##0.0\);_(* &quot;-&quot;?_);_(@_)"/>
    <numFmt numFmtId="287" formatCode="_(&quot;R$&quot;\ * #,##0.0000_);_(&quot;R$&quot;\ * \(#,##0.0000\);_(&quot;R$&quot;\ * &quot;-&quot;??_);_(@_)"/>
  </numFmts>
  <fonts count="24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Geneva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9"/>
      <name val="Century Gothic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8"/>
      <color indexed="81"/>
      <name val="Segoe U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6"/>
      <color indexed="9"/>
      <name val="Arial"/>
      <family val="2"/>
    </font>
    <font>
      <b/>
      <sz val="8"/>
      <name val="Arial"/>
      <family val="2"/>
    </font>
    <font>
      <b/>
      <sz val="10"/>
      <name val="MS Sans Serif"/>
      <family val="2"/>
    </font>
    <font>
      <sz val="12"/>
      <name val="Times New Roman"/>
      <family val="1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2"/>
      <color indexed="10"/>
      <name val="Arial"/>
      <family val="2"/>
    </font>
    <font>
      <b/>
      <sz val="10"/>
      <color indexed="32"/>
      <name val="Arial"/>
      <family val="2"/>
    </font>
    <font>
      <sz val="1"/>
      <color theme="0"/>
      <name val="Arial"/>
      <family val="2"/>
    </font>
    <font>
      <sz val="1"/>
      <color rgb="FF000000"/>
      <name val="Arial"/>
      <family val="2"/>
    </font>
    <font>
      <b/>
      <sz val="10"/>
      <name val="Arial"/>
      <family val="2"/>
    </font>
    <font>
      <b/>
      <sz val="9"/>
      <name val="Helv"/>
    </font>
    <font>
      <b/>
      <sz val="12"/>
      <color indexed="8"/>
      <name val="Arial"/>
      <family val="2"/>
    </font>
    <font>
      <sz val="24"/>
      <name val="Arial"/>
      <family val="2"/>
    </font>
    <font>
      <sz val="1"/>
      <color indexed="9"/>
      <name val="Arial"/>
      <family val="2"/>
    </font>
    <font>
      <b/>
      <sz val="12"/>
      <name val="Times New Roman"/>
      <family val="1"/>
    </font>
    <font>
      <sz val="8"/>
      <name val="Helv"/>
    </font>
    <font>
      <sz val="8"/>
      <name val="Times New Roman"/>
      <family val="1"/>
    </font>
    <font>
      <b/>
      <sz val="8"/>
      <color indexed="24"/>
      <name val="Arial"/>
      <family val="2"/>
    </font>
    <font>
      <sz val="9"/>
      <name val="Arial"/>
      <family val="2"/>
    </font>
    <font>
      <b/>
      <sz val="9"/>
      <color indexed="24"/>
      <name val="Arial"/>
      <family val="2"/>
    </font>
    <font>
      <b/>
      <sz val="11"/>
      <color indexed="24"/>
      <name val="Arial"/>
      <family val="2"/>
    </font>
    <font>
      <sz val="14"/>
      <name val="Helv"/>
    </font>
    <font>
      <sz val="12"/>
      <name val="Arial"/>
      <family val="2"/>
    </font>
    <font>
      <sz val="10"/>
      <name val="MS Sans Serif"/>
      <family val="2"/>
    </font>
    <font>
      <sz val="12"/>
      <color indexed="24"/>
      <name val="Arial"/>
      <family val="2"/>
    </font>
    <font>
      <sz val="10"/>
      <name val="MS Serif"/>
      <family val="1"/>
    </font>
    <font>
      <sz val="10"/>
      <name val="Times New Roman"/>
      <family val="1"/>
    </font>
    <font>
      <sz val="9"/>
      <name val="Times New Roman"/>
      <family val="1"/>
    </font>
    <font>
      <sz val="12"/>
      <name val="MS Sans Serif"/>
      <family val="2"/>
    </font>
    <font>
      <sz val="8"/>
      <color indexed="12"/>
      <name val="Arial"/>
      <family val="2"/>
    </font>
    <font>
      <sz val="10"/>
      <color indexed="16"/>
      <name val="MS Serif"/>
      <family val="1"/>
    </font>
    <font>
      <b/>
      <u/>
      <sz val="1"/>
      <color indexed="8"/>
      <name val="Courier"/>
      <family val="3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u/>
      <sz val="1"/>
      <color indexed="8"/>
      <name val="Courier"/>
      <family val="3"/>
    </font>
    <font>
      <u/>
      <sz val="10"/>
      <color indexed="36"/>
      <name val="Arial"/>
      <family val="2"/>
    </font>
    <font>
      <b/>
      <i/>
      <sz val="10"/>
      <color indexed="16"/>
      <name val="Arial"/>
      <family val="2"/>
    </font>
    <font>
      <b/>
      <u/>
      <sz val="11"/>
      <color indexed="37"/>
      <name val="Arial"/>
      <family val="2"/>
    </font>
    <font>
      <b/>
      <sz val="9"/>
      <color indexed="16"/>
      <name val="Arial"/>
      <family val="2"/>
    </font>
    <font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8.8000000000000007"/>
      <color indexed="12"/>
      <name val="Calibri"/>
      <family val="2"/>
    </font>
    <font>
      <sz val="8"/>
      <color indexed="39"/>
      <name val="Arial"/>
      <family val="2"/>
    </font>
    <font>
      <b/>
      <sz val="10"/>
      <color indexed="48"/>
      <name val="Arial"/>
      <family val="2"/>
    </font>
    <font>
      <sz val="10"/>
      <color indexed="20"/>
      <name val="Arial"/>
      <family val="2"/>
    </font>
    <font>
      <b/>
      <sz val="12"/>
      <color indexed="8"/>
      <name val="Times New Roman"/>
      <family val="1"/>
    </font>
    <font>
      <sz val="7"/>
      <name val="Small Fonts"/>
      <family val="2"/>
    </font>
    <font>
      <sz val="12"/>
      <name val="SWISS"/>
    </font>
    <font>
      <b/>
      <i/>
      <sz val="16"/>
      <name val="Helv"/>
      <family val="2"/>
    </font>
    <font>
      <b/>
      <i/>
      <sz val="16"/>
      <name val="Helv"/>
    </font>
    <font>
      <sz val="10"/>
      <color theme="1"/>
      <name val="eyinterstate light"/>
      <family val="2"/>
    </font>
    <font>
      <sz val="10"/>
      <color indexed="8"/>
      <name val="Calibri"/>
      <family val="2"/>
    </font>
    <font>
      <sz val="10"/>
      <color indexed="8"/>
      <name val="MS Sans Serif"/>
      <family val="2"/>
    </font>
    <font>
      <sz val="8"/>
      <color indexed="10"/>
      <name val="Arial"/>
      <family val="2"/>
    </font>
    <font>
      <sz val="1"/>
      <color indexed="8"/>
      <name val="Arial"/>
      <family val="2"/>
    </font>
    <font>
      <b/>
      <sz val="11"/>
      <color indexed="23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39"/>
      <name val="Arial"/>
      <family val="2"/>
    </font>
    <font>
      <b/>
      <sz val="8"/>
      <color indexed="10"/>
      <name val="Arial"/>
      <family val="2"/>
    </font>
    <font>
      <b/>
      <sz val="8"/>
      <color indexed="63"/>
      <name val="Arial"/>
      <family val="2"/>
    </font>
    <font>
      <b/>
      <sz val="8"/>
      <color indexed="9"/>
      <name val="Arial"/>
      <family val="2"/>
    </font>
    <font>
      <b/>
      <sz val="12"/>
      <color indexed="63"/>
      <name val="Times New Roman"/>
      <family val="1"/>
    </font>
    <font>
      <sz val="7"/>
      <color indexed="63"/>
      <name val="Times New Roman"/>
      <family val="1"/>
    </font>
    <font>
      <sz val="12"/>
      <color indexed="63"/>
      <name val="Times New Roman"/>
      <family val="1"/>
    </font>
    <font>
      <sz val="10"/>
      <color indexed="63"/>
      <name val="Times New Roman"/>
      <family val="1"/>
    </font>
    <font>
      <sz val="12"/>
      <color indexed="9"/>
      <name val="Times New Roman"/>
      <family val="1"/>
    </font>
    <font>
      <b/>
      <sz val="11"/>
      <color indexed="39"/>
      <name val="Arial"/>
      <family val="2"/>
    </font>
    <font>
      <sz val="10"/>
      <color indexed="39"/>
      <name val="Arial"/>
      <family val="2"/>
    </font>
    <font>
      <b/>
      <sz val="11"/>
      <color indexed="10"/>
      <name val="Arial"/>
      <family val="2"/>
    </font>
    <font>
      <sz val="10"/>
      <color indexed="10"/>
      <name val="Arial"/>
      <family val="2"/>
    </font>
    <font>
      <sz val="10"/>
      <color indexed="23"/>
      <name val="Arial"/>
      <family val="2"/>
    </font>
    <font>
      <b/>
      <sz val="11"/>
      <color indexed="9"/>
      <name val="Arial"/>
      <family val="2"/>
    </font>
    <font>
      <sz val="12"/>
      <color indexed="62"/>
      <name val="Times New Roman"/>
      <family val="1"/>
    </font>
    <font>
      <sz val="11"/>
      <color indexed="62"/>
      <name val="Times New Roman"/>
      <family val="1"/>
    </font>
    <font>
      <b/>
      <u/>
      <sz val="12"/>
      <color indexed="63"/>
      <name val="Times New Roman"/>
      <family val="1"/>
    </font>
    <font>
      <sz val="11"/>
      <color indexed="63"/>
      <name val="Times New Roman"/>
      <family val="1"/>
    </font>
    <font>
      <b/>
      <sz val="10"/>
      <color indexed="63"/>
      <name val="Times New Roman"/>
      <family val="1"/>
    </font>
    <font>
      <sz val="12"/>
      <color indexed="61"/>
      <name val="Times New Roman"/>
      <family val="1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b/>
      <sz val="10"/>
      <color indexed="33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9"/>
      <color indexed="33"/>
      <name val="Arial"/>
      <family val="2"/>
    </font>
    <font>
      <sz val="9"/>
      <color indexed="9"/>
      <name val="Arial"/>
      <family val="2"/>
    </font>
    <font>
      <sz val="9"/>
      <color indexed="8"/>
      <name val="Arial"/>
      <family val="2"/>
    </font>
    <font>
      <b/>
      <sz val="8"/>
      <color indexed="8"/>
      <name val="Helv"/>
      <family val="2"/>
    </font>
    <font>
      <b/>
      <sz val="9"/>
      <name val="Arial"/>
      <family val="2"/>
    </font>
    <font>
      <sz val="7"/>
      <name val="MS Sans Serif"/>
      <family val="2"/>
    </font>
    <font>
      <sz val="7"/>
      <name val="Arial"/>
      <family val="2"/>
    </font>
    <font>
      <sz val="20"/>
      <name val="Times New Roman"/>
      <family val="1"/>
    </font>
    <font>
      <b/>
      <sz val="10"/>
      <name val="Helv"/>
    </font>
    <font>
      <b/>
      <u/>
      <sz val="12"/>
      <name val="Arial"/>
      <family val="2"/>
    </font>
    <font>
      <b/>
      <sz val="12"/>
      <name val="MS Sans Serif"/>
      <family val="2"/>
    </font>
    <font>
      <b/>
      <i/>
      <sz val="10"/>
      <name val="Arial"/>
      <family val="2"/>
    </font>
    <font>
      <sz val="10"/>
      <color indexed="32"/>
      <name val="Arial"/>
      <family val="2"/>
    </font>
    <font>
      <sz val="16"/>
      <name val="Arial"/>
      <family val="2"/>
    </font>
    <font>
      <b/>
      <sz val="9"/>
      <color indexed="18"/>
      <name val="Arial"/>
      <family val="2"/>
    </font>
    <font>
      <sz val="10"/>
      <name val="Corporate Mono"/>
    </font>
    <font>
      <b/>
      <sz val="16"/>
      <name val="Arial"/>
      <family val="2"/>
    </font>
    <font>
      <sz val="10"/>
      <name val="Geneva"/>
    </font>
    <font>
      <sz val="10"/>
      <name val="Verdana"/>
      <family val="2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i/>
      <sz val="12"/>
      <name val="Times New Roman"/>
      <family val="1"/>
    </font>
    <font>
      <b/>
      <sz val="8"/>
      <name val="Times New Roman"/>
      <family val="1"/>
    </font>
    <font>
      <b/>
      <sz val="8"/>
      <color indexed="12"/>
      <name val="Times New Roman"/>
      <family val="1"/>
    </font>
    <font>
      <sz val="12"/>
      <name val="Tms Rmn"/>
    </font>
    <font>
      <sz val="8"/>
      <color indexed="8"/>
      <name val="Times New Roman"/>
      <family val="1"/>
    </font>
    <font>
      <b/>
      <u val="singleAccounting"/>
      <sz val="8"/>
      <name val="Arial"/>
      <family val="2"/>
    </font>
    <font>
      <sz val="10"/>
      <name val="Helv"/>
    </font>
    <font>
      <sz val="8"/>
      <name val="Palatino"/>
      <family val="1"/>
    </font>
    <font>
      <sz val="10"/>
      <color indexed="24"/>
      <name val="Arial"/>
      <family val="2"/>
    </font>
    <font>
      <sz val="14"/>
      <name val="Palatino"/>
      <family val="1"/>
    </font>
    <font>
      <sz val="16"/>
      <name val="Palatino"/>
      <family val="1"/>
    </font>
    <font>
      <sz val="32"/>
      <name val="Helvetica-Black"/>
      <family val="2"/>
    </font>
    <font>
      <b/>
      <sz val="9"/>
      <name val="Times New Roman"/>
      <family val="1"/>
    </font>
    <font>
      <sz val="6"/>
      <name val="Courier"/>
      <family val="3"/>
    </font>
    <font>
      <b/>
      <i/>
      <sz val="1"/>
      <color indexed="8"/>
      <name val="Courier"/>
      <family val="3"/>
    </font>
    <font>
      <i/>
      <sz val="1"/>
      <color indexed="8"/>
      <name val="Courier"/>
      <family val="3"/>
    </font>
    <font>
      <sz val="6"/>
      <color indexed="23"/>
      <name val="Helvetica-Black"/>
      <family val="2"/>
    </font>
    <font>
      <sz val="9.5"/>
      <color indexed="23"/>
      <name val="Helvetica-Black"/>
      <family val="2"/>
    </font>
    <font>
      <sz val="7"/>
      <name val="Palatino"/>
      <family val="1"/>
    </font>
    <font>
      <i/>
      <sz val="8"/>
      <color indexed="12"/>
      <name val="Times New Roman"/>
      <family val="1"/>
    </font>
    <font>
      <sz val="6"/>
      <color indexed="16"/>
      <name val="Palatino"/>
      <family val="1"/>
    </font>
    <font>
      <sz val="6"/>
      <name val="Palatino"/>
      <family val="1"/>
    </font>
    <font>
      <sz val="10"/>
      <name val="Helvetica-Black"/>
      <family val="2"/>
    </font>
    <font>
      <sz val="28"/>
      <name val="Helvetica-Black"/>
      <family val="2"/>
    </font>
    <font>
      <sz val="10"/>
      <name val="Palatino"/>
      <family val="1"/>
    </font>
    <font>
      <sz val="18"/>
      <name val="Palatino"/>
      <family val="1"/>
    </font>
    <font>
      <i/>
      <sz val="14"/>
      <name val="Palatino"/>
      <family val="1"/>
    </font>
    <font>
      <u/>
      <sz val="7.5"/>
      <color indexed="12"/>
      <name val="Arial"/>
      <family val="2"/>
    </font>
    <font>
      <sz val="10"/>
      <name val="Courier"/>
      <family val="3"/>
    </font>
    <font>
      <sz val="10"/>
      <color indexed="16"/>
      <name val="Helvetica-Black"/>
      <family val="2"/>
    </font>
    <font>
      <b/>
      <sz val="8"/>
      <color indexed="10"/>
      <name val="Times New Roman"/>
      <family val="1"/>
    </font>
    <font>
      <u/>
      <sz val="8"/>
      <name val="Arial"/>
      <family val="2"/>
    </font>
    <font>
      <b/>
      <sz val="8"/>
      <color indexed="8"/>
      <name val="Helv"/>
    </font>
    <font>
      <b/>
      <sz val="9"/>
      <name val="Palatino"/>
      <family val="1"/>
    </font>
    <font>
      <sz val="9"/>
      <color indexed="21"/>
      <name val="Helvetica-Black"/>
      <family val="2"/>
    </font>
    <font>
      <b/>
      <sz val="10"/>
      <name val="Palatino"/>
      <family val="1"/>
    </font>
    <font>
      <sz val="9"/>
      <name val="Helvetica-Black"/>
      <family val="2"/>
    </font>
    <font>
      <b/>
      <sz val="10"/>
      <name val="Times New Roman"/>
      <family val="1"/>
    </font>
    <font>
      <sz val="12"/>
      <name val="Palatino"/>
      <family val="1"/>
    </font>
    <font>
      <sz val="11"/>
      <name val="Helvetica-Black"/>
      <family val="2"/>
    </font>
    <font>
      <u val="double"/>
      <sz val="8"/>
      <color indexed="8"/>
      <name val="Arial"/>
      <family val="2"/>
    </font>
    <font>
      <b/>
      <sz val="9"/>
      <color indexed="10"/>
      <name val="Wingdings"/>
      <charset val="2"/>
    </font>
    <font>
      <sz val="10"/>
      <name val="바탕체"/>
      <family val="1"/>
      <charset val="129"/>
    </font>
    <font>
      <sz val="12"/>
      <name val="ＭＳ Ｐゴシック"/>
      <family val="3"/>
      <charset val="128"/>
    </font>
    <font>
      <b/>
      <sz val="11"/>
      <color theme="0"/>
      <name val="Calibri"/>
      <family val="2"/>
      <scheme val="minor"/>
    </font>
    <font>
      <sz val="10"/>
      <name val="Dutch801SWC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indexed="8"/>
      <name val="Calibri"/>
      <family val="2"/>
    </font>
    <font>
      <sz val="10"/>
      <name val="Arial"/>
      <family val="2"/>
    </font>
    <font>
      <sz val="22"/>
      <color rgb="FFE2211E"/>
      <name val="Arial"/>
      <family val="2"/>
    </font>
    <font>
      <u/>
      <sz val="8"/>
      <color indexed="12"/>
      <name val="Arial"/>
      <family val="2"/>
    </font>
    <font>
      <sz val="8"/>
      <color indexed="55"/>
      <name val="Arial"/>
      <family val="2"/>
    </font>
    <font>
      <sz val="8"/>
      <color rgb="FFE2211E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  <font>
      <sz val="8"/>
      <color theme="0"/>
      <name val="Arial"/>
      <family val="2"/>
    </font>
    <font>
      <b/>
      <sz val="8"/>
      <color theme="0" tint="-0.249977111117893"/>
      <name val="Arial"/>
      <family val="2"/>
    </font>
    <font>
      <sz val="8"/>
      <color theme="0" tint="-0.249977111117893"/>
      <name val="Arial"/>
      <family val="2"/>
    </font>
    <font>
      <sz val="8"/>
      <color indexed="9"/>
      <name val="Arial"/>
      <family val="2"/>
    </font>
    <font>
      <sz val="12"/>
      <color rgb="FF000000"/>
      <name val="Arial"/>
      <family val="2"/>
    </font>
    <font>
      <sz val="8"/>
      <color rgb="FFFF0000"/>
      <name val="Arial"/>
      <family val="2"/>
    </font>
    <font>
      <u val="singleAccounting"/>
      <sz val="8"/>
      <name val="Arial"/>
      <family val="2"/>
    </font>
    <font>
      <vertAlign val="superscript"/>
      <sz val="8"/>
      <name val="Arial"/>
      <family val="2"/>
    </font>
    <font>
      <sz val="6"/>
      <name val="Arial"/>
      <family val="2"/>
    </font>
    <font>
      <sz val="8"/>
      <color theme="1"/>
      <name val="Arial"/>
      <family val="2"/>
    </font>
    <font>
      <b/>
      <sz val="8"/>
      <color rgb="FFFF0000"/>
      <name val="Arial"/>
      <family val="2"/>
    </font>
    <font>
      <b/>
      <sz val="8"/>
      <color theme="1"/>
      <name val="Arial"/>
      <family val="2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b/>
      <sz val="10"/>
      <color rgb="FFBE5400"/>
      <name val="Arial"/>
      <family val="2"/>
    </font>
    <font>
      <b/>
      <sz val="8"/>
      <color rgb="FFBE5400"/>
      <name val="Arial"/>
      <family val="2"/>
    </font>
    <font>
      <b/>
      <sz val="9"/>
      <color rgb="FFBE5400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19"/>
      </patternFill>
    </fill>
    <fill>
      <patternFill patternType="solid">
        <fgColor indexed="16"/>
        <bgColor indexed="64"/>
      </patternFill>
    </fill>
    <fill>
      <patternFill patternType="solid">
        <fgColor indexed="44"/>
        <bgColor indexed="64"/>
      </patternFill>
    </fill>
    <fill>
      <patternFill patternType="gray0625"/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47"/>
        <bgColor indexed="9"/>
      </patternFill>
    </fill>
    <fill>
      <patternFill patternType="solid">
        <fgColor indexed="23"/>
        <bgColor indexed="9"/>
      </patternFill>
    </fill>
    <fill>
      <patternFill patternType="solid">
        <fgColor indexed="9"/>
        <bgColor indexed="19"/>
      </patternFill>
    </fill>
    <fill>
      <patternFill patternType="solid">
        <fgColor indexed="3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9"/>
        <bgColor indexed="43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gray125">
        <fgColor indexed="22"/>
      </patternFill>
    </fill>
    <fill>
      <patternFill patternType="solid">
        <fgColor indexed="13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6D6E70"/>
        <bgColor indexed="64"/>
      </patternFill>
    </fill>
    <fill>
      <patternFill patternType="solid">
        <fgColor rgb="FFF7F6F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indexed="2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63"/>
      </top>
      <bottom style="medium">
        <color indexed="63"/>
      </bottom>
      <diagonal/>
    </border>
    <border>
      <left/>
      <right/>
      <top style="double">
        <color indexed="62"/>
      </top>
      <bottom/>
      <diagonal/>
    </border>
    <border>
      <left/>
      <right/>
      <top style="dotted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61"/>
      </right>
      <top style="thin">
        <color indexed="22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6D6E70"/>
      </left>
      <right style="thin">
        <color rgb="FF6D6E70"/>
      </right>
      <top style="thin">
        <color rgb="FF6D6E70"/>
      </top>
      <bottom style="thin">
        <color rgb="FF6D6E70"/>
      </bottom>
      <diagonal/>
    </border>
    <border>
      <left style="thin">
        <color rgb="FF6D6E70"/>
      </left>
      <right style="thin">
        <color rgb="FF6D6E70"/>
      </right>
      <top style="thin">
        <color rgb="FF6D6E70"/>
      </top>
      <bottom/>
      <diagonal/>
    </border>
    <border>
      <left style="thin">
        <color rgb="FF6D6E70"/>
      </left>
      <right style="thin">
        <color rgb="FF6D6E70"/>
      </right>
      <top/>
      <bottom/>
      <diagonal/>
    </border>
    <border>
      <left style="thin">
        <color rgb="FF6D6E70"/>
      </left>
      <right style="thin">
        <color rgb="FF6D6E70"/>
      </right>
      <top/>
      <bottom style="thin">
        <color rgb="FF6D6E70"/>
      </bottom>
      <diagonal/>
    </border>
    <border>
      <left/>
      <right/>
      <top style="thin">
        <color rgb="FF6D6E70"/>
      </top>
      <bottom/>
      <diagonal/>
    </border>
    <border>
      <left/>
      <right/>
      <top style="thin">
        <color rgb="FF6D6E70"/>
      </top>
      <bottom style="thin">
        <color rgb="FFE2211E"/>
      </bottom>
      <diagonal/>
    </border>
    <border>
      <left/>
      <right/>
      <top/>
      <bottom style="thin">
        <color rgb="FF6D6E70"/>
      </bottom>
      <diagonal/>
    </border>
    <border>
      <left style="thin">
        <color rgb="FF6D6E70"/>
      </left>
      <right/>
      <top/>
      <bottom/>
      <diagonal/>
    </border>
    <border>
      <left/>
      <right style="thin">
        <color rgb="FF6D6E70"/>
      </right>
      <top/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/>
      <diagonal/>
    </border>
    <border>
      <left style="thin">
        <color rgb="FF6D6E70"/>
      </left>
      <right style="thin">
        <color rgb="FF6D6E70"/>
      </right>
      <top/>
      <bottom style="thin">
        <color indexed="64"/>
      </bottom>
      <diagonal/>
    </border>
    <border>
      <left style="thin">
        <color rgb="FF6D6E70"/>
      </left>
      <right style="thin">
        <color rgb="FF6D6E70"/>
      </right>
      <top style="thin">
        <color indexed="64"/>
      </top>
      <bottom/>
      <diagonal/>
    </border>
    <border>
      <left style="thin">
        <color rgb="FF6D6E70"/>
      </left>
      <right/>
      <top style="thin">
        <color rgb="FF6D6E70"/>
      </top>
      <bottom/>
      <diagonal/>
    </border>
    <border>
      <left style="thin">
        <color rgb="FF6D6E70"/>
      </left>
      <right/>
      <top/>
      <bottom style="thin">
        <color indexed="64"/>
      </bottom>
      <diagonal/>
    </border>
    <border>
      <left/>
      <right style="thin">
        <color rgb="FF6D6E70"/>
      </right>
      <top/>
      <bottom style="thin">
        <color indexed="64"/>
      </bottom>
      <diagonal/>
    </border>
    <border>
      <left style="thin">
        <color rgb="FF6D6E70"/>
      </left>
      <right style="thin">
        <color rgb="FF6D6E70"/>
      </right>
      <top style="thin">
        <color indexed="64"/>
      </top>
      <bottom style="thin">
        <color rgb="FF6D6E70"/>
      </bottom>
      <diagonal/>
    </border>
    <border>
      <left style="thin">
        <color rgb="FF6D6E70"/>
      </left>
      <right/>
      <top/>
      <bottom style="thin">
        <color rgb="FF6D6E70"/>
      </bottom>
      <diagonal/>
    </border>
    <border>
      <left style="thin">
        <color rgb="FF6D6E70"/>
      </left>
      <right/>
      <top style="thin">
        <color rgb="FF6D6E70"/>
      </top>
      <bottom style="thin">
        <color rgb="FF6D6E70"/>
      </bottom>
      <diagonal/>
    </border>
    <border>
      <left/>
      <right/>
      <top/>
      <bottom style="dotted">
        <color rgb="FFC00000"/>
      </bottom>
      <diagonal/>
    </border>
    <border>
      <left style="thin">
        <color theme="1" tint="0.24994659260841701"/>
      </left>
      <right style="thin">
        <color theme="1" tint="0.24994659260841701"/>
      </right>
      <top style="thin">
        <color theme="1" tint="0.24994659260841701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rgb="FF6D6E70"/>
      </bottom>
      <diagonal/>
    </border>
    <border>
      <left style="thin">
        <color rgb="FF6D6E70"/>
      </left>
      <right style="thin">
        <color rgb="FF6D6E70"/>
      </right>
      <top style="thin">
        <color rgb="FF6D6E70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6D6E70"/>
      </bottom>
      <diagonal/>
    </border>
    <border>
      <left style="thin">
        <color indexed="64"/>
      </left>
      <right style="thin">
        <color rgb="FF6D6E70"/>
      </right>
      <top style="thin">
        <color rgb="FF6D6E70"/>
      </top>
      <bottom/>
      <diagonal/>
    </border>
    <border>
      <left style="thin">
        <color theme="0" tint="-0.499984740745262"/>
      </left>
      <right style="thin">
        <color rgb="FF6D6E70"/>
      </right>
      <top style="thin">
        <color rgb="FF6D6E70"/>
      </top>
      <bottom/>
      <diagonal/>
    </border>
    <border>
      <left style="thin">
        <color theme="1" tint="0.24994659260841701"/>
      </left>
      <right style="thin">
        <color theme="1" tint="0.24994659260841701"/>
      </right>
      <top/>
      <bottom style="thin">
        <color indexed="64"/>
      </bottom>
      <diagonal/>
    </border>
    <border>
      <left style="thin">
        <color indexed="64"/>
      </left>
      <right style="thin">
        <color rgb="FF6D6E70"/>
      </right>
      <top style="thin">
        <color indexed="64"/>
      </top>
      <bottom style="thin">
        <color indexed="64"/>
      </bottom>
      <diagonal/>
    </border>
    <border>
      <left style="thin">
        <color rgb="FF6D6E70"/>
      </left>
      <right style="thin">
        <color rgb="FF6D6E70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BE5400"/>
      </top>
      <bottom/>
      <diagonal/>
    </border>
    <border>
      <left style="thin">
        <color rgb="FF663300"/>
      </left>
      <right style="thin">
        <color rgb="FF663300"/>
      </right>
      <top style="thin">
        <color rgb="FF663300"/>
      </top>
      <bottom/>
      <diagonal/>
    </border>
    <border>
      <left style="thin">
        <color rgb="FF663300"/>
      </left>
      <right style="thin">
        <color rgb="FF663300"/>
      </right>
      <top/>
      <bottom/>
      <diagonal/>
    </border>
    <border>
      <left style="thin">
        <color rgb="FF663300"/>
      </left>
      <right style="thin">
        <color rgb="FF663300"/>
      </right>
      <top/>
      <bottom style="thin">
        <color rgb="FF6633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6D6E70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6D6E70"/>
      </right>
      <top style="thin">
        <color indexed="64"/>
      </top>
      <bottom style="thin">
        <color indexed="64"/>
      </bottom>
      <diagonal/>
    </border>
  </borders>
  <cellStyleXfs count="2262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5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7" borderId="0" applyNumberFormat="0" applyBorder="0" applyAlignment="0" applyProtection="0"/>
    <xf numFmtId="0" fontId="13" fillId="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0" fontId="19" fillId="4" borderId="0" applyNumberFormat="0" applyBorder="0" applyAlignment="0" applyProtection="0"/>
    <xf numFmtId="0" fontId="15" fillId="8" borderId="1" applyNumberFormat="0" applyAlignment="0" applyProtection="0"/>
    <xf numFmtId="0" fontId="15" fillId="24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0" fontId="13" fillId="17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23" fillId="7" borderId="1" applyNumberFormat="0" applyAlignment="0" applyProtection="0"/>
    <xf numFmtId="174" fontId="17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23" fillId="7" borderId="1" applyNumberFormat="0" applyAlignment="0" applyProtection="0"/>
    <xf numFmtId="0" fontId="24" fillId="0" borderId="3" applyNumberFormat="0" applyFill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31" fillId="0" borderId="0"/>
    <xf numFmtId="0" fontId="11" fillId="0" borderId="0"/>
    <xf numFmtId="0" fontId="11" fillId="0" borderId="0"/>
    <xf numFmtId="0" fontId="11" fillId="9" borderId="7" applyNumberFormat="0" applyFont="0" applyAlignment="0" applyProtection="0"/>
    <xf numFmtId="0" fontId="11" fillId="9" borderId="8" applyNumberFormat="0" applyFont="0" applyAlignment="0" applyProtection="0"/>
    <xf numFmtId="0" fontId="26" fillId="8" borderId="9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26" fillId="24" borderId="9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10" applyNumberFormat="0" applyFill="0" applyAlignment="0" applyProtection="0"/>
    <xf numFmtId="0" fontId="34" fillId="0" borderId="5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9" fillId="0" borderId="0"/>
    <xf numFmtId="0" fontId="11" fillId="0" borderId="0"/>
    <xf numFmtId="43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9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0" fontId="8" fillId="0" borderId="0"/>
    <xf numFmtId="43" fontId="8" fillId="0" borderId="0" applyFont="0" applyFill="0" applyBorder="0" applyAlignment="0" applyProtection="0"/>
    <xf numFmtId="0" fontId="42" fillId="0" borderId="0"/>
    <xf numFmtId="0" fontId="11" fillId="0" borderId="0"/>
    <xf numFmtId="0" fontId="11" fillId="0" borderId="0"/>
    <xf numFmtId="180" fontId="11" fillId="0" borderId="0" applyFont="0" applyFill="0" applyBorder="0" applyAlignment="0" applyProtection="0"/>
    <xf numFmtId="0" fontId="42" fillId="0" borderId="0"/>
    <xf numFmtId="0" fontId="7" fillId="0" borderId="0"/>
    <xf numFmtId="18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11" fillId="0" borderId="0"/>
    <xf numFmtId="180" fontId="11" fillId="0" borderId="0"/>
    <xf numFmtId="180" fontId="11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180" fontId="42" fillId="0" borderId="0"/>
    <xf numFmtId="180" fontId="42" fillId="0" borderId="0"/>
    <xf numFmtId="180" fontId="42" fillId="0" borderId="0"/>
    <xf numFmtId="180" fontId="42" fillId="0" borderId="0"/>
    <xf numFmtId="180" fontId="42" fillId="0" borderId="0"/>
    <xf numFmtId="180" fontId="42" fillId="0" borderId="0"/>
    <xf numFmtId="180" fontId="42" fillId="0" borderId="0"/>
    <xf numFmtId="0" fontId="42" fillId="0" borderId="0"/>
    <xf numFmtId="180" fontId="42" fillId="0" borderId="0"/>
    <xf numFmtId="0" fontId="42" fillId="0" borderId="0"/>
    <xf numFmtId="180" fontId="42" fillId="0" borderId="0"/>
    <xf numFmtId="180" fontId="42" fillId="0" borderId="0"/>
    <xf numFmtId="180" fontId="42" fillId="0" borderId="0"/>
    <xf numFmtId="0" fontId="42" fillId="0" borderId="0"/>
    <xf numFmtId="180" fontId="42" fillId="0" borderId="0"/>
    <xf numFmtId="180" fontId="42" fillId="0" borderId="0"/>
    <xf numFmtId="0" fontId="6" fillId="0" borderId="0"/>
    <xf numFmtId="0" fontId="11" fillId="0" borderId="0"/>
    <xf numFmtId="0" fontId="47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85" fontId="48" fillId="0" borderId="0" applyFont="0" applyFill="0" applyBorder="0" applyAlignment="0" applyProtection="0"/>
    <xf numFmtId="186" fontId="48" fillId="0" borderId="0" applyFont="0" applyFill="0" applyBorder="0" applyAlignment="0" applyProtection="0"/>
    <xf numFmtId="3" fontId="49" fillId="32" borderId="0">
      <alignment horizontal="left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3" fontId="50" fillId="27" borderId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45" fillId="33" borderId="16">
      <alignment horizontal="center"/>
    </xf>
    <xf numFmtId="0" fontId="51" fillId="27" borderId="0"/>
    <xf numFmtId="0" fontId="52" fillId="27" borderId="0">
      <alignment horizontal="center"/>
    </xf>
    <xf numFmtId="0" fontId="53" fillId="27" borderId="0">
      <alignment horizontal="left"/>
    </xf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5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37" fontId="11" fillId="0" borderId="0"/>
    <xf numFmtId="37" fontId="54" fillId="0" borderId="0"/>
    <xf numFmtId="37" fontId="54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187" fontId="56" fillId="34" borderId="17">
      <alignment horizontal="center" vertical="center"/>
    </xf>
    <xf numFmtId="0" fontId="11" fillId="0" borderId="0"/>
    <xf numFmtId="0" fontId="11" fillId="0" borderId="0"/>
    <xf numFmtId="0" fontId="57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3" fontId="58" fillId="34" borderId="16" applyNumberFormat="0">
      <alignment horizont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0" fontId="54" fillId="0" borderId="18">
      <alignment horizontal="center" vertical="center"/>
    </xf>
    <xf numFmtId="37" fontId="11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11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9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188" fontId="1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188" fontId="60" fillId="0" borderId="0" applyFont="0" applyFill="0" applyBorder="0" applyAlignment="0" applyProtection="0"/>
    <xf numFmtId="0" fontId="61" fillId="0" borderId="12" applyNumberFormat="0" applyFill="0" applyAlignment="0" applyProtection="0"/>
    <xf numFmtId="0" fontId="61" fillId="0" borderId="12" applyNumberFormat="0" applyFill="0" applyAlignment="0" applyProtection="0"/>
    <xf numFmtId="3" fontId="62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3" fontId="60" fillId="35" borderId="0" applyNumberFormat="0" applyFont="0" applyBorder="0" applyAlignment="0" applyProtection="0">
      <alignment vertical="center"/>
    </xf>
    <xf numFmtId="0" fontId="63" fillId="0" borderId="19" applyNumberFormat="0" applyFont="0" applyFill="0" applyAlignment="0" applyProtection="0"/>
    <xf numFmtId="0" fontId="63" fillId="0" borderId="19" applyNumberFormat="0" applyFont="0" applyFill="0" applyAlignment="0" applyProtection="0"/>
    <xf numFmtId="49" fontId="64" fillId="0" borderId="0" applyFont="0" applyFill="0" applyBorder="0" applyAlignment="0" applyProtection="0">
      <alignment horizontal="left"/>
    </xf>
    <xf numFmtId="189" fontId="65" fillId="0" borderId="0" applyAlignment="0" applyProtection="0"/>
    <xf numFmtId="173" fontId="29" fillId="0" borderId="0" applyFill="0" applyBorder="0" applyAlignment="0" applyProtection="0"/>
    <xf numFmtId="49" fontId="29" fillId="0" borderId="0" applyNumberFormat="0" applyAlignment="0" applyProtection="0">
      <alignment horizontal="left"/>
    </xf>
    <xf numFmtId="49" fontId="66" fillId="0" borderId="20" applyNumberFormat="0" applyAlignment="0" applyProtection="0">
      <alignment horizontal="left" wrapText="1"/>
    </xf>
    <xf numFmtId="49" fontId="66" fillId="0" borderId="20" applyNumberFormat="0" applyAlignment="0" applyProtection="0">
      <alignment horizontal="left" wrapText="1"/>
    </xf>
    <xf numFmtId="49" fontId="66" fillId="0" borderId="20" applyNumberFormat="0" applyAlignment="0" applyProtection="0">
      <alignment horizontal="left" wrapText="1"/>
    </xf>
    <xf numFmtId="49" fontId="66" fillId="0" borderId="20" applyNumberFormat="0" applyAlignment="0" applyProtection="0">
      <alignment horizontal="left" wrapText="1"/>
    </xf>
    <xf numFmtId="49" fontId="66" fillId="0" borderId="20" applyNumberFormat="0" applyAlignment="0" applyProtection="0">
      <alignment horizontal="left" wrapText="1"/>
    </xf>
    <xf numFmtId="49" fontId="66" fillId="0" borderId="0" applyNumberFormat="0" applyAlignment="0" applyProtection="0">
      <alignment horizontal="left" wrapText="1"/>
    </xf>
    <xf numFmtId="49" fontId="67" fillId="0" borderId="0" applyAlignment="0" applyProtection="0">
      <alignment horizontal="left"/>
    </xf>
    <xf numFmtId="0" fontId="19" fillId="4" borderId="0" applyNumberFormat="0" applyBorder="0" applyAlignment="0" applyProtection="0"/>
    <xf numFmtId="190" fontId="48" fillId="0" borderId="0" applyFont="0" applyFill="0" applyBorder="0" applyAlignment="0" applyProtection="0"/>
    <xf numFmtId="39" fontId="68" fillId="0" borderId="0"/>
    <xf numFmtId="191" fontId="11" fillId="0" borderId="0" applyFill="0" applyBorder="0" applyAlignment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4" fontId="69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7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38" fontId="6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3" fontId="71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71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71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71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72" fillId="0" borderId="0" applyNumberFormat="0" applyAlignment="0">
      <alignment horizontal="left"/>
    </xf>
    <xf numFmtId="0" fontId="7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21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73" fillId="0" borderId="0"/>
    <xf numFmtId="192" fontId="11" fillId="0" borderId="0" applyFill="0" applyBorder="0" applyAlignment="0" applyProtection="0"/>
    <xf numFmtId="193" fontId="7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7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7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7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3" fontId="60" fillId="0" borderId="0" applyFont="0" applyFill="0" applyBorder="0" applyAlignment="0" applyProtection="0"/>
    <xf numFmtId="194" fontId="29" fillId="0" borderId="0" applyFont="0" applyFill="0" applyBorder="0" applyAlignment="0"/>
    <xf numFmtId="8" fontId="11" fillId="0" borderId="0" applyFont="0" applyFill="0" applyBorder="0" applyAlignment="0"/>
    <xf numFmtId="195" fontId="11" fillId="0" borderId="0" applyFont="0" applyFill="0" applyBorder="0" applyAlignment="0" applyProtection="0"/>
    <xf numFmtId="196" fontId="11" fillId="0" borderId="0" applyFill="0" applyBorder="0" applyAlignment="0" applyProtection="0"/>
    <xf numFmtId="197" fontId="11" fillId="0" borderId="0" applyFont="0" applyFill="0" applyBorder="0" applyAlignment="0" applyProtection="0"/>
    <xf numFmtId="198" fontId="48" fillId="0" borderId="0" applyFont="0" applyFill="0" applyBorder="0" applyAlignment="0" applyProtection="0"/>
    <xf numFmtId="15" fontId="75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15" fontId="60" fillId="0" borderId="0" applyFont="0" applyFill="0" applyBorder="0" applyAlignment="0" applyProtection="0"/>
    <xf numFmtId="0" fontId="11" fillId="0" borderId="0" applyFont="0" applyFill="0" applyBorder="0" applyAlignment="0" applyProtection="0"/>
    <xf numFmtId="15" fontId="46" fillId="0" borderId="0" applyFill="0" applyBorder="0" applyAlignment="0"/>
    <xf numFmtId="199" fontId="46" fillId="36" borderId="0" applyFont="0" applyFill="0" applyBorder="0" applyAlignment="0" applyProtection="0"/>
    <xf numFmtId="200" fontId="76" fillId="36" borderId="22" applyFont="0" applyFill="0" applyBorder="0" applyAlignment="0" applyProtection="0"/>
    <xf numFmtId="199" fontId="29" fillId="36" borderId="0" applyFont="0" applyFill="0" applyBorder="0" applyAlignment="0" applyProtection="0"/>
    <xf numFmtId="17" fontId="46" fillId="0" borderId="0" applyFill="0" applyBorder="0">
      <alignment horizontal="right"/>
    </xf>
    <xf numFmtId="201" fontId="46" fillId="0" borderId="12"/>
    <xf numFmtId="201" fontId="46" fillId="0" borderId="12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202" fontId="11" fillId="0" borderId="0" applyFill="0" applyBorder="0" applyAlignment="0" applyProtection="0"/>
    <xf numFmtId="14" fontId="46" fillId="37" borderId="23" applyFill="0" applyBorder="0">
      <alignment horizontal="right"/>
    </xf>
    <xf numFmtId="203" fontId="46" fillId="0" borderId="0" applyFill="0" applyBorder="0">
      <alignment horizontal="right"/>
    </xf>
    <xf numFmtId="204" fontId="29" fillId="0" borderId="24">
      <alignment horizontal="center"/>
    </xf>
    <xf numFmtId="205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207" fontId="62" fillId="0" borderId="0" applyFont="0" applyFill="0" applyBorder="0" applyAlignment="0" applyProtection="0"/>
    <xf numFmtId="3" fontId="62" fillId="0" borderId="0" applyFont="0" applyFill="0" applyBorder="0" applyAlignment="0" applyProtection="0"/>
    <xf numFmtId="7" fontId="29" fillId="0" borderId="0"/>
    <xf numFmtId="0" fontId="22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77" fillId="0" borderId="0" applyNumberFormat="0" applyAlignment="0">
      <alignment horizontal="left"/>
    </xf>
    <xf numFmtId="0" fontId="11" fillId="0" borderId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11" fillId="0" borderId="0" applyFont="0" applyFill="0" applyBorder="0" applyAlignment="0" applyProtection="0"/>
    <xf numFmtId="208" fontId="60" fillId="0" borderId="0" applyFont="0" applyFill="0" applyBorder="0" applyAlignment="0" applyProtection="0"/>
    <xf numFmtId="180" fontId="11" fillId="0" borderId="0" applyFont="0" applyFill="0" applyBorder="0" applyAlignment="0" applyProtection="0"/>
    <xf numFmtId="180" fontId="11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208" fontId="60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72" fontId="29" fillId="0" borderId="0" applyFont="0" applyBorder="0"/>
    <xf numFmtId="209" fontId="78" fillId="0" borderId="0">
      <protection locked="0"/>
    </xf>
    <xf numFmtId="209" fontId="79" fillId="0" borderId="0">
      <protection locked="0"/>
    </xf>
    <xf numFmtId="209" fontId="80" fillId="0" borderId="0">
      <protection locked="0"/>
    </xf>
    <xf numFmtId="209" fontId="80" fillId="0" borderId="0">
      <protection locked="0"/>
    </xf>
    <xf numFmtId="209" fontId="79" fillId="0" borderId="0">
      <protection locked="0"/>
    </xf>
    <xf numFmtId="209" fontId="81" fillId="0" borderId="0">
      <protection locked="0"/>
    </xf>
    <xf numFmtId="209" fontId="79" fillId="0" borderId="0">
      <protection locked="0"/>
    </xf>
    <xf numFmtId="210" fontId="11" fillId="0" borderId="0" applyFont="0" applyFill="0" applyBorder="0" applyAlignment="0" applyProtection="0"/>
    <xf numFmtId="2" fontId="11" fillId="0" borderId="0" applyFont="0" applyFill="0" applyBorder="0" applyAlignment="0" applyProtection="0"/>
    <xf numFmtId="211" fontId="11" fillId="36" borderId="0" applyFont="0" applyFill="0" applyBorder="0" applyAlignment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2" fontId="11" fillId="0" borderId="0" applyFill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82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54" fillId="0" borderId="0" applyNumberFormat="0" applyFill="0" applyBorder="0" applyAlignment="0" applyProtection="0">
      <alignment vertical="top"/>
      <protection locked="0"/>
    </xf>
    <xf numFmtId="0" fontId="63" fillId="0" borderId="0" applyFill="0" applyBorder="0" applyProtection="0">
      <alignment horizontal="left"/>
    </xf>
    <xf numFmtId="4" fontId="83" fillId="0" borderId="0">
      <protection locked="0"/>
    </xf>
    <xf numFmtId="38" fontId="29" fillId="27" borderId="0" applyNumberFormat="0" applyBorder="0" applyAlignment="0" applyProtection="0"/>
    <xf numFmtId="0" fontId="84" fillId="0" borderId="0" applyNumberFormat="0" applyFill="0" applyBorder="0" applyAlignment="0" applyProtection="0"/>
    <xf numFmtId="0" fontId="4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54" fillId="0" borderId="25" applyNumberFormat="0" applyAlignment="0" applyProtection="0">
      <alignment horizontal="left" vertical="center"/>
    </xf>
    <xf numFmtId="0" fontId="4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4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54" fillId="0" borderId="26">
      <alignment horizontal="left" vertical="center"/>
    </xf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80" fillId="0" borderId="0">
      <protection locked="0"/>
    </xf>
    <xf numFmtId="212" fontId="11" fillId="0" borderId="0">
      <protection locked="0"/>
    </xf>
    <xf numFmtId="0" fontId="80" fillId="0" borderId="0">
      <protection locked="0"/>
    </xf>
    <xf numFmtId="212" fontId="11" fillId="0" borderId="0">
      <protection locked="0"/>
    </xf>
    <xf numFmtId="213" fontId="85" fillId="0" borderId="0"/>
    <xf numFmtId="0" fontId="86" fillId="0" borderId="27" applyNumberFormat="0" applyFill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88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10" fontId="29" fillId="36" borderId="15" applyNumberFormat="0" applyBorder="0" applyAlignment="0" applyProtection="0"/>
    <xf numFmtId="10" fontId="29" fillId="36" borderId="15" applyNumberFormat="0" applyBorder="0" applyAlignment="0" applyProtection="0"/>
    <xf numFmtId="10" fontId="29" fillId="36" borderId="15" applyNumberFormat="0" applyBorder="0" applyAlignment="0" applyProtection="0"/>
    <xf numFmtId="10" fontId="29" fillId="36" borderId="15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8" fontId="29" fillId="0" borderId="0"/>
    <xf numFmtId="200" fontId="29" fillId="36" borderId="0" applyFont="0" applyBorder="0" applyAlignment="0" applyProtection="0">
      <protection locked="0"/>
    </xf>
    <xf numFmtId="211" fontId="29" fillId="36" borderId="0" applyFont="0" applyBorder="0" applyAlignment="0">
      <protection locked="0"/>
    </xf>
    <xf numFmtId="199" fontId="29" fillId="0" borderId="0"/>
    <xf numFmtId="199" fontId="29" fillId="0" borderId="0"/>
    <xf numFmtId="10" fontId="29" fillId="36" borderId="0">
      <protection locked="0"/>
    </xf>
    <xf numFmtId="199" fontId="29" fillId="0" borderId="0"/>
    <xf numFmtId="199" fontId="89" fillId="36" borderId="0" applyNumberFormat="0" applyBorder="0" applyAlignment="0">
      <protection locked="0"/>
    </xf>
    <xf numFmtId="0" fontId="86" fillId="0" borderId="0" applyNumberFormat="0" applyFill="0" applyBorder="0" applyAlignment="0">
      <protection locked="0"/>
    </xf>
    <xf numFmtId="214" fontId="11" fillId="0" borderId="0" applyFont="0" applyFill="0" applyBorder="0" applyAlignment="0" applyProtection="0"/>
    <xf numFmtId="215" fontId="11" fillId="0" borderId="0" applyFont="0" applyFill="0" applyBorder="0" applyAlignment="0" applyProtection="0"/>
    <xf numFmtId="0" fontId="73" fillId="0" borderId="0" applyNumberFormat="0" applyFont="0" applyFill="0" applyBorder="0" applyProtection="0">
      <alignment horizontal="left" vertical="center"/>
    </xf>
    <xf numFmtId="0" fontId="7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0" fontId="54" fillId="0" borderId="28">
      <alignment horizontal="left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7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8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11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216" fontId="90" fillId="38" borderId="15">
      <alignment horizontal="center"/>
    </xf>
    <xf numFmtId="40" fontId="91" fillId="0" borderId="0">
      <alignment horizontal="right"/>
    </xf>
    <xf numFmtId="37" fontId="11" fillId="0" borderId="0" applyFont="0" applyFill="0" applyBorder="0" applyAlignment="0" applyProtection="0"/>
    <xf numFmtId="219" fontId="11" fillId="0" borderId="0" applyFont="0" applyFill="0" applyBorder="0" applyAlignment="0" applyProtection="0"/>
    <xf numFmtId="220" fontId="11" fillId="0" borderId="0" applyFont="0" applyFill="0" applyBorder="0" applyAlignment="0" applyProtection="0"/>
    <xf numFmtId="199" fontId="11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84" fontId="10" fillId="0" borderId="0" applyFont="0" applyFill="0" applyBorder="0" applyAlignment="0" applyProtection="0"/>
    <xf numFmtId="199" fontId="11" fillId="0" borderId="0" applyFont="0" applyFill="0" applyBorder="0" applyAlignment="0" applyProtection="0"/>
    <xf numFmtId="221" fontId="11" fillId="0" borderId="0" applyFont="0" applyFill="0" applyBorder="0" applyAlignment="0" applyProtection="0"/>
    <xf numFmtId="3" fontId="92" fillId="32" borderId="12">
      <alignment horizontal="center"/>
    </xf>
    <xf numFmtId="222" fontId="29" fillId="27" borderId="0" applyFont="0" applyBorder="0" applyAlignment="0" applyProtection="0">
      <alignment horizontal="right"/>
      <protection hidden="1"/>
    </xf>
    <xf numFmtId="37" fontId="93" fillId="0" borderId="0"/>
    <xf numFmtId="37" fontId="75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37" fontId="60" fillId="0" borderId="0" applyFont="0" applyFill="0" applyBorder="0" applyAlignment="0" applyProtection="0"/>
    <xf numFmtId="0" fontId="94" fillId="0" borderId="0"/>
    <xf numFmtId="0" fontId="29" fillId="0" borderId="0"/>
    <xf numFmtId="213" fontId="95" fillId="0" borderId="0"/>
    <xf numFmtId="213" fontId="96" fillId="0" borderId="0"/>
    <xf numFmtId="38" fontId="29" fillId="0" borderId="0" applyFont="0" applyFill="0" applyBorder="0" applyAlignment="0"/>
    <xf numFmtId="199" fontId="11" fillId="0" borderId="0" applyFont="0" applyFill="0" applyBorder="0" applyAlignment="0"/>
    <xf numFmtId="40" fontId="29" fillId="0" borderId="0" applyFont="0" applyFill="0" applyBorder="0" applyAlignment="0"/>
    <xf numFmtId="223" fontId="29" fillId="0" borderId="0" applyFont="0" applyFill="0" applyBorder="0" applyAlignment="0"/>
    <xf numFmtId="0" fontId="6" fillId="0" borderId="0"/>
    <xf numFmtId="37" fontId="11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6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3" fillId="0" borderId="0"/>
    <xf numFmtId="0" fontId="43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 applyFill="0" applyBorder="0" applyAlignment="0" applyProtection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0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0" fontId="9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9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5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6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11" fillId="0" borderId="0" applyNumberFormat="0" applyFill="0" applyBorder="0" applyAlignment="0" applyProtection="0"/>
    <xf numFmtId="0" fontId="11" fillId="0" borderId="0"/>
    <xf numFmtId="0" fontId="11" fillId="0" borderId="0"/>
    <xf numFmtId="0" fontId="43" fillId="0" borderId="0"/>
    <xf numFmtId="0" fontId="11" fillId="0" borderId="0"/>
    <xf numFmtId="0" fontId="43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0" fontId="6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11" fillId="0" borderId="0"/>
    <xf numFmtId="37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0" fontId="6" fillId="0" borderId="0"/>
    <xf numFmtId="0" fontId="6" fillId="0" borderId="0"/>
    <xf numFmtId="37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37" fontId="11" fillId="0" borderId="0"/>
    <xf numFmtId="0" fontId="11" fillId="0" borderId="0"/>
    <xf numFmtId="37" fontId="11" fillId="0" borderId="0"/>
    <xf numFmtId="0" fontId="11" fillId="0" borderId="0"/>
    <xf numFmtId="0" fontId="11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0" fontId="11" fillId="0" borderId="0"/>
    <xf numFmtId="37" fontId="11" fillId="0" borderId="0"/>
    <xf numFmtId="37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11" fillId="0" borderId="0"/>
    <xf numFmtId="37" fontId="11" fillId="0" borderId="0"/>
    <xf numFmtId="37" fontId="54" fillId="0" borderId="0"/>
    <xf numFmtId="0" fontId="11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37" fontId="5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6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11" fillId="0" borderId="0"/>
    <xf numFmtId="0" fontId="11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5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1" fillId="0" borderId="0"/>
    <xf numFmtId="0" fontId="11" fillId="0" borderId="0"/>
    <xf numFmtId="0" fontId="54" fillId="0" borderId="0"/>
    <xf numFmtId="0" fontId="11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9" fillId="0" borderId="0"/>
    <xf numFmtId="0" fontId="43" fillId="0" borderId="0"/>
    <xf numFmtId="0" fontId="11" fillId="0" borderId="0"/>
    <xf numFmtId="0" fontId="43" fillId="0" borderId="0"/>
    <xf numFmtId="0" fontId="11" fillId="0" borderId="0"/>
    <xf numFmtId="0" fontId="11" fillId="0" borderId="0"/>
    <xf numFmtId="0" fontId="11" fillId="0" borderId="0"/>
    <xf numFmtId="0" fontId="43" fillId="0" borderId="0"/>
    <xf numFmtId="0" fontId="4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46" fillId="0" borderId="0" applyNumberFormat="0" applyFill="0" applyBorder="0" applyAlignment="0" applyProtection="0"/>
    <xf numFmtId="224" fontId="29" fillId="0" borderId="0" applyFont="0" applyFill="0" applyBorder="0" applyAlignment="0" applyProtection="0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0" fontId="56" fillId="0" borderId="0">
      <alignment horizontal="left" indent="1"/>
    </xf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225" fontId="11" fillId="39" borderId="19"/>
    <xf numFmtId="0" fontId="11" fillId="0" borderId="0">
      <alignment horizontal="left" indent="1"/>
    </xf>
    <xf numFmtId="0" fontId="11" fillId="14" borderId="8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1" fillId="14" borderId="8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1" fillId="14" borderId="8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0" fillId="30" borderId="14" applyNumberFormat="0" applyFont="0" applyAlignment="0" applyProtection="0"/>
    <xf numFmtId="0" fontId="11" fillId="14" borderId="8" applyNumberFormat="0" applyFont="0" applyAlignment="0" applyProtection="0"/>
    <xf numFmtId="0" fontId="11" fillId="14" borderId="8" applyNumberFormat="0" applyFont="0" applyAlignment="0" applyProtection="0"/>
    <xf numFmtId="0" fontId="11" fillId="14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1" fillId="9" borderId="8" applyNumberFormat="0" applyFont="0" applyAlignment="0" applyProtection="0"/>
    <xf numFmtId="0" fontId="11" fillId="9" borderId="8" applyNumberFormat="0" applyFont="0" applyAlignment="0" applyProtection="0"/>
    <xf numFmtId="226" fontId="29" fillId="0" borderId="0" applyFont="0" applyFill="0" applyBorder="0" applyAlignment="0" applyProtection="0"/>
    <xf numFmtId="227" fontId="29" fillId="0" borderId="0" applyFont="0" applyFill="0" applyBorder="0" applyAlignment="0" applyProtection="0"/>
    <xf numFmtId="228" fontId="75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228" fontId="60" fillId="0" borderId="0" applyFont="0" applyFill="0" applyBorder="0" applyAlignment="0" applyProtection="0"/>
    <xf numFmtId="0" fontId="70" fillId="0" borderId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10" fontId="11" fillId="0" borderId="0" applyFill="0" applyBorder="0" applyAlignment="0" applyProtection="0"/>
    <xf numFmtId="229" fontId="11" fillId="0" borderId="0" applyFont="0" applyFill="0" applyBorder="0" applyAlignment="0"/>
    <xf numFmtId="230" fontId="29" fillId="0" borderId="0" applyFont="0" applyFill="0" applyBorder="0" applyAlignment="0"/>
    <xf numFmtId="10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173" fontId="73" fillId="0" borderId="0"/>
    <xf numFmtId="0" fontId="48" fillId="37" borderId="0"/>
    <xf numFmtId="9" fontId="73" fillId="0" borderId="0" applyFont="0" applyFill="0" applyBorder="0" applyAlignment="0" applyProtection="0"/>
    <xf numFmtId="231" fontId="2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32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1" fillId="0" borderId="0" applyFont="0" applyFill="0" applyBorder="0" applyAlignment="0" applyProtection="0"/>
    <xf numFmtId="40" fontId="11" fillId="0" borderId="0"/>
    <xf numFmtId="0" fontId="11" fillId="40" borderId="15"/>
    <xf numFmtId="0" fontId="11" fillId="40" borderId="15"/>
    <xf numFmtId="0" fontId="11" fillId="40" borderId="15"/>
    <xf numFmtId="0" fontId="11" fillId="40" borderId="15"/>
    <xf numFmtId="199" fontId="100" fillId="0" borderId="0" applyNumberFormat="0" applyFill="0" applyBorder="0" applyAlignment="0" applyProtection="0">
      <alignment horizontal="left"/>
    </xf>
    <xf numFmtId="233" fontId="11" fillId="0" borderId="0" applyNumberFormat="0" applyFill="0" applyBorder="0" applyAlignment="0" applyProtection="0">
      <alignment horizontal="left"/>
    </xf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38" fontId="7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1" fontId="6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234" fontId="5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91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235" fontId="5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86" fontId="6" fillId="0" borderId="0" applyFont="0" applyFill="0" applyBorder="0" applyAlignment="0" applyProtection="0"/>
    <xf numFmtId="181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1" fontId="10" fillId="0" borderId="0" applyFont="0" applyFill="0" applyBorder="0" applyAlignment="0" applyProtection="0"/>
    <xf numFmtId="188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75" fontId="10" fillId="0" borderId="0" applyFont="0" applyFill="0" applyBorder="0" applyAlignment="0" applyProtection="0"/>
    <xf numFmtId="173" fontId="6" fillId="0" borderId="0" applyFont="0" applyFill="0" applyBorder="0" applyAlignment="0" applyProtection="0"/>
    <xf numFmtId="211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6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85" fontId="6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41" fontId="6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6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6" fillId="0" borderId="0" applyFont="0" applyFill="0" applyBorder="0" applyAlignment="0" applyProtection="0"/>
    <xf numFmtId="188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236" fontId="11" fillId="0" borderId="0" applyFont="0" applyFill="0" applyBorder="0" applyAlignment="0" applyProtection="0"/>
    <xf numFmtId="223" fontId="11" fillId="0" borderId="0" applyFont="0" applyFill="0" applyBorder="0" applyAlignment="0" applyProtection="0"/>
    <xf numFmtId="237" fontId="11" fillId="0" borderId="0" applyFont="0" applyFill="0" applyBorder="0" applyAlignment="0" applyProtection="0"/>
    <xf numFmtId="238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1" fillId="0" borderId="0" applyFont="0" applyFill="0" applyBorder="0" applyAlignment="0" applyProtection="0"/>
    <xf numFmtId="195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5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0" fontId="60" fillId="1" borderId="0" applyNumberFormat="0" applyFont="0" applyBorder="0" applyAlignment="0" applyProtection="0"/>
    <xf numFmtId="3" fontId="53" fillId="41" borderId="0">
      <alignment horizontal="left"/>
    </xf>
    <xf numFmtId="0" fontId="11" fillId="0" borderId="0"/>
    <xf numFmtId="0" fontId="11" fillId="0" borderId="0"/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0" fontId="103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103" fillId="0" borderId="0" applyNumberFormat="0" applyFill="0" applyBorder="0" applyProtection="0">
      <alignment horizontal="center"/>
    </xf>
    <xf numFmtId="0" fontId="104" fillId="0" borderId="0" applyNumberFormat="0" applyFill="0" applyBorder="0" applyProtection="0">
      <alignment horizontal="center"/>
    </xf>
    <xf numFmtId="0" fontId="104" fillId="42" borderId="0" applyNumberFormat="0" applyBorder="0" applyAlignment="0" applyProtection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6" fillId="43" borderId="0" applyNumberFormat="0" applyBorder="0" applyAlignment="0" applyProtection="0"/>
    <xf numFmtId="0" fontId="107" fillId="0" borderId="0" applyNumberFormat="0" applyFill="0" applyBorder="0" applyAlignment="0" applyProtection="0"/>
    <xf numFmtId="0" fontId="108" fillId="31" borderId="0" applyNumberFormat="0" applyBorder="0" applyAlignment="0" applyProtection="0"/>
    <xf numFmtId="0" fontId="104" fillId="28" borderId="0" applyNumberFormat="0" applyBorder="0" applyAlignment="0" applyProtection="0"/>
    <xf numFmtId="0" fontId="46" fillId="0" borderId="13" applyNumberFormat="0" applyFill="0" applyProtection="0">
      <alignment wrapText="1"/>
    </xf>
    <xf numFmtId="0" fontId="56" fillId="0" borderId="0" applyNumberFormat="0" applyFill="0" applyBorder="0" applyProtection="0">
      <alignment wrapText="1"/>
    </xf>
    <xf numFmtId="0" fontId="46" fillId="0" borderId="13" applyNumberFormat="0" applyFill="0" applyProtection="0">
      <alignment horizontal="center" wrapText="1"/>
    </xf>
    <xf numFmtId="239" fontId="46" fillId="0" borderId="0" applyFill="0" applyBorder="0" applyProtection="0">
      <alignment horizontal="center" wrapText="1"/>
    </xf>
    <xf numFmtId="0" fontId="44" fillId="0" borderId="0" applyNumberFormat="0" applyFill="0" applyBorder="0" applyProtection="0">
      <alignment horizontal="justify" wrapText="1"/>
    </xf>
    <xf numFmtId="0" fontId="109" fillId="26" borderId="29" applyNumberFormat="0" applyProtection="0">
      <alignment horizontal="right" vertical="center"/>
    </xf>
    <xf numFmtId="0" fontId="110" fillId="26" borderId="0" applyNumberFormat="0" applyProtection="0">
      <alignment horizontal="right" vertical="center" wrapText="1"/>
    </xf>
    <xf numFmtId="0" fontId="111" fillId="26" borderId="0" applyNumberFormat="0" applyProtection="0">
      <alignment horizontal="left" vertical="center"/>
    </xf>
    <xf numFmtId="0" fontId="112" fillId="26" borderId="0" applyNumberFormat="0" applyProtection="0">
      <alignment horizontal="left" vertical="center"/>
    </xf>
    <xf numFmtId="240" fontId="111" fillId="26" borderId="0" applyProtection="0">
      <alignment horizontal="right" vertical="center"/>
    </xf>
    <xf numFmtId="0" fontId="113" fillId="26" borderId="0" applyNumberFormat="0" applyProtection="0">
      <alignment horizontal="left" vertical="center"/>
    </xf>
    <xf numFmtId="0" fontId="114" fillId="26" borderId="0" applyNumberFormat="0" applyProtection="0">
      <alignment horizontal="center" vertical="center"/>
    </xf>
    <xf numFmtId="4" fontId="115" fillId="26" borderId="0" applyProtection="0">
      <alignment horizontal="center" vertical="center"/>
    </xf>
    <xf numFmtId="0" fontId="116" fillId="44" borderId="0" applyNumberFormat="0" applyProtection="0">
      <alignment horizontal="center" vertical="center"/>
    </xf>
    <xf numFmtId="4" fontId="117" fillId="44" borderId="0" applyProtection="0">
      <alignment horizontal="center" vertical="center"/>
    </xf>
    <xf numFmtId="0" fontId="102" fillId="26" borderId="0" applyNumberFormat="0" applyProtection="0">
      <alignment horizontal="center" vertical="center"/>
    </xf>
    <xf numFmtId="4" fontId="118" fillId="26" borderId="0" applyProtection="0">
      <alignment horizontal="center" vertical="center"/>
    </xf>
    <xf numFmtId="0" fontId="119" fillId="31" borderId="0" applyNumberFormat="0" applyProtection="0">
      <alignment horizontal="center" vertical="center"/>
    </xf>
    <xf numFmtId="240" fontId="120" fillId="26" borderId="30" applyProtection="0">
      <alignment horizontal="right" vertical="center"/>
    </xf>
    <xf numFmtId="0" fontId="121" fillId="26" borderId="0" applyNumberFormat="0" applyProtection="0">
      <alignment horizontal="left" vertical="center"/>
    </xf>
    <xf numFmtId="240" fontId="120" fillId="26" borderId="0" applyProtection="0">
      <alignment horizontal="right" vertical="center"/>
    </xf>
    <xf numFmtId="0" fontId="122" fillId="26" borderId="0" applyNumberFormat="0" applyProtection="0">
      <alignment horizontal="left" vertical="center"/>
    </xf>
    <xf numFmtId="0" fontId="123" fillId="26" borderId="0" applyNumberFormat="0" applyProtection="0">
      <alignment horizontal="left" vertical="center"/>
    </xf>
    <xf numFmtId="240" fontId="111" fillId="26" borderId="0" applyProtection="0">
      <alignment horizontal="right" vertical="center"/>
    </xf>
    <xf numFmtId="240" fontId="111" fillId="26" borderId="31" applyProtection="0">
      <alignment horizontal="left" vertical="center"/>
    </xf>
    <xf numFmtId="0" fontId="124" fillId="26" borderId="0" applyNumberFormat="0" applyProtection="0">
      <alignment horizontal="left" vertical="center"/>
    </xf>
    <xf numFmtId="240" fontId="111" fillId="26" borderId="32" applyProtection="0">
      <alignment horizontal="right" vertical="center"/>
    </xf>
    <xf numFmtId="240" fontId="111" fillId="26" borderId="32" applyProtection="0">
      <alignment horizontal="right" vertical="center"/>
    </xf>
    <xf numFmtId="240" fontId="111" fillId="26" borderId="32" applyProtection="0">
      <alignment horizontal="right" vertical="center"/>
    </xf>
    <xf numFmtId="240" fontId="111" fillId="26" borderId="32" applyProtection="0">
      <alignment horizontal="right" vertical="center"/>
    </xf>
    <xf numFmtId="240" fontId="111" fillId="26" borderId="32" applyProtection="0">
      <alignment horizontal="right" vertical="center"/>
    </xf>
    <xf numFmtId="240" fontId="111" fillId="26" borderId="32" applyProtection="0">
      <alignment horizontal="right" vertical="center"/>
    </xf>
    <xf numFmtId="0" fontId="125" fillId="26" borderId="0" applyNumberFormat="0" applyProtection="0">
      <alignment horizontal="left" vertical="center"/>
    </xf>
    <xf numFmtId="0" fontId="126" fillId="44" borderId="0" applyNumberFormat="0" applyProtection="0">
      <alignment horizontal="center" vertical="center" wrapText="1"/>
    </xf>
    <xf numFmtId="4" fontId="127" fillId="44" borderId="0" applyProtection="0">
      <alignment horizontal="center" vertical="center"/>
    </xf>
    <xf numFmtId="0" fontId="128" fillId="26" borderId="0" applyNumberFormat="0" applyProtection="0">
      <alignment horizontal="center" vertical="center" wrapText="1"/>
    </xf>
    <xf numFmtId="0" fontId="50" fillId="26" borderId="0" applyNumberFormat="0" applyProtection="0">
      <alignment horizontal="center" vertical="center" wrapText="1"/>
    </xf>
    <xf numFmtId="0" fontId="129" fillId="31" borderId="0" applyNumberFormat="0" applyProtection="0">
      <alignment horizontal="center" vertical="center" wrapText="1"/>
    </xf>
    <xf numFmtId="0" fontId="130" fillId="26" borderId="0" applyNumberFormat="0" applyProtection="0">
      <alignment horizontal="center" vertical="center" wrapText="1"/>
    </xf>
    <xf numFmtId="0" fontId="50" fillId="28" borderId="0" applyNumberFormat="0" applyProtection="0">
      <alignment horizontal="center" vertical="center" wrapText="1"/>
    </xf>
    <xf numFmtId="0" fontId="126" fillId="44" borderId="0" applyNumberFormat="0" applyProtection="0">
      <alignment horizontal="center" vertical="center" wrapText="1"/>
    </xf>
    <xf numFmtId="4" fontId="127" fillId="44" borderId="0" applyProtection="0">
      <alignment horizontal="center" vertical="top" wrapText="1"/>
    </xf>
    <xf numFmtId="0" fontId="128" fillId="26" borderId="0" applyNumberFormat="0" applyProtection="0">
      <alignment horizontal="center" vertical="center" wrapText="1"/>
    </xf>
    <xf numFmtId="4" fontId="131" fillId="26" borderId="0" applyProtection="0">
      <alignment horizontal="center" vertical="top" wrapText="1"/>
    </xf>
    <xf numFmtId="0" fontId="129" fillId="31" borderId="0" applyNumberFormat="0" applyProtection="0">
      <alignment horizontal="center" vertical="center" wrapText="1"/>
    </xf>
    <xf numFmtId="4" fontId="132" fillId="31" borderId="0" applyProtection="0">
      <alignment horizontal="center" vertical="top" wrapText="1"/>
    </xf>
    <xf numFmtId="0" fontId="50" fillId="28" borderId="0" applyNumberFormat="0" applyProtection="0">
      <alignment horizontal="center" vertical="center" wrapText="1"/>
    </xf>
    <xf numFmtId="4" fontId="133" fillId="28" borderId="0" applyProtection="0">
      <alignment horizontal="center" vertical="top" wrapText="1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17" fontId="102" fillId="26" borderId="0" applyProtection="0">
      <alignment horizontal="center" vertical="center"/>
    </xf>
    <xf numFmtId="3" fontId="49" fillId="41" borderId="0">
      <alignment horizontal="left"/>
    </xf>
    <xf numFmtId="40" fontId="134" fillId="0" borderId="0" applyBorder="0">
      <alignment horizontal="right"/>
    </xf>
    <xf numFmtId="0" fontId="135" fillId="0" borderId="0" applyFill="0" applyBorder="0" applyProtection="0">
      <alignment horizontal="center" vertical="center"/>
    </xf>
    <xf numFmtId="0" fontId="11" fillId="0" borderId="0" applyBorder="0" applyProtection="0">
      <alignment vertical="center"/>
    </xf>
    <xf numFmtId="0" fontId="46" fillId="0" borderId="0" applyBorder="0" applyProtection="0">
      <alignment horizontal="left"/>
    </xf>
    <xf numFmtId="0" fontId="56" fillId="0" borderId="0" applyFill="0" applyBorder="0" applyProtection="0">
      <alignment horizontal="left"/>
    </xf>
    <xf numFmtId="0" fontId="29" fillId="0" borderId="33" applyFill="0" applyBorder="0" applyProtection="0">
      <alignment horizontal="left" vertical="top"/>
    </xf>
    <xf numFmtId="0" fontId="29" fillId="0" borderId="33" applyFill="0" applyBorder="0" applyProtection="0">
      <alignment horizontal="left" vertical="top"/>
    </xf>
    <xf numFmtId="0" fontId="29" fillId="0" borderId="33" applyFill="0" applyBorder="0" applyProtection="0">
      <alignment horizontal="left" vertical="top"/>
    </xf>
    <xf numFmtId="40" fontId="11" fillId="0" borderId="0">
      <alignment horizontal="left"/>
      <protection locked="0"/>
    </xf>
    <xf numFmtId="3" fontId="62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3" fontId="54" fillId="0" borderId="21" applyFill="0">
      <alignment horizontal="right" vertical="center"/>
    </xf>
    <xf numFmtId="0" fontId="28" fillId="0" borderId="0" applyNumberFormat="0" applyFill="0" applyBorder="0" applyAlignment="0" applyProtection="0"/>
    <xf numFmtId="3" fontId="136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3" fontId="54" fillId="0" borderId="34" applyBorder="0" applyAlignment="0">
      <alignment horizontal="center" vertical="center"/>
    </xf>
    <xf numFmtId="199" fontId="137" fillId="0" borderId="0" applyFill="0" applyBorder="0" applyAlignment="0" applyProtection="0">
      <alignment horizontal="right"/>
    </xf>
    <xf numFmtId="37" fontId="48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138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37" fontId="54" fillId="0" borderId="0" applyNumberFormat="0" applyFill="0" applyBorder="0" applyAlignment="0" applyProtection="0"/>
    <xf numFmtId="0" fontId="139" fillId="0" borderId="0">
      <alignment vertical="center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3" fontId="140" fillId="41" borderId="0">
      <alignment horizontal="center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141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241" fontId="54" fillId="0" borderId="35" applyNumberFormat="0" applyFill="0" applyBorder="0" applyAlignment="0" applyProtection="0">
      <alignment horizontal="left"/>
    </xf>
    <xf numFmtId="0" fontId="142" fillId="0" borderId="12" applyNumberFormat="0" applyProtection="0">
      <alignment horizontal="center"/>
    </xf>
    <xf numFmtId="241" fontId="141" fillId="0" borderId="35" applyNumberFormat="0" applyFill="0" applyBorder="0" applyAlignment="0" applyProtection="0">
      <alignment horizontal="left"/>
    </xf>
    <xf numFmtId="3" fontId="92" fillId="27" borderId="12">
      <alignment horizontal="center" vertical="center"/>
    </xf>
    <xf numFmtId="3" fontId="143" fillId="41" borderId="0">
      <alignment horizontal="left"/>
    </xf>
    <xf numFmtId="242" fontId="144" fillId="0" borderId="0"/>
    <xf numFmtId="3" fontId="50" fillId="45" borderId="0">
      <alignment horizontal="right"/>
    </xf>
    <xf numFmtId="37" fontId="29" fillId="37" borderId="0" applyNumberFormat="0" applyBorder="0" applyAlignment="0" applyProtection="0"/>
    <xf numFmtId="37" fontId="29" fillId="0" borderId="0"/>
    <xf numFmtId="3" fontId="76" fillId="0" borderId="27" applyProtection="0"/>
    <xf numFmtId="4" fontId="145" fillId="0" borderId="0">
      <protection locked="0"/>
    </xf>
    <xf numFmtId="243" fontId="11" fillId="0" borderId="0" applyFont="0" applyFill="0" applyBorder="0" applyAlignment="0" applyProtection="0"/>
    <xf numFmtId="244" fontId="11" fillId="0" borderId="0" applyFont="0" applyFill="0" applyBorder="0" applyAlignment="0" applyProtection="0"/>
    <xf numFmtId="245" fontId="62" fillId="0" borderId="0" applyFont="0" applyFill="0" applyBorder="0" applyAlignment="0" applyProtection="0"/>
    <xf numFmtId="246" fontId="62" fillId="0" borderId="0" applyFont="0" applyFill="0" applyBorder="0" applyAlignment="0" applyProtection="0"/>
    <xf numFmtId="0" fontId="6" fillId="0" borderId="0"/>
    <xf numFmtId="0" fontId="17" fillId="0" borderId="0" applyNumberFormat="0" applyFont="0" applyFill="0" applyBorder="0" applyProtection="0">
      <alignment horizontal="center" vertical="center" wrapText="1"/>
    </xf>
    <xf numFmtId="1" fontId="146" fillId="0" borderId="0">
      <alignment horizontal="center"/>
    </xf>
    <xf numFmtId="1" fontId="147" fillId="0" borderId="0">
      <alignment horizontal="centerContinuous"/>
    </xf>
    <xf numFmtId="232" fontId="11" fillId="0" borderId="0" applyFont="0" applyFill="0" applyBorder="0" applyAlignment="0" applyProtection="0"/>
    <xf numFmtId="235" fontId="11" fillId="0" borderId="0" applyFont="0" applyFill="0" applyBorder="0" applyAlignment="0" applyProtection="0"/>
    <xf numFmtId="247" fontId="11" fillId="0" borderId="0" applyFont="0" applyFill="0" applyBorder="0" applyAlignment="0" applyProtection="0"/>
    <xf numFmtId="248" fontId="11" fillId="0" borderId="0" applyFont="0" applyFill="0" applyBorder="0" applyAlignment="0" applyProtection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37" fontId="148" fillId="0" borderId="0"/>
    <xf numFmtId="40" fontId="17" fillId="0" borderId="0" applyFont="0" applyFill="0" applyBorder="0" applyAlignment="0" applyProtection="0"/>
    <xf numFmtId="37" fontId="148" fillId="0" borderId="0"/>
    <xf numFmtId="40" fontId="17" fillId="0" borderId="0" applyFont="0" applyFill="0" applyBorder="0" applyAlignment="0" applyProtection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43" fontId="6" fillId="0" borderId="0" applyFont="0" applyFill="0" applyBorder="0" applyAlignment="0" applyProtection="0"/>
    <xf numFmtId="0" fontId="11" fillId="0" borderId="0"/>
    <xf numFmtId="0" fontId="11" fillId="0" borderId="0"/>
    <xf numFmtId="43" fontId="6" fillId="0" borderId="0" applyFont="0" applyFill="0" applyBorder="0" applyAlignment="0" applyProtection="0"/>
    <xf numFmtId="0" fontId="70" fillId="0" borderId="0"/>
    <xf numFmtId="44" fontId="6" fillId="0" borderId="0" applyFont="0" applyFill="0" applyBorder="0" applyAlignment="0" applyProtection="0"/>
    <xf numFmtId="0" fontId="11" fillId="0" borderId="0"/>
    <xf numFmtId="0" fontId="6" fillId="0" borderId="0"/>
    <xf numFmtId="43" fontId="10" fillId="0" borderId="0" applyFont="0" applyFill="0" applyBorder="0" applyAlignment="0" applyProtection="0"/>
    <xf numFmtId="0" fontId="6" fillId="0" borderId="0"/>
    <xf numFmtId="0" fontId="149" fillId="0" borderId="0"/>
    <xf numFmtId="0" fontId="149" fillId="0" borderId="0"/>
    <xf numFmtId="37" fontId="148" fillId="0" borderId="0"/>
    <xf numFmtId="0" fontId="11" fillId="0" borderId="0"/>
    <xf numFmtId="43" fontId="11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43" fontId="11" fillId="0" borderId="0" applyFont="0" applyFill="0" applyBorder="0" applyAlignment="0" applyProtection="0"/>
    <xf numFmtId="0" fontId="46" fillId="0" borderId="36" applyNumberFormat="0" applyFill="0" applyProtection="0">
      <alignment wrapText="1"/>
    </xf>
    <xf numFmtId="0" fontId="46" fillId="0" borderId="36" applyNumberFormat="0" applyFill="0" applyProtection="0">
      <alignment horizontal="center" wrapText="1"/>
    </xf>
    <xf numFmtId="0" fontId="6" fillId="0" borderId="0"/>
    <xf numFmtId="0" fontId="151" fillId="46" borderId="0" applyNumberFormat="0" applyBorder="0" applyAlignment="0" applyProtection="0"/>
    <xf numFmtId="0" fontId="152" fillId="0" borderId="38" applyNumberFormat="0" applyFill="0" applyAlignment="0" applyProtection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99" fontId="69" fillId="0" borderId="0" applyFont="0" applyFill="0" applyBorder="0" applyAlignment="0" applyProtection="0"/>
    <xf numFmtId="250" fontId="70" fillId="0" borderId="0" applyFont="0" applyFill="0" applyBorder="0" applyAlignment="0" applyProtection="0"/>
    <xf numFmtId="251" fontId="70" fillId="0" borderId="0" applyFont="0" applyFill="0" applyBorder="0" applyAlignment="0" applyProtection="0"/>
    <xf numFmtId="252" fontId="70" fillId="0" borderId="0" applyFont="0" applyFill="0" applyBorder="0" applyAlignment="0" applyProtection="0"/>
    <xf numFmtId="253" fontId="11" fillId="0" borderId="0" applyFont="0" applyFill="0" applyBorder="0" applyAlignment="0" applyProtection="0"/>
    <xf numFmtId="254" fontId="70" fillId="0" borderId="0" applyFont="0" applyFill="0" applyBorder="0" applyAlignment="0" applyProtection="0"/>
    <xf numFmtId="255" fontId="70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70" fillId="14" borderId="0" applyNumberFormat="0" applyFont="0" applyAlignment="0" applyProtection="0"/>
    <xf numFmtId="256" fontId="70" fillId="0" borderId="0" applyFont="0" applyFill="0" applyBorder="0" applyAlignment="0" applyProtection="0"/>
    <xf numFmtId="257" fontId="70" fillId="0" borderId="0" applyFont="0" applyFill="0" applyBorder="0" applyProtection="0">
      <alignment horizontal="right"/>
    </xf>
    <xf numFmtId="250" fontId="11" fillId="0" borderId="0" applyFont="0" applyFill="0" applyBorder="0" applyProtection="0">
      <alignment horizontal="right"/>
    </xf>
    <xf numFmtId="0" fontId="155" fillId="0" borderId="0" applyNumberFormat="0" applyFill="0" applyBorder="0" applyProtection="0">
      <alignment vertical="top"/>
    </xf>
    <xf numFmtId="0" fontId="133" fillId="0" borderId="39" applyNumberFormat="0" applyFill="0" applyAlignment="0" applyProtection="0"/>
    <xf numFmtId="0" fontId="156" fillId="0" borderId="40" applyNumberFormat="0" applyFill="0" applyProtection="0">
      <alignment horizontal="center"/>
    </xf>
    <xf numFmtId="0" fontId="156" fillId="0" borderId="0" applyNumberFormat="0" applyFill="0" applyBorder="0" applyProtection="0">
      <alignment horizontal="left"/>
    </xf>
    <xf numFmtId="0" fontId="157" fillId="0" borderId="0" applyNumberFormat="0" applyFill="0" applyBorder="0" applyProtection="0">
      <alignment horizontal="centerContinuous"/>
    </xf>
    <xf numFmtId="0" fontId="30" fillId="0" borderId="0" applyNumberFormat="0" applyFill="0" applyBorder="0" applyAlignment="0" applyProtection="0">
      <alignment vertical="top"/>
      <protection locked="0"/>
    </xf>
    <xf numFmtId="0" fontId="158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183" fontId="48" fillId="0" borderId="0" applyFont="0" applyFill="0" applyBorder="0" applyAlignment="0" applyProtection="0"/>
    <xf numFmtId="258" fontId="11" fillId="0" borderId="0" applyFont="0" applyFill="0" applyBorder="0" applyAlignment="0" applyProtection="0"/>
    <xf numFmtId="184" fontId="48" fillId="0" borderId="0" applyFon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82" fillId="0" borderId="0" applyNumberFormat="0" applyFill="0" applyBorder="0" applyAlignment="0" applyProtection="0">
      <alignment vertical="top"/>
      <protection locked="0"/>
    </xf>
    <xf numFmtId="1" fontId="159" fillId="0" borderId="0" applyFill="0" applyBorder="0" applyProtection="0">
      <alignment horizontal="right" wrapText="1"/>
      <protection locked="0"/>
    </xf>
    <xf numFmtId="170" fontId="11" fillId="0" borderId="0" applyFill="0" applyBorder="0" applyProtection="0">
      <alignment horizontal="right"/>
      <protection locked="0"/>
    </xf>
    <xf numFmtId="0" fontId="160" fillId="0" borderId="0" applyNumberFormat="0" applyFill="0" applyBorder="0" applyProtection="0">
      <protection locked="0"/>
    </xf>
    <xf numFmtId="170" fontId="11" fillId="0" borderId="0">
      <protection locked="0"/>
    </xf>
    <xf numFmtId="0" fontId="161" fillId="0" borderId="0" applyNumberFormat="0" applyFill="0" applyBorder="0" applyAlignment="0" applyProtection="0"/>
    <xf numFmtId="0" fontId="11" fillId="0" borderId="41"/>
    <xf numFmtId="0" fontId="19" fillId="4" borderId="0" applyNumberFormat="0" applyBorder="0" applyAlignment="0" applyProtection="0"/>
    <xf numFmtId="249" fontId="47" fillId="0" borderId="42" applyAlignment="0" applyProtection="0"/>
    <xf numFmtId="0" fontId="11" fillId="0" borderId="0"/>
    <xf numFmtId="0" fontId="11" fillId="0" borderId="0" applyFill="0" applyBorder="0" applyAlignment="0"/>
    <xf numFmtId="259" fontId="11" fillId="0" borderId="0" applyFill="0" applyBorder="0" applyAlignment="0"/>
    <xf numFmtId="260" fontId="11" fillId="0" borderId="0" applyFill="0" applyBorder="0" applyAlignment="0"/>
    <xf numFmtId="261" fontId="11" fillId="0" borderId="0" applyFill="0" applyBorder="0" applyAlignment="0"/>
    <xf numFmtId="262" fontId="11" fillId="0" borderId="0" applyFill="0" applyBorder="0" applyAlignment="0"/>
    <xf numFmtId="14" fontId="11" fillId="0" borderId="0" applyFill="0" applyBorder="0" applyAlignment="0"/>
    <xf numFmtId="263" fontId="11" fillId="0" borderId="0" applyFill="0" applyBorder="0" applyAlignment="0"/>
    <xf numFmtId="259" fontId="11" fillId="0" borderId="0" applyFill="0" applyBorder="0" applyAlignment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1" fontId="162" fillId="0" borderId="0">
      <protection locked="0"/>
    </xf>
    <xf numFmtId="0" fontId="46" fillId="0" borderId="0" applyNumberFormat="0" applyFill="0" applyBorder="0" applyProtection="0">
      <alignment wrapText="1"/>
    </xf>
    <xf numFmtId="0" fontId="44" fillId="0" borderId="0" applyNumberFormat="0" applyFill="0" applyBorder="0" applyProtection="0"/>
    <xf numFmtId="0" fontId="163" fillId="0" borderId="0" applyNumberFormat="0" applyFill="0" applyBorder="0" applyProtection="0">
      <alignment horizontal="center" wrapText="1"/>
    </xf>
    <xf numFmtId="0" fontId="46" fillId="0" borderId="37" applyNumberFormat="0" applyFill="0" applyProtection="0">
      <alignment horizontal="right" wrapText="1"/>
    </xf>
    <xf numFmtId="0" fontId="46" fillId="0" borderId="37" applyNumberFormat="0" applyFill="0" applyProtection="0">
      <alignment horizontal="left" wrapText="1"/>
    </xf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0" fontId="164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4" fontId="11" fillId="0" borderId="0" applyFont="0" applyFill="0" applyBorder="0" applyAlignment="0" applyProtection="0"/>
    <xf numFmtId="0" fontId="165" fillId="0" borderId="0" applyFont="0" applyFill="0" applyBorder="0" applyAlignment="0" applyProtection="0">
      <alignment horizontal="right"/>
    </xf>
    <xf numFmtId="0" fontId="48" fillId="0" borderId="0" applyFont="0" applyFill="0" applyBorder="0" applyAlignment="0" applyProtection="0"/>
    <xf numFmtId="264" fontId="11" fillId="0" borderId="0" applyFont="0" applyFill="0" applyBorder="0" applyAlignment="0" applyProtection="0">
      <alignment horizontal="right"/>
    </xf>
    <xf numFmtId="0" fontId="165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3" fontId="166" fillId="0" borderId="0" applyFont="0" applyFill="0" applyBorder="0" applyAlignment="0" applyProtection="0"/>
    <xf numFmtId="0" fontId="167" fillId="0" borderId="0">
      <alignment horizontal="left"/>
    </xf>
    <xf numFmtId="0" fontId="168" fillId="0" borderId="0"/>
    <xf numFmtId="0" fontId="169" fillId="0" borderId="0">
      <alignment horizontal="left"/>
    </xf>
    <xf numFmtId="259" fontId="11" fillId="0" borderId="0" applyFont="0" applyFill="0" applyBorder="0" applyAlignment="0" applyProtection="0"/>
    <xf numFmtId="0" fontId="165" fillId="0" borderId="0" applyFont="0" applyFill="0" applyBorder="0" applyAlignment="0" applyProtection="0">
      <alignment horizontal="right"/>
    </xf>
    <xf numFmtId="0" fontId="165" fillId="0" borderId="0" applyFont="0" applyFill="0" applyBorder="0" applyAlignment="0" applyProtection="0">
      <alignment horizontal="right"/>
    </xf>
    <xf numFmtId="0" fontId="165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79" fillId="0" borderId="0">
      <protection locked="0"/>
    </xf>
    <xf numFmtId="0" fontId="166" fillId="0" borderId="0" applyFont="0" applyFill="0" applyBorder="0" applyAlignment="0" applyProtection="0"/>
    <xf numFmtId="0" fontId="165" fillId="0" borderId="0" applyFont="0" applyFill="0" applyBorder="0" applyAlignment="0" applyProtection="0"/>
    <xf numFmtId="14" fontId="51" fillId="0" borderId="0" applyFill="0" applyBorder="0" applyAlignment="0"/>
    <xf numFmtId="17" fontId="170" fillId="0" borderId="42" applyFont="0" applyFill="0" applyBorder="0" applyAlignment="0" applyProtection="0"/>
    <xf numFmtId="0" fontId="165" fillId="0" borderId="28" applyNumberFormat="0" applyFont="0" applyFill="0" applyAlignment="0" applyProtection="0"/>
    <xf numFmtId="0" fontId="44" fillId="0" borderId="0" applyNumberFormat="0" applyFill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14" fontId="11" fillId="0" borderId="0" applyFill="0" applyBorder="0" applyAlignment="0"/>
    <xf numFmtId="259" fontId="11" fillId="0" borderId="0" applyFill="0" applyBorder="0" applyAlignment="0"/>
    <xf numFmtId="14" fontId="11" fillId="0" borderId="0" applyFill="0" applyBorder="0" applyAlignment="0"/>
    <xf numFmtId="263" fontId="11" fillId="0" borderId="0" applyFill="0" applyBorder="0" applyAlignment="0"/>
    <xf numFmtId="259" fontId="11" fillId="0" borderId="0" applyFill="0" applyBorder="0" applyAlignment="0"/>
    <xf numFmtId="0" fontId="23" fillId="7" borderId="1" applyNumberFormat="0" applyAlignment="0" applyProtection="0"/>
    <xf numFmtId="0" fontId="11" fillId="0" borderId="0">
      <alignment vertical="top"/>
    </xf>
    <xf numFmtId="0" fontId="11" fillId="0" borderId="0">
      <alignment vertical="top"/>
    </xf>
    <xf numFmtId="265" fontId="171" fillId="0" borderId="0" applyFont="0" applyFill="0" applyBorder="0" applyAlignment="0" applyProtection="0"/>
    <xf numFmtId="228" fontId="80" fillId="0" borderId="0">
      <protection locked="0"/>
    </xf>
    <xf numFmtId="228" fontId="79" fillId="0" borderId="0">
      <protection locked="0"/>
    </xf>
    <xf numFmtId="228" fontId="172" fillId="0" borderId="0">
      <protection locked="0"/>
    </xf>
    <xf numFmtId="228" fontId="79" fillId="0" borderId="0">
      <protection locked="0"/>
    </xf>
    <xf numFmtId="228" fontId="79" fillId="0" borderId="0">
      <protection locked="0"/>
    </xf>
    <xf numFmtId="228" fontId="79" fillId="0" borderId="0">
      <protection locked="0"/>
    </xf>
    <xf numFmtId="228" fontId="173" fillId="0" borderId="0">
      <protection locked="0"/>
    </xf>
    <xf numFmtId="2" fontId="166" fillId="0" borderId="0" applyFont="0" applyFill="0" applyBorder="0" applyAlignment="0" applyProtection="0"/>
    <xf numFmtId="266" fontId="79" fillId="0" borderId="0">
      <protection locked="0"/>
    </xf>
    <xf numFmtId="0" fontId="174" fillId="0" borderId="0">
      <alignment horizontal="left"/>
    </xf>
    <xf numFmtId="0" fontId="175" fillId="0" borderId="0">
      <alignment horizontal="left"/>
    </xf>
    <xf numFmtId="0" fontId="176" fillId="0" borderId="0" applyFill="0" applyBorder="0" applyProtection="0">
      <alignment horizontal="left"/>
    </xf>
    <xf numFmtId="0" fontId="176" fillId="0" borderId="0">
      <alignment horizontal="left"/>
    </xf>
    <xf numFmtId="0" fontId="63" fillId="0" borderId="0" applyFill="0" applyBorder="0" applyProtection="0">
      <alignment horizontal="left"/>
    </xf>
    <xf numFmtId="169" fontId="11" fillId="0" borderId="0" applyFont="0" applyFill="0" applyBorder="0" applyAlignment="0" applyProtection="0">
      <protection locked="0"/>
    </xf>
    <xf numFmtId="13" fontId="74" fillId="0" borderId="0" applyFont="0" applyFill="0" applyBorder="0" applyAlignment="0" applyProtection="0">
      <protection locked="0"/>
    </xf>
    <xf numFmtId="0" fontId="29" fillId="0" borderId="0" applyNumberFormat="0" applyFill="0" applyBorder="0" applyProtection="0">
      <alignment wrapText="1"/>
    </xf>
    <xf numFmtId="0" fontId="69" fillId="0" borderId="0" applyNumberFormat="0" applyFill="0" applyBorder="0" applyProtection="0">
      <alignment wrapText="1"/>
    </xf>
    <xf numFmtId="173" fontId="177" fillId="0" borderId="0" applyFill="0" applyBorder="0" applyProtection="0">
      <alignment horizontal="right"/>
      <protection locked="0"/>
    </xf>
    <xf numFmtId="0" fontId="165" fillId="0" borderId="0" applyFont="0" applyFill="0" applyBorder="0" applyAlignment="0" applyProtection="0">
      <alignment horizontal="right"/>
    </xf>
    <xf numFmtId="0" fontId="178" fillId="0" borderId="0" applyProtection="0">
      <alignment horizontal="right"/>
    </xf>
    <xf numFmtId="0" fontId="179" fillId="0" borderId="0">
      <alignment horizontal="left"/>
    </xf>
    <xf numFmtId="0" fontId="179" fillId="0" borderId="0">
      <alignment horizontal="left"/>
    </xf>
    <xf numFmtId="0" fontId="20" fillId="0" borderId="43" applyNumberFormat="0" applyFill="0" applyAlignment="0" applyProtection="0"/>
    <xf numFmtId="0" fontId="180" fillId="0" borderId="0">
      <alignment horizontal="left"/>
    </xf>
    <xf numFmtId="0" fontId="181" fillId="0" borderId="33">
      <alignment horizontal="left" vertical="top"/>
    </xf>
    <xf numFmtId="0" fontId="21" fillId="0" borderId="44" applyNumberFormat="0" applyFill="0" applyAlignment="0" applyProtection="0"/>
    <xf numFmtId="0" fontId="182" fillId="0" borderId="0">
      <alignment horizontal="left"/>
    </xf>
    <xf numFmtId="0" fontId="183" fillId="0" borderId="33">
      <alignment horizontal="left" vertical="top"/>
    </xf>
    <xf numFmtId="0" fontId="184" fillId="0" borderId="0">
      <alignment horizontal="left"/>
    </xf>
    <xf numFmtId="0" fontId="185" fillId="0" borderId="0" applyNumberFormat="0" applyFill="0" applyBorder="0" applyAlignment="0" applyProtection="0">
      <alignment vertical="top"/>
      <protection locked="0"/>
    </xf>
    <xf numFmtId="0" fontId="14" fillId="3" borderId="0" applyNumberFormat="0" applyBorder="0" applyAlignment="0" applyProtection="0"/>
    <xf numFmtId="0" fontId="186" fillId="0" borderId="0"/>
    <xf numFmtId="13" fontId="159" fillId="0" borderId="18" applyNumberFormat="0" applyFont="0" applyFill="0" applyAlignment="0" applyProtection="0">
      <alignment horizontal="right" wrapText="1"/>
      <protection locked="0"/>
    </xf>
    <xf numFmtId="0" fontId="29" fillId="0" borderId="0" applyNumberFormat="0" applyFill="0" applyBorder="0" applyProtection="0">
      <alignment horizontal="left"/>
    </xf>
    <xf numFmtId="0" fontId="46" fillId="0" borderId="0" applyNumberFormat="0" applyFill="0" applyBorder="0" applyProtection="0">
      <alignment horizontal="left"/>
    </xf>
    <xf numFmtId="14" fontId="11" fillId="0" borderId="0" applyFill="0" applyBorder="0" applyAlignment="0"/>
    <xf numFmtId="259" fontId="11" fillId="0" borderId="0" applyFill="0" applyBorder="0" applyAlignment="0"/>
    <xf numFmtId="14" fontId="11" fillId="0" borderId="0" applyFill="0" applyBorder="0" applyAlignment="0"/>
    <xf numFmtId="263" fontId="11" fillId="0" borderId="0" applyFill="0" applyBorder="0" applyAlignment="0"/>
    <xf numFmtId="259" fontId="11" fillId="0" borderId="0" applyFill="0" applyBorder="0" applyAlignment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6" fontId="11" fillId="0" borderId="0" applyFont="0" applyFill="0" applyBorder="0" applyAlignment="0" applyProtection="0"/>
    <xf numFmtId="0" fontId="165" fillId="0" borderId="0" applyFont="0" applyFill="0" applyBorder="0" applyAlignment="0" applyProtection="0">
      <alignment horizontal="right"/>
    </xf>
    <xf numFmtId="0" fontId="48" fillId="0" borderId="0" applyFont="0" applyFill="0" applyBorder="0" applyAlignment="0" applyProtection="0">
      <alignment horizontal="right"/>
    </xf>
    <xf numFmtId="0" fontId="25" fillId="14" borderId="0" applyNumberFormat="0" applyBorder="0" applyAlignment="0" applyProtection="0"/>
    <xf numFmtId="0" fontId="5" fillId="0" borderId="0"/>
    <xf numFmtId="0" fontId="15" fillId="8" borderId="1" applyNumberFormat="0" applyAlignment="0" applyProtection="0"/>
    <xf numFmtId="0" fontId="10" fillId="0" borderId="0"/>
    <xf numFmtId="0" fontId="182" fillId="0" borderId="0"/>
    <xf numFmtId="0" fontId="11" fillId="9" borderId="8" applyNumberFormat="0" applyFont="0" applyAlignment="0" applyProtection="0"/>
    <xf numFmtId="267" fontId="29" fillId="0" borderId="0" applyFill="0" applyBorder="0" applyProtection="0">
      <alignment horizontal="right" wrapText="1"/>
    </xf>
    <xf numFmtId="267" fontId="46" fillId="0" borderId="0" applyFill="0" applyBorder="0" applyProtection="0">
      <alignment horizontal="right" wrapText="1"/>
    </xf>
    <xf numFmtId="268" fontId="29" fillId="0" borderId="0" applyFill="0" applyBorder="0" applyProtection="0">
      <alignment horizontal="right" wrapText="1"/>
    </xf>
    <xf numFmtId="268" fontId="46" fillId="0" borderId="0" applyFill="0" applyBorder="0" applyProtection="0">
      <alignment horizontal="right" wrapText="1"/>
    </xf>
    <xf numFmtId="267" fontId="29" fillId="0" borderId="0" applyFill="0" applyBorder="0" applyProtection="0">
      <alignment horizontal="right" wrapText="1"/>
    </xf>
    <xf numFmtId="267" fontId="46" fillId="0" borderId="0" applyFill="0" applyBorder="0" applyProtection="0">
      <alignment horizontal="right" wrapText="1"/>
    </xf>
    <xf numFmtId="269" fontId="29" fillId="0" borderId="0" applyFill="0" applyBorder="0" applyProtection="0">
      <alignment horizontal="right" wrapText="1"/>
    </xf>
    <xf numFmtId="269" fontId="46" fillId="0" borderId="0" applyFill="0" applyBorder="0" applyProtection="0">
      <alignment horizontal="right" wrapText="1"/>
    </xf>
    <xf numFmtId="3" fontId="11" fillId="0" borderId="0" applyFont="0" applyFill="0" applyBorder="0" applyAlignment="0" applyProtection="0"/>
    <xf numFmtId="1" fontId="187" fillId="0" borderId="0" applyProtection="0">
      <alignment horizontal="right" vertical="center"/>
    </xf>
    <xf numFmtId="262" fontId="11" fillId="0" borderId="0" applyFont="0" applyFill="0" applyBorder="0" applyAlignment="0" applyProtection="0"/>
    <xf numFmtId="270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271" fontId="79" fillId="0" borderId="0">
      <protection locked="0"/>
    </xf>
    <xf numFmtId="272" fontId="79" fillId="0" borderId="0">
      <protection locked="0"/>
    </xf>
    <xf numFmtId="0" fontId="13" fillId="21" borderId="0" applyNumberFormat="0" applyBorder="0" applyAlignment="0" applyProtection="0"/>
    <xf numFmtId="9" fontId="10" fillId="0" borderId="0" applyFont="0" applyFill="0" applyBorder="0" applyAlignment="0" applyProtection="0"/>
    <xf numFmtId="10" fontId="11" fillId="0" borderId="0" applyFill="0" applyBorder="0" applyAlignment="0" applyProtection="0"/>
    <xf numFmtId="14" fontId="11" fillId="0" borderId="0" applyFill="0" applyBorder="0" applyAlignment="0"/>
    <xf numFmtId="259" fontId="11" fillId="0" borderId="0" applyFill="0" applyBorder="0" applyAlignment="0"/>
    <xf numFmtId="14" fontId="11" fillId="0" borderId="0" applyFill="0" applyBorder="0" applyAlignment="0"/>
    <xf numFmtId="263" fontId="11" fillId="0" borderId="0" applyFill="0" applyBorder="0" applyAlignment="0"/>
    <xf numFmtId="259" fontId="11" fillId="0" borderId="0" applyFill="0" applyBorder="0" applyAlignment="0"/>
    <xf numFmtId="0" fontId="70" fillId="0" borderId="0" applyNumberFormat="0" applyFont="0" applyFill="0" applyBorder="0" applyAlignment="0" applyProtection="0">
      <alignment horizontal="left"/>
    </xf>
    <xf numFmtId="15" fontId="70" fillId="0" borderId="0" applyFont="0" applyFill="0" applyBorder="0" applyAlignment="0" applyProtection="0"/>
    <xf numFmtId="37" fontId="11" fillId="0" borderId="0" applyFill="0" applyBorder="0" applyAlignment="0" applyProtection="0"/>
    <xf numFmtId="0" fontId="188" fillId="0" borderId="0" applyNumberFormat="0" applyFill="0" applyBorder="0" applyProtection="0">
      <protection locked="0"/>
    </xf>
    <xf numFmtId="273" fontId="62" fillId="0" borderId="0" applyNumberFormat="0" applyFill="0" applyBorder="0" applyAlignment="0" applyProtection="0">
      <alignment horizontal="left"/>
    </xf>
    <xf numFmtId="0" fontId="26" fillId="8" borderId="9" applyNumberFormat="0" applyAlignment="0" applyProtection="0"/>
    <xf numFmtId="0" fontId="175" fillId="0" borderId="45">
      <alignment vertical="center"/>
    </xf>
    <xf numFmtId="0" fontId="11" fillId="36" borderId="46"/>
    <xf numFmtId="43" fontId="10" fillId="0" borderId="0" applyFont="0" applyFill="0" applyBorder="0" applyAlignment="0" applyProtection="0"/>
    <xf numFmtId="170" fontId="11" fillId="48" borderId="0" applyNumberFormat="0" applyFont="0" applyBorder="0" applyAlignment="0" applyProtection="0">
      <protection locked="0"/>
    </xf>
    <xf numFmtId="0" fontId="11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 applyNumberFormat="0" applyFont="0" applyFill="0" applyBorder="0" applyAlignment="0" applyProtection="0"/>
    <xf numFmtId="0" fontId="46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right" wrapText="1"/>
    </xf>
    <xf numFmtId="0" fontId="29" fillId="0" borderId="0" applyNumberFormat="0" applyFill="0" applyBorder="0" applyProtection="0">
      <alignment horizontal="left" vertical="top" wrapText="1"/>
    </xf>
    <xf numFmtId="0" fontId="135" fillId="0" borderId="36" applyNumberFormat="0" applyFill="0" applyProtection="0">
      <alignment horizontal="left" wrapText="1"/>
    </xf>
    <xf numFmtId="0" fontId="135" fillId="0" borderId="0" applyNumberFormat="0" applyFill="0" applyBorder="0" applyProtection="0">
      <alignment horizontal="right" wrapText="1"/>
    </xf>
    <xf numFmtId="274" fontId="29" fillId="0" borderId="0" applyFill="0" applyBorder="0" applyProtection="0">
      <alignment horizontal="right" wrapText="1"/>
    </xf>
    <xf numFmtId="175" fontId="29" fillId="0" borderId="0" applyFill="0" applyBorder="0" applyProtection="0">
      <alignment horizontal="right" wrapText="1"/>
    </xf>
    <xf numFmtId="4" fontId="29" fillId="0" borderId="0" applyFill="0" applyBorder="0" applyProtection="0">
      <alignment horizontal="right" wrapText="1"/>
    </xf>
    <xf numFmtId="175" fontId="29" fillId="0" borderId="0" applyFill="0" applyBorder="0" applyProtection="0">
      <alignment horizontal="right" wrapText="1"/>
    </xf>
    <xf numFmtId="3" fontId="29" fillId="0" borderId="0" applyFill="0" applyBorder="0" applyProtection="0">
      <alignment horizontal="right" wrapText="1"/>
    </xf>
    <xf numFmtId="44" fontId="29" fillId="0" borderId="0" applyFill="0" applyBorder="0" applyProtection="0">
      <alignment horizontal="right" wrapText="1"/>
    </xf>
    <xf numFmtId="44" fontId="46" fillId="0" borderId="0" applyFill="0" applyBorder="0" applyProtection="0">
      <alignment horizontal="right" wrapText="1"/>
    </xf>
    <xf numFmtId="275" fontId="29" fillId="0" borderId="0" applyFill="0" applyBorder="0" applyProtection="0">
      <alignment horizontal="right" wrapText="1"/>
    </xf>
    <xf numFmtId="275" fontId="46" fillId="0" borderId="0" applyFill="0" applyBorder="0" applyProtection="0">
      <alignment horizontal="right" wrapText="1"/>
    </xf>
    <xf numFmtId="44" fontId="189" fillId="0" borderId="0" applyFill="0" applyBorder="0" applyProtection="0">
      <alignment horizontal="right" wrapText="1"/>
    </xf>
    <xf numFmtId="239" fontId="29" fillId="0" borderId="0" applyFill="0" applyBorder="0" applyProtection="0">
      <alignment horizontal="right" wrapText="1"/>
    </xf>
    <xf numFmtId="40" fontId="190" fillId="0" borderId="0" applyBorder="0">
      <alignment horizontal="right"/>
    </xf>
    <xf numFmtId="0" fontId="191" fillId="0" borderId="0" applyBorder="0" applyProtection="0">
      <alignment vertical="center"/>
    </xf>
    <xf numFmtId="0" fontId="191" fillId="0" borderId="37" applyBorder="0" applyProtection="0">
      <alignment horizontal="right" vertical="center"/>
    </xf>
    <xf numFmtId="0" fontId="192" fillId="33" borderId="0" applyBorder="0" applyProtection="0">
      <alignment horizontal="centerContinuous" vertical="center"/>
    </xf>
    <xf numFmtId="0" fontId="192" fillId="31" borderId="37" applyBorder="0" applyProtection="0">
      <alignment horizontal="centerContinuous" vertical="center"/>
    </xf>
    <xf numFmtId="0" fontId="193" fillId="0" borderId="0">
      <alignment horizontal="left"/>
    </xf>
    <xf numFmtId="0" fontId="176" fillId="0" borderId="0">
      <alignment horizontal="left"/>
    </xf>
    <xf numFmtId="0" fontId="182" fillId="0" borderId="0"/>
    <xf numFmtId="0" fontId="194" fillId="0" borderId="0" applyFill="0" applyBorder="0" applyProtection="0">
      <alignment horizontal="left"/>
    </xf>
    <xf numFmtId="0" fontId="176" fillId="0" borderId="33" applyFill="0" applyBorder="0" applyProtection="0">
      <alignment horizontal="left" vertical="top"/>
    </xf>
    <xf numFmtId="0" fontId="195" fillId="0" borderId="0">
      <alignment horizontal="centerContinuous"/>
    </xf>
    <xf numFmtId="0" fontId="196" fillId="0" borderId="0"/>
    <xf numFmtId="0" fontId="196" fillId="0" borderId="0"/>
    <xf numFmtId="0" fontId="197" fillId="0" borderId="0"/>
    <xf numFmtId="0" fontId="197" fillId="0" borderId="0"/>
    <xf numFmtId="0" fontId="196" fillId="0" borderId="0"/>
    <xf numFmtId="0" fontId="196" fillId="0" borderId="0"/>
    <xf numFmtId="49" fontId="51" fillId="0" borderId="0" applyFill="0" applyBorder="0" applyAlignment="0"/>
    <xf numFmtId="276" fontId="11" fillId="0" borderId="0" applyFill="0" applyBorder="0" applyAlignment="0"/>
    <xf numFmtId="202" fontId="11" fillId="0" borderId="0" applyFill="0" applyBorder="0" applyAlignment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277" fontId="80" fillId="0" borderId="0">
      <protection locked="0"/>
    </xf>
    <xf numFmtId="277" fontId="80" fillId="0" borderId="0">
      <protection locked="0"/>
    </xf>
    <xf numFmtId="0" fontId="197" fillId="0" borderId="0"/>
    <xf numFmtId="0" fontId="196" fillId="0" borderId="0"/>
    <xf numFmtId="0" fontId="198" fillId="0" borderId="0">
      <alignment horizontal="fill"/>
    </xf>
    <xf numFmtId="0" fontId="103" fillId="0" borderId="0"/>
    <xf numFmtId="0" fontId="5" fillId="0" borderId="0"/>
    <xf numFmtId="0" fontId="103" fillId="0" borderId="0"/>
    <xf numFmtId="0" fontId="199" fillId="27" borderId="0">
      <alignment horizontal="center"/>
    </xf>
    <xf numFmtId="0" fontId="74" fillId="49" borderId="0" applyNumberFormat="0" applyFont="0" applyBorder="0" applyAlignment="0" applyProtection="0"/>
    <xf numFmtId="172" fontId="11" fillId="0" borderId="0" applyFont="0" applyFill="0" applyBorder="0" applyAlignment="0" applyProtection="0">
      <alignment horizontal="right"/>
    </xf>
    <xf numFmtId="171" fontId="11" fillId="0" borderId="0" applyFont="0" applyFill="0" applyBorder="0" applyAlignment="0" applyProtection="0"/>
    <xf numFmtId="249" fontId="11" fillId="0" borderId="0" applyFont="0" applyFill="0" applyBorder="0" applyAlignment="0" applyProtection="0"/>
    <xf numFmtId="258" fontId="165" fillId="0" borderId="0" applyFont="0" applyFill="0" applyBorder="0" applyAlignment="0" applyProtection="0"/>
    <xf numFmtId="278" fontId="11" fillId="0" borderId="0" applyFont="0" applyFill="0" applyBorder="0" applyAlignment="0" applyProtection="0"/>
    <xf numFmtId="0" fontId="200" fillId="0" borderId="0"/>
    <xf numFmtId="0" fontId="201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6" fillId="19" borderId="2" applyNumberForma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24" fillId="0" borderId="3" applyNumberFormat="0" applyFill="0" applyAlignment="0" applyProtection="0"/>
    <xf numFmtId="0" fontId="26" fillId="8" borderId="9" applyNumberFormat="0" applyAlignment="0" applyProtection="0"/>
    <xf numFmtId="0" fontId="19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24" fillId="0" borderId="3" applyNumberFormat="0" applyFill="0" applyAlignment="0" applyProtection="0"/>
    <xf numFmtId="0" fontId="26" fillId="8" borderId="9" applyNumberFormat="0" applyAlignment="0" applyProtection="0"/>
    <xf numFmtId="0" fontId="19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19" fillId="4" borderId="0" applyNumberFormat="0" applyBorder="0" applyAlignment="0" applyProtection="0"/>
    <xf numFmtId="0" fontId="11" fillId="9" borderId="8" applyNumberFormat="0" applyFont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25" fillId="14" borderId="0" applyNumberFormat="0" applyBorder="0" applyAlignment="0" applyProtection="0"/>
    <xf numFmtId="184" fontId="11" fillId="0" borderId="0" applyFont="0" applyFill="0" applyBorder="0" applyAlignment="0" applyProtection="0"/>
    <xf numFmtId="0" fontId="11" fillId="9" borderId="8" applyNumberFormat="0" applyFont="0" applyAlignment="0" applyProtection="0"/>
    <xf numFmtId="0" fontId="25" fillId="14" borderId="0" applyNumberFormat="0" applyBorder="0" applyAlignment="0" applyProtection="0"/>
    <xf numFmtId="184" fontId="11" fillId="0" borderId="0" applyFont="0" applyFill="0" applyBorder="0" applyAlignment="0" applyProtection="0"/>
    <xf numFmtId="0" fontId="13" fillId="20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25" fillId="14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184" fontId="11" fillId="0" borderId="0" applyFont="0" applyFill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14" fillId="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4" fillId="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184" fontId="11" fillId="0" borderId="0" applyFont="0" applyFill="0" applyBorder="0" applyAlignment="0" applyProtection="0"/>
    <xf numFmtId="0" fontId="14" fillId="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25" fillId="14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0" borderId="0" applyNumberFormat="0" applyBorder="0" applyAlignment="0" applyProtection="0"/>
    <xf numFmtId="184" fontId="11" fillId="0" borderId="0" applyFont="0" applyFill="0" applyBorder="0" applyAlignment="0" applyProtection="0"/>
    <xf numFmtId="0" fontId="14" fillId="3" borderId="0" applyNumberFormat="0" applyBorder="0" applyAlignment="0" applyProtection="0"/>
    <xf numFmtId="0" fontId="25" fillId="14" borderId="0" applyNumberFormat="0" applyBorder="0" applyAlignment="0" applyProtection="0"/>
    <xf numFmtId="0" fontId="11" fillId="9" borderId="8" applyNumberFormat="0" applyFont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0" fontId="11" fillId="9" borderId="8" applyNumberFormat="0" applyFont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0" fontId="15" fillId="8" borderId="1" applyNumberFormat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0" fontId="15" fillId="8" borderId="1" applyNumberFormat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24" fillId="0" borderId="3" applyNumberFormat="0" applyFill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6" fillId="19" borderId="2" applyNumberFormat="0" applyAlignment="0" applyProtection="0"/>
    <xf numFmtId="0" fontId="15" fillId="8" borderId="1" applyNumberForma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3" fillId="21" borderId="0" applyNumberFormat="0" applyBorder="0" applyAlignment="0" applyProtection="0"/>
    <xf numFmtId="0" fontId="11" fillId="9" borderId="8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1" fillId="9" borderId="8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6" fillId="8" borderId="9" applyNumberFormat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1" fillId="9" borderId="8" applyNumberFormat="0" applyFont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26" fillId="8" borderId="9" applyNumberFormat="0" applyAlignment="0" applyProtection="0"/>
    <xf numFmtId="0" fontId="19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26" fillId="8" borderId="9" applyNumberForma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9" fillId="4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19" fillId="4" borderId="0" applyNumberFormat="0" applyBorder="0" applyAlignment="0" applyProtection="0"/>
    <xf numFmtId="0" fontId="11" fillId="9" borderId="8" applyNumberFormat="0" applyFont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11" fillId="9" borderId="8" applyNumberFormat="0" applyFont="0" applyAlignment="0" applyProtection="0"/>
    <xf numFmtId="0" fontId="25" fillId="14" borderId="0" applyNumberFormat="0" applyBorder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184" fontId="11" fillId="0" borderId="0" applyFont="0" applyFill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4" fillId="3" borderId="0" applyNumberFormat="0" applyBorder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0" fontId="14" fillId="3" borderId="0" applyNumberFormat="0" applyBorder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0" fontId="11" fillId="9" borderId="8" applyNumberFormat="0" applyFont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0" fontId="11" fillId="9" borderId="8" applyNumberFormat="0" applyFont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0" fontId="15" fillId="8" borderId="1" applyNumberFormat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43" fontId="11" fillId="0" borderId="0" applyFont="0" applyFill="0" applyBorder="0" applyAlignment="0" applyProtection="0"/>
    <xf numFmtId="0" fontId="15" fillId="8" borderId="1" applyNumberFormat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43" fontId="11" fillId="0" borderId="0" applyFont="0" applyFill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6" fillId="8" borderId="9" applyNumberFormat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43" fontId="11" fillId="0" borderId="0" applyFont="0" applyFill="0" applyBorder="0" applyAlignment="0" applyProtection="0"/>
    <xf numFmtId="0" fontId="11" fillId="9" borderId="8" applyNumberFormat="0" applyFont="0" applyAlignment="0" applyProtection="0"/>
    <xf numFmtId="43" fontId="11" fillId="0" borderId="0" applyFont="0" applyFill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3" fillId="15" borderId="0" applyNumberFormat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43" fontId="11" fillId="0" borderId="0" applyFont="0" applyFill="0" applyBorder="0" applyAlignment="0" applyProtection="0"/>
    <xf numFmtId="0" fontId="26" fillId="8" borderId="9" applyNumberForma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3" fillId="15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9" fillId="4" borderId="0" applyNumberFormat="0" applyBorder="0" applyAlignment="0" applyProtection="0"/>
    <xf numFmtId="0" fontId="15" fillId="8" borderId="1" applyNumberFormat="0" applyAlignment="0" applyProtection="0"/>
    <xf numFmtId="0" fontId="16" fillId="19" borderId="2" applyNumberFormat="0" applyAlignment="0" applyProtection="0"/>
    <xf numFmtId="0" fontId="24" fillId="0" borderId="3" applyNumberFormat="0" applyFill="0" applyAlignment="0" applyProtection="0"/>
    <xf numFmtId="0" fontId="11" fillId="9" borderId="8" applyNumberFormat="0" applyFont="0" applyAlignment="0" applyProtection="0"/>
    <xf numFmtId="0" fontId="25" fillId="14" borderId="0" applyNumberFormat="0" applyBorder="0" applyAlignment="0" applyProtection="0"/>
    <xf numFmtId="0" fontId="14" fillId="3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3" borderId="0" applyNumberFormat="0" applyBorder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13" fillId="23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22" borderId="0" applyNumberFormat="0" applyBorder="0" applyAlignment="0" applyProtection="0"/>
    <xf numFmtId="0" fontId="14" fillId="3" borderId="0" applyNumberFormat="0" applyBorder="0" applyAlignment="0" applyProtection="0"/>
    <xf numFmtId="0" fontId="13" fillId="21" borderId="0" applyNumberFormat="0" applyBorder="0" applyAlignment="0" applyProtection="0"/>
    <xf numFmtId="0" fontId="13" fillId="20" borderId="0" applyNumberFormat="0" applyBorder="0" applyAlignment="0" applyProtection="0"/>
    <xf numFmtId="184" fontId="11" fillId="0" borderId="0" applyFont="0" applyFill="0" applyBorder="0" applyAlignment="0" applyProtection="0"/>
    <xf numFmtId="0" fontId="25" fillId="14" borderId="0" applyNumberFormat="0" applyBorder="0" applyAlignment="0" applyProtection="0"/>
    <xf numFmtId="0" fontId="11" fillId="9" borderId="8" applyNumberFormat="0" applyFont="0" applyAlignment="0" applyProtection="0"/>
    <xf numFmtId="0" fontId="24" fillId="0" borderId="3" applyNumberFormat="0" applyFill="0" applyAlignment="0" applyProtection="0"/>
    <xf numFmtId="0" fontId="16" fillId="19" borderId="2" applyNumberFormat="0" applyAlignment="0" applyProtection="0"/>
    <xf numFmtId="0" fontId="15" fillId="8" borderId="1" applyNumberFormat="0" applyAlignment="0" applyProtection="0"/>
    <xf numFmtId="0" fontId="19" fillId="4" borderId="0" applyNumberFormat="0" applyBorder="0" applyAlignment="0" applyProtection="0"/>
    <xf numFmtId="0" fontId="26" fillId="8" borderId="9" applyNumberFormat="0" applyAlignment="0" applyProtection="0"/>
    <xf numFmtId="43" fontId="11" fillId="0" borderId="0" applyFont="0" applyFill="0" applyBorder="0" applyAlignment="0" applyProtection="0"/>
    <xf numFmtId="0" fontId="13" fillId="18" borderId="0" applyNumberFormat="0" applyBorder="0" applyAlignment="0" applyProtection="0"/>
    <xf numFmtId="0" fontId="13" fillId="17" borderId="0" applyNumberFormat="0" applyBorder="0" applyAlignment="0" applyProtection="0"/>
    <xf numFmtId="0" fontId="13" fillId="16" borderId="0" applyNumberFormat="0" applyBorder="0" applyAlignment="0" applyProtection="0"/>
    <xf numFmtId="0" fontId="13" fillId="12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12" borderId="0" applyNumberFormat="0" applyBorder="0" applyAlignment="0" applyProtection="0"/>
    <xf numFmtId="0" fontId="10" fillId="11" borderId="0" applyNumberFormat="0" applyBorder="0" applyAlignment="0" applyProtection="0"/>
    <xf numFmtId="0" fontId="10" fillId="10" borderId="0" applyNumberFormat="0" applyBorder="0" applyAlignment="0" applyProtection="0"/>
    <xf numFmtId="0" fontId="10" fillId="7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0" fillId="0" borderId="43" applyNumberFormat="0" applyFill="0" applyAlignment="0" applyProtection="0"/>
    <xf numFmtId="0" fontId="21" fillId="0" borderId="44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03" fillId="0" borderId="0"/>
    <xf numFmtId="43" fontId="203" fillId="0" borderId="0" applyFont="0" applyFill="0" applyBorder="0" applyAlignment="0" applyProtection="0"/>
    <xf numFmtId="9" fontId="203" fillId="0" borderId="0" applyFont="0" applyFill="0" applyBorder="0" applyAlignment="0" applyProtection="0"/>
    <xf numFmtId="0" fontId="204" fillId="0" borderId="47" applyNumberFormat="0" applyFill="0" applyAlignment="0" applyProtection="0"/>
    <xf numFmtId="0" fontId="205" fillId="0" borderId="48" applyNumberFormat="0" applyFill="0" applyAlignment="0" applyProtection="0"/>
    <xf numFmtId="0" fontId="206" fillId="0" borderId="49" applyNumberFormat="0" applyFill="0" applyAlignment="0" applyProtection="0"/>
    <xf numFmtId="0" fontId="206" fillId="0" borderId="0" applyNumberFormat="0" applyFill="0" applyBorder="0" applyAlignment="0" applyProtection="0"/>
    <xf numFmtId="0" fontId="207" fillId="50" borderId="0" applyNumberFormat="0" applyBorder="0" applyAlignment="0" applyProtection="0"/>
    <xf numFmtId="0" fontId="208" fillId="47" borderId="0" applyNumberFormat="0" applyBorder="0" applyAlignment="0" applyProtection="0"/>
    <xf numFmtId="0" fontId="209" fillId="51" borderId="50" applyNumberFormat="0" applyAlignment="0" applyProtection="0"/>
    <xf numFmtId="0" fontId="210" fillId="52" borderId="51" applyNumberFormat="0" applyAlignment="0" applyProtection="0"/>
    <xf numFmtId="0" fontId="211" fillId="52" borderId="50" applyNumberFormat="0" applyAlignment="0" applyProtection="0"/>
    <xf numFmtId="0" fontId="212" fillId="0" borderId="52" applyNumberFormat="0" applyFill="0" applyAlignment="0" applyProtection="0"/>
    <xf numFmtId="0" fontId="202" fillId="53" borderId="53" applyNumberFormat="0" applyAlignment="0" applyProtection="0"/>
    <xf numFmtId="0" fontId="15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4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214" fillId="57" borderId="0" applyNumberFormat="0" applyBorder="0" applyAlignment="0" applyProtection="0"/>
    <xf numFmtId="0" fontId="214" fillId="58" borderId="0" applyNumberFormat="0" applyBorder="0" applyAlignment="0" applyProtection="0"/>
    <xf numFmtId="0" fontId="5" fillId="59" borderId="0" applyNumberFormat="0" applyBorder="0" applyAlignment="0" applyProtection="0"/>
    <xf numFmtId="0" fontId="5" fillId="60" borderId="0" applyNumberFormat="0" applyBorder="0" applyAlignment="0" applyProtection="0"/>
    <xf numFmtId="0" fontId="214" fillId="61" borderId="0" applyNumberFormat="0" applyBorder="0" applyAlignment="0" applyProtection="0"/>
    <xf numFmtId="0" fontId="214" fillId="62" borderId="0" applyNumberFormat="0" applyBorder="0" applyAlignment="0" applyProtection="0"/>
    <xf numFmtId="0" fontId="5" fillId="63" borderId="0" applyNumberFormat="0" applyBorder="0" applyAlignment="0" applyProtection="0"/>
    <xf numFmtId="0" fontId="5" fillId="64" borderId="0" applyNumberFormat="0" applyBorder="0" applyAlignment="0" applyProtection="0"/>
    <xf numFmtId="0" fontId="214" fillId="65" borderId="0" applyNumberFormat="0" applyBorder="0" applyAlignment="0" applyProtection="0"/>
    <xf numFmtId="0" fontId="214" fillId="66" borderId="0" applyNumberFormat="0" applyBorder="0" applyAlignment="0" applyProtection="0"/>
    <xf numFmtId="0" fontId="5" fillId="67" borderId="0" applyNumberFormat="0" applyBorder="0" applyAlignment="0" applyProtection="0"/>
    <xf numFmtId="0" fontId="5" fillId="68" borderId="0" applyNumberFormat="0" applyBorder="0" applyAlignment="0" applyProtection="0"/>
    <xf numFmtId="0" fontId="214" fillId="69" borderId="0" applyNumberFormat="0" applyBorder="0" applyAlignment="0" applyProtection="0"/>
    <xf numFmtId="0" fontId="214" fillId="70" borderId="0" applyNumberFormat="0" applyBorder="0" applyAlignment="0" applyProtection="0"/>
    <xf numFmtId="0" fontId="5" fillId="71" borderId="0" applyNumberFormat="0" applyBorder="0" applyAlignment="0" applyProtection="0"/>
    <xf numFmtId="0" fontId="5" fillId="72" borderId="0" applyNumberFormat="0" applyBorder="0" applyAlignment="0" applyProtection="0"/>
    <xf numFmtId="0" fontId="214" fillId="73" borderId="0" applyNumberFormat="0" applyBorder="0" applyAlignment="0" applyProtection="0"/>
    <xf numFmtId="0" fontId="214" fillId="74" borderId="0" applyNumberFormat="0" applyBorder="0" applyAlignment="0" applyProtection="0"/>
    <xf numFmtId="0" fontId="5" fillId="75" borderId="0" applyNumberFormat="0" applyBorder="0" applyAlignment="0" applyProtection="0"/>
    <xf numFmtId="0" fontId="5" fillId="76" borderId="0" applyNumberFormat="0" applyBorder="0" applyAlignment="0" applyProtection="0"/>
    <xf numFmtId="0" fontId="214" fillId="77" borderId="0" applyNumberFormat="0" applyBorder="0" applyAlignment="0" applyProtection="0"/>
    <xf numFmtId="0" fontId="203" fillId="0" borderId="0"/>
    <xf numFmtId="43" fontId="203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10" fillId="2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10" fillId="3" borderId="0" applyNumberFormat="0" applyBorder="0" applyAlignment="0" applyProtection="0"/>
    <xf numFmtId="0" fontId="5" fillId="59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10" fillId="4" borderId="0" applyNumberFormat="0" applyBorder="0" applyAlignment="0" applyProtection="0"/>
    <xf numFmtId="0" fontId="5" fillId="63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10" fillId="5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10" fillId="6" borderId="0" applyNumberFormat="0" applyBorder="0" applyAlignment="0" applyProtection="0"/>
    <xf numFmtId="0" fontId="5" fillId="71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10" fillId="7" borderId="0" applyNumberFormat="0" applyBorder="0" applyAlignment="0" applyProtection="0"/>
    <xf numFmtId="0" fontId="5" fillId="75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10" fillId="10" borderId="0" applyNumberFormat="0" applyBorder="0" applyAlignment="0" applyProtection="0"/>
    <xf numFmtId="0" fontId="5" fillId="56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10" fillId="11" borderId="0" applyNumberFormat="0" applyBorder="0" applyAlignment="0" applyProtection="0"/>
    <xf numFmtId="0" fontId="5" fillId="60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10" fillId="12" borderId="0" applyNumberFormat="0" applyBorder="0" applyAlignment="0" applyProtection="0"/>
    <xf numFmtId="0" fontId="5" fillId="64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10" fillId="5" borderId="0" applyNumberFormat="0" applyBorder="0" applyAlignment="0" applyProtection="0"/>
    <xf numFmtId="0" fontId="5" fillId="68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10" fillId="10" borderId="0" applyNumberFormat="0" applyBorder="0" applyAlignment="0" applyProtection="0"/>
    <xf numFmtId="0" fontId="5" fillId="72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10" fillId="13" borderId="0" applyNumberFormat="0" applyBorder="0" applyAlignment="0" applyProtection="0"/>
    <xf numFmtId="0" fontId="5" fillId="76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13" fillId="15" borderId="0" applyNumberFormat="0" applyBorder="0" applyAlignment="0" applyProtection="0"/>
    <xf numFmtId="0" fontId="214" fillId="57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13" fillId="11" borderId="0" applyNumberFormat="0" applyBorder="0" applyAlignment="0" applyProtection="0"/>
    <xf numFmtId="0" fontId="214" fillId="61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13" fillId="12" borderId="0" applyNumberFormat="0" applyBorder="0" applyAlignment="0" applyProtection="0"/>
    <xf numFmtId="0" fontId="214" fillId="65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13" fillId="16" borderId="0" applyNumberFormat="0" applyBorder="0" applyAlignment="0" applyProtection="0"/>
    <xf numFmtId="0" fontId="214" fillId="69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13" fillId="17" borderId="0" applyNumberFormat="0" applyBorder="0" applyAlignment="0" applyProtection="0"/>
    <xf numFmtId="0" fontId="214" fillId="73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13" fillId="18" borderId="0" applyNumberFormat="0" applyBorder="0" applyAlignment="0" applyProtection="0"/>
    <xf numFmtId="0" fontId="214" fillId="77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19" fillId="4" borderId="0" applyNumberFormat="0" applyBorder="0" applyAlignment="0" applyProtection="0"/>
    <xf numFmtId="0" fontId="207" fillId="50" borderId="0" applyNumberFormat="0" applyBorder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15" fillId="8" borderId="1" applyNumberFormat="0" applyAlignment="0" applyProtection="0"/>
    <xf numFmtId="0" fontId="211" fillId="52" borderId="50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16" fillId="19" borderId="2" applyNumberFormat="0" applyAlignment="0" applyProtection="0"/>
    <xf numFmtId="0" fontId="202" fillId="53" borderId="53" applyNumberFormat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4" fillId="0" borderId="3" applyNumberFormat="0" applyFill="0" applyAlignment="0" applyProtection="0"/>
    <xf numFmtId="0" fontId="212" fillId="0" borderId="52" applyNumberFormat="0" applyFill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13" fillId="20" borderId="0" applyNumberFormat="0" applyBorder="0" applyAlignment="0" applyProtection="0"/>
    <xf numFmtId="0" fontId="214" fillId="54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13" fillId="21" borderId="0" applyNumberFormat="0" applyBorder="0" applyAlignment="0" applyProtection="0"/>
    <xf numFmtId="0" fontId="214" fillId="58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13" fillId="22" borderId="0" applyNumberFormat="0" applyBorder="0" applyAlignment="0" applyProtection="0"/>
    <xf numFmtId="0" fontId="214" fillId="62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13" fillId="16" borderId="0" applyNumberFormat="0" applyBorder="0" applyAlignment="0" applyProtection="0"/>
    <xf numFmtId="0" fontId="214" fillId="66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13" fillId="17" borderId="0" applyNumberFormat="0" applyBorder="0" applyAlignment="0" applyProtection="0"/>
    <xf numFmtId="0" fontId="214" fillId="70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13" fillId="23" borderId="0" applyNumberFormat="0" applyBorder="0" applyAlignment="0" applyProtection="0"/>
    <xf numFmtId="0" fontId="214" fillId="74" borderId="0" applyNumberFormat="0" applyBorder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23" fillId="7" borderId="1" applyNumberFormat="0" applyAlignment="0" applyProtection="0"/>
    <xf numFmtId="0" fontId="209" fillId="51" borderId="50" applyNumberFormat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14" fillId="3" borderId="0" applyNumberFormat="0" applyBorder="0" applyAlignment="0" applyProtection="0"/>
    <xf numFmtId="0" fontId="151" fillId="46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25" fillId="14" borderId="0" applyNumberFormat="0" applyBorder="0" applyAlignment="0" applyProtection="0"/>
    <xf numFmtId="0" fontId="208" fillId="47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1" fillId="0" borderId="0"/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0" fontId="26" fillId="8" borderId="9" applyNumberFormat="0" applyAlignment="0" applyProtection="0"/>
    <xf numFmtId="0" fontId="210" fillId="52" borderId="51" applyNumberFormat="0" applyAlignment="0" applyProtection="0"/>
    <xf numFmtId="43" fontId="1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0" fillId="0" borderId="43" applyNumberFormat="0" applyFill="0" applyAlignment="0" applyProtection="0"/>
    <xf numFmtId="0" fontId="204" fillId="0" borderId="47" applyNumberFormat="0" applyFill="0" applyAlignment="0" applyProtection="0"/>
    <xf numFmtId="0" fontId="215" fillId="0" borderId="0" applyNumberFormat="0" applyFill="0" applyBorder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1" fillId="0" borderId="44" applyNumberFormat="0" applyFill="0" applyAlignment="0" applyProtection="0"/>
    <xf numFmtId="0" fontId="205" fillId="0" borderId="48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2" fillId="0" borderId="6" applyNumberFormat="0" applyFill="0" applyAlignment="0" applyProtection="0"/>
    <xf numFmtId="0" fontId="206" fillId="0" borderId="49" applyNumberFormat="0" applyFill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11" fillId="0" borderId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9" borderId="0" applyNumberFormat="0" applyBorder="0" applyAlignment="0" applyProtection="0"/>
    <xf numFmtId="0" fontId="5" fillId="59" borderId="0" applyNumberFormat="0" applyBorder="0" applyAlignment="0" applyProtection="0"/>
    <xf numFmtId="0" fontId="5" fillId="63" borderId="0" applyNumberFormat="0" applyBorder="0" applyAlignment="0" applyProtection="0"/>
    <xf numFmtId="0" fontId="5" fillId="63" borderId="0" applyNumberFormat="0" applyBorder="0" applyAlignment="0" applyProtection="0"/>
    <xf numFmtId="0" fontId="5" fillId="67" borderId="0" applyNumberFormat="0" applyBorder="0" applyAlignment="0" applyProtection="0"/>
    <xf numFmtId="0" fontId="5" fillId="67" borderId="0" applyNumberFormat="0" applyBorder="0" applyAlignment="0" applyProtection="0"/>
    <xf numFmtId="0" fontId="5" fillId="71" borderId="0" applyNumberFormat="0" applyBorder="0" applyAlignment="0" applyProtection="0"/>
    <xf numFmtId="0" fontId="5" fillId="71" borderId="0" applyNumberFormat="0" applyBorder="0" applyAlignment="0" applyProtection="0"/>
    <xf numFmtId="0" fontId="5" fillId="75" borderId="0" applyNumberFormat="0" applyBorder="0" applyAlignment="0" applyProtection="0"/>
    <xf numFmtId="0" fontId="5" fillId="7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8" borderId="0" applyNumberFormat="0" applyBorder="0" applyAlignment="0" applyProtection="0"/>
    <xf numFmtId="0" fontId="5" fillId="68" borderId="0" applyNumberFormat="0" applyBorder="0" applyAlignment="0" applyProtection="0"/>
    <xf numFmtId="0" fontId="5" fillId="72" borderId="0" applyNumberFormat="0" applyBorder="0" applyAlignment="0" applyProtection="0"/>
    <xf numFmtId="0" fontId="5" fillId="72" borderId="0" applyNumberFormat="0" applyBorder="0" applyAlignment="0" applyProtection="0"/>
    <xf numFmtId="0" fontId="5" fillId="76" borderId="0" applyNumberFormat="0" applyBorder="0" applyAlignment="0" applyProtection="0"/>
    <xf numFmtId="0" fontId="5" fillId="76" borderId="0" applyNumberFormat="0" applyBorder="0" applyAlignment="0" applyProtection="0"/>
    <xf numFmtId="0" fontId="214" fillId="57" borderId="0" applyNumberFormat="0" applyBorder="0" applyAlignment="0" applyProtection="0"/>
    <xf numFmtId="0" fontId="214" fillId="57" borderId="0" applyNumberFormat="0" applyBorder="0" applyAlignment="0" applyProtection="0"/>
    <xf numFmtId="0" fontId="214" fillId="61" borderId="0" applyNumberFormat="0" applyBorder="0" applyAlignment="0" applyProtection="0"/>
    <xf numFmtId="0" fontId="214" fillId="61" borderId="0" applyNumberFormat="0" applyBorder="0" applyAlignment="0" applyProtection="0"/>
    <xf numFmtId="0" fontId="214" fillId="65" borderId="0" applyNumberFormat="0" applyBorder="0" applyAlignment="0" applyProtection="0"/>
    <xf numFmtId="0" fontId="214" fillId="65" borderId="0" applyNumberFormat="0" applyBorder="0" applyAlignment="0" applyProtection="0"/>
    <xf numFmtId="0" fontId="214" fillId="69" borderId="0" applyNumberFormat="0" applyBorder="0" applyAlignment="0" applyProtection="0"/>
    <xf numFmtId="0" fontId="214" fillId="69" borderId="0" applyNumberFormat="0" applyBorder="0" applyAlignment="0" applyProtection="0"/>
    <xf numFmtId="0" fontId="214" fillId="73" borderId="0" applyNumberFormat="0" applyBorder="0" applyAlignment="0" applyProtection="0"/>
    <xf numFmtId="0" fontId="214" fillId="73" borderId="0" applyNumberFormat="0" applyBorder="0" applyAlignment="0" applyProtection="0"/>
    <xf numFmtId="0" fontId="214" fillId="77" borderId="0" applyNumberFormat="0" applyBorder="0" applyAlignment="0" applyProtection="0"/>
    <xf numFmtId="0" fontId="214" fillId="77" borderId="0" applyNumberFormat="0" applyBorder="0" applyAlignment="0" applyProtection="0"/>
    <xf numFmtId="0" fontId="207" fillId="50" borderId="0" applyNumberFormat="0" applyBorder="0" applyAlignment="0" applyProtection="0"/>
    <xf numFmtId="0" fontId="207" fillId="50" borderId="0" applyNumberFormat="0" applyBorder="0" applyAlignment="0" applyProtection="0"/>
    <xf numFmtId="0" fontId="211" fillId="52" borderId="50" applyNumberFormat="0" applyAlignment="0" applyProtection="0"/>
    <xf numFmtId="0" fontId="211" fillId="52" borderId="50" applyNumberFormat="0" applyAlignment="0" applyProtection="0"/>
    <xf numFmtId="0" fontId="202" fillId="53" borderId="53" applyNumberFormat="0" applyAlignment="0" applyProtection="0"/>
    <xf numFmtId="0" fontId="202" fillId="53" borderId="53" applyNumberFormat="0" applyAlignment="0" applyProtection="0"/>
    <xf numFmtId="0" fontId="212" fillId="0" borderId="52" applyNumberFormat="0" applyFill="0" applyAlignment="0" applyProtection="0"/>
    <xf numFmtId="0" fontId="212" fillId="0" borderId="52" applyNumberFormat="0" applyFill="0" applyAlignment="0" applyProtection="0"/>
    <xf numFmtId="0" fontId="214" fillId="54" borderId="0" applyNumberFormat="0" applyBorder="0" applyAlignment="0" applyProtection="0"/>
    <xf numFmtId="0" fontId="214" fillId="54" borderId="0" applyNumberFormat="0" applyBorder="0" applyAlignment="0" applyProtection="0"/>
    <xf numFmtId="0" fontId="214" fillId="58" borderId="0" applyNumberFormat="0" applyBorder="0" applyAlignment="0" applyProtection="0"/>
    <xf numFmtId="0" fontId="214" fillId="58" borderId="0" applyNumberFormat="0" applyBorder="0" applyAlignment="0" applyProtection="0"/>
    <xf numFmtId="0" fontId="214" fillId="62" borderId="0" applyNumberFormat="0" applyBorder="0" applyAlignment="0" applyProtection="0"/>
    <xf numFmtId="0" fontId="214" fillId="62" borderId="0" applyNumberFormat="0" applyBorder="0" applyAlignment="0" applyProtection="0"/>
    <xf numFmtId="0" fontId="214" fillId="66" borderId="0" applyNumberFormat="0" applyBorder="0" applyAlignment="0" applyProtection="0"/>
    <xf numFmtId="0" fontId="214" fillId="66" borderId="0" applyNumberFormat="0" applyBorder="0" applyAlignment="0" applyProtection="0"/>
    <xf numFmtId="0" fontId="214" fillId="70" borderId="0" applyNumberFormat="0" applyBorder="0" applyAlignment="0" applyProtection="0"/>
    <xf numFmtId="0" fontId="214" fillId="70" borderId="0" applyNumberFormat="0" applyBorder="0" applyAlignment="0" applyProtection="0"/>
    <xf numFmtId="0" fontId="214" fillId="74" borderId="0" applyNumberFormat="0" applyBorder="0" applyAlignment="0" applyProtection="0"/>
    <xf numFmtId="0" fontId="214" fillId="74" borderId="0" applyNumberFormat="0" applyBorder="0" applyAlignment="0" applyProtection="0"/>
    <xf numFmtId="0" fontId="209" fillId="51" borderId="50" applyNumberFormat="0" applyAlignment="0" applyProtection="0"/>
    <xf numFmtId="0" fontId="209" fillId="51" borderId="50" applyNumberFormat="0" applyAlignment="0" applyProtection="0"/>
    <xf numFmtId="0" fontId="151" fillId="46" borderId="0" applyNumberFormat="0" applyBorder="0" applyAlignment="0" applyProtection="0"/>
    <xf numFmtId="0" fontId="151" fillId="46" borderId="0" applyNumberFormat="0" applyBorder="0" applyAlignment="0" applyProtection="0"/>
    <xf numFmtId="0" fontId="208" fillId="47" borderId="0" applyNumberFormat="0" applyBorder="0" applyAlignment="0" applyProtection="0"/>
    <xf numFmtId="0" fontId="208" fillId="47" borderId="0" applyNumberFormat="0" applyBorder="0" applyAlignment="0" applyProtection="0"/>
    <xf numFmtId="0" fontId="5" fillId="0" borderId="0"/>
    <xf numFmtId="0" fontId="5" fillId="0" borderId="0"/>
    <xf numFmtId="0" fontId="10" fillId="9" borderId="8" applyNumberFormat="0" applyFont="0" applyAlignment="0" applyProtection="0"/>
    <xf numFmtId="0" fontId="5" fillId="30" borderId="14" applyNumberFormat="0" applyFont="0" applyAlignment="0" applyProtection="0"/>
    <xf numFmtId="0" fontId="5" fillId="30" borderId="14" applyNumberFormat="0" applyFont="0" applyAlignment="0" applyProtection="0"/>
    <xf numFmtId="0" fontId="210" fillId="52" borderId="51" applyNumberFormat="0" applyAlignment="0" applyProtection="0"/>
    <xf numFmtId="0" fontId="210" fillId="52" borderId="51" applyNumberFormat="0" applyAlignment="0" applyProtection="0"/>
    <xf numFmtId="43" fontId="11" fillId="0" borderId="0" applyFont="0" applyFill="0" applyBorder="0" applyAlignment="0" applyProtection="0"/>
    <xf numFmtId="0" fontId="153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04" fillId="0" borderId="47" applyNumberFormat="0" applyFill="0" applyAlignment="0" applyProtection="0"/>
    <xf numFmtId="0" fontId="204" fillId="0" borderId="47" applyNumberFormat="0" applyFill="0" applyAlignment="0" applyProtection="0"/>
    <xf numFmtId="0" fontId="215" fillId="0" borderId="0" applyNumberFormat="0" applyFill="0" applyBorder="0" applyAlignment="0" applyProtection="0"/>
    <xf numFmtId="0" fontId="205" fillId="0" borderId="48" applyNumberFormat="0" applyFill="0" applyAlignment="0" applyProtection="0"/>
    <xf numFmtId="0" fontId="205" fillId="0" borderId="48" applyNumberFormat="0" applyFill="0" applyAlignment="0" applyProtection="0"/>
    <xf numFmtId="0" fontId="206" fillId="0" borderId="49" applyNumberFormat="0" applyFill="0" applyAlignment="0" applyProtection="0"/>
    <xf numFmtId="0" fontId="206" fillId="0" borderId="49" applyNumberFormat="0" applyFill="0" applyAlignment="0" applyProtection="0"/>
    <xf numFmtId="0" fontId="206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15" fillId="0" borderId="0" applyNumberFormat="0" applyFill="0" applyBorder="0" applyAlignment="0" applyProtection="0"/>
    <xf numFmtId="0" fontId="216" fillId="0" borderId="54" applyNumberFormat="0" applyFill="0" applyAlignment="0" applyProtection="0"/>
    <xf numFmtId="0" fontId="152" fillId="0" borderId="38" applyNumberFormat="0" applyFill="0" applyAlignment="0" applyProtection="0"/>
    <xf numFmtId="0" fontId="152" fillId="0" borderId="38" applyNumberFormat="0" applyFill="0" applyAlignment="0" applyProtection="0"/>
    <xf numFmtId="0" fontId="215" fillId="0" borderId="0" applyNumberForma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30" borderId="14" applyNumberFormat="0" applyFont="0" applyAlignment="0" applyProtection="0"/>
    <xf numFmtId="0" fontId="40" fillId="0" borderId="0"/>
    <xf numFmtId="43" fontId="40" fillId="0" borderId="0" applyFont="0" applyFill="0" applyBorder="0" applyAlignment="0" applyProtection="0"/>
    <xf numFmtId="0" fontId="166" fillId="0" borderId="0" applyFont="0" applyFill="0" applyBorder="0" applyAlignment="0" applyProtection="0"/>
    <xf numFmtId="2" fontId="166" fillId="0" borderId="0" applyFont="0" applyFill="0" applyBorder="0" applyAlignment="0" applyProtection="0"/>
    <xf numFmtId="0" fontId="5" fillId="0" borderId="0"/>
    <xf numFmtId="0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2" fontId="166" fillId="0" borderId="0" applyFont="0" applyFill="0" applyBorder="0" applyAlignment="0" applyProtection="0"/>
    <xf numFmtId="0" fontId="5" fillId="0" borderId="0"/>
    <xf numFmtId="2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5" fillId="0" borderId="0"/>
    <xf numFmtId="2" fontId="166" fillId="0" borderId="0" applyFont="0" applyFill="0" applyBorder="0" applyAlignment="0" applyProtection="0"/>
    <xf numFmtId="0" fontId="217" fillId="0" borderId="0"/>
    <xf numFmtId="279" fontId="1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279" fontId="11" fillId="0" borderId="0" applyFont="0" applyFill="0" applyBorder="0" applyAlignment="0" applyProtection="0"/>
    <xf numFmtId="0" fontId="4" fillId="0" borderId="0"/>
    <xf numFmtId="0" fontId="217" fillId="0" borderId="0"/>
    <xf numFmtId="0" fontId="61" fillId="0" borderId="37" applyNumberFormat="0" applyFill="0" applyAlignment="0" applyProtection="0"/>
    <xf numFmtId="0" fontId="61" fillId="0" borderId="37" applyNumberFormat="0" applyFill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17" fillId="0" borderId="0"/>
    <xf numFmtId="0" fontId="217" fillId="0" borderId="0"/>
    <xf numFmtId="201" fontId="46" fillId="0" borderId="37"/>
    <xf numFmtId="201" fontId="46" fillId="0" borderId="37"/>
    <xf numFmtId="0" fontId="217" fillId="0" borderId="0"/>
    <xf numFmtId="0" fontId="4" fillId="0" borderId="0"/>
    <xf numFmtId="199" fontId="11" fillId="0" borderId="0" applyFont="0" applyFill="0" applyBorder="0" applyAlignment="0" applyProtection="0"/>
    <xf numFmtId="3" fontId="92" fillId="32" borderId="37">
      <alignment horizontal="center"/>
    </xf>
    <xf numFmtId="0" fontId="21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18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17" fillId="0" borderId="0"/>
    <xf numFmtId="0" fontId="217" fillId="0" borderId="0"/>
    <xf numFmtId="0" fontId="142" fillId="0" borderId="37" applyNumberFormat="0" applyProtection="0">
      <alignment horizontal="center"/>
    </xf>
    <xf numFmtId="3" fontId="92" fillId="27" borderId="37">
      <alignment horizontal="center" vertical="center"/>
    </xf>
    <xf numFmtId="0" fontId="4" fillId="0" borderId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43" fontId="10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21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85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4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4" fillId="0" borderId="0"/>
    <xf numFmtId="180" fontId="11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0" fontId="4" fillId="0" borderId="0"/>
    <xf numFmtId="180" fontId="11" fillId="0" borderId="0"/>
    <xf numFmtId="180" fontId="11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/>
    <xf numFmtId="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43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43" fontId="4" fillId="0" borderId="0" applyFont="0" applyFill="0" applyBorder="0" applyAlignment="0" applyProtection="0"/>
    <xf numFmtId="0" fontId="217" fillId="0" borderId="0"/>
    <xf numFmtId="0" fontId="217" fillId="0" borderId="0"/>
    <xf numFmtId="0" fontId="217" fillId="0" borderId="0"/>
    <xf numFmtId="0" fontId="217" fillId="0" borderId="0"/>
    <xf numFmtId="0" fontId="217" fillId="0" borderId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15" fillId="8" borderId="55" applyNumberFormat="0" applyAlignment="0" applyProtection="0"/>
    <xf numFmtId="0" fontId="23" fillId="7" borderId="55" applyNumberFormat="0" applyAlignment="0" applyProtection="0"/>
    <xf numFmtId="0" fontId="217" fillId="0" borderId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17" fillId="0" borderId="0"/>
    <xf numFmtId="0" fontId="23" fillId="7" borderId="55" applyNumberFormat="0" applyAlignment="0" applyProtection="0"/>
    <xf numFmtId="0" fontId="23" fillId="7" borderId="55" applyNumberFormat="0" applyAlignment="0" applyProtection="0"/>
    <xf numFmtId="0" fontId="217" fillId="0" borderId="0"/>
    <xf numFmtId="0" fontId="23" fillId="7" borderId="55" applyNumberFormat="0" applyAlignment="0" applyProtection="0"/>
    <xf numFmtId="0" fontId="217" fillId="0" borderId="0"/>
    <xf numFmtId="0" fontId="23" fillId="7" borderId="55" applyNumberFormat="0" applyAlignment="0" applyProtection="0"/>
    <xf numFmtId="0" fontId="217" fillId="0" borderId="0"/>
    <xf numFmtId="0" fontId="217" fillId="0" borderId="0"/>
    <xf numFmtId="0" fontId="11" fillId="14" borderId="56" applyNumberFormat="0" applyFont="0" applyAlignment="0" applyProtection="0"/>
    <xf numFmtId="0" fontId="11" fillId="14" borderId="56" applyNumberFormat="0" applyFont="0" applyAlignment="0" applyProtection="0"/>
    <xf numFmtId="0" fontId="11" fillId="14" borderId="56" applyNumberFormat="0" applyFont="0" applyAlignment="0" applyProtection="0"/>
    <xf numFmtId="0" fontId="11" fillId="14" borderId="56" applyNumberFormat="0" applyFont="0" applyAlignment="0" applyProtection="0"/>
    <xf numFmtId="0" fontId="11" fillId="14" borderId="56" applyNumberFormat="0" applyFont="0" applyAlignment="0" applyProtection="0"/>
    <xf numFmtId="0" fontId="11" fillId="14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0" fillId="9" borderId="56" applyNumberFormat="0" applyFont="0" applyAlignment="0" applyProtection="0"/>
    <xf numFmtId="0" fontId="11" fillId="9" borderId="56" applyNumberFormat="0" applyFont="0" applyAlignment="0" applyProtection="0"/>
    <xf numFmtId="0" fontId="11" fillId="9" borderId="56" applyNumberFormat="0" applyFon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3" fillId="7" borderId="55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240" fontId="111" fillId="26" borderId="58" applyProtection="0">
      <alignment horizontal="right" vertical="center"/>
    </xf>
    <xf numFmtId="240" fontId="111" fillId="26" borderId="58" applyProtection="0">
      <alignment horizontal="right" vertical="center"/>
    </xf>
    <xf numFmtId="240" fontId="111" fillId="26" borderId="58" applyProtection="0">
      <alignment horizontal="right" vertical="center"/>
    </xf>
    <xf numFmtId="240" fontId="111" fillId="26" borderId="58" applyProtection="0">
      <alignment horizontal="right" vertical="center"/>
    </xf>
    <xf numFmtId="240" fontId="111" fillId="26" borderId="58" applyProtection="0">
      <alignment horizontal="right" vertical="center"/>
    </xf>
    <xf numFmtId="240" fontId="111" fillId="26" borderId="58" applyProtection="0">
      <alignment horizontal="right" vertical="center"/>
    </xf>
    <xf numFmtId="0" fontId="217" fillId="0" borderId="0"/>
    <xf numFmtId="0" fontId="217" fillId="0" borderId="0"/>
    <xf numFmtId="0" fontId="23" fillId="7" borderId="55" applyNumberFormat="0" applyAlignment="0" applyProtection="0"/>
    <xf numFmtId="0" fontId="23" fillId="7" borderId="55" applyNumberFormat="0" applyAlignment="0" applyProtection="0"/>
    <xf numFmtId="0" fontId="15" fillId="24" borderId="55" applyNumberFormat="0" applyAlignment="0" applyProtection="0"/>
    <xf numFmtId="0" fontId="23" fillId="7" borderId="55" applyNumberFormat="0" applyAlignment="0" applyProtection="0"/>
    <xf numFmtId="0" fontId="23" fillId="7" borderId="55" applyNumberFormat="0" applyAlignment="0" applyProtection="0"/>
    <xf numFmtId="0" fontId="26" fillId="24" borderId="57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3" fillId="0" borderId="59" applyNumberFormat="0" applyFill="0" applyAlignment="0" applyProtection="0"/>
    <xf numFmtId="0" fontId="34" fillId="0" borderId="44" applyNumberFormat="0" applyFill="0" applyAlignment="0" applyProtection="0"/>
    <xf numFmtId="0" fontId="3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180" fontId="11" fillId="0" borderId="0"/>
    <xf numFmtId="0" fontId="11" fillId="0" borderId="0"/>
    <xf numFmtId="180" fontId="11" fillId="0" borderId="0"/>
    <xf numFmtId="0" fontId="11" fillId="0" borderId="0"/>
    <xf numFmtId="180" fontId="11" fillId="0" borderId="0"/>
    <xf numFmtId="180" fontId="11" fillId="0" borderId="0"/>
    <xf numFmtId="180" fontId="11" fillId="0" borderId="0"/>
    <xf numFmtId="0" fontId="11" fillId="0" borderId="0"/>
    <xf numFmtId="180" fontId="11" fillId="0" borderId="0"/>
    <xf numFmtId="180" fontId="11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0" fillId="9" borderId="56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8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3" fillId="0" borderId="0" applyFont="0" applyFill="0" applyBorder="0" applyAlignment="0" applyProtection="0"/>
    <xf numFmtId="211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3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185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46" fillId="0" borderId="60" applyNumberFormat="0" applyFill="0" applyProtection="0">
      <alignment wrapText="1"/>
    </xf>
    <xf numFmtId="0" fontId="46" fillId="0" borderId="60" applyNumberFormat="0" applyFill="0" applyProtection="0">
      <alignment horizontal="center" wrapText="1"/>
    </xf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194" fontId="29" fillId="0" borderId="0" applyFont="0" applyFill="0" applyBorder="0" applyAlignment="0"/>
    <xf numFmtId="8" fontId="11" fillId="0" borderId="0" applyFont="0" applyFill="0" applyBorder="0" applyAlignment="0"/>
    <xf numFmtId="195" fontId="11" fillId="0" borderId="0" applyFont="0" applyFill="0" applyBorder="0" applyAlignment="0" applyProtection="0"/>
    <xf numFmtId="7" fontId="29" fillId="0" borderId="0"/>
    <xf numFmtId="0" fontId="23" fillId="7" borderId="55" applyNumberFormat="0" applyAlignment="0" applyProtection="0"/>
    <xf numFmtId="8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1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8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73" fontId="2" fillId="0" borderId="0" applyFont="0" applyFill="0" applyBorder="0" applyAlignment="0" applyProtection="0"/>
    <xf numFmtId="211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185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82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94" fontId="11" fillId="0" borderId="0" applyFont="0" applyFill="0" applyBorder="0" applyAlignment="0" applyProtection="0"/>
    <xf numFmtId="195" fontId="11" fillId="0" borderId="0" applyFont="0" applyFill="0" applyBorder="0" applyAlignment="0" applyProtection="0"/>
    <xf numFmtId="195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280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49" fontId="47" fillId="0" borderId="61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167" fontId="11" fillId="0" borderId="0" applyFont="0" applyFill="0" applyBorder="0" applyAlignment="0" applyProtection="0"/>
    <xf numFmtId="0" fontId="1" fillId="0" borderId="0"/>
    <xf numFmtId="0" fontId="166" fillId="0" borderId="0" applyFont="0" applyFill="0" applyBorder="0" applyAlignment="0" applyProtection="0"/>
    <xf numFmtId="17" fontId="170" fillId="0" borderId="61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2" fontId="16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8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0" fontId="1" fillId="0" borderId="0"/>
    <xf numFmtId="0" fontId="1" fillId="0" borderId="0"/>
    <xf numFmtId="0" fontId="15" fillId="8" borderId="62" applyNumberForma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5" fillId="8" borderId="62" applyNumberFormat="0" applyAlignment="0" applyProtection="0"/>
    <xf numFmtId="0" fontId="26" fillId="8" borderId="57" applyNumberFormat="0" applyAlignment="0" applyProtection="0"/>
    <xf numFmtId="0" fontId="11" fillId="36" borderId="64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281" fontId="29" fillId="0" borderId="0" applyFill="0" applyBorder="0" applyProtection="0">
      <alignment horizontal="right" wrapText="1"/>
    </xf>
    <xf numFmtId="281" fontId="46" fillId="0" borderId="0" applyFill="0" applyBorder="0" applyProtection="0">
      <alignment horizontal="right" wrapText="1"/>
    </xf>
    <xf numFmtId="282" fontId="29" fillId="0" borderId="0" applyFill="0" applyBorder="0" applyProtection="0">
      <alignment horizontal="right" wrapText="1"/>
    </xf>
    <xf numFmtId="282" fontId="46" fillId="0" borderId="0" applyFill="0" applyBorder="0" applyProtection="0">
      <alignment horizontal="right" wrapText="1"/>
    </xf>
    <xf numFmtId="281" fontId="189" fillId="0" borderId="0" applyFill="0" applyBorder="0" applyProtection="0">
      <alignment horizontal="right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8" borderId="62" applyNumberFormat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5" fillId="8" borderId="62" applyNumberFormat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6" fillId="8" borderId="57" applyNumberFormat="0" applyAlignment="0" applyProtection="0"/>
    <xf numFmtId="167" fontId="10" fillId="0" borderId="0" applyFont="0" applyFill="0" applyBorder="0" applyAlignment="0" applyProtection="0"/>
    <xf numFmtId="0" fontId="15" fillId="8" borderId="62" applyNumberFormat="0" applyAlignment="0" applyProtection="0"/>
    <xf numFmtId="0" fontId="11" fillId="9" borderId="63" applyNumberFormat="0" applyFont="0" applyAlignment="0" applyProtection="0"/>
    <xf numFmtId="0" fontId="15" fillId="8" borderId="62" applyNumberFormat="0" applyAlignment="0" applyProtection="0"/>
    <xf numFmtId="0" fontId="11" fillId="9" borderId="63" applyNumberFormat="0" applyFont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6" applyNumberFormat="0" applyAlignment="0" applyProtection="0"/>
    <xf numFmtId="0" fontId="216" fillId="0" borderId="70" applyNumberFormat="0" applyFill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5" fillId="8" borderId="62" applyNumberFormat="0" applyAlignment="0" applyProtection="0"/>
    <xf numFmtId="167" fontId="10" fillId="0" borderId="0" applyFont="0" applyFill="0" applyBorder="0" applyAlignment="0" applyProtection="0"/>
    <xf numFmtId="0" fontId="26" fillId="8" borderId="57" applyNumberFormat="0" applyAlignment="0" applyProtection="0"/>
    <xf numFmtId="167" fontId="11" fillId="0" borderId="0" applyFont="0" applyFill="0" applyBorder="0" applyAlignment="0" applyProtection="0"/>
    <xf numFmtId="0" fontId="15" fillId="8" borderId="62" applyNumberFormat="0" applyAlignment="0" applyProtection="0"/>
    <xf numFmtId="167" fontId="1" fillId="0" borderId="0" applyFont="0" applyFill="0" applyBorder="0" applyAlignment="0" applyProtection="0"/>
    <xf numFmtId="0" fontId="26" fillId="8" borderId="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5" fillId="8" borderId="62" applyNumberFormat="0" applyAlignment="0" applyProtection="0"/>
    <xf numFmtId="0" fontId="1" fillId="0" borderId="0"/>
    <xf numFmtId="0" fontId="23" fillId="7" borderId="62" applyNumberFormat="0" applyAlignment="0" applyProtection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1" fillId="9" borderId="6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1" fillId="9" borderId="63" applyNumberFormat="0" applyFont="0" applyAlignment="0" applyProtection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1" fillId="9" borderId="6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5" fillId="8" borderId="62" applyNumberFormat="0" applyAlignment="0" applyProtection="0"/>
    <xf numFmtId="167" fontId="11" fillId="0" borderId="0" applyFont="0" applyFill="0" applyBorder="0" applyAlignment="0" applyProtection="0"/>
    <xf numFmtId="0" fontId="26" fillId="8" borderId="57" applyNumberFormat="0" applyAlignment="0" applyProtection="0"/>
    <xf numFmtId="0" fontId="1" fillId="0" borderId="0"/>
    <xf numFmtId="0" fontId="1" fillId="0" borderId="0"/>
    <xf numFmtId="0" fontId="15" fillId="8" borderId="62" applyNumberFormat="0" applyAlignment="0" applyProtection="0"/>
    <xf numFmtId="0" fontId="11" fillId="9" borderId="63" applyNumberFormat="0" applyFont="0" applyAlignment="0" applyProtection="0"/>
    <xf numFmtId="0" fontId="15" fillId="8" borderId="62" applyNumberFormat="0" applyAlignment="0" applyProtection="0"/>
    <xf numFmtId="0" fontId="11" fillId="9" borderId="67" applyNumberFormat="0" applyFont="0" applyAlignment="0" applyProtection="0"/>
    <xf numFmtId="0" fontId="11" fillId="9" borderId="63" applyNumberFormat="0" applyFont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5" fillId="8" borderId="62" applyNumberFormat="0" applyAlignment="0" applyProtection="0"/>
    <xf numFmtId="0" fontId="26" fillId="8" borderId="57" applyNumberFormat="0" applyAlignment="0" applyProtection="0"/>
    <xf numFmtId="167" fontId="11" fillId="0" borderId="0" applyFont="0" applyFill="0" applyBorder="0" applyAlignment="0" applyProtection="0"/>
    <xf numFmtId="0" fontId="15" fillId="8" borderId="62" applyNumberFormat="0" applyAlignment="0" applyProtection="0"/>
    <xf numFmtId="0" fontId="26" fillId="8" borderId="57" applyNumberFormat="0" applyAlignment="0" applyProtection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8" borderId="57" applyNumberFormat="0" applyAlignment="0" applyProtection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1" fillId="9" borderId="63" applyNumberFormat="0" applyFont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26" fillId="8" borderId="57" applyNumberFormat="0" applyAlignment="0" applyProtection="0"/>
    <xf numFmtId="0" fontId="1" fillId="0" borderId="0"/>
    <xf numFmtId="0" fontId="1" fillId="0" borderId="0"/>
    <xf numFmtId="0" fontId="15" fillId="8" borderId="62" applyNumberFormat="0" applyAlignment="0" applyProtection="0"/>
    <xf numFmtId="0" fontId="23" fillId="7" borderId="66" applyNumberFormat="0" applyAlignment="0" applyProtection="0"/>
    <xf numFmtId="0" fontId="11" fillId="9" borderId="63" applyNumberFormat="0" applyFon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11" fillId="9" borderId="63" applyNumberFormat="0" applyFont="0" applyAlignment="0" applyProtection="0"/>
    <xf numFmtId="0" fontId="23" fillId="7" borderId="66" applyNumberFormat="0" applyAlignment="0" applyProtection="0"/>
    <xf numFmtId="0" fontId="15" fillId="8" borderId="62" applyNumberFormat="0" applyAlignment="0" applyProtection="0"/>
    <xf numFmtId="0" fontId="26" fillId="8" borderId="57" applyNumberFormat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03" fillId="0" borderId="0" applyFont="0" applyFill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167" fontId="20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0" borderId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0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0" borderId="0"/>
    <xf numFmtId="0" fontId="1" fillId="0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5" fillId="8" borderId="62" applyNumberFormat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0" borderId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0" borderId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0" borderId="0"/>
    <xf numFmtId="0" fontId="1" fillId="75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0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0" borderId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0" borderId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0" borderId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0" borderId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0" borderId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0" borderId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68" borderId="0" applyNumberFormat="0" applyBorder="0" applyAlignment="0" applyProtection="0"/>
    <xf numFmtId="0" fontId="1" fillId="0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0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0" borderId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23" fillId="7" borderId="62" applyNumberFormat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5" fillId="8" borderId="62" applyNumberFormat="0" applyAlignment="0" applyProtection="0"/>
    <xf numFmtId="0" fontId="15" fillId="8" borderId="66" applyNumberFormat="0" applyAlignment="0" applyProtection="0"/>
    <xf numFmtId="2" fontId="166" fillId="0" borderId="0" applyFont="0" applyFill="0" applyBorder="0" applyAlignment="0" applyProtection="0"/>
    <xf numFmtId="0" fontId="11" fillId="9" borderId="67" applyNumberFormat="0" applyFon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23" fillId="7" borderId="62" applyNumberFormat="0" applyAlignment="0" applyProtection="0"/>
    <xf numFmtId="0" fontId="15" fillId="8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9" fontId="1" fillId="0" borderId="0" applyFont="0" applyFill="0" applyBorder="0" applyAlignment="0" applyProtection="0"/>
    <xf numFmtId="0" fontId="1" fillId="0" borderId="0"/>
    <xf numFmtId="0" fontId="10" fillId="9" borderId="67" applyNumberFormat="0" applyFont="0" applyAlignment="0" applyProtection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0" fontId="46" fillId="0" borderId="60" applyNumberFormat="0" applyFill="0" applyProtection="0">
      <alignment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60" applyNumberFormat="0" applyFill="0" applyProtection="0">
      <alignment horizontal="center" wrapText="1"/>
    </xf>
    <xf numFmtId="0" fontId="1" fillId="0" borderId="0"/>
    <xf numFmtId="0" fontId="1" fillId="0" borderId="0"/>
    <xf numFmtId="0" fontId="15" fillId="8" borderId="66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26" fillId="8" borderId="6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8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0" borderId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15" fillId="24" borderId="62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167" fontId="1" fillId="0" borderId="0" applyFont="0" applyFill="0" applyBorder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26" fillId="8" borderId="57" applyNumberFormat="0" applyAlignment="0" applyProtection="0"/>
    <xf numFmtId="0" fontId="1" fillId="0" borderId="0"/>
    <xf numFmtId="0" fontId="26" fillId="8" borderId="57" applyNumberFormat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6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16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6" fillId="0" borderId="0" applyFont="0" applyFill="0" applyBorder="0" applyAlignment="0" applyProtection="0"/>
    <xf numFmtId="0" fontId="1" fillId="0" borderId="0"/>
    <xf numFmtId="0" fontId="1" fillId="55" borderId="0" applyNumberFormat="0" applyBorder="0" applyAlignment="0" applyProtection="0"/>
    <xf numFmtId="0" fontId="1" fillId="55" borderId="0" applyNumberFormat="0" applyBorder="0" applyAlignment="0" applyProtection="0"/>
    <xf numFmtId="0" fontId="1" fillId="59" borderId="0" applyNumberFormat="0" applyBorder="0" applyAlignment="0" applyProtection="0"/>
    <xf numFmtId="0" fontId="1" fillId="59" borderId="0" applyNumberFormat="0" applyBorder="0" applyAlignment="0" applyProtection="0"/>
    <xf numFmtId="0" fontId="1" fillId="63" borderId="0" applyNumberFormat="0" applyBorder="0" applyAlignment="0" applyProtection="0"/>
    <xf numFmtId="0" fontId="1" fillId="63" borderId="0" applyNumberFormat="0" applyBorder="0" applyAlignment="0" applyProtection="0"/>
    <xf numFmtId="0" fontId="1" fillId="67" borderId="0" applyNumberFormat="0" applyBorder="0" applyAlignment="0" applyProtection="0"/>
    <xf numFmtId="0" fontId="1" fillId="67" borderId="0" applyNumberFormat="0" applyBorder="0" applyAlignment="0" applyProtection="0"/>
    <xf numFmtId="0" fontId="1" fillId="71" borderId="0" applyNumberFormat="0" applyBorder="0" applyAlignment="0" applyProtection="0"/>
    <xf numFmtId="0" fontId="1" fillId="71" borderId="0" applyNumberFormat="0" applyBorder="0" applyAlignment="0" applyProtection="0"/>
    <xf numFmtId="0" fontId="1" fillId="75" borderId="0" applyNumberFormat="0" applyBorder="0" applyAlignment="0" applyProtection="0"/>
    <xf numFmtId="0" fontId="1" fillId="75" borderId="0" applyNumberFormat="0" applyBorder="0" applyAlignment="0" applyProtection="0"/>
    <xf numFmtId="0" fontId="1" fillId="56" borderId="0" applyNumberFormat="0" applyBorder="0" applyAlignment="0" applyProtection="0"/>
    <xf numFmtId="0" fontId="1" fillId="56" borderId="0" applyNumberFormat="0" applyBorder="0" applyAlignment="0" applyProtection="0"/>
    <xf numFmtId="0" fontId="1" fillId="60" borderId="0" applyNumberFormat="0" applyBorder="0" applyAlignment="0" applyProtection="0"/>
    <xf numFmtId="0" fontId="1" fillId="60" borderId="0" applyNumberFormat="0" applyBorder="0" applyAlignment="0" applyProtection="0"/>
    <xf numFmtId="0" fontId="1" fillId="64" borderId="0" applyNumberFormat="0" applyBorder="0" applyAlignment="0" applyProtection="0"/>
    <xf numFmtId="0" fontId="1" fillId="64" borderId="0" applyNumberFormat="0" applyBorder="0" applyAlignment="0" applyProtection="0"/>
    <xf numFmtId="0" fontId="1" fillId="68" borderId="0" applyNumberFormat="0" applyBorder="0" applyAlignment="0" applyProtection="0"/>
    <xf numFmtId="0" fontId="1" fillId="68" borderId="0" applyNumberFormat="0" applyBorder="0" applyAlignment="0" applyProtection="0"/>
    <xf numFmtId="0" fontId="1" fillId="72" borderId="0" applyNumberFormat="0" applyBorder="0" applyAlignment="0" applyProtection="0"/>
    <xf numFmtId="0" fontId="1" fillId="72" borderId="0" applyNumberFormat="0" applyBorder="0" applyAlignment="0" applyProtection="0"/>
    <xf numFmtId="0" fontId="1" fillId="76" borderId="0" applyNumberFormat="0" applyBorder="0" applyAlignment="0" applyProtection="0"/>
    <xf numFmtId="0" fontId="1" fillId="76" borderId="0" applyNumberFormat="0" applyBorder="0" applyAlignment="0" applyProtection="0"/>
    <xf numFmtId="0" fontId="23" fillId="7" borderId="62" applyNumberFormat="0" applyAlignment="0" applyProtection="0"/>
    <xf numFmtId="167" fontId="1" fillId="0" borderId="0" applyFont="0" applyFill="0" applyBorder="0" applyAlignment="0" applyProtection="0"/>
    <xf numFmtId="0" fontId="26" fillId="8" borderId="68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0" fontId="1" fillId="30" borderId="14" applyNumberFormat="0" applyFont="0" applyAlignment="0" applyProtection="0"/>
    <xf numFmtId="167" fontId="40" fillId="0" borderId="0" applyFont="0" applyFill="0" applyBorder="0" applyAlignment="0" applyProtection="0"/>
    <xf numFmtId="0" fontId="10" fillId="9" borderId="67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2" fontId="166" fillId="0" borderId="0" applyFont="0" applyFill="0" applyBorder="0" applyAlignment="0" applyProtection="0"/>
    <xf numFmtId="0" fontId="10" fillId="9" borderId="67" applyNumberFormat="0" applyFont="0" applyAlignment="0" applyProtection="0"/>
    <xf numFmtId="0" fontId="23" fillId="7" borderId="62" applyNumberFormat="0" applyAlignment="0" applyProtection="0"/>
    <xf numFmtId="2" fontId="166" fillId="0" borderId="0" applyFont="0" applyFill="0" applyBorder="0" applyAlignment="0" applyProtection="0"/>
    <xf numFmtId="0" fontId="16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23" fillId="7" borderId="66" applyNumberFormat="0" applyAlignment="0" applyProtection="0"/>
    <xf numFmtId="0" fontId="15" fillId="8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8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8" borderId="66" applyNumberFormat="0" applyAlignment="0" applyProtection="0"/>
    <xf numFmtId="170" fontId="11" fillId="0" borderId="0" applyFill="0" applyBorder="0" applyProtection="0">
      <alignment horizontal="right"/>
      <protection locked="0"/>
    </xf>
    <xf numFmtId="170" fontId="11" fillId="0" borderId="0">
      <protection locked="0"/>
    </xf>
    <xf numFmtId="0" fontId="15" fillId="8" borderId="66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2" fontId="166" fillId="0" borderId="0" applyFont="0" applyFill="0" applyBorder="0" applyAlignment="0" applyProtection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8" fontId="11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>
      <protection locked="0"/>
    </xf>
    <xf numFmtId="0" fontId="1" fillId="0" borderId="0"/>
    <xf numFmtId="0" fontId="11" fillId="9" borderId="63" applyNumberFormat="0" applyFont="0" applyAlignment="0" applyProtection="0"/>
    <xf numFmtId="167" fontId="10" fillId="0" borderId="0" applyFont="0" applyFill="0" applyBorder="0" applyAlignment="0" applyProtection="0"/>
    <xf numFmtId="170" fontId="11" fillId="48" borderId="0" applyNumberFormat="0" applyFont="0" applyBorder="0" applyAlignment="0" applyProtection="0">
      <protection locked="0"/>
    </xf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8" borderId="66" applyNumberFormat="0" applyAlignment="0" applyProtection="0"/>
    <xf numFmtId="0" fontId="135" fillId="0" borderId="60" applyNumberFormat="0" applyFill="0" applyProtection="0">
      <alignment horizontal="left" wrapText="1"/>
    </xf>
    <xf numFmtId="0" fontId="11" fillId="9" borderId="67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23" fillId="7" borderId="66" applyNumberFormat="0" applyAlignment="0" applyProtection="0"/>
    <xf numFmtId="0" fontId="11" fillId="9" borderId="63" applyNumberFormat="0" applyFont="0" applyAlignment="0" applyProtection="0"/>
    <xf numFmtId="0" fontId="11" fillId="9" borderId="67" applyNumberFormat="0" applyFon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26" fillId="8" borderId="68" applyNumberFormat="0" applyAlignment="0" applyProtection="0"/>
    <xf numFmtId="0" fontId="15" fillId="8" borderId="66" applyNumberFormat="0" applyAlignment="0" applyProtection="0"/>
    <xf numFmtId="167" fontId="203" fillId="0" borderId="0" applyFont="0" applyFill="0" applyBorder="0" applyAlignment="0" applyProtection="0"/>
    <xf numFmtId="0" fontId="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9" borderId="0" applyNumberFormat="0" applyBorder="0" applyAlignment="0" applyProtection="0"/>
    <xf numFmtId="0" fontId="1" fillId="60" borderId="0" applyNumberFormat="0" applyBorder="0" applyAlignment="0" applyProtection="0"/>
    <xf numFmtId="0" fontId="1" fillId="63" borderId="0" applyNumberFormat="0" applyBorder="0" applyAlignment="0" applyProtection="0"/>
    <xf numFmtId="0" fontId="1" fillId="64" borderId="0" applyNumberFormat="0" applyBorder="0" applyAlignment="0" applyProtection="0"/>
    <xf numFmtId="0" fontId="1" fillId="67" borderId="0" applyNumberFormat="0" applyBorder="0" applyAlignment="0" applyProtection="0"/>
    <xf numFmtId="0" fontId="1" fillId="68" borderId="0" applyNumberFormat="0" applyBorder="0" applyAlignment="0" applyProtection="0"/>
    <xf numFmtId="0" fontId="1" fillId="71" borderId="0" applyNumberFormat="0" applyBorder="0" applyAlignment="0" applyProtection="0"/>
    <xf numFmtId="0" fontId="1" fillId="72" borderId="0" applyNumberFormat="0" applyBorder="0" applyAlignment="0" applyProtection="0"/>
    <xf numFmtId="0" fontId="1" fillId="75" borderId="0" applyNumberFormat="0" applyBorder="0" applyAlignment="0" applyProtection="0"/>
    <xf numFmtId="0" fontId="1" fillId="76" borderId="0" applyNumberFormat="0" applyBorder="0" applyAlignment="0" applyProtection="0"/>
    <xf numFmtId="167" fontId="203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5" fillId="8" borderId="66" applyNumberFormat="0" applyAlignment="0" applyProtection="0"/>
    <xf numFmtId="0" fontId="11" fillId="9" borderId="67" applyNumberFormat="0" applyFont="0" applyAlignment="0" applyProtection="0"/>
    <xf numFmtId="0" fontId="166" fillId="0" borderId="0" applyFont="0" applyFill="0" applyBorder="0" applyAlignment="0" applyProtection="0"/>
    <xf numFmtId="0" fontId="1" fillId="0" borderId="0"/>
    <xf numFmtId="0" fontId="26" fillId="8" borderId="68" applyNumberFormat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15" fillId="8" borderId="66" applyNumberFormat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0" fontId="1" fillId="30" borderId="14" applyNumberFormat="0" applyFont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9" borderId="67" applyNumberFormat="0" applyFont="0" applyAlignment="0" applyProtection="0"/>
    <xf numFmtId="0" fontId="23" fillId="7" borderId="62" applyNumberFormat="0" applyAlignment="0" applyProtection="0"/>
    <xf numFmtId="0" fontId="26" fillId="8" borderId="68" applyNumberFormat="0" applyAlignment="0" applyProtection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40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  <xf numFmtId="0" fontId="1" fillId="0" borderId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1" fillId="0" borderId="0"/>
    <xf numFmtId="0" fontId="1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7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15" fillId="8" borderId="62" applyNumberFormat="0" applyAlignment="0" applyProtection="0"/>
    <xf numFmtId="0" fontId="23" fillId="7" borderId="62" applyNumberFormat="0" applyAlignment="0" applyProtection="0"/>
    <xf numFmtId="0" fontId="1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0" fontId="1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11" fillId="0" borderId="0"/>
    <xf numFmtId="0" fontId="23" fillId="7" borderId="62" applyNumberFormat="0" applyAlignment="0" applyProtection="0"/>
    <xf numFmtId="0" fontId="11" fillId="0" borderId="0"/>
    <xf numFmtId="0" fontId="23" fillId="7" borderId="62" applyNumberFormat="0" applyAlignment="0" applyProtection="0"/>
    <xf numFmtId="0" fontId="11" fillId="0" borderId="0"/>
    <xf numFmtId="0" fontId="11" fillId="0" borderId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14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0" fillId="9" borderId="63" applyNumberFormat="0" applyFont="0" applyAlignment="0" applyProtection="0"/>
    <xf numFmtId="0" fontId="11" fillId="9" borderId="63" applyNumberFormat="0" applyFont="0" applyAlignment="0" applyProtection="0"/>
    <xf numFmtId="0" fontId="11" fillId="9" borderId="63" applyNumberFormat="0" applyFont="0" applyAlignment="0" applyProtection="0"/>
    <xf numFmtId="0" fontId="23" fillId="7" borderId="62" applyNumberFormat="0" applyAlignment="0" applyProtection="0"/>
    <xf numFmtId="0" fontId="11" fillId="0" borderId="0"/>
    <xf numFmtId="0" fontId="11" fillId="0" borderId="0"/>
    <xf numFmtId="0" fontId="23" fillId="7" borderId="62" applyNumberFormat="0" applyAlignment="0" applyProtection="0"/>
    <xf numFmtId="0" fontId="23" fillId="7" borderId="62" applyNumberFormat="0" applyAlignment="0" applyProtection="0"/>
    <xf numFmtId="0" fontId="15" fillId="24" borderId="62" applyNumberFormat="0" applyAlignment="0" applyProtection="0"/>
    <xf numFmtId="0" fontId="23" fillId="7" borderId="62" applyNumberFormat="0" applyAlignment="0" applyProtection="0"/>
    <xf numFmtId="0" fontId="23" fillId="7" borderId="62" applyNumberFormat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9" borderId="63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23" fillId="7" borderId="62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7" fontId="69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0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7" fontId="11" fillId="0" borderId="0" applyFont="0" applyFill="0" applyBorder="0" applyAlignment="0" applyProtection="0"/>
    <xf numFmtId="172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8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73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3" fontId="1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8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167" fontId="10" fillId="0" borderId="0" applyFont="0" applyFill="0" applyBorder="0" applyAlignment="0" applyProtection="0"/>
    <xf numFmtId="0" fontId="1" fillId="0" borderId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11" fillId="9" borderId="67" applyNumberFormat="0" applyFont="0" applyAlignment="0" applyProtection="0"/>
    <xf numFmtId="0" fontId="15" fillId="8" borderId="66" applyNumberFormat="0" applyAlignment="0" applyProtection="0"/>
    <xf numFmtId="0" fontId="26" fillId="8" borderId="68" applyNumberFormat="0" applyAlignment="0" applyProtection="0"/>
    <xf numFmtId="0" fontId="1" fillId="0" borderId="0"/>
    <xf numFmtId="0" fontId="15" fillId="8" borderId="66" applyNumberFormat="0" applyAlignment="0" applyProtection="0"/>
    <xf numFmtId="0" fontId="11" fillId="9" borderId="67" applyNumberFormat="0" applyFont="0" applyAlignment="0" applyProtection="0"/>
    <xf numFmtId="0" fontId="15" fillId="8" borderId="66" applyNumberFormat="0" applyAlignment="0" applyProtection="0"/>
    <xf numFmtId="0" fontId="26" fillId="8" borderId="68" applyNumberFormat="0" applyAlignment="0" applyProtection="0"/>
    <xf numFmtId="0" fontId="15" fillId="8" borderId="66" applyNumberFormat="0" applyAlignment="0" applyProtection="0"/>
    <xf numFmtId="0" fontId="26" fillId="8" borderId="68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5" fillId="8" borderId="66" applyNumberFormat="0" applyAlignment="0" applyProtection="0"/>
    <xf numFmtId="0" fontId="26" fillId="8" borderId="68" applyNumberFormat="0" applyAlignment="0" applyProtection="0"/>
    <xf numFmtId="0" fontId="1" fillId="0" borderId="0"/>
    <xf numFmtId="0" fontId="26" fillId="8" borderId="68" applyNumberFormat="0" applyAlignment="0" applyProtection="0"/>
    <xf numFmtId="0" fontId="11" fillId="9" borderId="67" applyNumberFormat="0" applyFont="0" applyAlignment="0" applyProtection="0"/>
    <xf numFmtId="0" fontId="11" fillId="9" borderId="67" applyNumberFormat="0" applyFont="0" applyAlignment="0" applyProtection="0"/>
    <xf numFmtId="0" fontId="15" fillId="8" borderId="66" applyNumberFormat="0" applyAlignment="0" applyProtection="0"/>
    <xf numFmtId="0" fontId="23" fillId="7" borderId="66" applyNumberFormat="0" applyAlignment="0" applyProtection="0"/>
    <xf numFmtId="2" fontId="166" fillId="0" borderId="0" applyFont="0" applyFill="0" applyBorder="0" applyAlignment="0" applyProtection="0"/>
    <xf numFmtId="17" fontId="170" fillId="0" borderId="65" applyFont="0" applyFill="0" applyBorder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1" fillId="36" borderId="69"/>
    <xf numFmtId="249" fontId="47" fillId="0" borderId="65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66" fillId="0" borderId="0" applyFont="0" applyFill="0" applyBorder="0" applyAlignment="0" applyProtection="0"/>
    <xf numFmtId="0" fontId="216" fillId="0" borderId="70" applyNumberFormat="0" applyFill="0" applyAlignment="0" applyProtection="0"/>
    <xf numFmtId="0" fontId="26" fillId="8" borderId="68" applyNumberForma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" fillId="0" borderId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166" fillId="0" borderId="0" applyFont="0" applyFill="0" applyBorder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16" fillId="0" borderId="70" applyNumberFormat="0" applyFill="0" applyAlignment="0" applyProtection="0"/>
    <xf numFmtId="0" fontId="26" fillId="8" borderId="68" applyNumberFormat="0" applyAlignment="0" applyProtection="0"/>
    <xf numFmtId="0" fontId="26" fillId="8" borderId="68" applyNumberForma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10" fillId="9" borderId="67" applyNumberFormat="0" applyFont="0" applyAlignment="0" applyProtection="0"/>
    <xf numFmtId="0" fontId="23" fillId="7" borderId="66" applyNumberFormat="0" applyAlignment="0" applyProtection="0"/>
    <xf numFmtId="0" fontId="23" fillId="7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0" fontId="15" fillId="8" borderId="66" applyNumberFormat="0" applyAlignment="0" applyProtection="0"/>
    <xf numFmtId="44" fontId="11" fillId="0" borderId="0" applyFont="0" applyFill="0" applyBorder="0" applyAlignment="0" applyProtection="0"/>
  </cellStyleXfs>
  <cellXfs count="514">
    <xf numFmtId="0" fontId="0" fillId="0" borderId="0" xfId="0"/>
    <xf numFmtId="0" fontId="36" fillId="0" borderId="0" xfId="0" applyFont="1"/>
    <xf numFmtId="14" fontId="0" fillId="0" borderId="0" xfId="0" applyNumberFormat="1"/>
    <xf numFmtId="0" fontId="56" fillId="0" borderId="0" xfId="0" applyFont="1"/>
    <xf numFmtId="181" fontId="0" fillId="0" borderId="0" xfId="79" applyNumberFormat="1" applyFont="1"/>
    <xf numFmtId="173" fontId="0" fillId="0" borderId="0" xfId="76" applyNumberFormat="1" applyFont="1"/>
    <xf numFmtId="10" fontId="0" fillId="0" borderId="0" xfId="76" applyNumberFormat="1" applyFont="1"/>
    <xf numFmtId="0" fontId="29" fillId="0" borderId="0" xfId="0" applyFont="1"/>
    <xf numFmtId="0" fontId="218" fillId="0" borderId="0" xfId="0" applyFont="1"/>
    <xf numFmtId="0" fontId="29" fillId="0" borderId="0" xfId="72" applyFont="1"/>
    <xf numFmtId="0" fontId="219" fillId="0" borderId="0" xfId="64" applyFont="1" applyFill="1" applyBorder="1" applyAlignment="1" applyProtection="1"/>
    <xf numFmtId="0" fontId="220" fillId="0" borderId="0" xfId="72" applyFont="1"/>
    <xf numFmtId="0" fontId="108" fillId="0" borderId="0" xfId="72" applyFont="1"/>
    <xf numFmtId="41" fontId="29" fillId="0" borderId="0" xfId="72" applyNumberFormat="1" applyFont="1"/>
    <xf numFmtId="0" fontId="29" fillId="0" borderId="0" xfId="72" applyFont="1" applyAlignment="1">
      <alignment horizontal="right"/>
    </xf>
    <xf numFmtId="41" fontId="29" fillId="0" borderId="0" xfId="71" applyNumberFormat="1" applyFont="1"/>
    <xf numFmtId="0" fontId="46" fillId="0" borderId="0" xfId="72" applyFont="1" applyAlignment="1">
      <alignment horizontal="right" vertical="center"/>
    </xf>
    <xf numFmtId="0" fontId="221" fillId="0" borderId="0" xfId="71" applyFont="1" applyAlignment="1">
      <alignment horizontal="left" vertical="center"/>
    </xf>
    <xf numFmtId="0" fontId="46" fillId="0" borderId="0" xfId="72" applyFont="1"/>
    <xf numFmtId="0" fontId="222" fillId="78" borderId="0" xfId="71" applyFont="1" applyFill="1" applyAlignment="1">
      <alignment horizontal="left" vertical="center" indent="1"/>
    </xf>
    <xf numFmtId="41" fontId="222" fillId="78" borderId="0" xfId="72" applyNumberFormat="1" applyFont="1" applyFill="1" applyAlignment="1">
      <alignment vertical="center"/>
    </xf>
    <xf numFmtId="0" fontId="29" fillId="0" borderId="72" xfId="72" applyFont="1" applyBorder="1" applyAlignment="1">
      <alignment horizontal="left" vertical="center" wrapText="1" indent="2"/>
    </xf>
    <xf numFmtId="41" fontId="29" fillId="0" borderId="72" xfId="72" applyNumberFormat="1" applyFont="1" applyBorder="1" applyAlignment="1">
      <alignment horizontal="right" vertical="center"/>
    </xf>
    <xf numFmtId="0" fontId="29" fillId="0" borderId="73" xfId="72" applyFont="1" applyBorder="1" applyAlignment="1">
      <alignment horizontal="left" vertical="center" indent="2"/>
    </xf>
    <xf numFmtId="41" fontId="29" fillId="0" borderId="73" xfId="72" applyNumberFormat="1" applyFont="1" applyBorder="1" applyAlignment="1">
      <alignment horizontal="right" vertical="center"/>
    </xf>
    <xf numFmtId="41" fontId="29" fillId="0" borderId="73" xfId="0" applyNumberFormat="1" applyFont="1" applyBorder="1"/>
    <xf numFmtId="0" fontId="46" fillId="79" borderId="73" xfId="71" applyFont="1" applyFill="1" applyBorder="1" applyAlignment="1">
      <alignment horizontal="left" vertical="center" indent="1"/>
    </xf>
    <xf numFmtId="41" fontId="46" fillId="79" borderId="73" xfId="71" applyNumberFormat="1" applyFont="1" applyFill="1" applyBorder="1" applyAlignment="1">
      <alignment horizontal="left" vertical="center" indent="1"/>
    </xf>
    <xf numFmtId="0" fontId="223" fillId="0" borderId="74" xfId="72" applyFont="1" applyBorder="1" applyAlignment="1">
      <alignment horizontal="left" vertical="center" indent="3"/>
    </xf>
    <xf numFmtId="173" fontId="29" fillId="0" borderId="74" xfId="76" applyNumberFormat="1" applyFont="1" applyBorder="1"/>
    <xf numFmtId="173" fontId="29" fillId="0" borderId="74" xfId="76" applyNumberFormat="1" applyFont="1" applyFill="1" applyBorder="1"/>
    <xf numFmtId="0" fontId="223" fillId="0" borderId="0" xfId="72" applyFont="1" applyAlignment="1">
      <alignment horizontal="left" vertical="center" indent="3"/>
    </xf>
    <xf numFmtId="173" fontId="29" fillId="0" borderId="0" xfId="76" applyNumberFormat="1" applyFont="1" applyBorder="1"/>
    <xf numFmtId="173" fontId="29" fillId="0" borderId="0" xfId="76" applyNumberFormat="1" applyFont="1" applyFill="1" applyBorder="1"/>
    <xf numFmtId="0" fontId="46" fillId="0" borderId="0" xfId="0" applyFont="1"/>
    <xf numFmtId="0" fontId="46" fillId="79" borderId="72" xfId="71" applyFont="1" applyFill="1" applyBorder="1" applyAlignment="1">
      <alignment horizontal="left" vertical="center" indent="1"/>
    </xf>
    <xf numFmtId="41" fontId="46" fillId="79" borderId="72" xfId="71" applyNumberFormat="1" applyFont="1" applyFill="1" applyBorder="1" applyAlignment="1">
      <alignment horizontal="left" vertical="center" indent="1"/>
    </xf>
    <xf numFmtId="0" fontId="223" fillId="0" borderId="73" xfId="72" applyFont="1" applyBorder="1" applyAlignment="1">
      <alignment horizontal="left" vertical="center" indent="3"/>
    </xf>
    <xf numFmtId="173" fontId="29" fillId="0" borderId="73" xfId="76" applyNumberFormat="1" applyFont="1" applyBorder="1"/>
    <xf numFmtId="41" fontId="46" fillId="0" borderId="73" xfId="0" applyNumberFormat="1" applyFont="1" applyBorder="1"/>
    <xf numFmtId="0" fontId="223" fillId="0" borderId="74" xfId="0" applyFont="1" applyBorder="1" applyAlignment="1">
      <alignment horizontal="left" indent="3"/>
    </xf>
    <xf numFmtId="0" fontId="29" fillId="0" borderId="76" xfId="0" applyFont="1" applyBorder="1"/>
    <xf numFmtId="0" fontId="29" fillId="0" borderId="77" xfId="0" applyFont="1" applyBorder="1"/>
    <xf numFmtId="0" fontId="29" fillId="79" borderId="72" xfId="71" applyFont="1" applyFill="1" applyBorder="1" applyAlignment="1">
      <alignment horizontal="left" vertical="center" indent="1"/>
    </xf>
    <xf numFmtId="41" fontId="29" fillId="0" borderId="78" xfId="72" applyNumberFormat="1" applyFont="1" applyBorder="1" applyAlignment="1">
      <alignment vertical="center"/>
    </xf>
    <xf numFmtId="41" fontId="29" fillId="0" borderId="0" xfId="72" applyNumberFormat="1" applyFont="1" applyAlignment="1">
      <alignment vertical="center"/>
    </xf>
    <xf numFmtId="41" fontId="29" fillId="0" borderId="79" xfId="72" applyNumberFormat="1" applyFont="1" applyBorder="1" applyAlignment="1">
      <alignment vertical="center"/>
    </xf>
    <xf numFmtId="41" fontId="29" fillId="79" borderId="72" xfId="72" applyNumberFormat="1" applyFont="1" applyFill="1" applyBorder="1" applyAlignment="1">
      <alignment vertical="center"/>
    </xf>
    <xf numFmtId="41" fontId="29" fillId="79" borderId="84" xfId="72" applyNumberFormat="1" applyFont="1" applyFill="1" applyBorder="1" applyAlignment="1">
      <alignment vertical="center"/>
    </xf>
    <xf numFmtId="0" fontId="29" fillId="0" borderId="73" xfId="72" applyFont="1" applyBorder="1" applyAlignment="1">
      <alignment horizontal="left" vertical="center" wrapText="1" indent="2"/>
    </xf>
    <xf numFmtId="41" fontId="29" fillId="0" borderId="78" xfId="72" applyNumberFormat="1" applyFont="1" applyBorder="1" applyAlignment="1">
      <alignment horizontal="right" vertical="center"/>
    </xf>
    <xf numFmtId="41" fontId="29" fillId="0" borderId="0" xfId="72" applyNumberFormat="1" applyFont="1" applyAlignment="1">
      <alignment horizontal="right" vertical="center"/>
    </xf>
    <xf numFmtId="41" fontId="29" fillId="0" borderId="79" xfId="72" applyNumberFormat="1" applyFont="1" applyBorder="1" applyAlignment="1">
      <alignment horizontal="right" vertical="center"/>
    </xf>
    <xf numFmtId="0" fontId="29" fillId="79" borderId="73" xfId="71" applyFont="1" applyFill="1" applyBorder="1" applyAlignment="1">
      <alignment horizontal="left" vertical="center" indent="1"/>
    </xf>
    <xf numFmtId="41" fontId="29" fillId="0" borderId="78" xfId="71" applyNumberFormat="1" applyFont="1" applyBorder="1" applyAlignment="1">
      <alignment horizontal="left" vertical="center" indent="1"/>
    </xf>
    <xf numFmtId="41" fontId="29" fillId="0" borderId="0" xfId="71" applyNumberFormat="1" applyFont="1" applyAlignment="1">
      <alignment horizontal="left" vertical="center" indent="1"/>
    </xf>
    <xf numFmtId="41" fontId="29" fillId="0" borderId="79" xfId="71" applyNumberFormat="1" applyFont="1" applyBorder="1" applyAlignment="1">
      <alignment horizontal="left" vertical="center" indent="1"/>
    </xf>
    <xf numFmtId="41" fontId="29" fillId="79" borderId="73" xfId="71" applyNumberFormat="1" applyFont="1" applyFill="1" applyBorder="1" applyAlignment="1">
      <alignment horizontal="left" vertical="center" indent="1"/>
    </xf>
    <xf numFmtId="41" fontId="29" fillId="79" borderId="78" xfId="71" applyNumberFormat="1" applyFont="1" applyFill="1" applyBorder="1" applyAlignment="1">
      <alignment horizontal="left" vertical="center" indent="1"/>
    </xf>
    <xf numFmtId="173" fontId="29" fillId="0" borderId="78" xfId="76" applyNumberFormat="1" applyFont="1" applyFill="1" applyBorder="1"/>
    <xf numFmtId="173" fontId="29" fillId="0" borderId="79" xfId="76" applyNumberFormat="1" applyFont="1" applyFill="1" applyBorder="1"/>
    <xf numFmtId="173" fontId="29" fillId="0" borderId="88" xfId="76" applyNumberFormat="1" applyFont="1" applyFill="1" applyBorder="1"/>
    <xf numFmtId="41" fontId="29" fillId="79" borderId="72" xfId="71" applyNumberFormat="1" applyFont="1" applyFill="1" applyBorder="1" applyAlignment="1">
      <alignment horizontal="left" vertical="center" indent="1"/>
    </xf>
    <xf numFmtId="41" fontId="29" fillId="79" borderId="84" xfId="71" applyNumberFormat="1" applyFont="1" applyFill="1" applyBorder="1" applyAlignment="1">
      <alignment horizontal="left" vertical="center" indent="1"/>
    </xf>
    <xf numFmtId="173" fontId="29" fillId="0" borderId="73" xfId="76" applyNumberFormat="1" applyFont="1" applyFill="1" applyBorder="1"/>
    <xf numFmtId="41" fontId="29" fillId="29" borderId="73" xfId="71" applyNumberFormat="1" applyFont="1" applyFill="1" applyBorder="1" applyAlignment="1">
      <alignment horizontal="left" vertical="center" indent="1"/>
    </xf>
    <xf numFmtId="41" fontId="29" fillId="29" borderId="78" xfId="71" applyNumberFormat="1" applyFont="1" applyFill="1" applyBorder="1" applyAlignment="1">
      <alignment horizontal="left" vertical="center" indent="1"/>
    </xf>
    <xf numFmtId="41" fontId="0" fillId="0" borderId="0" xfId="0" applyNumberFormat="1"/>
    <xf numFmtId="0" fontId="29" fillId="0" borderId="0" xfId="71" applyFont="1"/>
    <xf numFmtId="14" fontId="221" fillId="0" borderId="0" xfId="71" applyNumberFormat="1" applyFont="1" applyAlignment="1">
      <alignment horizontal="center" vertical="center"/>
    </xf>
    <xf numFmtId="0" fontId="108" fillId="0" borderId="0" xfId="71" applyFont="1"/>
    <xf numFmtId="172" fontId="222" fillId="78" borderId="0" xfId="79" applyNumberFormat="1" applyFont="1" applyFill="1" applyAlignment="1">
      <alignment horizontal="right" vertical="center"/>
    </xf>
    <xf numFmtId="41" fontId="222" fillId="78" borderId="0" xfId="71" applyNumberFormat="1" applyFont="1" applyFill="1" applyAlignment="1">
      <alignment horizontal="right" vertical="center"/>
    </xf>
    <xf numFmtId="0" fontId="46" fillId="0" borderId="0" xfId="71" applyFont="1" applyAlignment="1">
      <alignment horizontal="left" vertical="center" indent="1"/>
    </xf>
    <xf numFmtId="172" fontId="46" fillId="0" borderId="0" xfId="79" applyNumberFormat="1" applyFont="1" applyAlignment="1">
      <alignment horizontal="right" vertical="center"/>
    </xf>
    <xf numFmtId="172" fontId="29" fillId="0" borderId="0" xfId="79" applyNumberFormat="1" applyFont="1"/>
    <xf numFmtId="0" fontId="46" fillId="29" borderId="72" xfId="71" applyFont="1" applyFill="1" applyBorder="1" applyAlignment="1">
      <alignment horizontal="left" vertical="center" indent="1"/>
    </xf>
    <xf numFmtId="172" fontId="46" fillId="29" borderId="72" xfId="79" applyNumberFormat="1" applyFont="1" applyFill="1" applyBorder="1" applyAlignment="1">
      <alignment horizontal="right" vertical="center"/>
    </xf>
    <xf numFmtId="41" fontId="46" fillId="29" borderId="72" xfId="71" applyNumberFormat="1" applyFont="1" applyFill="1" applyBorder="1" applyAlignment="1">
      <alignment horizontal="right" vertical="center"/>
    </xf>
    <xf numFmtId="0" fontId="29" fillId="0" borderId="73" xfId="71" applyFont="1" applyBorder="1" applyAlignment="1">
      <alignment horizontal="left" vertical="center" indent="2"/>
    </xf>
    <xf numFmtId="172" fontId="29" fillId="0" borderId="73" xfId="79" applyNumberFormat="1" applyFont="1" applyFill="1" applyBorder="1" applyAlignment="1">
      <alignment horizontal="right" vertical="center"/>
    </xf>
    <xf numFmtId="172" fontId="29" fillId="0" borderId="73" xfId="79" applyNumberFormat="1" applyFont="1" applyBorder="1" applyAlignment="1">
      <alignment horizontal="right" vertical="center"/>
    </xf>
    <xf numFmtId="172" fontId="29" fillId="0" borderId="73" xfId="79" quotePrefix="1" applyNumberFormat="1" applyFont="1" applyFill="1" applyBorder="1" applyAlignment="1">
      <alignment horizontal="right" vertical="center"/>
    </xf>
    <xf numFmtId="9" fontId="29" fillId="0" borderId="0" xfId="76" applyFont="1"/>
    <xf numFmtId="0" fontId="29" fillId="0" borderId="74" xfId="71" applyFont="1" applyBorder="1" applyAlignment="1">
      <alignment horizontal="left" vertical="center" indent="2"/>
    </xf>
    <xf numFmtId="172" fontId="29" fillId="0" borderId="74" xfId="79" applyNumberFormat="1" applyFont="1" applyFill="1" applyBorder="1" applyAlignment="1">
      <alignment horizontal="right" vertical="center"/>
    </xf>
    <xf numFmtId="172" fontId="29" fillId="0" borderId="74" xfId="79" applyNumberFormat="1" applyFont="1" applyBorder="1" applyAlignment="1">
      <alignment horizontal="right" vertical="center"/>
    </xf>
    <xf numFmtId="0" fontId="29" fillId="0" borderId="0" xfId="71" applyFont="1" applyAlignment="1">
      <alignment horizontal="left" vertical="center" indent="2"/>
    </xf>
    <xf numFmtId="172" fontId="29" fillId="0" borderId="0" xfId="79" applyNumberFormat="1" applyFont="1" applyFill="1" applyBorder="1" applyAlignment="1">
      <alignment horizontal="right" vertical="center"/>
    </xf>
    <xf numFmtId="172" fontId="29" fillId="0" borderId="0" xfId="79" applyNumberFormat="1" applyFont="1" applyAlignment="1">
      <alignment horizontal="right" vertical="center"/>
    </xf>
    <xf numFmtId="41" fontId="29" fillId="0" borderId="73" xfId="79" applyNumberFormat="1" applyFont="1" applyFill="1" applyBorder="1" applyAlignment="1">
      <alignment horizontal="right" vertical="center"/>
    </xf>
    <xf numFmtId="0" fontId="29" fillId="26" borderId="75" xfId="71" applyFont="1" applyFill="1" applyBorder="1" applyAlignment="1">
      <alignment horizontal="left" vertical="center" indent="1"/>
    </xf>
    <xf numFmtId="172" fontId="29" fillId="26" borderId="75" xfId="79" applyNumberFormat="1" applyFont="1" applyFill="1" applyBorder="1" applyAlignment="1">
      <alignment horizontal="right" vertical="center"/>
    </xf>
    <xf numFmtId="41" fontId="29" fillId="26" borderId="75" xfId="79" applyNumberFormat="1" applyFont="1" applyFill="1" applyBorder="1" applyAlignment="1">
      <alignment horizontal="right" vertical="center"/>
    </xf>
    <xf numFmtId="172" fontId="222" fillId="78" borderId="0" xfId="79" applyNumberFormat="1" applyFont="1" applyFill="1" applyBorder="1" applyAlignment="1">
      <alignment horizontal="left" vertical="center" indent="1"/>
    </xf>
    <xf numFmtId="0" fontId="46" fillId="29" borderId="71" xfId="71" applyFont="1" applyFill="1" applyBorder="1" applyAlignment="1">
      <alignment horizontal="left" vertical="center" indent="2"/>
    </xf>
    <xf numFmtId="172" fontId="46" fillId="29" borderId="71" xfId="79" applyNumberFormat="1" applyFont="1" applyFill="1" applyBorder="1" applyAlignment="1">
      <alignment horizontal="right" vertical="center"/>
    </xf>
    <xf numFmtId="0" fontId="46" fillId="0" borderId="0" xfId="71" applyFont="1" applyAlignment="1">
      <alignment horizontal="left" vertical="center" indent="2"/>
    </xf>
    <xf numFmtId="172" fontId="46" fillId="0" borderId="0" xfId="79" applyNumberFormat="1" applyFont="1" applyFill="1" applyBorder="1" applyAlignment="1">
      <alignment horizontal="right" vertical="center"/>
    </xf>
    <xf numFmtId="0" fontId="46" fillId="29" borderId="72" xfId="71" applyFont="1" applyFill="1" applyBorder="1" applyAlignment="1">
      <alignment horizontal="left" vertical="center" indent="3"/>
    </xf>
    <xf numFmtId="0" fontId="29" fillId="0" borderId="73" xfId="71" applyFont="1" applyBorder="1" applyAlignment="1">
      <alignment horizontal="left" vertical="center" indent="4"/>
    </xf>
    <xf numFmtId="0" fontId="29" fillId="0" borderId="74" xfId="71" applyFont="1" applyBorder="1" applyAlignment="1">
      <alignment horizontal="left" vertical="center" indent="4"/>
    </xf>
    <xf numFmtId="0" fontId="29" fillId="0" borderId="0" xfId="71" applyFont="1" applyAlignment="1">
      <alignment horizontal="left" vertical="center" indent="4"/>
    </xf>
    <xf numFmtId="179" fontId="29" fillId="0" borderId="0" xfId="0" applyNumberFormat="1" applyFont="1"/>
    <xf numFmtId="41" fontId="225" fillId="78" borderId="0" xfId="72" applyNumberFormat="1" applyFont="1" applyFill="1" applyAlignment="1">
      <alignment horizontal="right" vertical="center"/>
    </xf>
    <xf numFmtId="0" fontId="29" fillId="0" borderId="72" xfId="72" applyFont="1" applyBorder="1" applyAlignment="1">
      <alignment horizontal="left" vertical="center" indent="2"/>
    </xf>
    <xf numFmtId="41" fontId="226" fillId="0" borderId="72" xfId="72" applyNumberFormat="1" applyFont="1" applyBorder="1" applyAlignment="1">
      <alignment horizontal="right" vertical="center"/>
    </xf>
    <xf numFmtId="172" fontId="226" fillId="0" borderId="72" xfId="72" applyNumberFormat="1" applyFont="1" applyBorder="1" applyAlignment="1">
      <alignment horizontal="right" vertical="center"/>
    </xf>
    <xf numFmtId="172" fontId="29" fillId="0" borderId="72" xfId="79" applyNumberFormat="1" applyFont="1" applyFill="1" applyBorder="1" applyAlignment="1">
      <alignment horizontal="right" vertical="center"/>
    </xf>
    <xf numFmtId="0" fontId="29" fillId="0" borderId="74" xfId="72" applyFont="1" applyBorder="1" applyAlignment="1">
      <alignment horizontal="left" vertical="center" indent="2"/>
    </xf>
    <xf numFmtId="41" fontId="226" fillId="0" borderId="74" xfId="72" applyNumberFormat="1" applyFont="1" applyBorder="1" applyAlignment="1">
      <alignment horizontal="right" vertical="center"/>
    </xf>
    <xf numFmtId="172" fontId="226" fillId="0" borderId="74" xfId="72" applyNumberFormat="1" applyFont="1" applyBorder="1" applyAlignment="1">
      <alignment horizontal="right" vertical="center"/>
    </xf>
    <xf numFmtId="41" fontId="29" fillId="0" borderId="74" xfId="72" applyNumberFormat="1" applyFont="1" applyBorder="1" applyAlignment="1">
      <alignment horizontal="right" vertical="center"/>
    </xf>
    <xf numFmtId="41" fontId="29" fillId="80" borderId="74" xfId="72" applyNumberFormat="1" applyFont="1" applyFill="1" applyBorder="1" applyAlignment="1">
      <alignment horizontal="right" vertical="center"/>
    </xf>
    <xf numFmtId="0" fontId="29" fillId="0" borderId="0" xfId="72" applyFont="1" applyAlignment="1">
      <alignment horizontal="left" vertical="center" indent="3"/>
    </xf>
    <xf numFmtId="0" fontId="46" fillId="0" borderId="71" xfId="70" applyFont="1" applyBorder="1" applyAlignment="1">
      <alignment vertical="center"/>
    </xf>
    <xf numFmtId="173" fontId="46" fillId="0" borderId="71" xfId="79" applyNumberFormat="1" applyFont="1" applyFill="1" applyBorder="1" applyAlignment="1">
      <alignment horizontal="right" vertical="center"/>
    </xf>
    <xf numFmtId="0" fontId="29" fillId="0" borderId="0" xfId="72" applyFont="1" applyAlignment="1">
      <alignment horizontal="left" vertical="center" indent="2"/>
    </xf>
    <xf numFmtId="172" fontId="29" fillId="0" borderId="0" xfId="72" applyNumberFormat="1" applyFont="1" applyAlignment="1">
      <alignment vertical="center"/>
    </xf>
    <xf numFmtId="41" fontId="46" fillId="29" borderId="72" xfId="72" applyNumberFormat="1" applyFont="1" applyFill="1" applyBorder="1" applyAlignment="1">
      <alignment vertical="center"/>
    </xf>
    <xf numFmtId="172" fontId="29" fillId="0" borderId="73" xfId="72" applyNumberFormat="1" applyFont="1" applyBorder="1" applyAlignment="1">
      <alignment vertical="center"/>
    </xf>
    <xf numFmtId="0" fontId="29" fillId="0" borderId="73" xfId="72" applyFont="1" applyBorder="1" applyAlignment="1">
      <alignment horizontal="left" vertical="center" indent="3"/>
    </xf>
    <xf numFmtId="172" fontId="29" fillId="0" borderId="74" xfId="72" applyNumberFormat="1" applyFont="1" applyBorder="1" applyAlignment="1">
      <alignment vertical="center"/>
    </xf>
    <xf numFmtId="41" fontId="29" fillId="0" borderId="73" xfId="72" applyNumberFormat="1" applyFont="1" applyBorder="1" applyAlignment="1">
      <alignment vertical="center"/>
    </xf>
    <xf numFmtId="41" fontId="29" fillId="0" borderId="74" xfId="72" applyNumberFormat="1" applyFont="1" applyBorder="1" applyAlignment="1">
      <alignment vertical="center"/>
    </xf>
    <xf numFmtId="173" fontId="222" fillId="78" borderId="0" xfId="76" applyNumberFormat="1" applyFont="1" applyFill="1" applyAlignment="1">
      <alignment vertical="center"/>
    </xf>
    <xf numFmtId="173" fontId="29" fillId="0" borderId="73" xfId="76" applyNumberFormat="1" applyFont="1" applyFill="1" applyBorder="1" applyAlignment="1">
      <alignment horizontal="right" vertical="center"/>
    </xf>
    <xf numFmtId="173" fontId="29" fillId="0" borderId="74" xfId="76" applyNumberFormat="1" applyFont="1" applyFill="1" applyBorder="1" applyAlignment="1">
      <alignment horizontal="right" vertical="center"/>
    </xf>
    <xf numFmtId="41" fontId="29" fillId="0" borderId="73" xfId="79" applyNumberFormat="1" applyFont="1" applyFill="1" applyBorder="1" applyAlignment="1">
      <alignment vertical="center"/>
    </xf>
    <xf numFmtId="41" fontId="29" fillId="0" borderId="74" xfId="79" applyNumberFormat="1" applyFont="1" applyFill="1" applyBorder="1" applyAlignment="1">
      <alignment horizontal="right" vertical="center"/>
    </xf>
    <xf numFmtId="41" fontId="29" fillId="0" borderId="74" xfId="79" applyNumberFormat="1" applyFont="1" applyFill="1" applyBorder="1" applyAlignment="1">
      <alignment vertical="center"/>
    </xf>
    <xf numFmtId="0" fontId="29" fillId="0" borderId="0" xfId="72" applyFont="1" applyAlignment="1">
      <alignment vertical="center"/>
    </xf>
    <xf numFmtId="41" fontId="29" fillId="0" borderId="0" xfId="79" applyNumberFormat="1" applyFont="1" applyFill="1" applyBorder="1" applyAlignment="1">
      <alignment horizontal="right" vertical="center"/>
    </xf>
    <xf numFmtId="41" fontId="29" fillId="0" borderId="0" xfId="79" applyNumberFormat="1" applyFont="1" applyFill="1" applyBorder="1" applyAlignment="1">
      <alignment vertical="center"/>
    </xf>
    <xf numFmtId="0" fontId="29" fillId="0" borderId="71" xfId="72" applyFont="1" applyBorder="1" applyAlignment="1">
      <alignment horizontal="left" vertical="center" indent="2"/>
    </xf>
    <xf numFmtId="41" fontId="29" fillId="0" borderId="71" xfId="72" applyNumberFormat="1" applyFont="1" applyBorder="1" applyAlignment="1">
      <alignment horizontal="right" vertical="center"/>
    </xf>
    <xf numFmtId="41" fontId="29" fillId="0" borderId="71" xfId="79" applyNumberFormat="1" applyFont="1" applyFill="1" applyBorder="1" applyAlignment="1">
      <alignment vertical="center"/>
    </xf>
    <xf numFmtId="0" fontId="108" fillId="0" borderId="0" xfId="72" applyFont="1" applyAlignment="1">
      <alignment vertical="center"/>
    </xf>
    <xf numFmtId="41" fontId="108" fillId="0" borderId="0" xfId="79" applyNumberFormat="1" applyFont="1" applyFill="1" applyBorder="1" applyAlignment="1">
      <alignment vertical="center"/>
    </xf>
    <xf numFmtId="0" fontId="29" fillId="0" borderId="71" xfId="72" applyFont="1" applyBorder="1" applyAlignment="1">
      <alignment horizontal="left" vertical="center" wrapText="1" indent="2"/>
    </xf>
    <xf numFmtId="172" fontId="29" fillId="0" borderId="71" xfId="79" applyNumberFormat="1" applyFont="1" applyFill="1" applyBorder="1" applyAlignment="1">
      <alignment horizontal="right" vertical="center"/>
    </xf>
    <xf numFmtId="0" fontId="29" fillId="0" borderId="0" xfId="72" applyFont="1" applyAlignment="1">
      <alignment horizontal="left" vertical="center" indent="1"/>
    </xf>
    <xf numFmtId="173" fontId="29" fillId="0" borderId="0" xfId="76" applyNumberFormat="1" applyFont="1"/>
    <xf numFmtId="0" fontId="46" fillId="29" borderId="73" xfId="72" applyFont="1" applyFill="1" applyBorder="1" applyAlignment="1">
      <alignment horizontal="left" vertical="center" indent="2"/>
    </xf>
    <xf numFmtId="41" fontId="46" fillId="29" borderId="73" xfId="72" applyNumberFormat="1" applyFont="1" applyFill="1" applyBorder="1" applyAlignment="1">
      <alignment horizontal="right" vertical="center"/>
    </xf>
    <xf numFmtId="41" fontId="46" fillId="0" borderId="73" xfId="72" applyNumberFormat="1" applyFont="1" applyBorder="1" applyAlignment="1">
      <alignment horizontal="right" vertical="center"/>
    </xf>
    <xf numFmtId="0" fontId="46" fillId="0" borderId="73" xfId="72" applyFont="1" applyBorder="1" applyAlignment="1">
      <alignment horizontal="left" vertical="center" indent="2"/>
    </xf>
    <xf numFmtId="0" fontId="46" fillId="29" borderId="82" xfId="72" applyFont="1" applyFill="1" applyBorder="1" applyAlignment="1">
      <alignment horizontal="left" vertical="center" indent="2"/>
    </xf>
    <xf numFmtId="41" fontId="46" fillId="29" borderId="82" xfId="72" applyNumberFormat="1" applyFont="1" applyFill="1" applyBorder="1" applyAlignment="1">
      <alignment horizontal="right" vertical="center"/>
    </xf>
    <xf numFmtId="0" fontId="29" fillId="0" borderId="83" xfId="72" applyFont="1" applyBorder="1" applyAlignment="1">
      <alignment horizontal="left" vertical="center" indent="3"/>
    </xf>
    <xf numFmtId="41" fontId="29" fillId="0" borderId="83" xfId="72" applyNumberFormat="1" applyFont="1" applyBorder="1" applyAlignment="1">
      <alignment horizontal="right" vertical="center"/>
    </xf>
    <xf numFmtId="0" fontId="224" fillId="0" borderId="0" xfId="0" applyFont="1"/>
    <xf numFmtId="41" fontId="29" fillId="0" borderId="0" xfId="0" applyNumberFormat="1" applyFont="1"/>
    <xf numFmtId="284" fontId="29" fillId="0" borderId="0" xfId="0" applyNumberFormat="1" applyFont="1"/>
    <xf numFmtId="14" fontId="224" fillId="0" borderId="0" xfId="71" applyNumberFormat="1" applyFont="1" applyAlignment="1">
      <alignment horizontal="center" vertical="center"/>
    </xf>
    <xf numFmtId="0" fontId="224" fillId="0" borderId="0" xfId="0" applyFont="1" applyAlignment="1">
      <alignment vertical="center"/>
    </xf>
    <xf numFmtId="0" fontId="222" fillId="78" borderId="72" xfId="71" applyFont="1" applyFill="1" applyBorder="1" applyAlignment="1">
      <alignment horizontal="left" vertical="center" indent="1"/>
    </xf>
    <xf numFmtId="172" fontId="222" fillId="78" borderId="72" xfId="79" applyNumberFormat="1" applyFont="1" applyFill="1" applyBorder="1" applyAlignment="1">
      <alignment horizontal="right" vertical="center"/>
    </xf>
    <xf numFmtId="0" fontId="29" fillId="0" borderId="73" xfId="70" applyFont="1" applyBorder="1" applyAlignment="1">
      <alignment horizontal="left" vertical="center" indent="2"/>
    </xf>
    <xf numFmtId="172" fontId="29" fillId="0" borderId="73" xfId="79" applyNumberFormat="1" applyFont="1" applyFill="1" applyBorder="1" applyAlignment="1">
      <alignment vertical="center"/>
    </xf>
    <xf numFmtId="0" fontId="29" fillId="0" borderId="73" xfId="70" applyFont="1" applyBorder="1" applyAlignment="1">
      <alignment horizontal="left" vertical="center" indent="3"/>
    </xf>
    <xf numFmtId="173" fontId="226" fillId="0" borderId="73" xfId="76" applyNumberFormat="1" applyFont="1" applyBorder="1" applyAlignment="1">
      <alignment horizontal="right"/>
    </xf>
    <xf numFmtId="0" fontId="222" fillId="78" borderId="73" xfId="71" applyFont="1" applyFill="1" applyBorder="1" applyAlignment="1">
      <alignment horizontal="left" vertical="center" indent="1"/>
    </xf>
    <xf numFmtId="172" fontId="222" fillId="78" borderId="73" xfId="79" applyNumberFormat="1" applyFont="1" applyFill="1" applyBorder="1" applyAlignment="1">
      <alignment horizontal="right" vertical="center"/>
    </xf>
    <xf numFmtId="0" fontId="226" fillId="0" borderId="73" xfId="76" applyNumberFormat="1" applyFont="1" applyBorder="1" applyAlignment="1">
      <alignment horizontal="right"/>
    </xf>
    <xf numFmtId="173" fontId="29" fillId="0" borderId="73" xfId="76" applyNumberFormat="1" applyFont="1" applyBorder="1" applyAlignment="1">
      <alignment horizontal="right"/>
    </xf>
    <xf numFmtId="173" fontId="29" fillId="0" borderId="73" xfId="76" applyNumberFormat="1" applyFont="1" applyFill="1" applyBorder="1" applyAlignment="1">
      <alignment horizontal="right"/>
    </xf>
    <xf numFmtId="0" fontId="46" fillId="29" borderId="73" xfId="71" applyFont="1" applyFill="1" applyBorder="1" applyAlignment="1">
      <alignment horizontal="left" vertical="center" indent="1"/>
    </xf>
    <xf numFmtId="172" fontId="46" fillId="29" borderId="73" xfId="79" applyNumberFormat="1" applyFont="1" applyFill="1" applyBorder="1" applyAlignment="1">
      <alignment horizontal="right" vertical="center"/>
    </xf>
    <xf numFmtId="0" fontId="223" fillId="0" borderId="73" xfId="70" applyFont="1" applyBorder="1" applyAlignment="1">
      <alignment horizontal="left" vertical="center" indent="3"/>
    </xf>
    <xf numFmtId="0" fontId="222" fillId="78" borderId="73" xfId="71" applyFont="1" applyFill="1" applyBorder="1" applyAlignment="1">
      <alignment horizontal="left" vertical="center"/>
    </xf>
    <xf numFmtId="0" fontId="223" fillId="0" borderId="74" xfId="70" applyFont="1" applyBorder="1" applyAlignment="1">
      <alignment horizontal="left" vertical="center" indent="3"/>
    </xf>
    <xf numFmtId="0" fontId="29" fillId="0" borderId="0" xfId="0" applyFont="1" applyAlignment="1">
      <alignment vertical="center"/>
    </xf>
    <xf numFmtId="0" fontId="29" fillId="0" borderId="0" xfId="0" applyFont="1" applyAlignment="1">
      <alignment vertical="center" wrapText="1"/>
    </xf>
    <xf numFmtId="0" fontId="29" fillId="0" borderId="0" xfId="70" applyFont="1"/>
    <xf numFmtId="0" fontId="219" fillId="0" borderId="0" xfId="64" applyFont="1" applyFill="1" applyAlignment="1" applyProtection="1"/>
    <xf numFmtId="41" fontId="29" fillId="0" borderId="0" xfId="70" applyNumberFormat="1" applyFont="1"/>
    <xf numFmtId="172" fontId="29" fillId="0" borderId="0" xfId="79" applyNumberFormat="1" applyFont="1" applyFill="1"/>
    <xf numFmtId="0" fontId="46" fillId="0" borderId="0" xfId="70" applyFont="1" applyAlignment="1">
      <alignment horizontal="right" vertical="center"/>
    </xf>
    <xf numFmtId="0" fontId="46" fillId="0" borderId="0" xfId="70" applyFont="1"/>
    <xf numFmtId="0" fontId="227" fillId="0" borderId="0" xfId="70" applyFont="1"/>
    <xf numFmtId="172" fontId="0" fillId="0" borderId="0" xfId="0" applyNumberFormat="1"/>
    <xf numFmtId="172" fontId="223" fillId="0" borderId="73" xfId="79" applyNumberFormat="1" applyFont="1" applyFill="1" applyBorder="1" applyAlignment="1">
      <alignment vertical="center"/>
    </xf>
    <xf numFmtId="172" fontId="223" fillId="0" borderId="73" xfId="79" applyNumberFormat="1" applyFont="1" applyFill="1" applyBorder="1" applyAlignment="1">
      <alignment horizontal="right" vertical="center"/>
    </xf>
    <xf numFmtId="41" fontId="46" fillId="29" borderId="73" xfId="72" applyNumberFormat="1" applyFont="1" applyFill="1" applyBorder="1" applyAlignment="1">
      <alignment vertical="center"/>
    </xf>
    <xf numFmtId="172" fontId="46" fillId="29" borderId="73" xfId="72" applyNumberFormat="1" applyFont="1" applyFill="1" applyBorder="1" applyAlignment="1">
      <alignment vertical="center"/>
    </xf>
    <xf numFmtId="0" fontId="108" fillId="0" borderId="0" xfId="70" applyFont="1"/>
    <xf numFmtId="0" fontId="222" fillId="78" borderId="74" xfId="71" applyFont="1" applyFill="1" applyBorder="1" applyAlignment="1">
      <alignment horizontal="left" vertical="center" indent="1"/>
    </xf>
    <xf numFmtId="41" fontId="222" fillId="78" borderId="74" xfId="72" applyNumberFormat="1" applyFont="1" applyFill="1" applyBorder="1" applyAlignment="1">
      <alignment vertical="center"/>
    </xf>
    <xf numFmtId="172" fontId="222" fillId="78" borderId="74" xfId="72" applyNumberFormat="1" applyFont="1" applyFill="1" applyBorder="1" applyAlignment="1">
      <alignment vertical="center"/>
    </xf>
    <xf numFmtId="0" fontId="29" fillId="0" borderId="80" xfId="70" applyFont="1" applyBorder="1"/>
    <xf numFmtId="3" fontId="0" fillId="0" borderId="0" xfId="0" applyNumberFormat="1"/>
    <xf numFmtId="172" fontId="46" fillId="29" borderId="73" xfId="79" applyNumberFormat="1" applyFont="1" applyFill="1" applyBorder="1" applyAlignment="1">
      <alignment vertical="center"/>
    </xf>
    <xf numFmtId="178" fontId="29" fillId="0" borderId="0" xfId="70" applyNumberFormat="1" applyFont="1"/>
    <xf numFmtId="172" fontId="222" fillId="78" borderId="74" xfId="79" applyNumberFormat="1" applyFont="1" applyFill="1" applyBorder="1" applyAlignment="1">
      <alignment vertical="center"/>
    </xf>
    <xf numFmtId="0" fontId="29" fillId="26" borderId="81" xfId="70" applyFont="1" applyFill="1" applyBorder="1"/>
    <xf numFmtId="0" fontId="29" fillId="26" borderId="0" xfId="70" applyFont="1" applyFill="1"/>
    <xf numFmtId="172" fontId="29" fillId="0" borderId="0" xfId="70" applyNumberFormat="1" applyFont="1"/>
    <xf numFmtId="0" fontId="46" fillId="29" borderId="71" xfId="71" applyFont="1" applyFill="1" applyBorder="1" applyAlignment="1">
      <alignment horizontal="left" vertical="center" indent="1"/>
    </xf>
    <xf numFmtId="172" fontId="46" fillId="29" borderId="71" xfId="79" applyNumberFormat="1" applyFont="1" applyFill="1" applyBorder="1" applyAlignment="1">
      <alignment vertical="center"/>
    </xf>
    <xf numFmtId="0" fontId="222" fillId="78" borderId="71" xfId="71" applyFont="1" applyFill="1" applyBorder="1" applyAlignment="1">
      <alignment horizontal="left" vertical="center" indent="1"/>
    </xf>
    <xf numFmtId="172" fontId="222" fillId="78" borderId="71" xfId="79" applyNumberFormat="1" applyFont="1" applyFill="1" applyBorder="1" applyAlignment="1">
      <alignment vertical="center"/>
    </xf>
    <xf numFmtId="0" fontId="29" fillId="0" borderId="81" xfId="70" applyFont="1" applyBorder="1"/>
    <xf numFmtId="172" fontId="29" fillId="0" borderId="0" xfId="71" applyNumberFormat="1" applyFont="1"/>
    <xf numFmtId="173" fontId="223" fillId="0" borderId="73" xfId="76" applyNumberFormat="1" applyFont="1" applyFill="1" applyBorder="1" applyAlignment="1">
      <alignment horizontal="right" vertical="center"/>
    </xf>
    <xf numFmtId="0" fontId="223" fillId="0" borderId="73" xfId="70" applyFont="1" applyBorder="1" applyAlignment="1">
      <alignment horizontal="left" vertical="center" indent="2"/>
    </xf>
    <xf numFmtId="0" fontId="223" fillId="0" borderId="74" xfId="70" applyFont="1" applyBorder="1" applyAlignment="1">
      <alignment horizontal="left" vertical="center" indent="2"/>
    </xf>
    <xf numFmtId="173" fontId="223" fillId="0" borderId="74" xfId="76" applyNumberFormat="1" applyFont="1" applyFill="1" applyBorder="1" applyAlignment="1">
      <alignment horizontal="right" vertical="center"/>
    </xf>
    <xf numFmtId="0" fontId="29" fillId="0" borderId="74" xfId="70" applyFont="1" applyBorder="1" applyAlignment="1">
      <alignment horizontal="left" vertical="center" indent="2"/>
    </xf>
    <xf numFmtId="41" fontId="46" fillId="29" borderId="84" xfId="72" applyNumberFormat="1" applyFont="1" applyFill="1" applyBorder="1" applyAlignment="1">
      <alignment vertical="center"/>
    </xf>
    <xf numFmtId="172" fontId="29" fillId="0" borderId="78" xfId="79" applyNumberFormat="1" applyFont="1" applyFill="1" applyBorder="1" applyAlignment="1">
      <alignment vertical="center"/>
    </xf>
    <xf numFmtId="172" fontId="223" fillId="0" borderId="78" xfId="79" applyNumberFormat="1" applyFont="1" applyFill="1" applyBorder="1" applyAlignment="1">
      <alignment vertical="center"/>
    </xf>
    <xf numFmtId="172" fontId="46" fillId="29" borderId="78" xfId="72" applyNumberFormat="1" applyFont="1" applyFill="1" applyBorder="1" applyAlignment="1">
      <alignment vertical="center"/>
    </xf>
    <xf numFmtId="172" fontId="222" fillId="78" borderId="88" xfId="72" applyNumberFormat="1" applyFont="1" applyFill="1" applyBorder="1" applyAlignment="1">
      <alignment vertical="center"/>
    </xf>
    <xf numFmtId="172" fontId="46" fillId="29" borderId="84" xfId="72" applyNumberFormat="1" applyFont="1" applyFill="1" applyBorder="1" applyAlignment="1">
      <alignment vertical="center"/>
    </xf>
    <xf numFmtId="172" fontId="46" fillId="29" borderId="78" xfId="79" applyNumberFormat="1" applyFont="1" applyFill="1" applyBorder="1" applyAlignment="1">
      <alignment vertical="center"/>
    </xf>
    <xf numFmtId="172" fontId="222" fillId="78" borderId="88" xfId="79" applyNumberFormat="1" applyFont="1" applyFill="1" applyBorder="1" applyAlignment="1">
      <alignment vertical="center"/>
    </xf>
    <xf numFmtId="172" fontId="46" fillId="29" borderId="89" xfId="79" applyNumberFormat="1" applyFont="1" applyFill="1" applyBorder="1" applyAlignment="1">
      <alignment vertical="center"/>
    </xf>
    <xf numFmtId="172" fontId="222" fillId="78" borderId="89" xfId="79" applyNumberFormat="1" applyFont="1" applyFill="1" applyBorder="1" applyAlignment="1">
      <alignment vertical="center"/>
    </xf>
    <xf numFmtId="173" fontId="29" fillId="0" borderId="78" xfId="76" applyNumberFormat="1" applyFont="1" applyFill="1" applyBorder="1" applyAlignment="1">
      <alignment horizontal="right" vertical="center"/>
    </xf>
    <xf numFmtId="173" fontId="223" fillId="0" borderId="78" xfId="76" applyNumberFormat="1" applyFont="1" applyFill="1" applyBorder="1" applyAlignment="1">
      <alignment horizontal="right" vertical="center"/>
    </xf>
    <xf numFmtId="41" fontId="46" fillId="29" borderId="78" xfId="72" applyNumberFormat="1" applyFont="1" applyFill="1" applyBorder="1" applyAlignment="1">
      <alignment vertical="center"/>
    </xf>
    <xf numFmtId="173" fontId="223" fillId="0" borderId="88" xfId="76" applyNumberFormat="1" applyFont="1" applyFill="1" applyBorder="1" applyAlignment="1">
      <alignment horizontal="right" vertical="center"/>
    </xf>
    <xf numFmtId="0" fontId="218" fillId="0" borderId="0" xfId="0" applyFont="1" applyAlignment="1">
      <alignment horizontal="left"/>
    </xf>
    <xf numFmtId="0" fontId="222" fillId="78" borderId="72" xfId="71" applyFont="1" applyFill="1" applyBorder="1" applyAlignment="1">
      <alignment horizontal="left" vertical="center"/>
    </xf>
    <xf numFmtId="0" fontId="222" fillId="78" borderId="72" xfId="71" applyFont="1" applyFill="1" applyBorder="1" applyAlignment="1">
      <alignment horizontal="center" vertical="center"/>
    </xf>
    <xf numFmtId="0" fontId="46" fillId="29" borderId="72" xfId="113" applyFont="1" applyFill="1" applyBorder="1" applyAlignment="1">
      <alignment horizontal="center" vertical="center"/>
    </xf>
    <xf numFmtId="15" fontId="46" fillId="29" borderId="72" xfId="0" applyNumberFormat="1" applyFont="1" applyFill="1" applyBorder="1"/>
    <xf numFmtId="283" fontId="46" fillId="29" borderId="72" xfId="22623" quotePrefix="1" applyNumberFormat="1" applyFont="1" applyFill="1" applyBorder="1" applyAlignment="1">
      <alignment horizontal="center" vertical="center"/>
    </xf>
    <xf numFmtId="44" fontId="46" fillId="29" borderId="72" xfId="22623" applyFont="1" applyFill="1" applyBorder="1" applyAlignment="1">
      <alignment horizontal="center" vertical="center"/>
    </xf>
    <xf numFmtId="173" fontId="46" fillId="29" borderId="72" xfId="113" quotePrefix="1" applyNumberFormat="1" applyFont="1" applyFill="1" applyBorder="1" applyAlignment="1">
      <alignment horizontal="center" vertical="center"/>
    </xf>
    <xf numFmtId="0" fontId="29" fillId="0" borderId="73" xfId="0" applyFont="1" applyBorder="1" applyAlignment="1">
      <alignment vertical="center"/>
    </xf>
    <xf numFmtId="14" fontId="29" fillId="0" borderId="73" xfId="0" applyNumberFormat="1" applyFont="1" applyBorder="1" applyAlignment="1">
      <alignment horizontal="center" vertical="center"/>
    </xf>
    <xf numFmtId="14" fontId="29" fillId="0" borderId="73" xfId="113" applyNumberFormat="1" applyFont="1" applyBorder="1" applyAlignment="1">
      <alignment horizontal="center" vertical="center" wrapText="1"/>
    </xf>
    <xf numFmtId="0" fontId="11" fillId="0" borderId="0" xfId="0" applyFont="1"/>
    <xf numFmtId="44" fontId="29" fillId="0" borderId="73" xfId="22623" applyFont="1" applyFill="1" applyBorder="1" applyAlignment="1">
      <alignment horizontal="center" vertical="center"/>
    </xf>
    <xf numFmtId="0" fontId="29" fillId="0" borderId="73" xfId="0" applyFont="1" applyBorder="1" applyAlignment="1">
      <alignment horizontal="center" vertical="center"/>
    </xf>
    <xf numFmtId="0" fontId="29" fillId="0" borderId="73" xfId="113" applyFont="1" applyBorder="1" applyAlignment="1">
      <alignment horizontal="center" vertical="center"/>
    </xf>
    <xf numFmtId="44" fontId="29" fillId="0" borderId="0" xfId="70" applyNumberFormat="1" applyFont="1"/>
    <xf numFmtId="283" fontId="29" fillId="0" borderId="73" xfId="22623" applyNumberFormat="1" applyFont="1" applyFill="1" applyBorder="1" applyAlignment="1">
      <alignment horizontal="center" vertical="center"/>
    </xf>
    <xf numFmtId="287" fontId="29" fillId="0" borderId="0" xfId="70" applyNumberFormat="1" applyFont="1"/>
    <xf numFmtId="3" fontId="228" fillId="0" borderId="0" xfId="0" applyNumberFormat="1" applyFont="1"/>
    <xf numFmtId="10" fontId="29" fillId="0" borderId="0" xfId="76" applyNumberFormat="1" applyFont="1" applyFill="1"/>
    <xf numFmtId="14" fontId="29" fillId="0" borderId="73" xfId="113" applyNumberFormat="1" applyFont="1" applyBorder="1" applyAlignment="1">
      <alignment horizontal="center" vertical="center"/>
    </xf>
    <xf numFmtId="173" fontId="46" fillId="29" borderId="72" xfId="113" applyNumberFormat="1" applyFont="1" applyFill="1" applyBorder="1" applyAlignment="1">
      <alignment horizontal="center" vertical="center"/>
    </xf>
    <xf numFmtId="43" fontId="29" fillId="0" borderId="0" xfId="79" applyFont="1" applyFill="1"/>
    <xf numFmtId="14" fontId="29" fillId="0" borderId="73" xfId="70" applyNumberFormat="1" applyFont="1" applyBorder="1" applyAlignment="1">
      <alignment horizontal="center" vertical="center"/>
    </xf>
    <xf numFmtId="0" fontId="46" fillId="0" borderId="73" xfId="0" applyFont="1" applyBorder="1" applyAlignment="1">
      <alignment horizontal="center" vertical="center"/>
    </xf>
    <xf numFmtId="0" fontId="46" fillId="0" borderId="73" xfId="113" applyFont="1" applyBorder="1" applyAlignment="1">
      <alignment horizontal="center" vertical="center"/>
    </xf>
    <xf numFmtId="9" fontId="29" fillId="0" borderId="0" xfId="76" applyFont="1" applyFill="1"/>
    <xf numFmtId="0" fontId="29" fillId="0" borderId="0" xfId="113" applyFont="1"/>
    <xf numFmtId="14" fontId="46" fillId="29" borderId="72" xfId="0" applyNumberFormat="1" applyFont="1" applyFill="1" applyBorder="1"/>
    <xf numFmtId="0" fontId="46" fillId="0" borderId="73" xfId="70" applyFont="1" applyBorder="1" applyAlignment="1">
      <alignment horizontal="center" vertical="center"/>
    </xf>
    <xf numFmtId="0" fontId="29" fillId="0" borderId="73" xfId="70" applyFont="1" applyBorder="1" applyAlignment="1">
      <alignment horizontal="center" vertical="center"/>
    </xf>
    <xf numFmtId="173" fontId="29" fillId="0" borderId="73" xfId="0" applyNumberFormat="1" applyFont="1" applyBorder="1" applyAlignment="1">
      <alignment horizontal="center" vertical="center"/>
    </xf>
    <xf numFmtId="0" fontId="46" fillId="0" borderId="0" xfId="70" applyFont="1" applyAlignment="1">
      <alignment vertical="center"/>
    </xf>
    <xf numFmtId="0" fontId="29" fillId="0" borderId="0" xfId="70" applyFont="1" applyAlignment="1">
      <alignment vertical="center"/>
    </xf>
    <xf numFmtId="0" fontId="29" fillId="0" borderId="74" xfId="0" applyFont="1" applyBorder="1" applyAlignment="1">
      <alignment vertical="center"/>
    </xf>
    <xf numFmtId="14" fontId="29" fillId="0" borderId="74" xfId="0" applyNumberFormat="1" applyFont="1" applyBorder="1" applyAlignment="1">
      <alignment horizontal="center" vertical="center"/>
    </xf>
    <xf numFmtId="14" fontId="29" fillId="0" borderId="74" xfId="70" applyNumberFormat="1" applyFont="1" applyBorder="1" applyAlignment="1">
      <alignment horizontal="center" vertical="center"/>
    </xf>
    <xf numFmtId="283" fontId="29" fillId="0" borderId="74" xfId="22623" applyNumberFormat="1" applyFont="1" applyFill="1" applyBorder="1" applyAlignment="1">
      <alignment horizontal="center" vertical="center"/>
    </xf>
    <xf numFmtId="44" fontId="29" fillId="0" borderId="74" xfId="22623" applyFont="1" applyFill="1" applyBorder="1" applyAlignment="1">
      <alignment horizontal="center" vertical="center"/>
    </xf>
    <xf numFmtId="0" fontId="46" fillId="0" borderId="74" xfId="70" applyFont="1" applyBorder="1" applyAlignment="1">
      <alignment horizontal="center" vertical="center"/>
    </xf>
    <xf numFmtId="0" fontId="229" fillId="0" borderId="0" xfId="0" applyFont="1"/>
    <xf numFmtId="43" fontId="29" fillId="0" borderId="0" xfId="79" applyFont="1"/>
    <xf numFmtId="172" fontId="29" fillId="0" borderId="0" xfId="0" applyNumberFormat="1" applyFont="1"/>
    <xf numFmtId="0" fontId="29" fillId="0" borderId="74" xfId="72" applyFont="1" applyBorder="1" applyAlignment="1">
      <alignment horizontal="left" vertical="center" indent="3"/>
    </xf>
    <xf numFmtId="0" fontId="189" fillId="0" borderId="73" xfId="70" applyFont="1" applyBorder="1" applyAlignment="1">
      <alignment horizontal="left" vertical="center" indent="3"/>
    </xf>
    <xf numFmtId="172" fontId="230" fillId="0" borderId="73" xfId="79" applyNumberFormat="1" applyFont="1" applyFill="1" applyBorder="1" applyAlignment="1">
      <alignment vertical="center"/>
    </xf>
    <xf numFmtId="0" fontId="223" fillId="0" borderId="73" xfId="70" applyFont="1" applyBorder="1" applyAlignment="1">
      <alignment horizontal="left" vertical="center" indent="4"/>
    </xf>
    <xf numFmtId="0" fontId="221" fillId="0" borderId="0" xfId="0" applyFont="1"/>
    <xf numFmtId="0" fontId="46" fillId="29" borderId="84" xfId="71" applyFont="1" applyFill="1" applyBorder="1" applyAlignment="1">
      <alignment vertical="center"/>
    </xf>
    <xf numFmtId="172" fontId="29" fillId="0" borderId="83" xfId="79" applyNumberFormat="1" applyFont="1" applyFill="1" applyBorder="1" applyAlignment="1">
      <alignment vertical="center"/>
    </xf>
    <xf numFmtId="0" fontId="29" fillId="0" borderId="83" xfId="70" applyFont="1" applyBorder="1" applyAlignment="1">
      <alignment horizontal="left" vertical="center" indent="1"/>
    </xf>
    <xf numFmtId="172" fontId="46" fillId="0" borderId="0" xfId="79" applyNumberFormat="1" applyFont="1" applyFill="1" applyBorder="1" applyAlignment="1">
      <alignment vertical="center"/>
    </xf>
    <xf numFmtId="0" fontId="46" fillId="0" borderId="95" xfId="70" applyFont="1" applyBorder="1" applyAlignment="1">
      <alignment horizontal="left" vertical="center" indent="1"/>
    </xf>
    <xf numFmtId="41" fontId="46" fillId="29" borderId="74" xfId="72" applyNumberFormat="1" applyFont="1" applyFill="1" applyBorder="1" applyAlignment="1">
      <alignment vertical="center"/>
    </xf>
    <xf numFmtId="0" fontId="46" fillId="0" borderId="83" xfId="70" applyFont="1" applyBorder="1" applyAlignment="1">
      <alignment horizontal="left" vertical="center" indent="1"/>
    </xf>
    <xf numFmtId="172" fontId="46" fillId="0" borderId="83" xfId="79" applyNumberFormat="1" applyFont="1" applyFill="1" applyBorder="1" applyAlignment="1">
      <alignment vertical="center"/>
    </xf>
    <xf numFmtId="172" fontId="46" fillId="29" borderId="94" xfId="79" applyNumberFormat="1" applyFont="1" applyFill="1" applyBorder="1" applyAlignment="1">
      <alignment vertical="center"/>
    </xf>
    <xf numFmtId="0" fontId="46" fillId="0" borderId="73" xfId="70" applyFont="1" applyBorder="1" applyAlignment="1">
      <alignment horizontal="left" vertical="center" indent="1"/>
    </xf>
    <xf numFmtId="172" fontId="46" fillId="0" borderId="73" xfId="79" applyNumberFormat="1" applyFont="1" applyFill="1" applyBorder="1" applyAlignment="1">
      <alignment vertical="center"/>
    </xf>
    <xf numFmtId="0" fontId="222" fillId="78" borderId="85" xfId="70" applyFont="1" applyFill="1" applyBorder="1" applyAlignment="1">
      <alignment horizontal="left" vertical="center" indent="1"/>
    </xf>
    <xf numFmtId="0" fontId="222" fillId="78" borderId="37" xfId="70" applyFont="1" applyFill="1" applyBorder="1" applyAlignment="1">
      <alignment horizontal="left" vertical="center" indent="1"/>
    </xf>
    <xf numFmtId="172" fontId="222" fillId="78" borderId="86" xfId="79" applyNumberFormat="1" applyFont="1" applyFill="1" applyBorder="1" applyAlignment="1">
      <alignment vertical="center"/>
    </xf>
    <xf numFmtId="0" fontId="223" fillId="29" borderId="87" xfId="70" applyFont="1" applyFill="1" applyBorder="1" applyAlignment="1">
      <alignment horizontal="left" vertical="center" indent="1"/>
    </xf>
    <xf numFmtId="172" fontId="223" fillId="29" borderId="87" xfId="79" applyNumberFormat="1" applyFont="1" applyFill="1" applyBorder="1" applyAlignment="1">
      <alignment vertical="center"/>
    </xf>
    <xf numFmtId="172" fontId="223" fillId="0" borderId="87" xfId="79" applyNumberFormat="1" applyFont="1" applyFill="1" applyBorder="1" applyAlignment="1">
      <alignment vertical="center"/>
    </xf>
    <xf numFmtId="173" fontId="29" fillId="0" borderId="0" xfId="0" applyNumberFormat="1" applyFont="1"/>
    <xf numFmtId="0" fontId="222" fillId="78" borderId="78" xfId="70" applyFont="1" applyFill="1" applyBorder="1" applyAlignment="1">
      <alignment horizontal="left" vertical="center" indent="1"/>
    </xf>
    <xf numFmtId="0" fontId="222" fillId="78" borderId="0" xfId="70" applyFont="1" applyFill="1" applyAlignment="1">
      <alignment horizontal="left" vertical="center" indent="1"/>
    </xf>
    <xf numFmtId="172" fontId="222" fillId="78" borderId="79" xfId="79" applyNumberFormat="1" applyFont="1" applyFill="1" applyBorder="1" applyAlignment="1">
      <alignment vertical="center"/>
    </xf>
    <xf numFmtId="0" fontId="29" fillId="29" borderId="91" xfId="0" applyFont="1" applyFill="1" applyBorder="1" applyAlignment="1">
      <alignment horizontal="left" indent="1"/>
    </xf>
    <xf numFmtId="173" fontId="29" fillId="29" borderId="91" xfId="76" applyNumberFormat="1" applyFont="1" applyFill="1" applyBorder="1"/>
    <xf numFmtId="0" fontId="29" fillId="0" borderId="92" xfId="70" applyFont="1" applyBorder="1" applyAlignment="1">
      <alignment horizontal="left" vertical="center" indent="2"/>
    </xf>
    <xf numFmtId="173" fontId="29" fillId="0" borderId="92" xfId="76" applyNumberFormat="1" applyFont="1" applyBorder="1"/>
    <xf numFmtId="0" fontId="29" fillId="0" borderId="93" xfId="70" applyFont="1" applyBorder="1" applyAlignment="1">
      <alignment horizontal="left" vertical="center" indent="2"/>
    </xf>
    <xf numFmtId="173" fontId="29" fillId="0" borderId="93" xfId="76" applyNumberFormat="1" applyFont="1" applyBorder="1"/>
    <xf numFmtId="0" fontId="221" fillId="0" borderId="90" xfId="71" applyFont="1" applyBorder="1" applyAlignment="1">
      <alignment horizontal="left" vertical="center"/>
    </xf>
    <xf numFmtId="14" fontId="221" fillId="0" borderId="90" xfId="71" applyNumberFormat="1" applyFont="1" applyBorder="1" applyAlignment="1">
      <alignment horizontal="center" vertical="center"/>
    </xf>
    <xf numFmtId="0" fontId="29" fillId="29" borderId="72" xfId="0" applyFont="1" applyFill="1" applyBorder="1" applyAlignment="1">
      <alignment horizontal="left" indent="1"/>
    </xf>
    <xf numFmtId="173" fontId="29" fillId="29" borderId="72" xfId="76" applyNumberFormat="1" applyFont="1" applyFill="1" applyBorder="1"/>
    <xf numFmtId="0" fontId="29" fillId="0" borderId="0" xfId="0" applyFont="1" applyAlignment="1">
      <alignment horizontal="left" indent="2"/>
    </xf>
    <xf numFmtId="0" fontId="46" fillId="0" borderId="73" xfId="70" applyFont="1" applyBorder="1" applyAlignment="1">
      <alignment horizontal="left" vertical="center" indent="2"/>
    </xf>
    <xf numFmtId="0" fontId="46" fillId="29" borderId="94" xfId="70" applyFont="1" applyFill="1" applyBorder="1" applyAlignment="1">
      <alignment horizontal="left" vertical="center" indent="1"/>
    </xf>
    <xf numFmtId="0" fontId="46" fillId="29" borderId="74" xfId="71" applyFont="1" applyFill="1" applyBorder="1" applyAlignment="1">
      <alignment horizontal="left" vertical="center" indent="1"/>
    </xf>
    <xf numFmtId="0" fontId="222" fillId="78" borderId="94" xfId="70" applyFont="1" applyFill="1" applyBorder="1" applyAlignment="1">
      <alignment horizontal="left" vertical="center"/>
    </xf>
    <xf numFmtId="172" fontId="222" fillId="78" borderId="94" xfId="79" applyNumberFormat="1" applyFont="1" applyFill="1" applyBorder="1" applyAlignment="1">
      <alignment vertical="center"/>
    </xf>
    <xf numFmtId="173" fontId="29" fillId="0" borderId="92" xfId="76" applyNumberFormat="1" applyFont="1" applyBorder="1" applyAlignment="1">
      <alignment vertical="center"/>
    </xf>
    <xf numFmtId="0" fontId="29" fillId="0" borderId="92" xfId="0" applyFont="1" applyBorder="1" applyAlignment="1">
      <alignment horizontal="left" vertical="center" indent="2"/>
    </xf>
    <xf numFmtId="0" fontId="46" fillId="29" borderId="96" xfId="71" applyFont="1" applyFill="1" applyBorder="1" applyAlignment="1">
      <alignment vertical="center"/>
    </xf>
    <xf numFmtId="0" fontId="29" fillId="0" borderId="0" xfId="76" applyNumberFormat="1" applyFont="1"/>
    <xf numFmtId="0" fontId="224" fillId="78" borderId="72" xfId="71" applyFont="1" applyFill="1" applyBorder="1" applyAlignment="1">
      <alignment horizontal="center" vertical="center"/>
    </xf>
    <xf numFmtId="173" fontId="29" fillId="0" borderId="73" xfId="79" applyNumberFormat="1" applyFont="1" applyFill="1" applyBorder="1" applyAlignment="1">
      <alignment horizontal="right" vertical="center"/>
    </xf>
    <xf numFmtId="173" fontId="223" fillId="0" borderId="73" xfId="79" applyNumberFormat="1" applyFont="1" applyFill="1" applyBorder="1" applyAlignment="1">
      <alignment horizontal="right" vertical="center"/>
    </xf>
    <xf numFmtId="173" fontId="223" fillId="80" borderId="73" xfId="79" applyNumberFormat="1" applyFont="1" applyFill="1" applyBorder="1" applyAlignment="1">
      <alignment horizontal="right" vertical="center"/>
    </xf>
    <xf numFmtId="173" fontId="29" fillId="80" borderId="73" xfId="79" applyNumberFormat="1" applyFont="1" applyFill="1" applyBorder="1" applyAlignment="1">
      <alignment horizontal="right" vertical="center"/>
    </xf>
    <xf numFmtId="173" fontId="29" fillId="0" borderId="74" xfId="79" applyNumberFormat="1" applyFont="1" applyFill="1" applyBorder="1" applyAlignment="1">
      <alignment horizontal="right" vertical="center"/>
    </xf>
    <xf numFmtId="173" fontId="29" fillId="80" borderId="74" xfId="79" applyNumberFormat="1" applyFont="1" applyFill="1" applyBorder="1" applyAlignment="1">
      <alignment horizontal="right" vertical="center"/>
    </xf>
    <xf numFmtId="0" fontId="29" fillId="0" borderId="0" xfId="70" applyFont="1" applyAlignment="1">
      <alignment horizontal="left" vertical="center" indent="2"/>
    </xf>
    <xf numFmtId="173" fontId="29" fillId="26" borderId="0" xfId="79" applyNumberFormat="1" applyFont="1" applyFill="1" applyBorder="1" applyAlignment="1">
      <alignment horizontal="right" vertical="center"/>
    </xf>
    <xf numFmtId="173" fontId="29" fillId="0" borderId="0" xfId="79" applyNumberFormat="1" applyFont="1" applyFill="1" applyBorder="1" applyAlignment="1">
      <alignment horizontal="right" vertical="center"/>
    </xf>
    <xf numFmtId="173" fontId="29" fillId="0" borderId="0" xfId="76" applyNumberFormat="1" applyFont="1" applyFill="1" applyBorder="1" applyAlignment="1">
      <alignment horizontal="right" vertical="center"/>
    </xf>
    <xf numFmtId="181" fontId="29" fillId="0" borderId="73" xfId="79" applyNumberFormat="1" applyFont="1" applyFill="1" applyBorder="1" applyAlignment="1">
      <alignment horizontal="right" vertical="center"/>
    </xf>
    <xf numFmtId="43" fontId="29" fillId="0" borderId="74" xfId="79" applyFont="1" applyFill="1" applyBorder="1" applyAlignment="1">
      <alignment horizontal="right" vertical="center"/>
    </xf>
    <xf numFmtId="179" fontId="29" fillId="0" borderId="74" xfId="79" applyNumberFormat="1" applyFont="1" applyFill="1" applyBorder="1" applyAlignment="1">
      <alignment horizontal="right" vertical="center"/>
    </xf>
    <xf numFmtId="181" fontId="29" fillId="0" borderId="74" xfId="79" applyNumberFormat="1" applyFont="1" applyFill="1" applyBorder="1" applyAlignment="1">
      <alignment horizontal="right" vertical="center"/>
    </xf>
    <xf numFmtId="0" fontId="46" fillId="0" borderId="73" xfId="113" applyFont="1" applyBorder="1" applyAlignment="1">
      <alignment horizontal="center" vertical="center" wrapText="1"/>
    </xf>
    <xf numFmtId="0" fontId="29" fillId="0" borderId="73" xfId="113" applyFont="1" applyBorder="1" applyAlignment="1">
      <alignment horizontal="left" vertical="center" indent="3"/>
    </xf>
    <xf numFmtId="284" fontId="29" fillId="0" borderId="73" xfId="79" applyNumberFormat="1" applyFont="1" applyFill="1" applyBorder="1" applyAlignment="1">
      <alignment horizontal="right" vertical="center"/>
    </xf>
    <xf numFmtId="177" fontId="29" fillId="0" borderId="73" xfId="79" applyNumberFormat="1" applyFont="1" applyFill="1" applyBorder="1" applyAlignment="1">
      <alignment horizontal="right" vertical="center"/>
    </xf>
    <xf numFmtId="172" fontId="29" fillId="0" borderId="73" xfId="79" applyNumberFormat="1" applyFont="1" applyFill="1" applyBorder="1"/>
    <xf numFmtId="286" fontId="46" fillId="0" borderId="73" xfId="113" applyNumberFormat="1" applyFont="1" applyBorder="1" applyAlignment="1">
      <alignment horizontal="center" vertical="center" wrapText="1"/>
    </xf>
    <xf numFmtId="9" fontId="29" fillId="0" borderId="73" xfId="76" applyFont="1" applyFill="1" applyBorder="1" applyAlignment="1">
      <alignment horizontal="right" vertical="center"/>
    </xf>
    <xf numFmtId="1" fontId="29" fillId="0" borderId="73" xfId="79" applyNumberFormat="1" applyFont="1" applyFill="1" applyBorder="1" applyAlignment="1">
      <alignment horizontal="right" vertical="center"/>
    </xf>
    <xf numFmtId="0" fontId="29" fillId="0" borderId="74" xfId="70" applyFont="1" applyBorder="1" applyAlignment="1">
      <alignment horizontal="left" vertical="center" indent="3"/>
    </xf>
    <xf numFmtId="43" fontId="29" fillId="0" borderId="0" xfId="79" applyFont="1" applyFill="1" applyBorder="1" applyAlignment="1">
      <alignment horizontal="right" vertical="center"/>
    </xf>
    <xf numFmtId="0" fontId="232" fillId="0" borderId="0" xfId="70" applyFont="1" applyAlignment="1">
      <alignment horizontal="left" vertical="center" indent="2"/>
    </xf>
    <xf numFmtId="286" fontId="0" fillId="0" borderId="0" xfId="0" applyNumberFormat="1"/>
    <xf numFmtId="181" fontId="222" fillId="78" borderId="74" xfId="79" applyNumberFormat="1" applyFont="1" applyFill="1" applyBorder="1" applyAlignment="1">
      <alignment horizontal="right" vertical="center"/>
    </xf>
    <xf numFmtId="41" fontId="29" fillId="0" borderId="0" xfId="0" applyNumberFormat="1" applyFont="1" applyAlignment="1">
      <alignment vertical="center"/>
    </xf>
    <xf numFmtId="0" fontId="29" fillId="0" borderId="0" xfId="0" applyFont="1" applyAlignment="1">
      <alignment horizontal="left"/>
    </xf>
    <xf numFmtId="14" fontId="29" fillId="0" borderId="0" xfId="0" applyNumberFormat="1" applyFont="1" applyAlignment="1">
      <alignment horizontal="left"/>
    </xf>
    <xf numFmtId="0" fontId="29" fillId="0" borderId="0" xfId="0" quotePrefix="1" applyFont="1"/>
    <xf numFmtId="0" fontId="29" fillId="0" borderId="0" xfId="0" applyFont="1" applyAlignment="1">
      <alignment horizontal="center"/>
    </xf>
    <xf numFmtId="0" fontId="29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6" fillId="0" borderId="0" xfId="0" quotePrefix="1" applyFont="1" applyAlignment="1">
      <alignment horizontal="left" vertical="center"/>
    </xf>
    <xf numFmtId="0" fontId="222" fillId="78" borderId="78" xfId="71" applyFont="1" applyFill="1" applyBorder="1" applyAlignment="1">
      <alignment horizontal="left" vertical="center"/>
    </xf>
    <xf numFmtId="0" fontId="222" fillId="78" borderId="79" xfId="71" applyFont="1" applyFill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233" fillId="80" borderId="73" xfId="71" applyFont="1" applyFill="1" applyBorder="1" applyAlignment="1">
      <alignment horizontal="left" vertical="center"/>
    </xf>
    <xf numFmtId="0" fontId="46" fillId="0" borderId="0" xfId="0" quotePrefix="1" applyFont="1" applyAlignment="1">
      <alignment vertical="center" wrapText="1"/>
    </xf>
    <xf numFmtId="0" fontId="46" fillId="0" borderId="0" xfId="0" applyFont="1" applyAlignment="1">
      <alignment vertical="center" wrapText="1"/>
    </xf>
    <xf numFmtId="0" fontId="29" fillId="80" borderId="0" xfId="0" applyFont="1" applyFill="1" applyAlignment="1">
      <alignment vertical="center" wrapText="1"/>
    </xf>
    <xf numFmtId="0" fontId="29" fillId="0" borderId="0" xfId="0" quotePrefix="1" applyFont="1" applyAlignment="1">
      <alignment vertical="center" wrapText="1"/>
    </xf>
    <xf numFmtId="0" fontId="29" fillId="81" borderId="0" xfId="0" applyFont="1" applyFill="1"/>
    <xf numFmtId="0" fontId="46" fillId="29" borderId="97" xfId="71" applyFont="1" applyFill="1" applyBorder="1" applyAlignment="1">
      <alignment vertical="center"/>
    </xf>
    <xf numFmtId="172" fontId="221" fillId="0" borderId="0" xfId="71" applyNumberFormat="1" applyFont="1" applyAlignment="1">
      <alignment horizontal="center" vertical="center"/>
    </xf>
    <xf numFmtId="43" fontId="29" fillId="0" borderId="0" xfId="76" applyNumberFormat="1" applyFont="1"/>
    <xf numFmtId="0" fontId="29" fillId="82" borderId="0" xfId="0" applyFont="1" applyFill="1"/>
    <xf numFmtId="0" fontId="46" fillId="82" borderId="0" xfId="0" applyFont="1" applyFill="1"/>
    <xf numFmtId="41" fontId="29" fillId="82" borderId="73" xfId="72" applyNumberFormat="1" applyFont="1" applyFill="1" applyBorder="1" applyAlignment="1">
      <alignment horizontal="right" vertical="center"/>
    </xf>
    <xf numFmtId="41" fontId="29" fillId="82" borderId="73" xfId="0" applyNumberFormat="1" applyFont="1" applyFill="1" applyBorder="1"/>
    <xf numFmtId="41" fontId="46" fillId="82" borderId="73" xfId="71" applyNumberFormat="1" applyFont="1" applyFill="1" applyBorder="1" applyAlignment="1">
      <alignment horizontal="left" vertical="center" indent="1"/>
    </xf>
    <xf numFmtId="173" fontId="29" fillId="82" borderId="74" xfId="76" applyNumberFormat="1" applyFont="1" applyFill="1" applyBorder="1"/>
    <xf numFmtId="173" fontId="29" fillId="82" borderId="0" xfId="76" applyNumberFormat="1" applyFont="1" applyFill="1" applyBorder="1"/>
    <xf numFmtId="41" fontId="46" fillId="82" borderId="72" xfId="71" applyNumberFormat="1" applyFont="1" applyFill="1" applyBorder="1" applyAlignment="1">
      <alignment horizontal="left" vertical="center" indent="1"/>
    </xf>
    <xf numFmtId="173" fontId="29" fillId="82" borderId="73" xfId="76" applyNumberFormat="1" applyFont="1" applyFill="1" applyBorder="1"/>
    <xf numFmtId="41" fontId="29" fillId="82" borderId="72" xfId="72" applyNumberFormat="1" applyFont="1" applyFill="1" applyBorder="1" applyAlignment="1">
      <alignment horizontal="right" vertical="center"/>
    </xf>
    <xf numFmtId="41" fontId="46" fillId="0" borderId="73" xfId="71" applyNumberFormat="1" applyFont="1" applyBorder="1" applyAlignment="1">
      <alignment horizontal="left" vertical="center" indent="1"/>
    </xf>
    <xf numFmtId="41" fontId="46" fillId="0" borderId="72" xfId="71" applyNumberFormat="1" applyFont="1" applyBorder="1" applyAlignment="1">
      <alignment horizontal="left" vertical="center" indent="1"/>
    </xf>
    <xf numFmtId="0" fontId="234" fillId="0" borderId="0" xfId="0" applyFont="1"/>
    <xf numFmtId="0" fontId="229" fillId="0" borderId="0" xfId="0" applyFont="1" applyAlignment="1">
      <alignment vertical="center"/>
    </xf>
    <xf numFmtId="41" fontId="229" fillId="0" borderId="73" xfId="72" applyNumberFormat="1" applyFont="1" applyBorder="1" applyAlignment="1">
      <alignment horizontal="right" vertical="center"/>
    </xf>
    <xf numFmtId="41" fontId="229" fillId="0" borderId="73" xfId="0" applyNumberFormat="1" applyFont="1" applyBorder="1"/>
    <xf numFmtId="41" fontId="234" fillId="0" borderId="73" xfId="71" applyNumberFormat="1" applyFont="1" applyBorder="1" applyAlignment="1">
      <alignment horizontal="left" vertical="center" indent="1"/>
    </xf>
    <xf numFmtId="173" fontId="229" fillId="0" borderId="74" xfId="76" applyNumberFormat="1" applyFont="1" applyFill="1" applyBorder="1"/>
    <xf numFmtId="173" fontId="229" fillId="0" borderId="0" xfId="76" applyNumberFormat="1" applyFont="1" applyFill="1" applyBorder="1"/>
    <xf numFmtId="41" fontId="234" fillId="0" borderId="72" xfId="71" applyNumberFormat="1" applyFont="1" applyBorder="1" applyAlignment="1">
      <alignment horizontal="left" vertical="center" indent="1"/>
    </xf>
    <xf numFmtId="173" fontId="229" fillId="0" borderId="73" xfId="76" applyNumberFormat="1" applyFont="1" applyFill="1" applyBorder="1"/>
    <xf numFmtId="0" fontId="229" fillId="0" borderId="76" xfId="0" applyFont="1" applyBorder="1"/>
    <xf numFmtId="41" fontId="229" fillId="0" borderId="0" xfId="72" applyNumberFormat="1" applyFont="1" applyAlignment="1">
      <alignment vertical="center"/>
    </xf>
    <xf numFmtId="41" fontId="229" fillId="0" borderId="0" xfId="72" applyNumberFormat="1" applyFont="1" applyAlignment="1">
      <alignment horizontal="right" vertical="center"/>
    </xf>
    <xf numFmtId="41" fontId="229" fillId="0" borderId="0" xfId="71" applyNumberFormat="1" applyFont="1" applyAlignment="1">
      <alignment horizontal="left" vertical="center" indent="1"/>
    </xf>
    <xf numFmtId="41" fontId="229" fillId="0" borderId="72" xfId="71" applyNumberFormat="1" applyFont="1" applyBorder="1" applyAlignment="1">
      <alignment horizontal="left" vertical="center" indent="1"/>
    </xf>
    <xf numFmtId="41" fontId="229" fillId="0" borderId="73" xfId="71" applyNumberFormat="1" applyFont="1" applyBorder="1" applyAlignment="1">
      <alignment horizontal="left" vertical="center" indent="1"/>
    </xf>
    <xf numFmtId="41" fontId="233" fillId="0" borderId="73" xfId="72" applyNumberFormat="1" applyFont="1" applyBorder="1" applyAlignment="1">
      <alignment horizontal="right" vertical="center"/>
    </xf>
    <xf numFmtId="41" fontId="233" fillId="0" borderId="83" xfId="72" applyNumberFormat="1" applyFont="1" applyBorder="1" applyAlignment="1">
      <alignment horizontal="right" vertical="center"/>
    </xf>
    <xf numFmtId="41" fontId="235" fillId="29" borderId="73" xfId="72" applyNumberFormat="1" applyFont="1" applyFill="1" applyBorder="1" applyAlignment="1">
      <alignment horizontal="right" vertical="center"/>
    </xf>
    <xf numFmtId="41" fontId="235" fillId="29" borderId="82" xfId="72" applyNumberFormat="1" applyFont="1" applyFill="1" applyBorder="1" applyAlignment="1">
      <alignment horizontal="right" vertical="center"/>
    </xf>
    <xf numFmtId="41" fontId="233" fillId="0" borderId="0" xfId="72" applyNumberFormat="1" applyFont="1" applyAlignment="1">
      <alignment horizontal="right" vertical="center"/>
    </xf>
    <xf numFmtId="41" fontId="235" fillId="78" borderId="0" xfId="72" applyNumberFormat="1" applyFont="1" applyFill="1" applyAlignment="1">
      <alignment vertical="center"/>
    </xf>
    <xf numFmtId="173" fontId="29" fillId="0" borderId="92" xfId="76" applyNumberFormat="1" applyFont="1" applyFill="1" applyBorder="1"/>
    <xf numFmtId="173" fontId="29" fillId="0" borderId="93" xfId="76" applyNumberFormat="1" applyFont="1" applyFill="1" applyBorder="1"/>
    <xf numFmtId="173" fontId="29" fillId="0" borderId="92" xfId="76" applyNumberFormat="1" applyFont="1" applyFill="1" applyBorder="1" applyAlignment="1">
      <alignment vertical="center"/>
    </xf>
    <xf numFmtId="41" fontId="46" fillId="0" borderId="0" xfId="72" applyNumberFormat="1" applyFont="1" applyAlignment="1">
      <alignment vertical="center"/>
    </xf>
    <xf numFmtId="172" fontId="224" fillId="0" borderId="0" xfId="79" applyNumberFormat="1" applyFont="1" applyFill="1" applyBorder="1" applyAlignment="1">
      <alignment horizontal="right" vertical="center"/>
    </xf>
    <xf numFmtId="0" fontId="46" fillId="0" borderId="0" xfId="113" applyFont="1" applyAlignment="1">
      <alignment horizontal="right" vertical="center"/>
    </xf>
    <xf numFmtId="0" fontId="56" fillId="0" borderId="0" xfId="0" applyFont="1" applyAlignment="1">
      <alignment horizontal="left" indent="1"/>
    </xf>
    <xf numFmtId="0" fontId="11" fillId="0" borderId="0" xfId="0" applyFont="1" applyAlignment="1">
      <alignment horizontal="left" indent="1"/>
    </xf>
    <xf numFmtId="0" fontId="236" fillId="0" borderId="0" xfId="0" applyFont="1"/>
    <xf numFmtId="14" fontId="29" fillId="0" borderId="0" xfId="0" applyNumberFormat="1" applyFont="1" applyAlignment="1">
      <alignment horizontal="left" vertical="center"/>
    </xf>
    <xf numFmtId="0" fontId="218" fillId="0" borderId="0" xfId="0" applyFont="1" applyAlignment="1">
      <alignment vertical="center"/>
    </xf>
    <xf numFmtId="0" fontId="0" fillId="0" borderId="0" xfId="0" applyAlignment="1">
      <alignment vertical="center"/>
    </xf>
    <xf numFmtId="0" fontId="29" fillId="0" borderId="98" xfId="0" applyFont="1" applyBorder="1" applyAlignment="1">
      <alignment horizontal="left" vertical="center" indent="2"/>
    </xf>
    <xf numFmtId="0" fontId="29" fillId="0" borderId="98" xfId="70" applyFont="1" applyBorder="1" applyAlignment="1">
      <alignment horizontal="left" vertical="center" indent="2"/>
    </xf>
    <xf numFmtId="173" fontId="29" fillId="0" borderId="98" xfId="76" applyNumberFormat="1" applyFont="1" applyFill="1" applyBorder="1"/>
    <xf numFmtId="173" fontId="29" fillId="0" borderId="98" xfId="76" applyNumberFormat="1" applyFont="1" applyFill="1" applyBorder="1" applyAlignment="1">
      <alignment vertical="center"/>
    </xf>
    <xf numFmtId="173" fontId="229" fillId="0" borderId="0" xfId="76" applyNumberFormat="1" applyFont="1" applyFill="1"/>
    <xf numFmtId="181" fontId="29" fillId="0" borderId="0" xfId="79" applyNumberFormat="1" applyFont="1"/>
    <xf numFmtId="173" fontId="229" fillId="0" borderId="0" xfId="0" applyNumberFormat="1" applyFont="1" applyAlignment="1">
      <alignment vertical="center"/>
    </xf>
    <xf numFmtId="173" fontId="29" fillId="0" borderId="0" xfId="72" applyNumberFormat="1" applyFont="1" applyAlignment="1">
      <alignment horizontal="right" vertical="center"/>
    </xf>
    <xf numFmtId="0" fontId="29" fillId="0" borderId="73" xfId="72" applyFont="1" applyBorder="1" applyAlignment="1">
      <alignment horizontal="left" vertical="center" indent="4"/>
    </xf>
    <xf numFmtId="41" fontId="29" fillId="29" borderId="73" xfId="79" applyNumberFormat="1" applyFont="1" applyFill="1" applyBorder="1" applyAlignment="1">
      <alignment horizontal="right" vertical="center"/>
    </xf>
    <xf numFmtId="173" fontId="29" fillId="29" borderId="73" xfId="79" applyNumberFormat="1" applyFont="1" applyFill="1" applyBorder="1" applyAlignment="1">
      <alignment horizontal="right" vertical="center"/>
    </xf>
    <xf numFmtId="173" fontId="29" fillId="29" borderId="74" xfId="76" applyNumberFormat="1" applyFont="1" applyFill="1" applyBorder="1" applyAlignment="1">
      <alignment horizontal="right" vertical="center"/>
    </xf>
    <xf numFmtId="177" fontId="29" fillId="29" borderId="73" xfId="79" applyNumberFormat="1" applyFont="1" applyFill="1" applyBorder="1" applyAlignment="1">
      <alignment horizontal="right" vertical="center"/>
    </xf>
    <xf numFmtId="0" fontId="222" fillId="78" borderId="99" xfId="71" applyFont="1" applyFill="1" applyBorder="1" applyAlignment="1">
      <alignment horizontal="left" vertical="center" indent="1"/>
    </xf>
    <xf numFmtId="0" fontId="222" fillId="78" borderId="100" xfId="71" applyFont="1" applyFill="1" applyBorder="1" applyAlignment="1">
      <alignment horizontal="left" vertical="center" indent="1"/>
    </xf>
    <xf numFmtId="0" fontId="224" fillId="78" borderId="100" xfId="71" applyFont="1" applyFill="1" applyBorder="1" applyAlignment="1">
      <alignment horizontal="center" vertical="center"/>
    </xf>
    <xf numFmtId="0" fontId="29" fillId="0" borderId="73" xfId="0" applyFont="1" applyBorder="1" applyAlignment="1">
      <alignment horizontal="left" indent="1"/>
    </xf>
    <xf numFmtId="0" fontId="29" fillId="0" borderId="74" xfId="0" applyFont="1" applyBorder="1" applyAlignment="1">
      <alignment horizontal="left" indent="1"/>
    </xf>
    <xf numFmtId="173" fontId="222" fillId="78" borderId="0" xfId="76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236" fillId="0" borderId="0" xfId="0" applyNumberFormat="1" applyFont="1" applyAlignment="1">
      <alignment horizontal="center" vertical="center"/>
    </xf>
    <xf numFmtId="3" fontId="236" fillId="0" borderId="0" xfId="0" applyNumberFormat="1" applyFont="1" applyAlignment="1">
      <alignment horizontal="center"/>
    </xf>
    <xf numFmtId="3" fontId="222" fillId="78" borderId="0" xfId="0" applyNumberFormat="1" applyFont="1" applyFill="1" applyAlignment="1">
      <alignment horizontal="center" vertical="center"/>
    </xf>
    <xf numFmtId="0" fontId="29" fillId="0" borderId="0" xfId="0" applyFont="1" applyAlignment="1">
      <alignment horizontal="center" vertical="center"/>
    </xf>
    <xf numFmtId="3" fontId="222" fillId="78" borderId="72" xfId="0" applyNumberFormat="1" applyFont="1" applyFill="1" applyBorder="1" applyAlignment="1">
      <alignment horizontal="center" vertical="center"/>
    </xf>
    <xf numFmtId="41" fontId="29" fillId="0" borderId="73" xfId="72" applyNumberFormat="1" applyFont="1" applyBorder="1" applyAlignment="1">
      <alignment horizontal="center" vertical="center"/>
    </xf>
    <xf numFmtId="41" fontId="29" fillId="0" borderId="74" xfId="72" applyNumberFormat="1" applyFont="1" applyBorder="1" applyAlignment="1">
      <alignment horizontal="center" vertical="center"/>
    </xf>
    <xf numFmtId="3" fontId="29" fillId="0" borderId="0" xfId="0" applyNumberFormat="1" applyFont="1" applyAlignment="1">
      <alignment horizontal="center"/>
    </xf>
    <xf numFmtId="3" fontId="237" fillId="0" borderId="0" xfId="0" applyNumberFormat="1" applyFont="1" applyAlignment="1">
      <alignment horizontal="center"/>
    </xf>
    <xf numFmtId="173" fontId="46" fillId="0" borderId="73" xfId="113" quotePrefix="1" applyNumberFormat="1" applyFont="1" applyBorder="1" applyAlignment="1">
      <alignment horizontal="center" vertical="center"/>
    </xf>
    <xf numFmtId="173" fontId="46" fillId="0" borderId="73" xfId="76" applyNumberFormat="1" applyFont="1" applyBorder="1" applyAlignment="1">
      <alignment horizontal="center" vertical="center" wrapText="1"/>
    </xf>
    <xf numFmtId="173" fontId="29" fillId="0" borderId="0" xfId="76" applyNumberFormat="1" applyFont="1" applyAlignment="1">
      <alignment horizontal="right" vertical="center"/>
    </xf>
    <xf numFmtId="0" fontId="238" fillId="0" borderId="0" xfId="71" applyFont="1" applyAlignment="1">
      <alignment horizontal="left" vertical="center"/>
    </xf>
    <xf numFmtId="14" fontId="239" fillId="0" borderId="0" xfId="71" applyNumberFormat="1" applyFont="1" applyAlignment="1">
      <alignment horizontal="center" vertical="center"/>
    </xf>
    <xf numFmtId="172" fontId="29" fillId="0" borderId="82" xfId="79" applyNumberFormat="1" applyFont="1" applyFill="1" applyBorder="1" applyAlignment="1">
      <alignment horizontal="right" vertical="center"/>
    </xf>
    <xf numFmtId="0" fontId="0" fillId="0" borderId="65" xfId="0" applyBorder="1"/>
    <xf numFmtId="0" fontId="0" fillId="0" borderId="75" xfId="0" applyBorder="1"/>
    <xf numFmtId="0" fontId="0" fillId="0" borderId="101" xfId="0" applyBorder="1"/>
    <xf numFmtId="0" fontId="29" fillId="26" borderId="101" xfId="71" applyFont="1" applyFill="1" applyBorder="1" applyAlignment="1">
      <alignment horizontal="left" vertical="center" indent="1"/>
    </xf>
    <xf numFmtId="172" fontId="29" fillId="26" borderId="101" xfId="79" applyNumberFormat="1" applyFont="1" applyFill="1" applyBorder="1" applyAlignment="1">
      <alignment horizontal="right" vertical="center"/>
    </xf>
    <xf numFmtId="0" fontId="29" fillId="0" borderId="101" xfId="0" applyFont="1" applyBorder="1"/>
    <xf numFmtId="41" fontId="29" fillId="26" borderId="101" xfId="79" applyNumberFormat="1" applyFont="1" applyFill="1" applyBorder="1" applyAlignment="1">
      <alignment horizontal="right" vertical="center"/>
    </xf>
    <xf numFmtId="0" fontId="239" fillId="0" borderId="0" xfId="71" applyFont="1" applyAlignment="1">
      <alignment horizontal="center" vertical="center"/>
    </xf>
    <xf numFmtId="0" fontId="29" fillId="0" borderId="75" xfId="72" applyFont="1" applyBorder="1" applyAlignment="1">
      <alignment horizontal="left" wrapText="1" indent="1"/>
    </xf>
    <xf numFmtId="41" fontId="29" fillId="0" borderId="75" xfId="72" applyNumberFormat="1" applyFont="1" applyBorder="1" applyAlignment="1">
      <alignment horizontal="left" vertical="center" wrapText="1"/>
    </xf>
    <xf numFmtId="173" fontId="29" fillId="0" borderId="75" xfId="76" applyNumberFormat="1" applyFont="1" applyFill="1" applyBorder="1" applyAlignment="1">
      <alignment horizontal="right" vertical="center" wrapText="1"/>
    </xf>
    <xf numFmtId="176" fontId="29" fillId="0" borderId="75" xfId="72" applyNumberFormat="1" applyFont="1" applyBorder="1" applyAlignment="1">
      <alignment horizontal="left" vertical="center" wrapText="1"/>
    </xf>
    <xf numFmtId="285" fontId="29" fillId="0" borderId="75" xfId="79" applyNumberFormat="1" applyFont="1" applyFill="1" applyBorder="1" applyAlignment="1">
      <alignment horizontal="right" vertical="center" wrapText="1"/>
    </xf>
    <xf numFmtId="0" fontId="29" fillId="0" borderId="75" xfId="72" applyFont="1" applyBorder="1"/>
    <xf numFmtId="0" fontId="240" fillId="0" borderId="0" xfId="71" applyFont="1" applyAlignment="1">
      <alignment horizontal="center" vertical="center"/>
    </xf>
    <xf numFmtId="0" fontId="29" fillId="0" borderId="75" xfId="0" applyFont="1" applyBorder="1"/>
    <xf numFmtId="0" fontId="229" fillId="0" borderId="75" xfId="0" applyFont="1" applyBorder="1"/>
    <xf numFmtId="0" fontId="229" fillId="0" borderId="101" xfId="0" applyFont="1" applyBorder="1"/>
    <xf numFmtId="0" fontId="240" fillId="0" borderId="0" xfId="71" applyFont="1" applyAlignment="1">
      <alignment horizontal="left" vertical="center"/>
    </xf>
    <xf numFmtId="0" fontId="239" fillId="0" borderId="0" xfId="70" applyFont="1"/>
    <xf numFmtId="173" fontId="29" fillId="0" borderId="73" xfId="76" applyNumberFormat="1" applyFont="1" applyBorder="1" applyAlignment="1">
      <alignment vertical="center"/>
    </xf>
    <xf numFmtId="173" fontId="29" fillId="0" borderId="74" xfId="76" applyNumberFormat="1" applyFont="1" applyBorder="1" applyAlignment="1">
      <alignment horizontal="right" vertical="center"/>
    </xf>
    <xf numFmtId="173" fontId="29" fillId="0" borderId="74" xfId="76" applyNumberFormat="1" applyFont="1" applyFill="1" applyBorder="1" applyAlignment="1">
      <alignment vertical="center"/>
    </xf>
    <xf numFmtId="41" fontId="29" fillId="0" borderId="73" xfId="0" applyNumberFormat="1" applyFont="1" applyBorder="1" applyAlignment="1">
      <alignment vertical="center"/>
    </xf>
    <xf numFmtId="41" fontId="46" fillId="79" borderId="73" xfId="71" applyNumberFormat="1" applyFont="1" applyFill="1" applyBorder="1" applyAlignment="1">
      <alignment horizontal="left" vertical="center"/>
    </xf>
    <xf numFmtId="41" fontId="46" fillId="79" borderId="72" xfId="71" applyNumberFormat="1" applyFont="1" applyFill="1" applyBorder="1" applyAlignment="1">
      <alignment horizontal="left" vertical="center"/>
    </xf>
    <xf numFmtId="0" fontId="29" fillId="0" borderId="102" xfId="0" applyFont="1" applyBorder="1" applyAlignment="1">
      <alignment horizontal="left" vertical="center" indent="1"/>
    </xf>
    <xf numFmtId="172" fontId="29" fillId="0" borderId="102" xfId="79" applyNumberFormat="1" applyFont="1" applyFill="1" applyBorder="1" applyAlignment="1">
      <alignment vertical="center"/>
    </xf>
    <xf numFmtId="0" fontId="29" fillId="0" borderId="103" xfId="0" applyFont="1" applyBorder="1" applyAlignment="1">
      <alignment horizontal="left" vertical="center" indent="1"/>
    </xf>
    <xf numFmtId="172" fontId="29" fillId="0" borderId="103" xfId="79" applyNumberFormat="1" applyFont="1" applyFill="1" applyBorder="1" applyAlignment="1">
      <alignment vertical="center"/>
    </xf>
    <xf numFmtId="0" fontId="29" fillId="0" borderId="104" xfId="0" applyFont="1" applyBorder="1" applyAlignment="1">
      <alignment horizontal="left" vertical="center" indent="2"/>
    </xf>
    <xf numFmtId="173" fontId="29" fillId="0" borderId="104" xfId="76" applyNumberFormat="1" applyFont="1" applyBorder="1" applyAlignment="1">
      <alignment vertical="center"/>
    </xf>
    <xf numFmtId="0" fontId="46" fillId="0" borderId="105" xfId="113" applyFont="1" applyBorder="1" applyAlignment="1">
      <alignment horizontal="left" vertical="center" indent="1"/>
    </xf>
    <xf numFmtId="172" fontId="46" fillId="0" borderId="105" xfId="0" applyNumberFormat="1" applyFont="1" applyBorder="1"/>
    <xf numFmtId="0" fontId="29" fillId="0" borderId="21" xfId="113" applyFont="1" applyBorder="1" applyAlignment="1">
      <alignment horizontal="left" vertical="center" indent="2"/>
    </xf>
    <xf numFmtId="172" fontId="29" fillId="0" borderId="21" xfId="79" applyNumberFormat="1" applyFont="1" applyFill="1" applyBorder="1" applyAlignment="1">
      <alignment vertical="center"/>
    </xf>
    <xf numFmtId="172" fontId="29" fillId="0" borderId="22" xfId="79" applyNumberFormat="1" applyFont="1" applyFill="1" applyBorder="1" applyAlignment="1">
      <alignment vertical="center"/>
    </xf>
    <xf numFmtId="286" fontId="29" fillId="0" borderId="0" xfId="0" applyNumberFormat="1" applyFont="1" applyAlignment="1">
      <alignment vertical="center"/>
    </xf>
    <xf numFmtId="172" fontId="29" fillId="0" borderId="0" xfId="0" applyNumberFormat="1" applyFont="1" applyAlignment="1">
      <alignment vertical="center"/>
    </xf>
    <xf numFmtId="0" fontId="29" fillId="0" borderId="22" xfId="113" applyFont="1" applyBorder="1" applyAlignment="1">
      <alignment horizontal="left" vertical="center" indent="2"/>
    </xf>
    <xf numFmtId="0" fontId="189" fillId="0" borderId="73" xfId="72" applyFont="1" applyBorder="1" applyAlignment="1">
      <alignment horizontal="left" vertical="center" indent="2"/>
    </xf>
    <xf numFmtId="41" fontId="189" fillId="0" borderId="73" xfId="72" applyNumberFormat="1" applyFont="1" applyBorder="1" applyAlignment="1">
      <alignment vertical="center"/>
    </xf>
    <xf numFmtId="0" fontId="222" fillId="78" borderId="0" xfId="71" applyFont="1" applyFill="1" applyAlignment="1">
      <alignment horizontal="left" vertical="center"/>
    </xf>
    <xf numFmtId="0" fontId="233" fillId="80" borderId="79" xfId="0" applyFont="1" applyFill="1" applyBorder="1" applyAlignment="1">
      <alignment horizontal="left" vertical="center" wrapText="1"/>
    </xf>
    <xf numFmtId="0" fontId="233" fillId="80" borderId="73" xfId="0" applyFont="1" applyFill="1" applyBorder="1" applyAlignment="1">
      <alignment horizontal="left" vertical="center"/>
    </xf>
    <xf numFmtId="14" fontId="233" fillId="80" borderId="73" xfId="71" applyNumberFormat="1" applyFont="1" applyFill="1" applyBorder="1" applyAlignment="1">
      <alignment horizontal="left" vertical="center"/>
    </xf>
    <xf numFmtId="0" fontId="29" fillId="80" borderId="73" xfId="0" applyFont="1" applyFill="1" applyBorder="1" applyAlignment="1">
      <alignment horizontal="left" vertical="center"/>
    </xf>
    <xf numFmtId="181" fontId="233" fillId="80" borderId="78" xfId="79" applyNumberFormat="1" applyFont="1" applyFill="1" applyBorder="1" applyAlignment="1">
      <alignment horizontal="left" vertical="center"/>
    </xf>
    <xf numFmtId="14" fontId="233" fillId="80" borderId="73" xfId="0" applyNumberFormat="1" applyFont="1" applyFill="1" applyBorder="1" applyAlignment="1">
      <alignment horizontal="left" vertical="center"/>
    </xf>
    <xf numFmtId="14" fontId="233" fillId="0" borderId="73" xfId="0" applyNumberFormat="1" applyFont="1" applyBorder="1" applyAlignment="1">
      <alignment horizontal="left" vertical="center"/>
    </xf>
    <xf numFmtId="0" fontId="233" fillId="0" borderId="73" xfId="0" applyFont="1" applyBorder="1" applyAlignment="1">
      <alignment horizontal="left" vertical="center"/>
    </xf>
    <xf numFmtId="0" fontId="233" fillId="29" borderId="79" xfId="0" applyFont="1" applyFill="1" applyBorder="1" applyAlignment="1">
      <alignment horizontal="left" vertical="center" wrapText="1"/>
    </xf>
    <xf numFmtId="0" fontId="233" fillId="29" borderId="73" xfId="0" applyFont="1" applyFill="1" applyBorder="1" applyAlignment="1">
      <alignment horizontal="left" vertical="center"/>
    </xf>
    <xf numFmtId="14" fontId="233" fillId="29" borderId="73" xfId="0" applyNumberFormat="1" applyFont="1" applyFill="1" applyBorder="1" applyAlignment="1">
      <alignment horizontal="left" vertical="center"/>
    </xf>
    <xf numFmtId="0" fontId="29" fillId="29" borderId="73" xfId="71" applyFont="1" applyFill="1" applyBorder="1" applyAlignment="1">
      <alignment horizontal="left" vertical="center"/>
    </xf>
    <xf numFmtId="181" fontId="233" fillId="29" borderId="78" xfId="79" applyNumberFormat="1" applyFont="1" applyFill="1" applyBorder="1" applyAlignment="1">
      <alignment horizontal="left" vertical="center"/>
    </xf>
    <xf numFmtId="14" fontId="29" fillId="80" borderId="73" xfId="0" applyNumberFormat="1" applyFont="1" applyFill="1" applyBorder="1" applyAlignment="1">
      <alignment horizontal="left" vertical="center"/>
    </xf>
    <xf numFmtId="0" fontId="29" fillId="80" borderId="73" xfId="71" applyFont="1" applyFill="1" applyBorder="1" applyAlignment="1">
      <alignment horizontal="left" vertical="center"/>
    </xf>
    <xf numFmtId="14" fontId="29" fillId="29" borderId="73" xfId="0" applyNumberFormat="1" applyFont="1" applyFill="1" applyBorder="1" applyAlignment="1">
      <alignment horizontal="left" vertical="center"/>
    </xf>
    <xf numFmtId="0" fontId="29" fillId="29" borderId="73" xfId="0" applyFont="1" applyFill="1" applyBorder="1" applyAlignment="1">
      <alignment horizontal="left" vertical="center"/>
    </xf>
    <xf numFmtId="0" fontId="233" fillId="80" borderId="86" xfId="0" applyFont="1" applyFill="1" applyBorder="1" applyAlignment="1">
      <alignment horizontal="left" vertical="center" wrapText="1"/>
    </xf>
    <xf numFmtId="0" fontId="233" fillId="80" borderId="82" xfId="0" applyFont="1" applyFill="1" applyBorder="1" applyAlignment="1">
      <alignment horizontal="left" vertical="center"/>
    </xf>
    <xf numFmtId="14" fontId="233" fillId="80" borderId="82" xfId="0" applyNumberFormat="1" applyFont="1" applyFill="1" applyBorder="1" applyAlignment="1">
      <alignment horizontal="left" vertical="center"/>
    </xf>
    <xf numFmtId="181" fontId="233" fillId="80" borderId="85" xfId="79" applyNumberFormat="1" applyFont="1" applyFill="1" applyBorder="1" applyAlignment="1">
      <alignment horizontal="left" vertical="center"/>
    </xf>
    <xf numFmtId="0" fontId="224" fillId="78" borderId="106" xfId="71" applyFont="1" applyFill="1" applyBorder="1" applyAlignment="1">
      <alignment horizontal="center" vertical="center"/>
    </xf>
    <xf numFmtId="0" fontId="224" fillId="78" borderId="107" xfId="71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222" fillId="78" borderId="72" xfId="71" applyFont="1" applyFill="1" applyBorder="1" applyAlignment="1">
      <alignment horizontal="center" vertical="center"/>
    </xf>
    <xf numFmtId="0" fontId="222" fillId="78" borderId="73" xfId="71" applyFont="1" applyFill="1" applyBorder="1" applyAlignment="1">
      <alignment horizontal="center" vertical="center"/>
    </xf>
    <xf numFmtId="0" fontId="69" fillId="29" borderId="72" xfId="0" applyFont="1" applyFill="1" applyBorder="1" applyAlignment="1">
      <alignment horizontal="center" vertical="top" textRotation="90" wrapText="1"/>
    </xf>
    <xf numFmtId="0" fontId="69" fillId="29" borderId="73" xfId="0" applyFont="1" applyFill="1" applyBorder="1" applyAlignment="1">
      <alignment horizontal="center" vertical="top" textRotation="90"/>
    </xf>
    <xf numFmtId="0" fontId="69" fillId="29" borderId="74" xfId="0" applyFont="1" applyFill="1" applyBorder="1" applyAlignment="1">
      <alignment horizontal="center" vertical="top" textRotation="90"/>
    </xf>
  </cellXfs>
  <cellStyles count="22624">
    <cellStyle name="_x000a_386grabber=M" xfId="165" xr:uid="{00000000-0005-0000-0000-000000000000}"/>
    <cellStyle name="_x000a_386grabber=M 2" xfId="166" xr:uid="{00000000-0005-0000-0000-000001000000}"/>
    <cellStyle name="_x000a_386grabber=M 2 2" xfId="167" xr:uid="{00000000-0005-0000-0000-000002000000}"/>
    <cellStyle name="_x000a_386grabber=M 3" xfId="168" xr:uid="{00000000-0005-0000-0000-000003000000}"/>
    <cellStyle name="_x000a_386grabber=M 4" xfId="169" xr:uid="{00000000-0005-0000-0000-000004000000}"/>
    <cellStyle name="_x000a_386grabber=M 5" xfId="170" xr:uid="{00000000-0005-0000-0000-000005000000}"/>
    <cellStyle name="(Red)" xfId="4919" xr:uid="{00000000-0005-0000-0000-000006000000}"/>
    <cellStyle name="_%(SignOnly)" xfId="4920" xr:uid="{00000000-0005-0000-0000-000007000000}"/>
    <cellStyle name="_%(SignSpaceOnly)" xfId="4921" xr:uid="{00000000-0005-0000-0000-000008000000}"/>
    <cellStyle name="_Comma" xfId="4922" xr:uid="{00000000-0005-0000-0000-000009000000}"/>
    <cellStyle name="_Currency" xfId="4923" xr:uid="{00000000-0005-0000-0000-00000A000000}"/>
    <cellStyle name="_Currency 2" xfId="13859" xr:uid="{00000000-0005-0000-0000-00000B000000}"/>
    <cellStyle name="_CurrencySpace" xfId="4924" xr:uid="{00000000-0005-0000-0000-00000C000000}"/>
    <cellStyle name="_Euro" xfId="4925" xr:uid="{00000000-0005-0000-0000-00000D000000}"/>
    <cellStyle name="_Heading" xfId="4926" xr:uid="{00000000-0005-0000-0000-00000E000000}"/>
    <cellStyle name="_Highlight" xfId="4927" xr:uid="{00000000-0005-0000-0000-00000F000000}"/>
    <cellStyle name="_Multiple" xfId="4928" xr:uid="{00000000-0005-0000-0000-000010000000}"/>
    <cellStyle name="_MultipleSpace" xfId="4929" xr:uid="{00000000-0005-0000-0000-000011000000}"/>
    <cellStyle name="_Percent" xfId="4930" xr:uid="{00000000-0005-0000-0000-000012000000}"/>
    <cellStyle name="_SubHeading" xfId="4931" xr:uid="{00000000-0005-0000-0000-000013000000}"/>
    <cellStyle name="_Table" xfId="4932" xr:uid="{00000000-0005-0000-0000-000014000000}"/>
    <cellStyle name="_TableHead" xfId="4933" xr:uid="{00000000-0005-0000-0000-000015000000}"/>
    <cellStyle name="_TableRowHead" xfId="4934" xr:uid="{00000000-0005-0000-0000-000016000000}"/>
    <cellStyle name="_TableSuperHead" xfId="4935" xr:uid="{00000000-0005-0000-0000-000017000000}"/>
    <cellStyle name="£ BP" xfId="171" xr:uid="{00000000-0005-0000-0000-000018000000}"/>
    <cellStyle name="¥ JY" xfId="172" xr:uid="{00000000-0005-0000-0000-000019000000}"/>
    <cellStyle name="¶W³sµ²" xfId="4936" xr:uid="{00000000-0005-0000-0000-00001A000000}"/>
    <cellStyle name="10" xfId="4937" xr:uid="{00000000-0005-0000-0000-00001B000000}"/>
    <cellStyle name="1o.nível" xfId="173" xr:uid="{00000000-0005-0000-0000-00001C000000}"/>
    <cellStyle name="20% - Accent1" xfId="1" xr:uid="{00000000-0005-0000-0000-00001D000000}"/>
    <cellStyle name="20% - Accent1 2" xfId="101" xr:uid="{00000000-0005-0000-0000-00001E000000}"/>
    <cellStyle name="20% - Accent1 3" xfId="174" xr:uid="{00000000-0005-0000-0000-00001F000000}"/>
    <cellStyle name="20% - Accent1 4" xfId="175" xr:uid="{00000000-0005-0000-0000-000020000000}"/>
    <cellStyle name="20% - Accent1 5" xfId="176" xr:uid="{00000000-0005-0000-0000-000021000000}"/>
    <cellStyle name="20% - Accent1 6" xfId="177" xr:uid="{00000000-0005-0000-0000-000022000000}"/>
    <cellStyle name="20% - Accent1 7" xfId="178" xr:uid="{00000000-0005-0000-0000-000023000000}"/>
    <cellStyle name="20% - Accent2" xfId="2" xr:uid="{00000000-0005-0000-0000-000024000000}"/>
    <cellStyle name="20% - Accent2 2" xfId="102" xr:uid="{00000000-0005-0000-0000-000025000000}"/>
    <cellStyle name="20% - Accent2 3" xfId="179" xr:uid="{00000000-0005-0000-0000-000026000000}"/>
    <cellStyle name="20% - Accent2 4" xfId="180" xr:uid="{00000000-0005-0000-0000-000027000000}"/>
    <cellStyle name="20% - Accent2 5" xfId="181" xr:uid="{00000000-0005-0000-0000-000028000000}"/>
    <cellStyle name="20% - Accent2 6" xfId="182" xr:uid="{00000000-0005-0000-0000-000029000000}"/>
    <cellStyle name="20% - Accent2 7" xfId="183" xr:uid="{00000000-0005-0000-0000-00002A000000}"/>
    <cellStyle name="20% - Accent3" xfId="3" xr:uid="{00000000-0005-0000-0000-00002B000000}"/>
    <cellStyle name="20% - Accent3 2" xfId="103" xr:uid="{00000000-0005-0000-0000-00002C000000}"/>
    <cellStyle name="20% - Accent3 3" xfId="184" xr:uid="{00000000-0005-0000-0000-00002D000000}"/>
    <cellStyle name="20% - Accent3 4" xfId="185" xr:uid="{00000000-0005-0000-0000-00002E000000}"/>
    <cellStyle name="20% - Accent3 5" xfId="186" xr:uid="{00000000-0005-0000-0000-00002F000000}"/>
    <cellStyle name="20% - Accent3 6" xfId="187" xr:uid="{00000000-0005-0000-0000-000030000000}"/>
    <cellStyle name="20% - Accent3 7" xfId="188" xr:uid="{00000000-0005-0000-0000-000031000000}"/>
    <cellStyle name="20% - Accent4" xfId="4" xr:uid="{00000000-0005-0000-0000-000032000000}"/>
    <cellStyle name="20% - Accent4 2" xfId="104" xr:uid="{00000000-0005-0000-0000-000033000000}"/>
    <cellStyle name="20% - Accent4 3" xfId="189" xr:uid="{00000000-0005-0000-0000-000034000000}"/>
    <cellStyle name="20% - Accent4 4" xfId="190" xr:uid="{00000000-0005-0000-0000-000035000000}"/>
    <cellStyle name="20% - Accent4 5" xfId="191" xr:uid="{00000000-0005-0000-0000-000036000000}"/>
    <cellStyle name="20% - Accent4 6" xfId="192" xr:uid="{00000000-0005-0000-0000-000037000000}"/>
    <cellStyle name="20% - Accent4 7" xfId="193" xr:uid="{00000000-0005-0000-0000-000038000000}"/>
    <cellStyle name="20% - Accent5" xfId="5" xr:uid="{00000000-0005-0000-0000-000039000000}"/>
    <cellStyle name="20% - Accent5 2" xfId="105" xr:uid="{00000000-0005-0000-0000-00003A000000}"/>
    <cellStyle name="20% - Accent5 3" xfId="194" xr:uid="{00000000-0005-0000-0000-00003B000000}"/>
    <cellStyle name="20% - Accent5 4" xfId="195" xr:uid="{00000000-0005-0000-0000-00003C000000}"/>
    <cellStyle name="20% - Accent5 5" xfId="196" xr:uid="{00000000-0005-0000-0000-00003D000000}"/>
    <cellStyle name="20% - Accent5 6" xfId="197" xr:uid="{00000000-0005-0000-0000-00003E000000}"/>
    <cellStyle name="20% - Accent5 7" xfId="198" xr:uid="{00000000-0005-0000-0000-00003F000000}"/>
    <cellStyle name="20% - Accent6" xfId="6" xr:uid="{00000000-0005-0000-0000-000040000000}"/>
    <cellStyle name="20% - Accent6 2" xfId="106" xr:uid="{00000000-0005-0000-0000-000041000000}"/>
    <cellStyle name="20% - Accent6 3" xfId="199" xr:uid="{00000000-0005-0000-0000-000042000000}"/>
    <cellStyle name="20% - Accent6 4" xfId="200" xr:uid="{00000000-0005-0000-0000-000043000000}"/>
    <cellStyle name="20% - Accent6 5" xfId="201" xr:uid="{00000000-0005-0000-0000-000044000000}"/>
    <cellStyle name="20% - Accent6 6" xfId="202" xr:uid="{00000000-0005-0000-0000-000045000000}"/>
    <cellStyle name="20% - Accent6 7" xfId="203" xr:uid="{00000000-0005-0000-0000-000046000000}"/>
    <cellStyle name="20% - Ênfase1" xfId="7" xr:uid="{00000000-0005-0000-0000-000047000000}"/>
    <cellStyle name="20% - Ênfase1 10" xfId="5492" xr:uid="{00000000-0005-0000-0000-000048000000}"/>
    <cellStyle name="20% - Ênfase1 11" xfId="5605" xr:uid="{00000000-0005-0000-0000-000049000000}"/>
    <cellStyle name="20% - Ênfase1 12" xfId="5634" xr:uid="{00000000-0005-0000-0000-00004A000000}"/>
    <cellStyle name="20% - Ênfase1 13" xfId="5659" xr:uid="{00000000-0005-0000-0000-00004B000000}"/>
    <cellStyle name="20% - Ênfase1 14" xfId="5672" xr:uid="{00000000-0005-0000-0000-00004C000000}"/>
    <cellStyle name="20% - Ênfase1 15" xfId="5687" xr:uid="{00000000-0005-0000-0000-00004D000000}"/>
    <cellStyle name="20% - Ênfase1 16" xfId="5755" xr:uid="{00000000-0005-0000-0000-00004E000000}"/>
    <cellStyle name="20% - Ênfase1 17" xfId="5787" xr:uid="{00000000-0005-0000-0000-00004F000000}"/>
    <cellStyle name="20% - Ênfase1 17 2" xfId="16097" xr:uid="{00000000-0005-0000-0000-000050000000}"/>
    <cellStyle name="20% - Ênfase1 18" xfId="14132" xr:uid="{00000000-0005-0000-0000-000051000000}"/>
    <cellStyle name="20% - Ênfase1 2" xfId="4938" xr:uid="{00000000-0005-0000-0000-000052000000}"/>
    <cellStyle name="20% - Ênfase1 2 2" xfId="5815" xr:uid="{00000000-0005-0000-0000-000053000000}"/>
    <cellStyle name="20% - Ênfase1 2 2 2" xfId="5816" xr:uid="{00000000-0005-0000-0000-000054000000}"/>
    <cellStyle name="20% - Ênfase1 2 2 2 2" xfId="5817" xr:uid="{00000000-0005-0000-0000-000055000000}"/>
    <cellStyle name="20% - Ênfase1 2 2 2 2 2" xfId="5818" xr:uid="{00000000-0005-0000-0000-000056000000}"/>
    <cellStyle name="20% - Ênfase1 2 2 2 2 2 2" xfId="5819" xr:uid="{00000000-0005-0000-0000-000057000000}"/>
    <cellStyle name="20% - Ênfase1 2 2 2 2 2 2 2" xfId="5820" xr:uid="{00000000-0005-0000-0000-000058000000}"/>
    <cellStyle name="20% - Ênfase1 2 2 2 2 2 2 2 2" xfId="5821" xr:uid="{00000000-0005-0000-0000-000059000000}"/>
    <cellStyle name="20% - Ênfase1 2 2 2 2 2 2 2 3" xfId="14151" xr:uid="{00000000-0005-0000-0000-00005A000000}"/>
    <cellStyle name="20% - Ênfase1 2 2 2 2 2 2 3" xfId="5822" xr:uid="{00000000-0005-0000-0000-00005B000000}"/>
    <cellStyle name="20% - Ênfase1 2 2 2 2 2 3" xfId="5823" xr:uid="{00000000-0005-0000-0000-00005C000000}"/>
    <cellStyle name="20% - Ênfase1 2 2 2 2 2 3 2" xfId="5824" xr:uid="{00000000-0005-0000-0000-00005D000000}"/>
    <cellStyle name="20% - Ênfase1 2 2 2 2 2 3 2 2" xfId="14153" xr:uid="{00000000-0005-0000-0000-00005E000000}"/>
    <cellStyle name="20% - Ênfase1 2 2 2 2 2 4" xfId="14149" xr:uid="{00000000-0005-0000-0000-00005F000000}"/>
    <cellStyle name="20% - Ênfase1 2 2 2 2 3" xfId="5825" xr:uid="{00000000-0005-0000-0000-000060000000}"/>
    <cellStyle name="20% - Ênfase1 2 2 2 2 3 2" xfId="5826" xr:uid="{00000000-0005-0000-0000-000061000000}"/>
    <cellStyle name="20% - Ênfase1 2 2 2 2 3 3" xfId="14154" xr:uid="{00000000-0005-0000-0000-000062000000}"/>
    <cellStyle name="20% - Ênfase1 2 2 2 3" xfId="5827" xr:uid="{00000000-0005-0000-0000-000063000000}"/>
    <cellStyle name="20% - Ênfase1 2 2 2 4" xfId="5828" xr:uid="{00000000-0005-0000-0000-000064000000}"/>
    <cellStyle name="20% - Ênfase1 2 2 2 4 2" xfId="5829" xr:uid="{00000000-0005-0000-0000-000065000000}"/>
    <cellStyle name="20% - Ênfase1 2 2 2 4 2 2" xfId="14156" xr:uid="{00000000-0005-0000-0000-000066000000}"/>
    <cellStyle name="20% - Ênfase1 2 2 2 5" xfId="14148" xr:uid="{00000000-0005-0000-0000-000067000000}"/>
    <cellStyle name="20% - Ênfase1 2 2 3" xfId="5830" xr:uid="{00000000-0005-0000-0000-000068000000}"/>
    <cellStyle name="20% - Ênfase1 2 2 3 2" xfId="14157" xr:uid="{00000000-0005-0000-0000-000069000000}"/>
    <cellStyle name="20% - Ênfase1 2 2 4" xfId="5831" xr:uid="{00000000-0005-0000-0000-00006A000000}"/>
    <cellStyle name="20% - Ênfase1 2 2 4 2" xfId="5832" xr:uid="{00000000-0005-0000-0000-00006B000000}"/>
    <cellStyle name="20% - Ênfase1 2 2 4 3" xfId="14158" xr:uid="{00000000-0005-0000-0000-00006C000000}"/>
    <cellStyle name="20% - Ênfase1 2 3" xfId="5833" xr:uid="{00000000-0005-0000-0000-00006D000000}"/>
    <cellStyle name="20% - Ênfase1 2 4" xfId="5834" xr:uid="{00000000-0005-0000-0000-00006E000000}"/>
    <cellStyle name="20% - Ênfase1 2 5" xfId="5835" xr:uid="{00000000-0005-0000-0000-00006F000000}"/>
    <cellStyle name="20% - Ênfase1 2 6" xfId="5836" xr:uid="{00000000-0005-0000-0000-000070000000}"/>
    <cellStyle name="20% - Ênfase1 2 6 2" xfId="5837" xr:uid="{00000000-0005-0000-0000-000071000000}"/>
    <cellStyle name="20% - Ênfase1 2 6 2 2" xfId="14159" xr:uid="{00000000-0005-0000-0000-000072000000}"/>
    <cellStyle name="20% - Ênfase1 2 7" xfId="5814" xr:uid="{00000000-0005-0000-0000-000073000000}"/>
    <cellStyle name="20% - Ênfase1 2 7 2" xfId="14147" xr:uid="{00000000-0005-0000-0000-000074000000}"/>
    <cellStyle name="20% - Ênfase1 3" xfId="5209" xr:uid="{00000000-0005-0000-0000-000075000000}"/>
    <cellStyle name="20% - Ênfase1 3 2" xfId="5839" xr:uid="{00000000-0005-0000-0000-000076000000}"/>
    <cellStyle name="20% - Ênfase1 3 2 2" xfId="14161" xr:uid="{00000000-0005-0000-0000-000077000000}"/>
    <cellStyle name="20% - Ênfase1 3 3" xfId="5840" xr:uid="{00000000-0005-0000-0000-000078000000}"/>
    <cellStyle name="20% - Ênfase1 3 3 2" xfId="14162" xr:uid="{00000000-0005-0000-0000-000079000000}"/>
    <cellStyle name="20% - Ênfase1 3 4" xfId="5841" xr:uid="{00000000-0005-0000-0000-00007A000000}"/>
    <cellStyle name="20% - Ênfase1 3 4 2" xfId="14163" xr:uid="{00000000-0005-0000-0000-00007B000000}"/>
    <cellStyle name="20% - Ênfase1 3 5" xfId="5838" xr:uid="{00000000-0005-0000-0000-00007C000000}"/>
    <cellStyle name="20% - Ênfase1 3 5 2" xfId="14160" xr:uid="{00000000-0005-0000-0000-00007D000000}"/>
    <cellStyle name="20% - Ênfase1 4" xfId="5341" xr:uid="{00000000-0005-0000-0000-00007E000000}"/>
    <cellStyle name="20% - Ênfase1 4 2" xfId="5843" xr:uid="{00000000-0005-0000-0000-00007F000000}"/>
    <cellStyle name="20% - Ênfase1 4 2 2" xfId="14165" xr:uid="{00000000-0005-0000-0000-000080000000}"/>
    <cellStyle name="20% - Ênfase1 4 3" xfId="5844" xr:uid="{00000000-0005-0000-0000-000081000000}"/>
    <cellStyle name="20% - Ênfase1 4 3 2" xfId="14166" xr:uid="{00000000-0005-0000-0000-000082000000}"/>
    <cellStyle name="20% - Ênfase1 4 4" xfId="5842" xr:uid="{00000000-0005-0000-0000-000083000000}"/>
    <cellStyle name="20% - Ênfase1 4 4 2" xfId="14164" xr:uid="{00000000-0005-0000-0000-000084000000}"/>
    <cellStyle name="20% - Ênfase1 5" xfId="5370" xr:uid="{00000000-0005-0000-0000-000085000000}"/>
    <cellStyle name="20% - Ênfase1 5 2" xfId="5846" xr:uid="{00000000-0005-0000-0000-000086000000}"/>
    <cellStyle name="20% - Ênfase1 5 2 2" xfId="14168" xr:uid="{00000000-0005-0000-0000-000087000000}"/>
    <cellStyle name="20% - Ênfase1 5 3" xfId="5845" xr:uid="{00000000-0005-0000-0000-000088000000}"/>
    <cellStyle name="20% - Ênfase1 5 3 2" xfId="14167" xr:uid="{00000000-0005-0000-0000-000089000000}"/>
    <cellStyle name="20% - Ênfase1 6" xfId="5398" xr:uid="{00000000-0005-0000-0000-00008A000000}"/>
    <cellStyle name="20% - Ênfase1 6 2" xfId="5848" xr:uid="{00000000-0005-0000-0000-00008B000000}"/>
    <cellStyle name="20% - Ênfase1 6 3" xfId="7308" xr:uid="{00000000-0005-0000-0000-00008C000000}"/>
    <cellStyle name="20% - Ênfase1 6 3 2" xfId="14694" xr:uid="{00000000-0005-0000-0000-00008D000000}"/>
    <cellStyle name="20% - Ênfase1 6 4" xfId="5847" xr:uid="{00000000-0005-0000-0000-00008E000000}"/>
    <cellStyle name="20% - Ênfase1 6 4 2" xfId="14169" xr:uid="{00000000-0005-0000-0000-00008F000000}"/>
    <cellStyle name="20% - Ênfase1 7" xfId="5425" xr:uid="{00000000-0005-0000-0000-000090000000}"/>
    <cellStyle name="20% - Ênfase1 7 2" xfId="7309" xr:uid="{00000000-0005-0000-0000-000091000000}"/>
    <cellStyle name="20% - Ênfase1 7 2 2" xfId="14695" xr:uid="{00000000-0005-0000-0000-000092000000}"/>
    <cellStyle name="20% - Ênfase1 7 3" xfId="5849" xr:uid="{00000000-0005-0000-0000-000093000000}"/>
    <cellStyle name="20% - Ênfase1 7 3 2" xfId="14170" xr:uid="{00000000-0005-0000-0000-000094000000}"/>
    <cellStyle name="20% - Ênfase1 8" xfId="5450" xr:uid="{00000000-0005-0000-0000-000095000000}"/>
    <cellStyle name="20% - Ênfase1 9" xfId="5463" xr:uid="{00000000-0005-0000-0000-000096000000}"/>
    <cellStyle name="20% - Ênfase2" xfId="8" xr:uid="{00000000-0005-0000-0000-000097000000}"/>
    <cellStyle name="20% - Ênfase2 10" xfId="5493" xr:uid="{00000000-0005-0000-0000-000098000000}"/>
    <cellStyle name="20% - Ênfase2 11" xfId="5604" xr:uid="{00000000-0005-0000-0000-000099000000}"/>
    <cellStyle name="20% - Ênfase2 12" xfId="5633" xr:uid="{00000000-0005-0000-0000-00009A000000}"/>
    <cellStyle name="20% - Ênfase2 13" xfId="5658" xr:uid="{00000000-0005-0000-0000-00009B000000}"/>
    <cellStyle name="20% - Ênfase2 14" xfId="5671" xr:uid="{00000000-0005-0000-0000-00009C000000}"/>
    <cellStyle name="20% - Ênfase2 15" xfId="5688" xr:uid="{00000000-0005-0000-0000-00009D000000}"/>
    <cellStyle name="20% - Ênfase2 16" xfId="5754" xr:uid="{00000000-0005-0000-0000-00009E000000}"/>
    <cellStyle name="20% - Ênfase2 17" xfId="5791" xr:uid="{00000000-0005-0000-0000-00009F000000}"/>
    <cellStyle name="20% - Ênfase2 17 2" xfId="16099" xr:uid="{00000000-0005-0000-0000-0000A0000000}"/>
    <cellStyle name="20% - Ênfase2 18" xfId="14134" xr:uid="{00000000-0005-0000-0000-0000A1000000}"/>
    <cellStyle name="20% - Ênfase2 2" xfId="4939" xr:uid="{00000000-0005-0000-0000-0000A2000000}"/>
    <cellStyle name="20% - Ênfase2 2 2" xfId="5851" xr:uid="{00000000-0005-0000-0000-0000A3000000}"/>
    <cellStyle name="20% - Ênfase2 2 2 2" xfId="5852" xr:uid="{00000000-0005-0000-0000-0000A4000000}"/>
    <cellStyle name="20% - Ênfase2 2 2 2 2" xfId="5853" xr:uid="{00000000-0005-0000-0000-0000A5000000}"/>
    <cellStyle name="20% - Ênfase2 2 2 2 2 2" xfId="5854" xr:uid="{00000000-0005-0000-0000-0000A6000000}"/>
    <cellStyle name="20% - Ênfase2 2 2 2 2 2 2" xfId="5855" xr:uid="{00000000-0005-0000-0000-0000A7000000}"/>
    <cellStyle name="20% - Ênfase2 2 2 2 2 2 2 2" xfId="5856" xr:uid="{00000000-0005-0000-0000-0000A8000000}"/>
    <cellStyle name="20% - Ênfase2 2 2 2 2 2 2 2 2" xfId="5857" xr:uid="{00000000-0005-0000-0000-0000A9000000}"/>
    <cellStyle name="20% - Ênfase2 2 2 2 2 2 2 2 3" xfId="14175" xr:uid="{00000000-0005-0000-0000-0000AA000000}"/>
    <cellStyle name="20% - Ênfase2 2 2 2 2 2 2 3" xfId="5858" xr:uid="{00000000-0005-0000-0000-0000AB000000}"/>
    <cellStyle name="20% - Ênfase2 2 2 2 2 2 3" xfId="5859" xr:uid="{00000000-0005-0000-0000-0000AC000000}"/>
    <cellStyle name="20% - Ênfase2 2 2 2 2 2 3 2" xfId="5860" xr:uid="{00000000-0005-0000-0000-0000AD000000}"/>
    <cellStyle name="20% - Ênfase2 2 2 2 2 2 3 2 2" xfId="14176" xr:uid="{00000000-0005-0000-0000-0000AE000000}"/>
    <cellStyle name="20% - Ênfase2 2 2 2 2 2 4" xfId="14174" xr:uid="{00000000-0005-0000-0000-0000AF000000}"/>
    <cellStyle name="20% - Ênfase2 2 2 2 2 3" xfId="5861" xr:uid="{00000000-0005-0000-0000-0000B0000000}"/>
    <cellStyle name="20% - Ênfase2 2 2 2 2 3 2" xfId="5862" xr:uid="{00000000-0005-0000-0000-0000B1000000}"/>
    <cellStyle name="20% - Ênfase2 2 2 2 2 3 3" xfId="14177" xr:uid="{00000000-0005-0000-0000-0000B2000000}"/>
    <cellStyle name="20% - Ênfase2 2 2 2 3" xfId="5863" xr:uid="{00000000-0005-0000-0000-0000B3000000}"/>
    <cellStyle name="20% - Ênfase2 2 2 2 4" xfId="5864" xr:uid="{00000000-0005-0000-0000-0000B4000000}"/>
    <cellStyle name="20% - Ênfase2 2 2 2 4 2" xfId="5865" xr:uid="{00000000-0005-0000-0000-0000B5000000}"/>
    <cellStyle name="20% - Ênfase2 2 2 2 4 2 2" xfId="14178" xr:uid="{00000000-0005-0000-0000-0000B6000000}"/>
    <cellStyle name="20% - Ênfase2 2 2 2 5" xfId="14173" xr:uid="{00000000-0005-0000-0000-0000B7000000}"/>
    <cellStyle name="20% - Ênfase2 2 2 3" xfId="5866" xr:uid="{00000000-0005-0000-0000-0000B8000000}"/>
    <cellStyle name="20% - Ênfase2 2 2 3 2" xfId="14179" xr:uid="{00000000-0005-0000-0000-0000B9000000}"/>
    <cellStyle name="20% - Ênfase2 2 2 4" xfId="5867" xr:uid="{00000000-0005-0000-0000-0000BA000000}"/>
    <cellStyle name="20% - Ênfase2 2 2 4 2" xfId="5868" xr:uid="{00000000-0005-0000-0000-0000BB000000}"/>
    <cellStyle name="20% - Ênfase2 2 2 4 3" xfId="14180" xr:uid="{00000000-0005-0000-0000-0000BC000000}"/>
    <cellStyle name="20% - Ênfase2 2 3" xfId="5869" xr:uid="{00000000-0005-0000-0000-0000BD000000}"/>
    <cellStyle name="20% - Ênfase2 2 4" xfId="5870" xr:uid="{00000000-0005-0000-0000-0000BE000000}"/>
    <cellStyle name="20% - Ênfase2 2 5" xfId="5871" xr:uid="{00000000-0005-0000-0000-0000BF000000}"/>
    <cellStyle name="20% - Ênfase2 2 6" xfId="5872" xr:uid="{00000000-0005-0000-0000-0000C0000000}"/>
    <cellStyle name="20% - Ênfase2 2 6 2" xfId="5873" xr:uid="{00000000-0005-0000-0000-0000C1000000}"/>
    <cellStyle name="20% - Ênfase2 2 6 2 2" xfId="14181" xr:uid="{00000000-0005-0000-0000-0000C2000000}"/>
    <cellStyle name="20% - Ênfase2 2 7" xfId="5850" xr:uid="{00000000-0005-0000-0000-0000C3000000}"/>
    <cellStyle name="20% - Ênfase2 2 7 2" xfId="14171" xr:uid="{00000000-0005-0000-0000-0000C4000000}"/>
    <cellStyle name="20% - Ênfase2 3" xfId="5210" xr:uid="{00000000-0005-0000-0000-0000C5000000}"/>
    <cellStyle name="20% - Ênfase2 3 2" xfId="5875" xr:uid="{00000000-0005-0000-0000-0000C6000000}"/>
    <cellStyle name="20% - Ênfase2 3 2 2" xfId="14183" xr:uid="{00000000-0005-0000-0000-0000C7000000}"/>
    <cellStyle name="20% - Ênfase2 3 3" xfId="5876" xr:uid="{00000000-0005-0000-0000-0000C8000000}"/>
    <cellStyle name="20% - Ênfase2 3 3 2" xfId="14184" xr:uid="{00000000-0005-0000-0000-0000C9000000}"/>
    <cellStyle name="20% - Ênfase2 3 4" xfId="5877" xr:uid="{00000000-0005-0000-0000-0000CA000000}"/>
    <cellStyle name="20% - Ênfase2 3 4 2" xfId="14185" xr:uid="{00000000-0005-0000-0000-0000CB000000}"/>
    <cellStyle name="20% - Ênfase2 3 5" xfId="5874" xr:uid="{00000000-0005-0000-0000-0000CC000000}"/>
    <cellStyle name="20% - Ênfase2 3 5 2" xfId="14182" xr:uid="{00000000-0005-0000-0000-0000CD000000}"/>
    <cellStyle name="20% - Ênfase2 4" xfId="5340" xr:uid="{00000000-0005-0000-0000-0000CE000000}"/>
    <cellStyle name="20% - Ênfase2 4 2" xfId="5879" xr:uid="{00000000-0005-0000-0000-0000CF000000}"/>
    <cellStyle name="20% - Ênfase2 4 2 2" xfId="14187" xr:uid="{00000000-0005-0000-0000-0000D0000000}"/>
    <cellStyle name="20% - Ênfase2 4 3" xfId="5880" xr:uid="{00000000-0005-0000-0000-0000D1000000}"/>
    <cellStyle name="20% - Ênfase2 4 3 2" xfId="14188" xr:uid="{00000000-0005-0000-0000-0000D2000000}"/>
    <cellStyle name="20% - Ênfase2 4 4" xfId="5878" xr:uid="{00000000-0005-0000-0000-0000D3000000}"/>
    <cellStyle name="20% - Ênfase2 4 4 2" xfId="14186" xr:uid="{00000000-0005-0000-0000-0000D4000000}"/>
    <cellStyle name="20% - Ênfase2 5" xfId="5369" xr:uid="{00000000-0005-0000-0000-0000D5000000}"/>
    <cellStyle name="20% - Ênfase2 5 2" xfId="5882" xr:uid="{00000000-0005-0000-0000-0000D6000000}"/>
    <cellStyle name="20% - Ênfase2 5 2 2" xfId="14190" xr:uid="{00000000-0005-0000-0000-0000D7000000}"/>
    <cellStyle name="20% - Ênfase2 5 3" xfId="5881" xr:uid="{00000000-0005-0000-0000-0000D8000000}"/>
    <cellStyle name="20% - Ênfase2 5 3 2" xfId="14189" xr:uid="{00000000-0005-0000-0000-0000D9000000}"/>
    <cellStyle name="20% - Ênfase2 6" xfId="5397" xr:uid="{00000000-0005-0000-0000-0000DA000000}"/>
    <cellStyle name="20% - Ênfase2 6 2" xfId="5884" xr:uid="{00000000-0005-0000-0000-0000DB000000}"/>
    <cellStyle name="20% - Ênfase2 6 3" xfId="7310" xr:uid="{00000000-0005-0000-0000-0000DC000000}"/>
    <cellStyle name="20% - Ênfase2 6 3 2" xfId="14696" xr:uid="{00000000-0005-0000-0000-0000DD000000}"/>
    <cellStyle name="20% - Ênfase2 6 4" xfId="5883" xr:uid="{00000000-0005-0000-0000-0000DE000000}"/>
    <cellStyle name="20% - Ênfase2 6 4 2" xfId="14191" xr:uid="{00000000-0005-0000-0000-0000DF000000}"/>
    <cellStyle name="20% - Ênfase2 7" xfId="5424" xr:uid="{00000000-0005-0000-0000-0000E0000000}"/>
    <cellStyle name="20% - Ênfase2 7 2" xfId="7311" xr:uid="{00000000-0005-0000-0000-0000E1000000}"/>
    <cellStyle name="20% - Ênfase2 7 2 2" xfId="14697" xr:uid="{00000000-0005-0000-0000-0000E2000000}"/>
    <cellStyle name="20% - Ênfase2 7 3" xfId="5885" xr:uid="{00000000-0005-0000-0000-0000E3000000}"/>
    <cellStyle name="20% - Ênfase2 7 3 2" xfId="14192" xr:uid="{00000000-0005-0000-0000-0000E4000000}"/>
    <cellStyle name="20% - Ênfase2 8" xfId="5449" xr:uid="{00000000-0005-0000-0000-0000E5000000}"/>
    <cellStyle name="20% - Ênfase2 9" xfId="5462" xr:uid="{00000000-0005-0000-0000-0000E6000000}"/>
    <cellStyle name="20% - Ênfase3" xfId="9" xr:uid="{00000000-0005-0000-0000-0000E7000000}"/>
    <cellStyle name="20% - Ênfase3 10" xfId="5494" xr:uid="{00000000-0005-0000-0000-0000E8000000}"/>
    <cellStyle name="20% - Ênfase3 11" xfId="5603" xr:uid="{00000000-0005-0000-0000-0000E9000000}"/>
    <cellStyle name="20% - Ênfase3 12" xfId="5632" xr:uid="{00000000-0005-0000-0000-0000EA000000}"/>
    <cellStyle name="20% - Ênfase3 13" xfId="5657" xr:uid="{00000000-0005-0000-0000-0000EB000000}"/>
    <cellStyle name="20% - Ênfase3 14" xfId="5670" xr:uid="{00000000-0005-0000-0000-0000EC000000}"/>
    <cellStyle name="20% - Ênfase3 15" xfId="5689" xr:uid="{00000000-0005-0000-0000-0000ED000000}"/>
    <cellStyle name="20% - Ênfase3 16" xfId="5753" xr:uid="{00000000-0005-0000-0000-0000EE000000}"/>
    <cellStyle name="20% - Ênfase3 17" xfId="5795" xr:uid="{00000000-0005-0000-0000-0000EF000000}"/>
    <cellStyle name="20% - Ênfase3 17 2" xfId="16101" xr:uid="{00000000-0005-0000-0000-0000F0000000}"/>
    <cellStyle name="20% - Ênfase3 18" xfId="14136" xr:uid="{00000000-0005-0000-0000-0000F1000000}"/>
    <cellStyle name="20% - Ênfase3 2" xfId="4940" xr:uid="{00000000-0005-0000-0000-0000F2000000}"/>
    <cellStyle name="20% - Ênfase3 2 2" xfId="5887" xr:uid="{00000000-0005-0000-0000-0000F3000000}"/>
    <cellStyle name="20% - Ênfase3 2 2 2" xfId="5888" xr:uid="{00000000-0005-0000-0000-0000F4000000}"/>
    <cellStyle name="20% - Ênfase3 2 2 2 2" xfId="5889" xr:uid="{00000000-0005-0000-0000-0000F5000000}"/>
    <cellStyle name="20% - Ênfase3 2 2 2 2 2" xfId="5890" xr:uid="{00000000-0005-0000-0000-0000F6000000}"/>
    <cellStyle name="20% - Ênfase3 2 2 2 2 2 2" xfId="5891" xr:uid="{00000000-0005-0000-0000-0000F7000000}"/>
    <cellStyle name="20% - Ênfase3 2 2 2 2 2 2 2" xfId="5892" xr:uid="{00000000-0005-0000-0000-0000F8000000}"/>
    <cellStyle name="20% - Ênfase3 2 2 2 2 2 2 2 2" xfId="5893" xr:uid="{00000000-0005-0000-0000-0000F9000000}"/>
    <cellStyle name="20% - Ênfase3 2 2 2 2 2 2 2 3" xfId="14197" xr:uid="{00000000-0005-0000-0000-0000FA000000}"/>
    <cellStyle name="20% - Ênfase3 2 2 2 2 2 2 3" xfId="5894" xr:uid="{00000000-0005-0000-0000-0000FB000000}"/>
    <cellStyle name="20% - Ênfase3 2 2 2 2 2 3" xfId="5895" xr:uid="{00000000-0005-0000-0000-0000FC000000}"/>
    <cellStyle name="20% - Ênfase3 2 2 2 2 2 3 2" xfId="5896" xr:uid="{00000000-0005-0000-0000-0000FD000000}"/>
    <cellStyle name="20% - Ênfase3 2 2 2 2 2 3 2 2" xfId="14200" xr:uid="{00000000-0005-0000-0000-0000FE000000}"/>
    <cellStyle name="20% - Ênfase3 2 2 2 2 2 4" xfId="14196" xr:uid="{00000000-0005-0000-0000-0000FF000000}"/>
    <cellStyle name="20% - Ênfase3 2 2 2 2 3" xfId="5897" xr:uid="{00000000-0005-0000-0000-000000010000}"/>
    <cellStyle name="20% - Ênfase3 2 2 2 2 3 2" xfId="5898" xr:uid="{00000000-0005-0000-0000-000001010000}"/>
    <cellStyle name="20% - Ênfase3 2 2 2 2 3 3" xfId="14201" xr:uid="{00000000-0005-0000-0000-000002010000}"/>
    <cellStyle name="20% - Ênfase3 2 2 2 3" xfId="5899" xr:uid="{00000000-0005-0000-0000-000003010000}"/>
    <cellStyle name="20% - Ênfase3 2 2 2 4" xfId="5900" xr:uid="{00000000-0005-0000-0000-000004010000}"/>
    <cellStyle name="20% - Ênfase3 2 2 2 4 2" xfId="5901" xr:uid="{00000000-0005-0000-0000-000005010000}"/>
    <cellStyle name="20% - Ênfase3 2 2 2 4 2 2" xfId="14203" xr:uid="{00000000-0005-0000-0000-000006010000}"/>
    <cellStyle name="20% - Ênfase3 2 2 2 5" xfId="14195" xr:uid="{00000000-0005-0000-0000-000007010000}"/>
    <cellStyle name="20% - Ênfase3 2 2 3" xfId="5902" xr:uid="{00000000-0005-0000-0000-000008010000}"/>
    <cellStyle name="20% - Ênfase3 2 2 3 2" xfId="14204" xr:uid="{00000000-0005-0000-0000-000009010000}"/>
    <cellStyle name="20% - Ênfase3 2 2 4" xfId="5903" xr:uid="{00000000-0005-0000-0000-00000A010000}"/>
    <cellStyle name="20% - Ênfase3 2 2 4 2" xfId="5904" xr:uid="{00000000-0005-0000-0000-00000B010000}"/>
    <cellStyle name="20% - Ênfase3 2 2 4 3" xfId="14205" xr:uid="{00000000-0005-0000-0000-00000C010000}"/>
    <cellStyle name="20% - Ênfase3 2 3" xfId="5905" xr:uid="{00000000-0005-0000-0000-00000D010000}"/>
    <cellStyle name="20% - Ênfase3 2 4" xfId="5906" xr:uid="{00000000-0005-0000-0000-00000E010000}"/>
    <cellStyle name="20% - Ênfase3 2 5" xfId="5907" xr:uid="{00000000-0005-0000-0000-00000F010000}"/>
    <cellStyle name="20% - Ênfase3 2 6" xfId="5908" xr:uid="{00000000-0005-0000-0000-000010010000}"/>
    <cellStyle name="20% - Ênfase3 2 6 2" xfId="5909" xr:uid="{00000000-0005-0000-0000-000011010000}"/>
    <cellStyle name="20% - Ênfase3 2 6 2 2" xfId="14207" xr:uid="{00000000-0005-0000-0000-000012010000}"/>
    <cellStyle name="20% - Ênfase3 2 7" xfId="5886" xr:uid="{00000000-0005-0000-0000-000013010000}"/>
    <cellStyle name="20% - Ênfase3 2 7 2" xfId="14193" xr:uid="{00000000-0005-0000-0000-000014010000}"/>
    <cellStyle name="20% - Ênfase3 3" xfId="5211" xr:uid="{00000000-0005-0000-0000-000015010000}"/>
    <cellStyle name="20% - Ênfase3 3 2" xfId="5911" xr:uid="{00000000-0005-0000-0000-000016010000}"/>
    <cellStyle name="20% - Ênfase3 3 2 2" xfId="14209" xr:uid="{00000000-0005-0000-0000-000017010000}"/>
    <cellStyle name="20% - Ênfase3 3 3" xfId="5912" xr:uid="{00000000-0005-0000-0000-000018010000}"/>
    <cellStyle name="20% - Ênfase3 3 3 2" xfId="14210" xr:uid="{00000000-0005-0000-0000-000019010000}"/>
    <cellStyle name="20% - Ênfase3 3 4" xfId="5913" xr:uid="{00000000-0005-0000-0000-00001A010000}"/>
    <cellStyle name="20% - Ênfase3 3 4 2" xfId="14211" xr:uid="{00000000-0005-0000-0000-00001B010000}"/>
    <cellStyle name="20% - Ênfase3 3 5" xfId="5910" xr:uid="{00000000-0005-0000-0000-00001C010000}"/>
    <cellStyle name="20% - Ênfase3 3 5 2" xfId="14208" xr:uid="{00000000-0005-0000-0000-00001D010000}"/>
    <cellStyle name="20% - Ênfase3 4" xfId="5339" xr:uid="{00000000-0005-0000-0000-00001E010000}"/>
    <cellStyle name="20% - Ênfase3 4 2" xfId="5915" xr:uid="{00000000-0005-0000-0000-00001F010000}"/>
    <cellStyle name="20% - Ênfase3 4 2 2" xfId="14213" xr:uid="{00000000-0005-0000-0000-000020010000}"/>
    <cellStyle name="20% - Ênfase3 4 3" xfId="5916" xr:uid="{00000000-0005-0000-0000-000021010000}"/>
    <cellStyle name="20% - Ênfase3 4 3 2" xfId="14214" xr:uid="{00000000-0005-0000-0000-000022010000}"/>
    <cellStyle name="20% - Ênfase3 4 4" xfId="5914" xr:uid="{00000000-0005-0000-0000-000023010000}"/>
    <cellStyle name="20% - Ênfase3 4 4 2" xfId="14212" xr:uid="{00000000-0005-0000-0000-000024010000}"/>
    <cellStyle name="20% - Ênfase3 5" xfId="5368" xr:uid="{00000000-0005-0000-0000-000025010000}"/>
    <cellStyle name="20% - Ênfase3 5 2" xfId="5918" xr:uid="{00000000-0005-0000-0000-000026010000}"/>
    <cellStyle name="20% - Ênfase3 5 2 2" xfId="14216" xr:uid="{00000000-0005-0000-0000-000027010000}"/>
    <cellStyle name="20% - Ênfase3 5 3" xfId="5917" xr:uid="{00000000-0005-0000-0000-000028010000}"/>
    <cellStyle name="20% - Ênfase3 5 3 2" xfId="14215" xr:uid="{00000000-0005-0000-0000-000029010000}"/>
    <cellStyle name="20% - Ênfase3 6" xfId="5396" xr:uid="{00000000-0005-0000-0000-00002A010000}"/>
    <cellStyle name="20% - Ênfase3 6 2" xfId="5920" xr:uid="{00000000-0005-0000-0000-00002B010000}"/>
    <cellStyle name="20% - Ênfase3 6 3" xfId="7312" xr:uid="{00000000-0005-0000-0000-00002C010000}"/>
    <cellStyle name="20% - Ênfase3 6 3 2" xfId="14698" xr:uid="{00000000-0005-0000-0000-00002D010000}"/>
    <cellStyle name="20% - Ênfase3 6 4" xfId="5919" xr:uid="{00000000-0005-0000-0000-00002E010000}"/>
    <cellStyle name="20% - Ênfase3 6 4 2" xfId="14217" xr:uid="{00000000-0005-0000-0000-00002F010000}"/>
    <cellStyle name="20% - Ênfase3 7" xfId="5423" xr:uid="{00000000-0005-0000-0000-000030010000}"/>
    <cellStyle name="20% - Ênfase3 7 2" xfId="7313" xr:uid="{00000000-0005-0000-0000-000031010000}"/>
    <cellStyle name="20% - Ênfase3 7 2 2" xfId="14699" xr:uid="{00000000-0005-0000-0000-000032010000}"/>
    <cellStyle name="20% - Ênfase3 7 3" xfId="5921" xr:uid="{00000000-0005-0000-0000-000033010000}"/>
    <cellStyle name="20% - Ênfase3 7 3 2" xfId="14218" xr:uid="{00000000-0005-0000-0000-000034010000}"/>
    <cellStyle name="20% - Ênfase3 8" xfId="5448" xr:uid="{00000000-0005-0000-0000-000035010000}"/>
    <cellStyle name="20% - Ênfase3 9" xfId="5461" xr:uid="{00000000-0005-0000-0000-000036010000}"/>
    <cellStyle name="20% - Ênfase4" xfId="10" xr:uid="{00000000-0005-0000-0000-000037010000}"/>
    <cellStyle name="20% - Ênfase4 10" xfId="5495" xr:uid="{00000000-0005-0000-0000-000038010000}"/>
    <cellStyle name="20% - Ênfase4 11" xfId="5602" xr:uid="{00000000-0005-0000-0000-000039010000}"/>
    <cellStyle name="20% - Ênfase4 12" xfId="5631" xr:uid="{00000000-0005-0000-0000-00003A010000}"/>
    <cellStyle name="20% - Ênfase4 13" xfId="5656" xr:uid="{00000000-0005-0000-0000-00003B010000}"/>
    <cellStyle name="20% - Ênfase4 14" xfId="5669" xr:uid="{00000000-0005-0000-0000-00003C010000}"/>
    <cellStyle name="20% - Ênfase4 15" xfId="5690" xr:uid="{00000000-0005-0000-0000-00003D010000}"/>
    <cellStyle name="20% - Ênfase4 16" xfId="5752" xr:uid="{00000000-0005-0000-0000-00003E010000}"/>
    <cellStyle name="20% - Ênfase4 17" xfId="5799" xr:uid="{00000000-0005-0000-0000-00003F010000}"/>
    <cellStyle name="20% - Ênfase4 17 2" xfId="16103" xr:uid="{00000000-0005-0000-0000-000040010000}"/>
    <cellStyle name="20% - Ênfase4 18" xfId="14138" xr:uid="{00000000-0005-0000-0000-000041010000}"/>
    <cellStyle name="20% - Ênfase4 2" xfId="4941" xr:uid="{00000000-0005-0000-0000-000042010000}"/>
    <cellStyle name="20% - Ênfase4 2 2" xfId="5923" xr:uid="{00000000-0005-0000-0000-000043010000}"/>
    <cellStyle name="20% - Ênfase4 2 2 2" xfId="5924" xr:uid="{00000000-0005-0000-0000-000044010000}"/>
    <cellStyle name="20% - Ênfase4 2 2 2 2" xfId="5925" xr:uid="{00000000-0005-0000-0000-000045010000}"/>
    <cellStyle name="20% - Ênfase4 2 2 2 2 2" xfId="5926" xr:uid="{00000000-0005-0000-0000-000046010000}"/>
    <cellStyle name="20% - Ênfase4 2 2 2 2 2 2" xfId="5927" xr:uid="{00000000-0005-0000-0000-000047010000}"/>
    <cellStyle name="20% - Ênfase4 2 2 2 2 2 2 2" xfId="5928" xr:uid="{00000000-0005-0000-0000-000048010000}"/>
    <cellStyle name="20% - Ênfase4 2 2 2 2 2 2 2 2" xfId="5929" xr:uid="{00000000-0005-0000-0000-000049010000}"/>
    <cellStyle name="20% - Ênfase4 2 2 2 2 2 2 2 3" xfId="14223" xr:uid="{00000000-0005-0000-0000-00004A010000}"/>
    <cellStyle name="20% - Ênfase4 2 2 2 2 2 2 3" xfId="5930" xr:uid="{00000000-0005-0000-0000-00004B010000}"/>
    <cellStyle name="20% - Ênfase4 2 2 2 2 2 3" xfId="5931" xr:uid="{00000000-0005-0000-0000-00004C010000}"/>
    <cellStyle name="20% - Ênfase4 2 2 2 2 2 3 2" xfId="5932" xr:uid="{00000000-0005-0000-0000-00004D010000}"/>
    <cellStyle name="20% - Ênfase4 2 2 2 2 2 3 2 2" xfId="14224" xr:uid="{00000000-0005-0000-0000-00004E010000}"/>
    <cellStyle name="20% - Ênfase4 2 2 2 2 2 4" xfId="14221" xr:uid="{00000000-0005-0000-0000-00004F010000}"/>
    <cellStyle name="20% - Ênfase4 2 2 2 2 3" xfId="5933" xr:uid="{00000000-0005-0000-0000-000050010000}"/>
    <cellStyle name="20% - Ênfase4 2 2 2 2 3 2" xfId="5934" xr:uid="{00000000-0005-0000-0000-000051010000}"/>
    <cellStyle name="20% - Ênfase4 2 2 2 2 3 3" xfId="14225" xr:uid="{00000000-0005-0000-0000-000052010000}"/>
    <cellStyle name="20% - Ênfase4 2 2 2 3" xfId="5935" xr:uid="{00000000-0005-0000-0000-000053010000}"/>
    <cellStyle name="20% - Ênfase4 2 2 2 4" xfId="5936" xr:uid="{00000000-0005-0000-0000-000054010000}"/>
    <cellStyle name="20% - Ênfase4 2 2 2 4 2" xfId="5937" xr:uid="{00000000-0005-0000-0000-000055010000}"/>
    <cellStyle name="20% - Ênfase4 2 2 2 4 2 2" xfId="14226" xr:uid="{00000000-0005-0000-0000-000056010000}"/>
    <cellStyle name="20% - Ênfase4 2 2 2 5" xfId="14220" xr:uid="{00000000-0005-0000-0000-000057010000}"/>
    <cellStyle name="20% - Ênfase4 2 2 3" xfId="5938" xr:uid="{00000000-0005-0000-0000-000058010000}"/>
    <cellStyle name="20% - Ênfase4 2 2 3 2" xfId="14227" xr:uid="{00000000-0005-0000-0000-000059010000}"/>
    <cellStyle name="20% - Ênfase4 2 2 4" xfId="5939" xr:uid="{00000000-0005-0000-0000-00005A010000}"/>
    <cellStyle name="20% - Ênfase4 2 2 4 2" xfId="5940" xr:uid="{00000000-0005-0000-0000-00005B010000}"/>
    <cellStyle name="20% - Ênfase4 2 2 4 3" xfId="14228" xr:uid="{00000000-0005-0000-0000-00005C010000}"/>
    <cellStyle name="20% - Ênfase4 2 3" xfId="5941" xr:uid="{00000000-0005-0000-0000-00005D010000}"/>
    <cellStyle name="20% - Ênfase4 2 4" xfId="5942" xr:uid="{00000000-0005-0000-0000-00005E010000}"/>
    <cellStyle name="20% - Ênfase4 2 5" xfId="5943" xr:uid="{00000000-0005-0000-0000-00005F010000}"/>
    <cellStyle name="20% - Ênfase4 2 6" xfId="5944" xr:uid="{00000000-0005-0000-0000-000060010000}"/>
    <cellStyle name="20% - Ênfase4 2 6 2" xfId="5945" xr:uid="{00000000-0005-0000-0000-000061010000}"/>
    <cellStyle name="20% - Ênfase4 2 6 2 2" xfId="14229" xr:uid="{00000000-0005-0000-0000-000062010000}"/>
    <cellStyle name="20% - Ênfase4 2 7" xfId="5922" xr:uid="{00000000-0005-0000-0000-000063010000}"/>
    <cellStyle name="20% - Ênfase4 2 7 2" xfId="14219" xr:uid="{00000000-0005-0000-0000-000064010000}"/>
    <cellStyle name="20% - Ênfase4 3" xfId="5212" xr:uid="{00000000-0005-0000-0000-000065010000}"/>
    <cellStyle name="20% - Ênfase4 3 2" xfId="5947" xr:uid="{00000000-0005-0000-0000-000066010000}"/>
    <cellStyle name="20% - Ênfase4 3 2 2" xfId="14231" xr:uid="{00000000-0005-0000-0000-000067010000}"/>
    <cellStyle name="20% - Ênfase4 3 3" xfId="5948" xr:uid="{00000000-0005-0000-0000-000068010000}"/>
    <cellStyle name="20% - Ênfase4 3 3 2" xfId="14232" xr:uid="{00000000-0005-0000-0000-000069010000}"/>
    <cellStyle name="20% - Ênfase4 3 4" xfId="5949" xr:uid="{00000000-0005-0000-0000-00006A010000}"/>
    <cellStyle name="20% - Ênfase4 3 4 2" xfId="14233" xr:uid="{00000000-0005-0000-0000-00006B010000}"/>
    <cellStyle name="20% - Ênfase4 3 5" xfId="5946" xr:uid="{00000000-0005-0000-0000-00006C010000}"/>
    <cellStyle name="20% - Ênfase4 3 5 2" xfId="14230" xr:uid="{00000000-0005-0000-0000-00006D010000}"/>
    <cellStyle name="20% - Ênfase4 4" xfId="5338" xr:uid="{00000000-0005-0000-0000-00006E010000}"/>
    <cellStyle name="20% - Ênfase4 4 2" xfId="5951" xr:uid="{00000000-0005-0000-0000-00006F010000}"/>
    <cellStyle name="20% - Ênfase4 4 2 2" xfId="14235" xr:uid="{00000000-0005-0000-0000-000070010000}"/>
    <cellStyle name="20% - Ênfase4 4 3" xfId="5952" xr:uid="{00000000-0005-0000-0000-000071010000}"/>
    <cellStyle name="20% - Ênfase4 4 3 2" xfId="14236" xr:uid="{00000000-0005-0000-0000-000072010000}"/>
    <cellStyle name="20% - Ênfase4 4 4" xfId="5950" xr:uid="{00000000-0005-0000-0000-000073010000}"/>
    <cellStyle name="20% - Ênfase4 4 4 2" xfId="14234" xr:uid="{00000000-0005-0000-0000-000074010000}"/>
    <cellStyle name="20% - Ênfase4 5" xfId="5367" xr:uid="{00000000-0005-0000-0000-000075010000}"/>
    <cellStyle name="20% - Ênfase4 5 2" xfId="5954" xr:uid="{00000000-0005-0000-0000-000076010000}"/>
    <cellStyle name="20% - Ênfase4 5 2 2" xfId="14238" xr:uid="{00000000-0005-0000-0000-000077010000}"/>
    <cellStyle name="20% - Ênfase4 5 3" xfId="5953" xr:uid="{00000000-0005-0000-0000-000078010000}"/>
    <cellStyle name="20% - Ênfase4 5 3 2" xfId="14237" xr:uid="{00000000-0005-0000-0000-000079010000}"/>
    <cellStyle name="20% - Ênfase4 6" xfId="5395" xr:uid="{00000000-0005-0000-0000-00007A010000}"/>
    <cellStyle name="20% - Ênfase4 6 2" xfId="5956" xr:uid="{00000000-0005-0000-0000-00007B010000}"/>
    <cellStyle name="20% - Ênfase4 6 3" xfId="7314" xr:uid="{00000000-0005-0000-0000-00007C010000}"/>
    <cellStyle name="20% - Ênfase4 6 3 2" xfId="14700" xr:uid="{00000000-0005-0000-0000-00007D010000}"/>
    <cellStyle name="20% - Ênfase4 6 4" xfId="5955" xr:uid="{00000000-0005-0000-0000-00007E010000}"/>
    <cellStyle name="20% - Ênfase4 6 4 2" xfId="14239" xr:uid="{00000000-0005-0000-0000-00007F010000}"/>
    <cellStyle name="20% - Ênfase4 7" xfId="5422" xr:uid="{00000000-0005-0000-0000-000080010000}"/>
    <cellStyle name="20% - Ênfase4 7 2" xfId="7315" xr:uid="{00000000-0005-0000-0000-000081010000}"/>
    <cellStyle name="20% - Ênfase4 7 2 2" xfId="14701" xr:uid="{00000000-0005-0000-0000-000082010000}"/>
    <cellStyle name="20% - Ênfase4 7 3" xfId="5957" xr:uid="{00000000-0005-0000-0000-000083010000}"/>
    <cellStyle name="20% - Ênfase4 7 3 2" xfId="14240" xr:uid="{00000000-0005-0000-0000-000084010000}"/>
    <cellStyle name="20% - Ênfase4 8" xfId="5447" xr:uid="{00000000-0005-0000-0000-000085010000}"/>
    <cellStyle name="20% - Ênfase4 9" xfId="5460" xr:uid="{00000000-0005-0000-0000-000086010000}"/>
    <cellStyle name="20% - Ênfase5" xfId="11" xr:uid="{00000000-0005-0000-0000-000087010000}"/>
    <cellStyle name="20% - Ênfase5 10" xfId="5496" xr:uid="{00000000-0005-0000-0000-000088010000}"/>
    <cellStyle name="20% - Ênfase5 11" xfId="5601" xr:uid="{00000000-0005-0000-0000-000089010000}"/>
    <cellStyle name="20% - Ênfase5 12" xfId="5630" xr:uid="{00000000-0005-0000-0000-00008A010000}"/>
    <cellStyle name="20% - Ênfase5 13" xfId="5655" xr:uid="{00000000-0005-0000-0000-00008B010000}"/>
    <cellStyle name="20% - Ênfase5 14" xfId="5668" xr:uid="{00000000-0005-0000-0000-00008C010000}"/>
    <cellStyle name="20% - Ênfase5 15" xfId="5691" xr:uid="{00000000-0005-0000-0000-00008D010000}"/>
    <cellStyle name="20% - Ênfase5 16" xfId="5751" xr:uid="{00000000-0005-0000-0000-00008E010000}"/>
    <cellStyle name="20% - Ênfase5 17" xfId="5803" xr:uid="{00000000-0005-0000-0000-00008F010000}"/>
    <cellStyle name="20% - Ênfase5 17 2" xfId="16105" xr:uid="{00000000-0005-0000-0000-000090010000}"/>
    <cellStyle name="20% - Ênfase5 18" xfId="14141" xr:uid="{00000000-0005-0000-0000-000091010000}"/>
    <cellStyle name="20% - Ênfase5 2" xfId="4942" xr:uid="{00000000-0005-0000-0000-000092010000}"/>
    <cellStyle name="20% - Ênfase5 2 2" xfId="5959" xr:uid="{00000000-0005-0000-0000-000093010000}"/>
    <cellStyle name="20% - Ênfase5 2 2 2" xfId="5960" xr:uid="{00000000-0005-0000-0000-000094010000}"/>
    <cellStyle name="20% - Ênfase5 2 2 2 2" xfId="5961" xr:uid="{00000000-0005-0000-0000-000095010000}"/>
    <cellStyle name="20% - Ênfase5 2 2 2 2 2" xfId="5962" xr:uid="{00000000-0005-0000-0000-000096010000}"/>
    <cellStyle name="20% - Ênfase5 2 2 2 2 2 2" xfId="5963" xr:uid="{00000000-0005-0000-0000-000097010000}"/>
    <cellStyle name="20% - Ênfase5 2 2 2 2 2 2 2" xfId="5964" xr:uid="{00000000-0005-0000-0000-000098010000}"/>
    <cellStyle name="20% - Ênfase5 2 2 2 2 2 2 2 2" xfId="5965" xr:uid="{00000000-0005-0000-0000-000099010000}"/>
    <cellStyle name="20% - Ênfase5 2 2 2 2 2 2 2 3" xfId="14244" xr:uid="{00000000-0005-0000-0000-00009A010000}"/>
    <cellStyle name="20% - Ênfase5 2 2 2 2 2 2 3" xfId="5966" xr:uid="{00000000-0005-0000-0000-00009B010000}"/>
    <cellStyle name="20% - Ênfase5 2 2 2 2 2 3" xfId="5967" xr:uid="{00000000-0005-0000-0000-00009C010000}"/>
    <cellStyle name="20% - Ênfase5 2 2 2 2 2 3 2" xfId="5968" xr:uid="{00000000-0005-0000-0000-00009D010000}"/>
    <cellStyle name="20% - Ênfase5 2 2 2 2 2 3 2 2" xfId="14245" xr:uid="{00000000-0005-0000-0000-00009E010000}"/>
    <cellStyle name="20% - Ênfase5 2 2 2 2 2 4" xfId="14243" xr:uid="{00000000-0005-0000-0000-00009F010000}"/>
    <cellStyle name="20% - Ênfase5 2 2 2 2 3" xfId="5969" xr:uid="{00000000-0005-0000-0000-0000A0010000}"/>
    <cellStyle name="20% - Ênfase5 2 2 2 2 3 2" xfId="5970" xr:uid="{00000000-0005-0000-0000-0000A1010000}"/>
    <cellStyle name="20% - Ênfase5 2 2 2 2 3 3" xfId="14246" xr:uid="{00000000-0005-0000-0000-0000A2010000}"/>
    <cellStyle name="20% - Ênfase5 2 2 2 3" xfId="5971" xr:uid="{00000000-0005-0000-0000-0000A3010000}"/>
    <cellStyle name="20% - Ênfase5 2 2 2 4" xfId="5972" xr:uid="{00000000-0005-0000-0000-0000A4010000}"/>
    <cellStyle name="20% - Ênfase5 2 2 2 4 2" xfId="5973" xr:uid="{00000000-0005-0000-0000-0000A5010000}"/>
    <cellStyle name="20% - Ênfase5 2 2 2 4 2 2" xfId="14247" xr:uid="{00000000-0005-0000-0000-0000A6010000}"/>
    <cellStyle name="20% - Ênfase5 2 2 2 5" xfId="14242" xr:uid="{00000000-0005-0000-0000-0000A7010000}"/>
    <cellStyle name="20% - Ênfase5 2 2 3" xfId="5974" xr:uid="{00000000-0005-0000-0000-0000A8010000}"/>
    <cellStyle name="20% - Ênfase5 2 2 3 2" xfId="14248" xr:uid="{00000000-0005-0000-0000-0000A9010000}"/>
    <cellStyle name="20% - Ênfase5 2 2 4" xfId="5975" xr:uid="{00000000-0005-0000-0000-0000AA010000}"/>
    <cellStyle name="20% - Ênfase5 2 2 4 2" xfId="5976" xr:uid="{00000000-0005-0000-0000-0000AB010000}"/>
    <cellStyle name="20% - Ênfase5 2 2 4 3" xfId="14249" xr:uid="{00000000-0005-0000-0000-0000AC010000}"/>
    <cellStyle name="20% - Ênfase5 2 3" xfId="5977" xr:uid="{00000000-0005-0000-0000-0000AD010000}"/>
    <cellStyle name="20% - Ênfase5 2 4" xfId="5978" xr:uid="{00000000-0005-0000-0000-0000AE010000}"/>
    <cellStyle name="20% - Ênfase5 2 5" xfId="5979" xr:uid="{00000000-0005-0000-0000-0000AF010000}"/>
    <cellStyle name="20% - Ênfase5 2 6" xfId="5980" xr:uid="{00000000-0005-0000-0000-0000B0010000}"/>
    <cellStyle name="20% - Ênfase5 2 6 2" xfId="5981" xr:uid="{00000000-0005-0000-0000-0000B1010000}"/>
    <cellStyle name="20% - Ênfase5 2 6 2 2" xfId="14250" xr:uid="{00000000-0005-0000-0000-0000B2010000}"/>
    <cellStyle name="20% - Ênfase5 2 7" xfId="5958" xr:uid="{00000000-0005-0000-0000-0000B3010000}"/>
    <cellStyle name="20% - Ênfase5 2 7 2" xfId="14241" xr:uid="{00000000-0005-0000-0000-0000B4010000}"/>
    <cellStyle name="20% - Ênfase5 3" xfId="5213" xr:uid="{00000000-0005-0000-0000-0000B5010000}"/>
    <cellStyle name="20% - Ênfase5 3 2" xfId="5983" xr:uid="{00000000-0005-0000-0000-0000B6010000}"/>
    <cellStyle name="20% - Ênfase5 3 2 2" xfId="14252" xr:uid="{00000000-0005-0000-0000-0000B7010000}"/>
    <cellStyle name="20% - Ênfase5 3 3" xfId="5984" xr:uid="{00000000-0005-0000-0000-0000B8010000}"/>
    <cellStyle name="20% - Ênfase5 3 3 2" xfId="14253" xr:uid="{00000000-0005-0000-0000-0000B9010000}"/>
    <cellStyle name="20% - Ênfase5 3 4" xfId="5985" xr:uid="{00000000-0005-0000-0000-0000BA010000}"/>
    <cellStyle name="20% - Ênfase5 3 4 2" xfId="14254" xr:uid="{00000000-0005-0000-0000-0000BB010000}"/>
    <cellStyle name="20% - Ênfase5 3 5" xfId="5982" xr:uid="{00000000-0005-0000-0000-0000BC010000}"/>
    <cellStyle name="20% - Ênfase5 3 5 2" xfId="14251" xr:uid="{00000000-0005-0000-0000-0000BD010000}"/>
    <cellStyle name="20% - Ênfase5 4" xfId="5337" xr:uid="{00000000-0005-0000-0000-0000BE010000}"/>
    <cellStyle name="20% - Ênfase5 4 2" xfId="5987" xr:uid="{00000000-0005-0000-0000-0000BF010000}"/>
    <cellStyle name="20% - Ênfase5 4 2 2" xfId="14256" xr:uid="{00000000-0005-0000-0000-0000C0010000}"/>
    <cellStyle name="20% - Ênfase5 4 3" xfId="5988" xr:uid="{00000000-0005-0000-0000-0000C1010000}"/>
    <cellStyle name="20% - Ênfase5 4 3 2" xfId="14257" xr:uid="{00000000-0005-0000-0000-0000C2010000}"/>
    <cellStyle name="20% - Ênfase5 4 4" xfId="5986" xr:uid="{00000000-0005-0000-0000-0000C3010000}"/>
    <cellStyle name="20% - Ênfase5 4 4 2" xfId="14255" xr:uid="{00000000-0005-0000-0000-0000C4010000}"/>
    <cellStyle name="20% - Ênfase5 5" xfId="5366" xr:uid="{00000000-0005-0000-0000-0000C5010000}"/>
    <cellStyle name="20% - Ênfase5 5 2" xfId="5990" xr:uid="{00000000-0005-0000-0000-0000C6010000}"/>
    <cellStyle name="20% - Ênfase5 5 2 2" xfId="14259" xr:uid="{00000000-0005-0000-0000-0000C7010000}"/>
    <cellStyle name="20% - Ênfase5 5 3" xfId="5989" xr:uid="{00000000-0005-0000-0000-0000C8010000}"/>
    <cellStyle name="20% - Ênfase5 5 3 2" xfId="14258" xr:uid="{00000000-0005-0000-0000-0000C9010000}"/>
    <cellStyle name="20% - Ênfase5 6" xfId="5394" xr:uid="{00000000-0005-0000-0000-0000CA010000}"/>
    <cellStyle name="20% - Ênfase5 6 2" xfId="5992" xr:uid="{00000000-0005-0000-0000-0000CB010000}"/>
    <cellStyle name="20% - Ênfase5 6 3" xfId="7316" xr:uid="{00000000-0005-0000-0000-0000CC010000}"/>
    <cellStyle name="20% - Ênfase5 6 3 2" xfId="14702" xr:uid="{00000000-0005-0000-0000-0000CD010000}"/>
    <cellStyle name="20% - Ênfase5 6 4" xfId="5991" xr:uid="{00000000-0005-0000-0000-0000CE010000}"/>
    <cellStyle name="20% - Ênfase5 6 4 2" xfId="14260" xr:uid="{00000000-0005-0000-0000-0000CF010000}"/>
    <cellStyle name="20% - Ênfase5 7" xfId="5421" xr:uid="{00000000-0005-0000-0000-0000D0010000}"/>
    <cellStyle name="20% - Ênfase5 7 2" xfId="7317" xr:uid="{00000000-0005-0000-0000-0000D1010000}"/>
    <cellStyle name="20% - Ênfase5 7 2 2" xfId="14703" xr:uid="{00000000-0005-0000-0000-0000D2010000}"/>
    <cellStyle name="20% - Ênfase5 7 3" xfId="5993" xr:uid="{00000000-0005-0000-0000-0000D3010000}"/>
    <cellStyle name="20% - Ênfase5 7 3 2" xfId="14261" xr:uid="{00000000-0005-0000-0000-0000D4010000}"/>
    <cellStyle name="20% - Ênfase5 8" xfId="5446" xr:uid="{00000000-0005-0000-0000-0000D5010000}"/>
    <cellStyle name="20% - Ênfase5 9" xfId="5459" xr:uid="{00000000-0005-0000-0000-0000D6010000}"/>
    <cellStyle name="20% - Ênfase6" xfId="12" xr:uid="{00000000-0005-0000-0000-0000D7010000}"/>
    <cellStyle name="20% - Ênfase6 10" xfId="5497" xr:uid="{00000000-0005-0000-0000-0000D8010000}"/>
    <cellStyle name="20% - Ênfase6 11" xfId="5600" xr:uid="{00000000-0005-0000-0000-0000D9010000}"/>
    <cellStyle name="20% - Ênfase6 12" xfId="5629" xr:uid="{00000000-0005-0000-0000-0000DA010000}"/>
    <cellStyle name="20% - Ênfase6 13" xfId="5654" xr:uid="{00000000-0005-0000-0000-0000DB010000}"/>
    <cellStyle name="20% - Ênfase6 14" xfId="5667" xr:uid="{00000000-0005-0000-0000-0000DC010000}"/>
    <cellStyle name="20% - Ênfase6 15" xfId="5692" xr:uid="{00000000-0005-0000-0000-0000DD010000}"/>
    <cellStyle name="20% - Ênfase6 16" xfId="5750" xr:uid="{00000000-0005-0000-0000-0000DE010000}"/>
    <cellStyle name="20% - Ênfase6 17" xfId="5807" xr:uid="{00000000-0005-0000-0000-0000DF010000}"/>
    <cellStyle name="20% - Ênfase6 17 2" xfId="16107" xr:uid="{00000000-0005-0000-0000-0000E0010000}"/>
    <cellStyle name="20% - Ênfase6 18" xfId="14143" xr:uid="{00000000-0005-0000-0000-0000E1010000}"/>
    <cellStyle name="20% - Ênfase6 2" xfId="4943" xr:uid="{00000000-0005-0000-0000-0000E2010000}"/>
    <cellStyle name="20% - Ênfase6 2 2" xfId="5995" xr:uid="{00000000-0005-0000-0000-0000E3010000}"/>
    <cellStyle name="20% - Ênfase6 2 2 2" xfId="5996" xr:uid="{00000000-0005-0000-0000-0000E4010000}"/>
    <cellStyle name="20% - Ênfase6 2 2 2 2" xfId="5997" xr:uid="{00000000-0005-0000-0000-0000E5010000}"/>
    <cellStyle name="20% - Ênfase6 2 2 2 2 2" xfId="5998" xr:uid="{00000000-0005-0000-0000-0000E6010000}"/>
    <cellStyle name="20% - Ênfase6 2 2 2 2 2 2" xfId="5999" xr:uid="{00000000-0005-0000-0000-0000E7010000}"/>
    <cellStyle name="20% - Ênfase6 2 2 2 2 2 2 2" xfId="6000" xr:uid="{00000000-0005-0000-0000-0000E8010000}"/>
    <cellStyle name="20% - Ênfase6 2 2 2 2 2 2 2 2" xfId="6001" xr:uid="{00000000-0005-0000-0000-0000E9010000}"/>
    <cellStyle name="20% - Ênfase6 2 2 2 2 2 2 2 3" xfId="14266" xr:uid="{00000000-0005-0000-0000-0000EA010000}"/>
    <cellStyle name="20% - Ênfase6 2 2 2 2 2 2 3" xfId="6002" xr:uid="{00000000-0005-0000-0000-0000EB010000}"/>
    <cellStyle name="20% - Ênfase6 2 2 2 2 2 3" xfId="6003" xr:uid="{00000000-0005-0000-0000-0000EC010000}"/>
    <cellStyle name="20% - Ênfase6 2 2 2 2 2 3 2" xfId="6004" xr:uid="{00000000-0005-0000-0000-0000ED010000}"/>
    <cellStyle name="20% - Ênfase6 2 2 2 2 2 3 2 2" xfId="14270" xr:uid="{00000000-0005-0000-0000-0000EE010000}"/>
    <cellStyle name="20% - Ênfase6 2 2 2 2 2 4" xfId="14264" xr:uid="{00000000-0005-0000-0000-0000EF010000}"/>
    <cellStyle name="20% - Ênfase6 2 2 2 2 3" xfId="6005" xr:uid="{00000000-0005-0000-0000-0000F0010000}"/>
    <cellStyle name="20% - Ênfase6 2 2 2 2 3 2" xfId="6006" xr:uid="{00000000-0005-0000-0000-0000F1010000}"/>
    <cellStyle name="20% - Ênfase6 2 2 2 2 3 3" xfId="14271" xr:uid="{00000000-0005-0000-0000-0000F2010000}"/>
    <cellStyle name="20% - Ênfase6 2 2 2 3" xfId="6007" xr:uid="{00000000-0005-0000-0000-0000F3010000}"/>
    <cellStyle name="20% - Ênfase6 2 2 2 4" xfId="6008" xr:uid="{00000000-0005-0000-0000-0000F4010000}"/>
    <cellStyle name="20% - Ênfase6 2 2 2 4 2" xfId="6009" xr:uid="{00000000-0005-0000-0000-0000F5010000}"/>
    <cellStyle name="20% - Ênfase6 2 2 2 4 2 2" xfId="14273" xr:uid="{00000000-0005-0000-0000-0000F6010000}"/>
    <cellStyle name="20% - Ênfase6 2 2 2 5" xfId="14263" xr:uid="{00000000-0005-0000-0000-0000F7010000}"/>
    <cellStyle name="20% - Ênfase6 2 2 3" xfId="6010" xr:uid="{00000000-0005-0000-0000-0000F8010000}"/>
    <cellStyle name="20% - Ênfase6 2 2 3 2" xfId="14274" xr:uid="{00000000-0005-0000-0000-0000F9010000}"/>
    <cellStyle name="20% - Ênfase6 2 2 4" xfId="6011" xr:uid="{00000000-0005-0000-0000-0000FA010000}"/>
    <cellStyle name="20% - Ênfase6 2 2 4 2" xfId="6012" xr:uid="{00000000-0005-0000-0000-0000FB010000}"/>
    <cellStyle name="20% - Ênfase6 2 2 4 3" xfId="14275" xr:uid="{00000000-0005-0000-0000-0000FC010000}"/>
    <cellStyle name="20% - Ênfase6 2 3" xfId="6013" xr:uid="{00000000-0005-0000-0000-0000FD010000}"/>
    <cellStyle name="20% - Ênfase6 2 4" xfId="6014" xr:uid="{00000000-0005-0000-0000-0000FE010000}"/>
    <cellStyle name="20% - Ênfase6 2 5" xfId="6015" xr:uid="{00000000-0005-0000-0000-0000FF010000}"/>
    <cellStyle name="20% - Ênfase6 2 6" xfId="6016" xr:uid="{00000000-0005-0000-0000-000000020000}"/>
    <cellStyle name="20% - Ênfase6 2 6 2" xfId="6017" xr:uid="{00000000-0005-0000-0000-000001020000}"/>
    <cellStyle name="20% - Ênfase6 2 6 2 2" xfId="14277" xr:uid="{00000000-0005-0000-0000-000002020000}"/>
    <cellStyle name="20% - Ênfase6 2 7" xfId="5994" xr:uid="{00000000-0005-0000-0000-000003020000}"/>
    <cellStyle name="20% - Ênfase6 2 7 2" xfId="14262" xr:uid="{00000000-0005-0000-0000-000004020000}"/>
    <cellStyle name="20% - Ênfase6 3" xfId="5214" xr:uid="{00000000-0005-0000-0000-000005020000}"/>
    <cellStyle name="20% - Ênfase6 3 2" xfId="6019" xr:uid="{00000000-0005-0000-0000-000006020000}"/>
    <cellStyle name="20% - Ênfase6 3 2 2" xfId="14279" xr:uid="{00000000-0005-0000-0000-000007020000}"/>
    <cellStyle name="20% - Ênfase6 3 3" xfId="6020" xr:uid="{00000000-0005-0000-0000-000008020000}"/>
    <cellStyle name="20% - Ênfase6 3 3 2" xfId="14280" xr:uid="{00000000-0005-0000-0000-000009020000}"/>
    <cellStyle name="20% - Ênfase6 3 4" xfId="6021" xr:uid="{00000000-0005-0000-0000-00000A020000}"/>
    <cellStyle name="20% - Ênfase6 3 4 2" xfId="14281" xr:uid="{00000000-0005-0000-0000-00000B020000}"/>
    <cellStyle name="20% - Ênfase6 3 5" xfId="6018" xr:uid="{00000000-0005-0000-0000-00000C020000}"/>
    <cellStyle name="20% - Ênfase6 3 5 2" xfId="14278" xr:uid="{00000000-0005-0000-0000-00000D020000}"/>
    <cellStyle name="20% - Ênfase6 4" xfId="5336" xr:uid="{00000000-0005-0000-0000-00000E020000}"/>
    <cellStyle name="20% - Ênfase6 4 2" xfId="6023" xr:uid="{00000000-0005-0000-0000-00000F020000}"/>
    <cellStyle name="20% - Ênfase6 4 2 2" xfId="14283" xr:uid="{00000000-0005-0000-0000-000010020000}"/>
    <cellStyle name="20% - Ênfase6 4 3" xfId="6024" xr:uid="{00000000-0005-0000-0000-000011020000}"/>
    <cellStyle name="20% - Ênfase6 4 3 2" xfId="14284" xr:uid="{00000000-0005-0000-0000-000012020000}"/>
    <cellStyle name="20% - Ênfase6 4 4" xfId="6022" xr:uid="{00000000-0005-0000-0000-000013020000}"/>
    <cellStyle name="20% - Ênfase6 4 4 2" xfId="14282" xr:uid="{00000000-0005-0000-0000-000014020000}"/>
    <cellStyle name="20% - Ênfase6 5" xfId="5365" xr:uid="{00000000-0005-0000-0000-000015020000}"/>
    <cellStyle name="20% - Ênfase6 5 2" xfId="6026" xr:uid="{00000000-0005-0000-0000-000016020000}"/>
    <cellStyle name="20% - Ênfase6 5 2 2" xfId="14286" xr:uid="{00000000-0005-0000-0000-000017020000}"/>
    <cellStyle name="20% - Ênfase6 5 3" xfId="6025" xr:uid="{00000000-0005-0000-0000-000018020000}"/>
    <cellStyle name="20% - Ênfase6 5 3 2" xfId="14285" xr:uid="{00000000-0005-0000-0000-000019020000}"/>
    <cellStyle name="20% - Ênfase6 6" xfId="5393" xr:uid="{00000000-0005-0000-0000-00001A020000}"/>
    <cellStyle name="20% - Ênfase6 6 2" xfId="6028" xr:uid="{00000000-0005-0000-0000-00001B020000}"/>
    <cellStyle name="20% - Ênfase6 6 3" xfId="7318" xr:uid="{00000000-0005-0000-0000-00001C020000}"/>
    <cellStyle name="20% - Ênfase6 6 3 2" xfId="14704" xr:uid="{00000000-0005-0000-0000-00001D020000}"/>
    <cellStyle name="20% - Ênfase6 6 4" xfId="6027" xr:uid="{00000000-0005-0000-0000-00001E020000}"/>
    <cellStyle name="20% - Ênfase6 6 4 2" xfId="14287" xr:uid="{00000000-0005-0000-0000-00001F020000}"/>
    <cellStyle name="20% - Ênfase6 7" xfId="5420" xr:uid="{00000000-0005-0000-0000-000020020000}"/>
    <cellStyle name="20% - Ênfase6 7 2" xfId="7319" xr:uid="{00000000-0005-0000-0000-000021020000}"/>
    <cellStyle name="20% - Ênfase6 7 2 2" xfId="14705" xr:uid="{00000000-0005-0000-0000-000022020000}"/>
    <cellStyle name="20% - Ênfase6 7 3" xfId="6029" xr:uid="{00000000-0005-0000-0000-000023020000}"/>
    <cellStyle name="20% - Ênfase6 7 3 2" xfId="14289" xr:uid="{00000000-0005-0000-0000-000024020000}"/>
    <cellStyle name="20% - Ênfase6 8" xfId="5445" xr:uid="{00000000-0005-0000-0000-000025020000}"/>
    <cellStyle name="20% - Ênfase6 9" xfId="5458" xr:uid="{00000000-0005-0000-0000-000026020000}"/>
    <cellStyle name="20% - Énfasis1" xfId="204" xr:uid="{00000000-0005-0000-0000-000027020000}"/>
    <cellStyle name="20% - Énfasis1 2" xfId="205" xr:uid="{00000000-0005-0000-0000-000028020000}"/>
    <cellStyle name="20% - Énfasis1 3" xfId="206" xr:uid="{00000000-0005-0000-0000-000029020000}"/>
    <cellStyle name="20% - Énfasis1 4" xfId="207" xr:uid="{00000000-0005-0000-0000-00002A020000}"/>
    <cellStyle name="20% - Énfasis1 5" xfId="208" xr:uid="{00000000-0005-0000-0000-00002B020000}"/>
    <cellStyle name="20% - Énfasis1 6" xfId="209" xr:uid="{00000000-0005-0000-0000-00002C020000}"/>
    <cellStyle name="20% - Énfasis1 7" xfId="210" xr:uid="{00000000-0005-0000-0000-00002D020000}"/>
    <cellStyle name="20% - Énfasis2" xfId="211" xr:uid="{00000000-0005-0000-0000-00002E020000}"/>
    <cellStyle name="20% - Énfasis2 2" xfId="212" xr:uid="{00000000-0005-0000-0000-00002F020000}"/>
    <cellStyle name="20% - Énfasis2 3" xfId="213" xr:uid="{00000000-0005-0000-0000-000030020000}"/>
    <cellStyle name="20% - Énfasis2 4" xfId="214" xr:uid="{00000000-0005-0000-0000-000031020000}"/>
    <cellStyle name="20% - Énfasis2 5" xfId="215" xr:uid="{00000000-0005-0000-0000-000032020000}"/>
    <cellStyle name="20% - Énfasis2 6" xfId="216" xr:uid="{00000000-0005-0000-0000-000033020000}"/>
    <cellStyle name="20% - Énfasis2 7" xfId="217" xr:uid="{00000000-0005-0000-0000-000034020000}"/>
    <cellStyle name="20% - Énfasis3" xfId="218" xr:uid="{00000000-0005-0000-0000-000035020000}"/>
    <cellStyle name="20% - Énfasis3 2" xfId="219" xr:uid="{00000000-0005-0000-0000-000036020000}"/>
    <cellStyle name="20% - Énfasis3 3" xfId="220" xr:uid="{00000000-0005-0000-0000-000037020000}"/>
    <cellStyle name="20% - Énfasis3 4" xfId="221" xr:uid="{00000000-0005-0000-0000-000038020000}"/>
    <cellStyle name="20% - Énfasis3 5" xfId="222" xr:uid="{00000000-0005-0000-0000-000039020000}"/>
    <cellStyle name="20% - Énfasis3 6" xfId="223" xr:uid="{00000000-0005-0000-0000-00003A020000}"/>
    <cellStyle name="20% - Énfasis3 7" xfId="224" xr:uid="{00000000-0005-0000-0000-00003B020000}"/>
    <cellStyle name="20% - Énfasis4" xfId="225" xr:uid="{00000000-0005-0000-0000-00003C020000}"/>
    <cellStyle name="20% - Énfasis4 2" xfId="226" xr:uid="{00000000-0005-0000-0000-00003D020000}"/>
    <cellStyle name="20% - Énfasis4 3" xfId="227" xr:uid="{00000000-0005-0000-0000-00003E020000}"/>
    <cellStyle name="20% - Énfasis4 4" xfId="228" xr:uid="{00000000-0005-0000-0000-00003F020000}"/>
    <cellStyle name="20% - Énfasis4 5" xfId="229" xr:uid="{00000000-0005-0000-0000-000040020000}"/>
    <cellStyle name="20% - Énfasis4 6" xfId="230" xr:uid="{00000000-0005-0000-0000-000041020000}"/>
    <cellStyle name="20% - Énfasis4 7" xfId="231" xr:uid="{00000000-0005-0000-0000-000042020000}"/>
    <cellStyle name="20% - Énfasis5" xfId="232" xr:uid="{00000000-0005-0000-0000-000043020000}"/>
    <cellStyle name="20% - Énfasis5 2" xfId="233" xr:uid="{00000000-0005-0000-0000-000044020000}"/>
    <cellStyle name="20% - Énfasis5 3" xfId="234" xr:uid="{00000000-0005-0000-0000-000045020000}"/>
    <cellStyle name="20% - Énfasis5 4" xfId="235" xr:uid="{00000000-0005-0000-0000-000046020000}"/>
    <cellStyle name="20% - Énfasis5 5" xfId="236" xr:uid="{00000000-0005-0000-0000-000047020000}"/>
    <cellStyle name="20% - Énfasis5 6" xfId="237" xr:uid="{00000000-0005-0000-0000-000048020000}"/>
    <cellStyle name="20% - Énfasis5 7" xfId="238" xr:uid="{00000000-0005-0000-0000-000049020000}"/>
    <cellStyle name="20% - Énfasis6" xfId="239" xr:uid="{00000000-0005-0000-0000-00004A020000}"/>
    <cellStyle name="20% - Énfasis6 2" xfId="240" xr:uid="{00000000-0005-0000-0000-00004B020000}"/>
    <cellStyle name="20% - Énfasis6 3" xfId="241" xr:uid="{00000000-0005-0000-0000-00004C020000}"/>
    <cellStyle name="20% - Énfasis6 4" xfId="242" xr:uid="{00000000-0005-0000-0000-00004D020000}"/>
    <cellStyle name="20% - Énfasis6 5" xfId="243" xr:uid="{00000000-0005-0000-0000-00004E020000}"/>
    <cellStyle name="20% - Énfasis6 6" xfId="244" xr:uid="{00000000-0005-0000-0000-00004F020000}"/>
    <cellStyle name="20% - Énfasis6 7" xfId="245" xr:uid="{00000000-0005-0000-0000-000050020000}"/>
    <cellStyle name="2o.nível" xfId="246" xr:uid="{00000000-0005-0000-0000-000051020000}"/>
    <cellStyle name="³f¹ô [0]_ATT4" xfId="4944" xr:uid="{00000000-0005-0000-0000-000052020000}"/>
    <cellStyle name="³f¹ô[0]_Template 12 - Bank (3)" xfId="4945" xr:uid="{00000000-0005-0000-0000-000053020000}"/>
    <cellStyle name="³f¹ô_ATT4" xfId="4946" xr:uid="{00000000-0005-0000-0000-000054020000}"/>
    <cellStyle name="40% - Accent1" xfId="13" xr:uid="{00000000-0005-0000-0000-000055020000}"/>
    <cellStyle name="40% - Accent1 2" xfId="107" xr:uid="{00000000-0005-0000-0000-000056020000}"/>
    <cellStyle name="40% - Accent1 3" xfId="247" xr:uid="{00000000-0005-0000-0000-000057020000}"/>
    <cellStyle name="40% - Accent1 4" xfId="248" xr:uid="{00000000-0005-0000-0000-000058020000}"/>
    <cellStyle name="40% - Accent1 5" xfId="249" xr:uid="{00000000-0005-0000-0000-000059020000}"/>
    <cellStyle name="40% - Accent1 6" xfId="250" xr:uid="{00000000-0005-0000-0000-00005A020000}"/>
    <cellStyle name="40% - Accent1 7" xfId="251" xr:uid="{00000000-0005-0000-0000-00005B020000}"/>
    <cellStyle name="40% - Accent2" xfId="14" xr:uid="{00000000-0005-0000-0000-00005C020000}"/>
    <cellStyle name="40% - Accent2 2" xfId="108" xr:uid="{00000000-0005-0000-0000-00005D020000}"/>
    <cellStyle name="40% - Accent2 3" xfId="252" xr:uid="{00000000-0005-0000-0000-00005E020000}"/>
    <cellStyle name="40% - Accent2 4" xfId="253" xr:uid="{00000000-0005-0000-0000-00005F020000}"/>
    <cellStyle name="40% - Accent2 5" xfId="254" xr:uid="{00000000-0005-0000-0000-000060020000}"/>
    <cellStyle name="40% - Accent2 6" xfId="255" xr:uid="{00000000-0005-0000-0000-000061020000}"/>
    <cellStyle name="40% - Accent2 7" xfId="256" xr:uid="{00000000-0005-0000-0000-000062020000}"/>
    <cellStyle name="40% - Accent3" xfId="15" xr:uid="{00000000-0005-0000-0000-000063020000}"/>
    <cellStyle name="40% - Accent3 2" xfId="109" xr:uid="{00000000-0005-0000-0000-000064020000}"/>
    <cellStyle name="40% - Accent3 3" xfId="257" xr:uid="{00000000-0005-0000-0000-000065020000}"/>
    <cellStyle name="40% - Accent3 4" xfId="258" xr:uid="{00000000-0005-0000-0000-000066020000}"/>
    <cellStyle name="40% - Accent3 5" xfId="259" xr:uid="{00000000-0005-0000-0000-000067020000}"/>
    <cellStyle name="40% - Accent3 6" xfId="260" xr:uid="{00000000-0005-0000-0000-000068020000}"/>
    <cellStyle name="40% - Accent3 7" xfId="261" xr:uid="{00000000-0005-0000-0000-000069020000}"/>
    <cellStyle name="40% - Accent4" xfId="16" xr:uid="{00000000-0005-0000-0000-00006A020000}"/>
    <cellStyle name="40% - Accent4 2" xfId="110" xr:uid="{00000000-0005-0000-0000-00006B020000}"/>
    <cellStyle name="40% - Accent4 3" xfId="262" xr:uid="{00000000-0005-0000-0000-00006C020000}"/>
    <cellStyle name="40% - Accent4 4" xfId="263" xr:uid="{00000000-0005-0000-0000-00006D020000}"/>
    <cellStyle name="40% - Accent4 5" xfId="264" xr:uid="{00000000-0005-0000-0000-00006E020000}"/>
    <cellStyle name="40% - Accent4 6" xfId="265" xr:uid="{00000000-0005-0000-0000-00006F020000}"/>
    <cellStyle name="40% - Accent4 7" xfId="266" xr:uid="{00000000-0005-0000-0000-000070020000}"/>
    <cellStyle name="40% - Accent5" xfId="17" xr:uid="{00000000-0005-0000-0000-000071020000}"/>
    <cellStyle name="40% - Accent5 2" xfId="111" xr:uid="{00000000-0005-0000-0000-000072020000}"/>
    <cellStyle name="40% - Accent5 3" xfId="267" xr:uid="{00000000-0005-0000-0000-000073020000}"/>
    <cellStyle name="40% - Accent5 4" xfId="268" xr:uid="{00000000-0005-0000-0000-000074020000}"/>
    <cellStyle name="40% - Accent5 5" xfId="269" xr:uid="{00000000-0005-0000-0000-000075020000}"/>
    <cellStyle name="40% - Accent5 6" xfId="270" xr:uid="{00000000-0005-0000-0000-000076020000}"/>
    <cellStyle name="40% - Accent5 7" xfId="271" xr:uid="{00000000-0005-0000-0000-000077020000}"/>
    <cellStyle name="40% - Accent6" xfId="18" xr:uid="{00000000-0005-0000-0000-000078020000}"/>
    <cellStyle name="40% - Accent6 2" xfId="112" xr:uid="{00000000-0005-0000-0000-000079020000}"/>
    <cellStyle name="40% - Accent6 3" xfId="272" xr:uid="{00000000-0005-0000-0000-00007A020000}"/>
    <cellStyle name="40% - Accent6 4" xfId="273" xr:uid="{00000000-0005-0000-0000-00007B020000}"/>
    <cellStyle name="40% - Accent6 5" xfId="274" xr:uid="{00000000-0005-0000-0000-00007C020000}"/>
    <cellStyle name="40% - Accent6 6" xfId="275" xr:uid="{00000000-0005-0000-0000-00007D020000}"/>
    <cellStyle name="40% - Accent6 7" xfId="276" xr:uid="{00000000-0005-0000-0000-00007E020000}"/>
    <cellStyle name="40% - Ênfase1" xfId="19" xr:uid="{00000000-0005-0000-0000-00007F020000}"/>
    <cellStyle name="40% - Ênfase1 10" xfId="5502" xr:uid="{00000000-0005-0000-0000-000080020000}"/>
    <cellStyle name="40% - Ênfase1 11" xfId="5598" xr:uid="{00000000-0005-0000-0000-000081020000}"/>
    <cellStyle name="40% - Ênfase1 12" xfId="5478" xr:uid="{00000000-0005-0000-0000-000082020000}"/>
    <cellStyle name="40% - Ênfase1 13" xfId="5625" xr:uid="{00000000-0005-0000-0000-000083020000}"/>
    <cellStyle name="40% - Ênfase1 14" xfId="5653" xr:uid="{00000000-0005-0000-0000-000084020000}"/>
    <cellStyle name="40% - Ênfase1 15" xfId="5695" xr:uid="{00000000-0005-0000-0000-000085020000}"/>
    <cellStyle name="40% - Ênfase1 16" xfId="5749" xr:uid="{00000000-0005-0000-0000-000086020000}"/>
    <cellStyle name="40% - Ênfase1 17" xfId="5788" xr:uid="{00000000-0005-0000-0000-000087020000}"/>
    <cellStyle name="40% - Ênfase1 17 2" xfId="16098" xr:uid="{00000000-0005-0000-0000-000088020000}"/>
    <cellStyle name="40% - Ênfase1 18" xfId="14133" xr:uid="{00000000-0005-0000-0000-000089020000}"/>
    <cellStyle name="40% - Ênfase1 2" xfId="4947" xr:uid="{00000000-0005-0000-0000-00008A020000}"/>
    <cellStyle name="40% - Ênfase1 2 2" xfId="6031" xr:uid="{00000000-0005-0000-0000-00008B020000}"/>
    <cellStyle name="40% - Ênfase1 2 2 2" xfId="6032" xr:uid="{00000000-0005-0000-0000-00008C020000}"/>
    <cellStyle name="40% - Ênfase1 2 2 2 2" xfId="6033" xr:uid="{00000000-0005-0000-0000-00008D020000}"/>
    <cellStyle name="40% - Ênfase1 2 2 2 2 2" xfId="6034" xr:uid="{00000000-0005-0000-0000-00008E020000}"/>
    <cellStyle name="40% - Ênfase1 2 2 2 2 2 2" xfId="6035" xr:uid="{00000000-0005-0000-0000-00008F020000}"/>
    <cellStyle name="40% - Ênfase1 2 2 2 2 2 2 2" xfId="6036" xr:uid="{00000000-0005-0000-0000-000090020000}"/>
    <cellStyle name="40% - Ênfase1 2 2 2 2 2 2 2 2" xfId="6037" xr:uid="{00000000-0005-0000-0000-000091020000}"/>
    <cellStyle name="40% - Ênfase1 2 2 2 2 2 2 2 3" xfId="14296" xr:uid="{00000000-0005-0000-0000-000092020000}"/>
    <cellStyle name="40% - Ênfase1 2 2 2 2 2 2 3" xfId="6038" xr:uid="{00000000-0005-0000-0000-000093020000}"/>
    <cellStyle name="40% - Ênfase1 2 2 2 2 2 3" xfId="6039" xr:uid="{00000000-0005-0000-0000-000094020000}"/>
    <cellStyle name="40% - Ênfase1 2 2 2 2 2 3 2" xfId="6040" xr:uid="{00000000-0005-0000-0000-000095020000}"/>
    <cellStyle name="40% - Ênfase1 2 2 2 2 2 3 2 2" xfId="14300" xr:uid="{00000000-0005-0000-0000-000096020000}"/>
    <cellStyle name="40% - Ênfase1 2 2 2 2 2 4" xfId="14294" xr:uid="{00000000-0005-0000-0000-000097020000}"/>
    <cellStyle name="40% - Ênfase1 2 2 2 2 3" xfId="6041" xr:uid="{00000000-0005-0000-0000-000098020000}"/>
    <cellStyle name="40% - Ênfase1 2 2 2 2 3 2" xfId="6042" xr:uid="{00000000-0005-0000-0000-000099020000}"/>
    <cellStyle name="40% - Ênfase1 2 2 2 2 3 3" xfId="14301" xr:uid="{00000000-0005-0000-0000-00009A020000}"/>
    <cellStyle name="40% - Ênfase1 2 2 2 3" xfId="6043" xr:uid="{00000000-0005-0000-0000-00009B020000}"/>
    <cellStyle name="40% - Ênfase1 2 2 2 4" xfId="6044" xr:uid="{00000000-0005-0000-0000-00009C020000}"/>
    <cellStyle name="40% - Ênfase1 2 2 2 4 2" xfId="6045" xr:uid="{00000000-0005-0000-0000-00009D020000}"/>
    <cellStyle name="40% - Ênfase1 2 2 2 4 2 2" xfId="14303" xr:uid="{00000000-0005-0000-0000-00009E020000}"/>
    <cellStyle name="40% - Ênfase1 2 2 2 5" xfId="14292" xr:uid="{00000000-0005-0000-0000-00009F020000}"/>
    <cellStyle name="40% - Ênfase1 2 2 3" xfId="6046" xr:uid="{00000000-0005-0000-0000-0000A0020000}"/>
    <cellStyle name="40% - Ênfase1 2 2 3 2" xfId="14304" xr:uid="{00000000-0005-0000-0000-0000A1020000}"/>
    <cellStyle name="40% - Ênfase1 2 2 4" xfId="6047" xr:uid="{00000000-0005-0000-0000-0000A2020000}"/>
    <cellStyle name="40% - Ênfase1 2 2 4 2" xfId="6048" xr:uid="{00000000-0005-0000-0000-0000A3020000}"/>
    <cellStyle name="40% - Ênfase1 2 2 4 3" xfId="14305" xr:uid="{00000000-0005-0000-0000-0000A4020000}"/>
    <cellStyle name="40% - Ênfase1 2 3" xfId="6049" xr:uid="{00000000-0005-0000-0000-0000A5020000}"/>
    <cellStyle name="40% - Ênfase1 2 4" xfId="6050" xr:uid="{00000000-0005-0000-0000-0000A6020000}"/>
    <cellStyle name="40% - Ênfase1 2 5" xfId="6051" xr:uid="{00000000-0005-0000-0000-0000A7020000}"/>
    <cellStyle name="40% - Ênfase1 2 6" xfId="6052" xr:uid="{00000000-0005-0000-0000-0000A8020000}"/>
    <cellStyle name="40% - Ênfase1 2 6 2" xfId="6053" xr:uid="{00000000-0005-0000-0000-0000A9020000}"/>
    <cellStyle name="40% - Ênfase1 2 6 2 2" xfId="14308" xr:uid="{00000000-0005-0000-0000-0000AA020000}"/>
    <cellStyle name="40% - Ênfase1 2 7" xfId="6030" xr:uid="{00000000-0005-0000-0000-0000AB020000}"/>
    <cellStyle name="40% - Ênfase1 2 7 2" xfId="14290" xr:uid="{00000000-0005-0000-0000-0000AC020000}"/>
    <cellStyle name="40% - Ênfase1 3" xfId="5217" xr:uid="{00000000-0005-0000-0000-0000AD020000}"/>
    <cellStyle name="40% - Ênfase1 3 2" xfId="6055" xr:uid="{00000000-0005-0000-0000-0000AE020000}"/>
    <cellStyle name="40% - Ênfase1 3 2 2" xfId="14310" xr:uid="{00000000-0005-0000-0000-0000AF020000}"/>
    <cellStyle name="40% - Ênfase1 3 3" xfId="6056" xr:uid="{00000000-0005-0000-0000-0000B0020000}"/>
    <cellStyle name="40% - Ênfase1 3 3 2" xfId="14311" xr:uid="{00000000-0005-0000-0000-0000B1020000}"/>
    <cellStyle name="40% - Ênfase1 3 4" xfId="6057" xr:uid="{00000000-0005-0000-0000-0000B2020000}"/>
    <cellStyle name="40% - Ênfase1 3 4 2" xfId="14312" xr:uid="{00000000-0005-0000-0000-0000B3020000}"/>
    <cellStyle name="40% - Ênfase1 3 5" xfId="6054" xr:uid="{00000000-0005-0000-0000-0000B4020000}"/>
    <cellStyle name="40% - Ênfase1 3 5 2" xfId="14309" xr:uid="{00000000-0005-0000-0000-0000B5020000}"/>
    <cellStyle name="40% - Ênfase1 4" xfId="5333" xr:uid="{00000000-0005-0000-0000-0000B6020000}"/>
    <cellStyle name="40% - Ênfase1 4 2" xfId="6059" xr:uid="{00000000-0005-0000-0000-0000B7020000}"/>
    <cellStyle name="40% - Ênfase1 4 2 2" xfId="14314" xr:uid="{00000000-0005-0000-0000-0000B8020000}"/>
    <cellStyle name="40% - Ênfase1 4 3" xfId="6060" xr:uid="{00000000-0005-0000-0000-0000B9020000}"/>
    <cellStyle name="40% - Ênfase1 4 3 2" xfId="14315" xr:uid="{00000000-0005-0000-0000-0000BA020000}"/>
    <cellStyle name="40% - Ênfase1 4 4" xfId="6058" xr:uid="{00000000-0005-0000-0000-0000BB020000}"/>
    <cellStyle name="40% - Ênfase1 4 4 2" xfId="14313" xr:uid="{00000000-0005-0000-0000-0000BC020000}"/>
    <cellStyle name="40% - Ênfase1 5" xfId="5194" xr:uid="{00000000-0005-0000-0000-0000BD020000}"/>
    <cellStyle name="40% - Ênfase1 5 2" xfId="6062" xr:uid="{00000000-0005-0000-0000-0000BE020000}"/>
    <cellStyle name="40% - Ênfase1 5 2 2" xfId="14317" xr:uid="{00000000-0005-0000-0000-0000BF020000}"/>
    <cellStyle name="40% - Ênfase1 5 3" xfId="6061" xr:uid="{00000000-0005-0000-0000-0000C0020000}"/>
    <cellStyle name="40% - Ênfase1 5 3 2" xfId="14316" xr:uid="{00000000-0005-0000-0000-0000C1020000}"/>
    <cellStyle name="40% - Ênfase1 6" xfId="5362" xr:uid="{00000000-0005-0000-0000-0000C2020000}"/>
    <cellStyle name="40% - Ênfase1 6 2" xfId="6064" xr:uid="{00000000-0005-0000-0000-0000C3020000}"/>
    <cellStyle name="40% - Ênfase1 6 3" xfId="7320" xr:uid="{00000000-0005-0000-0000-0000C4020000}"/>
    <cellStyle name="40% - Ênfase1 6 3 2" xfId="14706" xr:uid="{00000000-0005-0000-0000-0000C5020000}"/>
    <cellStyle name="40% - Ênfase1 6 4" xfId="6063" xr:uid="{00000000-0005-0000-0000-0000C6020000}"/>
    <cellStyle name="40% - Ênfase1 6 4 2" xfId="14318" xr:uid="{00000000-0005-0000-0000-0000C7020000}"/>
    <cellStyle name="40% - Ênfase1 7" xfId="5391" xr:uid="{00000000-0005-0000-0000-0000C8020000}"/>
    <cellStyle name="40% - Ênfase1 7 2" xfId="7321" xr:uid="{00000000-0005-0000-0000-0000C9020000}"/>
    <cellStyle name="40% - Ênfase1 7 2 2" xfId="14707" xr:uid="{00000000-0005-0000-0000-0000CA020000}"/>
    <cellStyle name="40% - Ênfase1 7 3" xfId="6065" xr:uid="{00000000-0005-0000-0000-0000CB020000}"/>
    <cellStyle name="40% - Ênfase1 7 3 2" xfId="14320" xr:uid="{00000000-0005-0000-0000-0000CC020000}"/>
    <cellStyle name="40% - Ênfase1 8" xfId="5418" xr:uid="{00000000-0005-0000-0000-0000CD020000}"/>
    <cellStyle name="40% - Ênfase1 9" xfId="5444" xr:uid="{00000000-0005-0000-0000-0000CE020000}"/>
    <cellStyle name="40% - Ênfase2" xfId="20" xr:uid="{00000000-0005-0000-0000-0000CF020000}"/>
    <cellStyle name="40% - Ênfase2 10" xfId="5503" xr:uid="{00000000-0005-0000-0000-0000D0020000}"/>
    <cellStyle name="40% - Ênfase2 11" xfId="5597" xr:uid="{00000000-0005-0000-0000-0000D1020000}"/>
    <cellStyle name="40% - Ênfase2 12" xfId="5479" xr:uid="{00000000-0005-0000-0000-0000D2020000}"/>
    <cellStyle name="40% - Ênfase2 13" xfId="5624" xr:uid="{00000000-0005-0000-0000-0000D3020000}"/>
    <cellStyle name="40% - Ênfase2 14" xfId="5652" xr:uid="{00000000-0005-0000-0000-0000D4020000}"/>
    <cellStyle name="40% - Ênfase2 15" xfId="5696" xr:uid="{00000000-0005-0000-0000-0000D5020000}"/>
    <cellStyle name="40% - Ênfase2 16" xfId="5748" xr:uid="{00000000-0005-0000-0000-0000D6020000}"/>
    <cellStyle name="40% - Ênfase2 17" xfId="5792" xr:uid="{00000000-0005-0000-0000-0000D7020000}"/>
    <cellStyle name="40% - Ênfase2 17 2" xfId="16100" xr:uid="{00000000-0005-0000-0000-0000D8020000}"/>
    <cellStyle name="40% - Ênfase2 18" xfId="14135" xr:uid="{00000000-0005-0000-0000-0000D9020000}"/>
    <cellStyle name="40% - Ênfase2 2" xfId="4948" xr:uid="{00000000-0005-0000-0000-0000DA020000}"/>
    <cellStyle name="40% - Ênfase2 2 2" xfId="6067" xr:uid="{00000000-0005-0000-0000-0000DB020000}"/>
    <cellStyle name="40% - Ênfase2 2 2 2" xfId="6068" xr:uid="{00000000-0005-0000-0000-0000DC020000}"/>
    <cellStyle name="40% - Ênfase2 2 2 2 2" xfId="6069" xr:uid="{00000000-0005-0000-0000-0000DD020000}"/>
    <cellStyle name="40% - Ênfase2 2 2 2 2 2" xfId="6070" xr:uid="{00000000-0005-0000-0000-0000DE020000}"/>
    <cellStyle name="40% - Ênfase2 2 2 2 2 2 2" xfId="6071" xr:uid="{00000000-0005-0000-0000-0000DF020000}"/>
    <cellStyle name="40% - Ênfase2 2 2 2 2 2 2 2" xfId="6072" xr:uid="{00000000-0005-0000-0000-0000E0020000}"/>
    <cellStyle name="40% - Ênfase2 2 2 2 2 2 2 2 2" xfId="6073" xr:uid="{00000000-0005-0000-0000-0000E1020000}"/>
    <cellStyle name="40% - Ênfase2 2 2 2 2 2 2 2 3" xfId="14327" xr:uid="{00000000-0005-0000-0000-0000E2020000}"/>
    <cellStyle name="40% - Ênfase2 2 2 2 2 2 2 3" xfId="6074" xr:uid="{00000000-0005-0000-0000-0000E3020000}"/>
    <cellStyle name="40% - Ênfase2 2 2 2 2 2 3" xfId="6075" xr:uid="{00000000-0005-0000-0000-0000E4020000}"/>
    <cellStyle name="40% - Ênfase2 2 2 2 2 2 3 2" xfId="6076" xr:uid="{00000000-0005-0000-0000-0000E5020000}"/>
    <cellStyle name="40% - Ênfase2 2 2 2 2 2 3 2 2" xfId="14331" xr:uid="{00000000-0005-0000-0000-0000E6020000}"/>
    <cellStyle name="40% - Ênfase2 2 2 2 2 2 4" xfId="14325" xr:uid="{00000000-0005-0000-0000-0000E7020000}"/>
    <cellStyle name="40% - Ênfase2 2 2 2 2 3" xfId="6077" xr:uid="{00000000-0005-0000-0000-0000E8020000}"/>
    <cellStyle name="40% - Ênfase2 2 2 2 2 3 2" xfId="6078" xr:uid="{00000000-0005-0000-0000-0000E9020000}"/>
    <cellStyle name="40% - Ênfase2 2 2 2 2 3 3" xfId="14332" xr:uid="{00000000-0005-0000-0000-0000EA020000}"/>
    <cellStyle name="40% - Ênfase2 2 2 2 3" xfId="6079" xr:uid="{00000000-0005-0000-0000-0000EB020000}"/>
    <cellStyle name="40% - Ênfase2 2 2 2 4" xfId="6080" xr:uid="{00000000-0005-0000-0000-0000EC020000}"/>
    <cellStyle name="40% - Ênfase2 2 2 2 4 2" xfId="6081" xr:uid="{00000000-0005-0000-0000-0000ED020000}"/>
    <cellStyle name="40% - Ênfase2 2 2 2 4 2 2" xfId="14333" xr:uid="{00000000-0005-0000-0000-0000EE020000}"/>
    <cellStyle name="40% - Ênfase2 2 2 2 5" xfId="14323" xr:uid="{00000000-0005-0000-0000-0000EF020000}"/>
    <cellStyle name="40% - Ênfase2 2 2 3" xfId="6082" xr:uid="{00000000-0005-0000-0000-0000F0020000}"/>
    <cellStyle name="40% - Ênfase2 2 2 3 2" xfId="14334" xr:uid="{00000000-0005-0000-0000-0000F1020000}"/>
    <cellStyle name="40% - Ênfase2 2 2 4" xfId="6083" xr:uid="{00000000-0005-0000-0000-0000F2020000}"/>
    <cellStyle name="40% - Ênfase2 2 2 4 2" xfId="6084" xr:uid="{00000000-0005-0000-0000-0000F3020000}"/>
    <cellStyle name="40% - Ênfase2 2 2 4 3" xfId="14335" xr:uid="{00000000-0005-0000-0000-0000F4020000}"/>
    <cellStyle name="40% - Ênfase2 2 3" xfId="6085" xr:uid="{00000000-0005-0000-0000-0000F5020000}"/>
    <cellStyle name="40% - Ênfase2 2 4" xfId="6086" xr:uid="{00000000-0005-0000-0000-0000F6020000}"/>
    <cellStyle name="40% - Ênfase2 2 5" xfId="6087" xr:uid="{00000000-0005-0000-0000-0000F7020000}"/>
    <cellStyle name="40% - Ênfase2 2 6" xfId="6088" xr:uid="{00000000-0005-0000-0000-0000F8020000}"/>
    <cellStyle name="40% - Ênfase2 2 6 2" xfId="6089" xr:uid="{00000000-0005-0000-0000-0000F9020000}"/>
    <cellStyle name="40% - Ênfase2 2 6 2 2" xfId="14339" xr:uid="{00000000-0005-0000-0000-0000FA020000}"/>
    <cellStyle name="40% - Ênfase2 2 7" xfId="6066" xr:uid="{00000000-0005-0000-0000-0000FB020000}"/>
    <cellStyle name="40% - Ênfase2 2 7 2" xfId="14321" xr:uid="{00000000-0005-0000-0000-0000FC020000}"/>
    <cellStyle name="40% - Ênfase2 3" xfId="5218" xr:uid="{00000000-0005-0000-0000-0000FD020000}"/>
    <cellStyle name="40% - Ênfase2 3 2" xfId="6091" xr:uid="{00000000-0005-0000-0000-0000FE020000}"/>
    <cellStyle name="40% - Ênfase2 3 2 2" xfId="14341" xr:uid="{00000000-0005-0000-0000-0000FF020000}"/>
    <cellStyle name="40% - Ênfase2 3 3" xfId="6092" xr:uid="{00000000-0005-0000-0000-000000030000}"/>
    <cellStyle name="40% - Ênfase2 3 3 2" xfId="14342" xr:uid="{00000000-0005-0000-0000-000001030000}"/>
    <cellStyle name="40% - Ênfase2 3 4" xfId="6093" xr:uid="{00000000-0005-0000-0000-000002030000}"/>
    <cellStyle name="40% - Ênfase2 3 4 2" xfId="14343" xr:uid="{00000000-0005-0000-0000-000003030000}"/>
    <cellStyle name="40% - Ênfase2 3 5" xfId="6090" xr:uid="{00000000-0005-0000-0000-000004030000}"/>
    <cellStyle name="40% - Ênfase2 3 5 2" xfId="14340" xr:uid="{00000000-0005-0000-0000-000005030000}"/>
    <cellStyle name="40% - Ênfase2 4" xfId="5332" xr:uid="{00000000-0005-0000-0000-000006030000}"/>
    <cellStyle name="40% - Ênfase2 4 2" xfId="6095" xr:uid="{00000000-0005-0000-0000-000007030000}"/>
    <cellStyle name="40% - Ênfase2 4 2 2" xfId="14345" xr:uid="{00000000-0005-0000-0000-000008030000}"/>
    <cellStyle name="40% - Ênfase2 4 3" xfId="6096" xr:uid="{00000000-0005-0000-0000-000009030000}"/>
    <cellStyle name="40% - Ênfase2 4 3 2" xfId="14346" xr:uid="{00000000-0005-0000-0000-00000A030000}"/>
    <cellStyle name="40% - Ênfase2 4 4" xfId="6094" xr:uid="{00000000-0005-0000-0000-00000B030000}"/>
    <cellStyle name="40% - Ênfase2 4 4 2" xfId="14344" xr:uid="{00000000-0005-0000-0000-00000C030000}"/>
    <cellStyle name="40% - Ênfase2 5" xfId="5195" xr:uid="{00000000-0005-0000-0000-00000D030000}"/>
    <cellStyle name="40% - Ênfase2 5 2" xfId="6098" xr:uid="{00000000-0005-0000-0000-00000E030000}"/>
    <cellStyle name="40% - Ênfase2 5 2 2" xfId="14348" xr:uid="{00000000-0005-0000-0000-00000F030000}"/>
    <cellStyle name="40% - Ênfase2 5 3" xfId="6097" xr:uid="{00000000-0005-0000-0000-000010030000}"/>
    <cellStyle name="40% - Ênfase2 5 3 2" xfId="14347" xr:uid="{00000000-0005-0000-0000-000011030000}"/>
    <cellStyle name="40% - Ênfase2 6" xfId="5361" xr:uid="{00000000-0005-0000-0000-000012030000}"/>
    <cellStyle name="40% - Ênfase2 6 2" xfId="6100" xr:uid="{00000000-0005-0000-0000-000013030000}"/>
    <cellStyle name="40% - Ênfase2 6 3" xfId="7322" xr:uid="{00000000-0005-0000-0000-000014030000}"/>
    <cellStyle name="40% - Ênfase2 6 3 2" xfId="14708" xr:uid="{00000000-0005-0000-0000-000015030000}"/>
    <cellStyle name="40% - Ênfase2 6 4" xfId="6099" xr:uid="{00000000-0005-0000-0000-000016030000}"/>
    <cellStyle name="40% - Ênfase2 6 4 2" xfId="14349" xr:uid="{00000000-0005-0000-0000-000017030000}"/>
    <cellStyle name="40% - Ênfase2 7" xfId="5390" xr:uid="{00000000-0005-0000-0000-000018030000}"/>
    <cellStyle name="40% - Ênfase2 7 2" xfId="7323" xr:uid="{00000000-0005-0000-0000-000019030000}"/>
    <cellStyle name="40% - Ênfase2 7 2 2" xfId="14709" xr:uid="{00000000-0005-0000-0000-00001A030000}"/>
    <cellStyle name="40% - Ênfase2 7 3" xfId="6101" xr:uid="{00000000-0005-0000-0000-00001B030000}"/>
    <cellStyle name="40% - Ênfase2 7 3 2" xfId="14351" xr:uid="{00000000-0005-0000-0000-00001C030000}"/>
    <cellStyle name="40% - Ênfase2 8" xfId="5417" xr:uid="{00000000-0005-0000-0000-00001D030000}"/>
    <cellStyle name="40% - Ênfase2 9" xfId="5443" xr:uid="{00000000-0005-0000-0000-00001E030000}"/>
    <cellStyle name="40% - Ênfase3" xfId="21" xr:uid="{00000000-0005-0000-0000-00001F030000}"/>
    <cellStyle name="40% - Ênfase3 10" xfId="5504" xr:uid="{00000000-0005-0000-0000-000020030000}"/>
    <cellStyle name="40% - Ênfase3 11" xfId="5596" xr:uid="{00000000-0005-0000-0000-000021030000}"/>
    <cellStyle name="40% - Ênfase3 12" xfId="5480" xr:uid="{00000000-0005-0000-0000-000022030000}"/>
    <cellStyle name="40% - Ênfase3 13" xfId="5623" xr:uid="{00000000-0005-0000-0000-000023030000}"/>
    <cellStyle name="40% - Ênfase3 14" xfId="5651" xr:uid="{00000000-0005-0000-0000-000024030000}"/>
    <cellStyle name="40% - Ênfase3 15" xfId="5697" xr:uid="{00000000-0005-0000-0000-000025030000}"/>
    <cellStyle name="40% - Ênfase3 16" xfId="5747" xr:uid="{00000000-0005-0000-0000-000026030000}"/>
    <cellStyle name="40% - Ênfase3 17" xfId="5796" xr:uid="{00000000-0005-0000-0000-000027030000}"/>
    <cellStyle name="40% - Ênfase3 17 2" xfId="16102" xr:uid="{00000000-0005-0000-0000-000028030000}"/>
    <cellStyle name="40% - Ênfase3 18" xfId="14137" xr:uid="{00000000-0005-0000-0000-000029030000}"/>
    <cellStyle name="40% - Ênfase3 2" xfId="4949" xr:uid="{00000000-0005-0000-0000-00002A030000}"/>
    <cellStyle name="40% - Ênfase3 2 2" xfId="6103" xr:uid="{00000000-0005-0000-0000-00002B030000}"/>
    <cellStyle name="40% - Ênfase3 2 2 2" xfId="6104" xr:uid="{00000000-0005-0000-0000-00002C030000}"/>
    <cellStyle name="40% - Ênfase3 2 2 2 2" xfId="6105" xr:uid="{00000000-0005-0000-0000-00002D030000}"/>
    <cellStyle name="40% - Ênfase3 2 2 2 2 2" xfId="6106" xr:uid="{00000000-0005-0000-0000-00002E030000}"/>
    <cellStyle name="40% - Ênfase3 2 2 2 2 2 2" xfId="6107" xr:uid="{00000000-0005-0000-0000-00002F030000}"/>
    <cellStyle name="40% - Ênfase3 2 2 2 2 2 2 2" xfId="6108" xr:uid="{00000000-0005-0000-0000-000030030000}"/>
    <cellStyle name="40% - Ênfase3 2 2 2 2 2 2 2 2" xfId="6109" xr:uid="{00000000-0005-0000-0000-000031030000}"/>
    <cellStyle name="40% - Ênfase3 2 2 2 2 2 2 2 3" xfId="14356" xr:uid="{00000000-0005-0000-0000-000032030000}"/>
    <cellStyle name="40% - Ênfase3 2 2 2 2 2 2 3" xfId="6110" xr:uid="{00000000-0005-0000-0000-000033030000}"/>
    <cellStyle name="40% - Ênfase3 2 2 2 2 2 3" xfId="6111" xr:uid="{00000000-0005-0000-0000-000034030000}"/>
    <cellStyle name="40% - Ênfase3 2 2 2 2 2 3 2" xfId="6112" xr:uid="{00000000-0005-0000-0000-000035030000}"/>
    <cellStyle name="40% - Ênfase3 2 2 2 2 2 3 2 2" xfId="14359" xr:uid="{00000000-0005-0000-0000-000036030000}"/>
    <cellStyle name="40% - Ênfase3 2 2 2 2 2 4" xfId="14355" xr:uid="{00000000-0005-0000-0000-000037030000}"/>
    <cellStyle name="40% - Ênfase3 2 2 2 2 3" xfId="6113" xr:uid="{00000000-0005-0000-0000-000038030000}"/>
    <cellStyle name="40% - Ênfase3 2 2 2 2 3 2" xfId="6114" xr:uid="{00000000-0005-0000-0000-000039030000}"/>
    <cellStyle name="40% - Ênfase3 2 2 2 2 3 3" xfId="14360" xr:uid="{00000000-0005-0000-0000-00003A030000}"/>
    <cellStyle name="40% - Ênfase3 2 2 2 3" xfId="6115" xr:uid="{00000000-0005-0000-0000-00003B030000}"/>
    <cellStyle name="40% - Ênfase3 2 2 2 4" xfId="6116" xr:uid="{00000000-0005-0000-0000-00003C030000}"/>
    <cellStyle name="40% - Ênfase3 2 2 2 4 2" xfId="6117" xr:uid="{00000000-0005-0000-0000-00003D030000}"/>
    <cellStyle name="40% - Ênfase3 2 2 2 4 2 2" xfId="14364" xr:uid="{00000000-0005-0000-0000-00003E030000}"/>
    <cellStyle name="40% - Ênfase3 2 2 2 5" xfId="14353" xr:uid="{00000000-0005-0000-0000-00003F030000}"/>
    <cellStyle name="40% - Ênfase3 2 2 3" xfId="6118" xr:uid="{00000000-0005-0000-0000-000040030000}"/>
    <cellStyle name="40% - Ênfase3 2 2 3 2" xfId="14365" xr:uid="{00000000-0005-0000-0000-000041030000}"/>
    <cellStyle name="40% - Ênfase3 2 2 4" xfId="6119" xr:uid="{00000000-0005-0000-0000-000042030000}"/>
    <cellStyle name="40% - Ênfase3 2 2 4 2" xfId="6120" xr:uid="{00000000-0005-0000-0000-000043030000}"/>
    <cellStyle name="40% - Ênfase3 2 2 4 3" xfId="14366" xr:uid="{00000000-0005-0000-0000-000044030000}"/>
    <cellStyle name="40% - Ênfase3 2 3" xfId="6121" xr:uid="{00000000-0005-0000-0000-000045030000}"/>
    <cellStyle name="40% - Ênfase3 2 4" xfId="6122" xr:uid="{00000000-0005-0000-0000-000046030000}"/>
    <cellStyle name="40% - Ênfase3 2 5" xfId="6123" xr:uid="{00000000-0005-0000-0000-000047030000}"/>
    <cellStyle name="40% - Ênfase3 2 6" xfId="6124" xr:uid="{00000000-0005-0000-0000-000048030000}"/>
    <cellStyle name="40% - Ênfase3 2 6 2" xfId="6125" xr:uid="{00000000-0005-0000-0000-000049030000}"/>
    <cellStyle name="40% - Ênfase3 2 6 2 2" xfId="14372" xr:uid="{00000000-0005-0000-0000-00004A030000}"/>
    <cellStyle name="40% - Ênfase3 2 7" xfId="6102" xr:uid="{00000000-0005-0000-0000-00004B030000}"/>
    <cellStyle name="40% - Ênfase3 2 7 2" xfId="14352" xr:uid="{00000000-0005-0000-0000-00004C030000}"/>
    <cellStyle name="40% - Ênfase3 3" xfId="5219" xr:uid="{00000000-0005-0000-0000-00004D030000}"/>
    <cellStyle name="40% - Ênfase3 3 2" xfId="6127" xr:uid="{00000000-0005-0000-0000-00004E030000}"/>
    <cellStyle name="40% - Ênfase3 3 2 2" xfId="14374" xr:uid="{00000000-0005-0000-0000-00004F030000}"/>
    <cellStyle name="40% - Ênfase3 3 3" xfId="6128" xr:uid="{00000000-0005-0000-0000-000050030000}"/>
    <cellStyle name="40% - Ênfase3 3 3 2" xfId="14375" xr:uid="{00000000-0005-0000-0000-000051030000}"/>
    <cellStyle name="40% - Ênfase3 3 4" xfId="6129" xr:uid="{00000000-0005-0000-0000-000052030000}"/>
    <cellStyle name="40% - Ênfase3 3 4 2" xfId="14376" xr:uid="{00000000-0005-0000-0000-000053030000}"/>
    <cellStyle name="40% - Ênfase3 3 5" xfId="6126" xr:uid="{00000000-0005-0000-0000-000054030000}"/>
    <cellStyle name="40% - Ênfase3 3 5 2" xfId="14373" xr:uid="{00000000-0005-0000-0000-000055030000}"/>
    <cellStyle name="40% - Ênfase3 4" xfId="5331" xr:uid="{00000000-0005-0000-0000-000056030000}"/>
    <cellStyle name="40% - Ênfase3 4 2" xfId="6131" xr:uid="{00000000-0005-0000-0000-000057030000}"/>
    <cellStyle name="40% - Ênfase3 4 2 2" xfId="14378" xr:uid="{00000000-0005-0000-0000-000058030000}"/>
    <cellStyle name="40% - Ênfase3 4 3" xfId="6132" xr:uid="{00000000-0005-0000-0000-000059030000}"/>
    <cellStyle name="40% - Ênfase3 4 3 2" xfId="14379" xr:uid="{00000000-0005-0000-0000-00005A030000}"/>
    <cellStyle name="40% - Ênfase3 4 4" xfId="6130" xr:uid="{00000000-0005-0000-0000-00005B030000}"/>
    <cellStyle name="40% - Ênfase3 4 4 2" xfId="14377" xr:uid="{00000000-0005-0000-0000-00005C030000}"/>
    <cellStyle name="40% - Ênfase3 5" xfId="5196" xr:uid="{00000000-0005-0000-0000-00005D030000}"/>
    <cellStyle name="40% - Ênfase3 5 2" xfId="6134" xr:uid="{00000000-0005-0000-0000-00005E030000}"/>
    <cellStyle name="40% - Ênfase3 5 2 2" xfId="14381" xr:uid="{00000000-0005-0000-0000-00005F030000}"/>
    <cellStyle name="40% - Ênfase3 5 3" xfId="6133" xr:uid="{00000000-0005-0000-0000-000060030000}"/>
    <cellStyle name="40% - Ênfase3 5 3 2" xfId="14380" xr:uid="{00000000-0005-0000-0000-000061030000}"/>
    <cellStyle name="40% - Ênfase3 6" xfId="5360" xr:uid="{00000000-0005-0000-0000-000062030000}"/>
    <cellStyle name="40% - Ênfase3 6 2" xfId="6136" xr:uid="{00000000-0005-0000-0000-000063030000}"/>
    <cellStyle name="40% - Ênfase3 6 3" xfId="7324" xr:uid="{00000000-0005-0000-0000-000064030000}"/>
    <cellStyle name="40% - Ênfase3 6 3 2" xfId="14710" xr:uid="{00000000-0005-0000-0000-000065030000}"/>
    <cellStyle name="40% - Ênfase3 6 4" xfId="6135" xr:uid="{00000000-0005-0000-0000-000066030000}"/>
    <cellStyle name="40% - Ênfase3 6 4 2" xfId="14382" xr:uid="{00000000-0005-0000-0000-000067030000}"/>
    <cellStyle name="40% - Ênfase3 7" xfId="5389" xr:uid="{00000000-0005-0000-0000-000068030000}"/>
    <cellStyle name="40% - Ênfase3 7 2" xfId="7325" xr:uid="{00000000-0005-0000-0000-000069030000}"/>
    <cellStyle name="40% - Ênfase3 7 2 2" xfId="14711" xr:uid="{00000000-0005-0000-0000-00006A030000}"/>
    <cellStyle name="40% - Ênfase3 7 3" xfId="6137" xr:uid="{00000000-0005-0000-0000-00006B030000}"/>
    <cellStyle name="40% - Ênfase3 7 3 2" xfId="14384" xr:uid="{00000000-0005-0000-0000-00006C030000}"/>
    <cellStyle name="40% - Ênfase3 8" xfId="5416" xr:uid="{00000000-0005-0000-0000-00006D030000}"/>
    <cellStyle name="40% - Ênfase3 9" xfId="5442" xr:uid="{00000000-0005-0000-0000-00006E030000}"/>
    <cellStyle name="40% - Ênfase4" xfId="22" xr:uid="{00000000-0005-0000-0000-00006F030000}"/>
    <cellStyle name="40% - Ênfase4 10" xfId="5505" xr:uid="{00000000-0005-0000-0000-000070030000}"/>
    <cellStyle name="40% - Ênfase4 11" xfId="5595" xr:uid="{00000000-0005-0000-0000-000071030000}"/>
    <cellStyle name="40% - Ênfase4 12" xfId="5481" xr:uid="{00000000-0005-0000-0000-000072030000}"/>
    <cellStyle name="40% - Ênfase4 13" xfId="5622" xr:uid="{00000000-0005-0000-0000-000073030000}"/>
    <cellStyle name="40% - Ênfase4 14" xfId="5650" xr:uid="{00000000-0005-0000-0000-000074030000}"/>
    <cellStyle name="40% - Ênfase4 15" xfId="5698" xr:uid="{00000000-0005-0000-0000-000075030000}"/>
    <cellStyle name="40% - Ênfase4 16" xfId="5746" xr:uid="{00000000-0005-0000-0000-000076030000}"/>
    <cellStyle name="40% - Ênfase4 17" xfId="5800" xr:uid="{00000000-0005-0000-0000-000077030000}"/>
    <cellStyle name="40% - Ênfase4 17 2" xfId="16104" xr:uid="{00000000-0005-0000-0000-000078030000}"/>
    <cellStyle name="40% - Ênfase4 18" xfId="14139" xr:uid="{00000000-0005-0000-0000-000079030000}"/>
    <cellStyle name="40% - Ênfase4 2" xfId="4950" xr:uid="{00000000-0005-0000-0000-00007A030000}"/>
    <cellStyle name="40% - Ênfase4 2 2" xfId="6139" xr:uid="{00000000-0005-0000-0000-00007B030000}"/>
    <cellStyle name="40% - Ênfase4 2 2 2" xfId="6140" xr:uid="{00000000-0005-0000-0000-00007C030000}"/>
    <cellStyle name="40% - Ênfase4 2 2 2 2" xfId="6141" xr:uid="{00000000-0005-0000-0000-00007D030000}"/>
    <cellStyle name="40% - Ênfase4 2 2 2 2 2" xfId="6142" xr:uid="{00000000-0005-0000-0000-00007E030000}"/>
    <cellStyle name="40% - Ênfase4 2 2 2 2 2 2" xfId="6143" xr:uid="{00000000-0005-0000-0000-00007F030000}"/>
    <cellStyle name="40% - Ênfase4 2 2 2 2 2 2 2" xfId="6144" xr:uid="{00000000-0005-0000-0000-000080030000}"/>
    <cellStyle name="40% - Ênfase4 2 2 2 2 2 2 2 2" xfId="6145" xr:uid="{00000000-0005-0000-0000-000081030000}"/>
    <cellStyle name="40% - Ênfase4 2 2 2 2 2 2 2 3" xfId="14390" xr:uid="{00000000-0005-0000-0000-000082030000}"/>
    <cellStyle name="40% - Ênfase4 2 2 2 2 2 2 3" xfId="6146" xr:uid="{00000000-0005-0000-0000-000083030000}"/>
    <cellStyle name="40% - Ênfase4 2 2 2 2 2 3" xfId="6147" xr:uid="{00000000-0005-0000-0000-000084030000}"/>
    <cellStyle name="40% - Ênfase4 2 2 2 2 2 3 2" xfId="6148" xr:uid="{00000000-0005-0000-0000-000085030000}"/>
    <cellStyle name="40% - Ênfase4 2 2 2 2 2 3 2 2" xfId="14393" xr:uid="{00000000-0005-0000-0000-000086030000}"/>
    <cellStyle name="40% - Ênfase4 2 2 2 2 2 4" xfId="14389" xr:uid="{00000000-0005-0000-0000-000087030000}"/>
    <cellStyle name="40% - Ênfase4 2 2 2 2 3" xfId="6149" xr:uid="{00000000-0005-0000-0000-000088030000}"/>
    <cellStyle name="40% - Ênfase4 2 2 2 2 3 2" xfId="6150" xr:uid="{00000000-0005-0000-0000-000089030000}"/>
    <cellStyle name="40% - Ênfase4 2 2 2 2 3 3" xfId="14394" xr:uid="{00000000-0005-0000-0000-00008A030000}"/>
    <cellStyle name="40% - Ênfase4 2 2 2 3" xfId="6151" xr:uid="{00000000-0005-0000-0000-00008B030000}"/>
    <cellStyle name="40% - Ênfase4 2 2 2 4" xfId="6152" xr:uid="{00000000-0005-0000-0000-00008C030000}"/>
    <cellStyle name="40% - Ênfase4 2 2 2 4 2" xfId="6153" xr:uid="{00000000-0005-0000-0000-00008D030000}"/>
    <cellStyle name="40% - Ênfase4 2 2 2 4 2 2" xfId="14398" xr:uid="{00000000-0005-0000-0000-00008E030000}"/>
    <cellStyle name="40% - Ênfase4 2 2 2 5" xfId="14387" xr:uid="{00000000-0005-0000-0000-00008F030000}"/>
    <cellStyle name="40% - Ênfase4 2 2 3" xfId="6154" xr:uid="{00000000-0005-0000-0000-000090030000}"/>
    <cellStyle name="40% - Ênfase4 2 2 3 2" xfId="14399" xr:uid="{00000000-0005-0000-0000-000091030000}"/>
    <cellStyle name="40% - Ênfase4 2 2 4" xfId="6155" xr:uid="{00000000-0005-0000-0000-000092030000}"/>
    <cellStyle name="40% - Ênfase4 2 2 4 2" xfId="6156" xr:uid="{00000000-0005-0000-0000-000093030000}"/>
    <cellStyle name="40% - Ênfase4 2 2 4 3" xfId="14400" xr:uid="{00000000-0005-0000-0000-000094030000}"/>
    <cellStyle name="40% - Ênfase4 2 3" xfId="6157" xr:uid="{00000000-0005-0000-0000-000095030000}"/>
    <cellStyle name="40% - Ênfase4 2 4" xfId="6158" xr:uid="{00000000-0005-0000-0000-000096030000}"/>
    <cellStyle name="40% - Ênfase4 2 5" xfId="6159" xr:uid="{00000000-0005-0000-0000-000097030000}"/>
    <cellStyle name="40% - Ênfase4 2 6" xfId="6160" xr:uid="{00000000-0005-0000-0000-000098030000}"/>
    <cellStyle name="40% - Ênfase4 2 6 2" xfId="6161" xr:uid="{00000000-0005-0000-0000-000099030000}"/>
    <cellStyle name="40% - Ênfase4 2 6 2 2" xfId="14406" xr:uid="{00000000-0005-0000-0000-00009A030000}"/>
    <cellStyle name="40% - Ênfase4 2 7" xfId="6138" xr:uid="{00000000-0005-0000-0000-00009B030000}"/>
    <cellStyle name="40% - Ênfase4 2 7 2" xfId="14385" xr:uid="{00000000-0005-0000-0000-00009C030000}"/>
    <cellStyle name="40% - Ênfase4 3" xfId="5220" xr:uid="{00000000-0005-0000-0000-00009D030000}"/>
    <cellStyle name="40% - Ênfase4 3 2" xfId="6163" xr:uid="{00000000-0005-0000-0000-00009E030000}"/>
    <cellStyle name="40% - Ênfase4 3 2 2" xfId="14408" xr:uid="{00000000-0005-0000-0000-00009F030000}"/>
    <cellStyle name="40% - Ênfase4 3 3" xfId="6164" xr:uid="{00000000-0005-0000-0000-0000A0030000}"/>
    <cellStyle name="40% - Ênfase4 3 3 2" xfId="14409" xr:uid="{00000000-0005-0000-0000-0000A1030000}"/>
    <cellStyle name="40% - Ênfase4 3 4" xfId="6165" xr:uid="{00000000-0005-0000-0000-0000A2030000}"/>
    <cellStyle name="40% - Ênfase4 3 4 2" xfId="14410" xr:uid="{00000000-0005-0000-0000-0000A3030000}"/>
    <cellStyle name="40% - Ênfase4 3 5" xfId="6162" xr:uid="{00000000-0005-0000-0000-0000A4030000}"/>
    <cellStyle name="40% - Ênfase4 3 5 2" xfId="14407" xr:uid="{00000000-0005-0000-0000-0000A5030000}"/>
    <cellStyle name="40% - Ênfase4 4" xfId="5330" xr:uid="{00000000-0005-0000-0000-0000A6030000}"/>
    <cellStyle name="40% - Ênfase4 4 2" xfId="6167" xr:uid="{00000000-0005-0000-0000-0000A7030000}"/>
    <cellStyle name="40% - Ênfase4 4 2 2" xfId="14412" xr:uid="{00000000-0005-0000-0000-0000A8030000}"/>
    <cellStyle name="40% - Ênfase4 4 3" xfId="6168" xr:uid="{00000000-0005-0000-0000-0000A9030000}"/>
    <cellStyle name="40% - Ênfase4 4 3 2" xfId="14413" xr:uid="{00000000-0005-0000-0000-0000AA030000}"/>
    <cellStyle name="40% - Ênfase4 4 4" xfId="6166" xr:uid="{00000000-0005-0000-0000-0000AB030000}"/>
    <cellStyle name="40% - Ênfase4 4 4 2" xfId="14411" xr:uid="{00000000-0005-0000-0000-0000AC030000}"/>
    <cellStyle name="40% - Ênfase4 5" xfId="5197" xr:uid="{00000000-0005-0000-0000-0000AD030000}"/>
    <cellStyle name="40% - Ênfase4 5 2" xfId="6170" xr:uid="{00000000-0005-0000-0000-0000AE030000}"/>
    <cellStyle name="40% - Ênfase4 5 2 2" xfId="14415" xr:uid="{00000000-0005-0000-0000-0000AF030000}"/>
    <cellStyle name="40% - Ênfase4 5 3" xfId="6169" xr:uid="{00000000-0005-0000-0000-0000B0030000}"/>
    <cellStyle name="40% - Ênfase4 5 3 2" xfId="14414" xr:uid="{00000000-0005-0000-0000-0000B1030000}"/>
    <cellStyle name="40% - Ênfase4 6" xfId="5359" xr:uid="{00000000-0005-0000-0000-0000B2030000}"/>
    <cellStyle name="40% - Ênfase4 6 2" xfId="6172" xr:uid="{00000000-0005-0000-0000-0000B3030000}"/>
    <cellStyle name="40% - Ênfase4 6 3" xfId="7326" xr:uid="{00000000-0005-0000-0000-0000B4030000}"/>
    <cellStyle name="40% - Ênfase4 6 3 2" xfId="14712" xr:uid="{00000000-0005-0000-0000-0000B5030000}"/>
    <cellStyle name="40% - Ênfase4 6 4" xfId="6171" xr:uid="{00000000-0005-0000-0000-0000B6030000}"/>
    <cellStyle name="40% - Ênfase4 6 4 2" xfId="14416" xr:uid="{00000000-0005-0000-0000-0000B7030000}"/>
    <cellStyle name="40% - Ênfase4 7" xfId="5388" xr:uid="{00000000-0005-0000-0000-0000B8030000}"/>
    <cellStyle name="40% - Ênfase4 7 2" xfId="7327" xr:uid="{00000000-0005-0000-0000-0000B9030000}"/>
    <cellStyle name="40% - Ênfase4 7 2 2" xfId="14713" xr:uid="{00000000-0005-0000-0000-0000BA030000}"/>
    <cellStyle name="40% - Ênfase4 7 3" xfId="6173" xr:uid="{00000000-0005-0000-0000-0000BB030000}"/>
    <cellStyle name="40% - Ênfase4 7 3 2" xfId="14418" xr:uid="{00000000-0005-0000-0000-0000BC030000}"/>
    <cellStyle name="40% - Ênfase4 8" xfId="5415" xr:uid="{00000000-0005-0000-0000-0000BD030000}"/>
    <cellStyle name="40% - Ênfase4 9" xfId="5441" xr:uid="{00000000-0005-0000-0000-0000BE030000}"/>
    <cellStyle name="40% - Ênfase5" xfId="23" xr:uid="{00000000-0005-0000-0000-0000BF030000}"/>
    <cellStyle name="40% - Ênfase5 10" xfId="5506" xr:uid="{00000000-0005-0000-0000-0000C0030000}"/>
    <cellStyle name="40% - Ênfase5 11" xfId="5594" xr:uid="{00000000-0005-0000-0000-0000C1030000}"/>
    <cellStyle name="40% - Ênfase5 12" xfId="5482" xr:uid="{00000000-0005-0000-0000-0000C2030000}"/>
    <cellStyle name="40% - Ênfase5 13" xfId="5621" xr:uid="{00000000-0005-0000-0000-0000C3030000}"/>
    <cellStyle name="40% - Ênfase5 14" xfId="5649" xr:uid="{00000000-0005-0000-0000-0000C4030000}"/>
    <cellStyle name="40% - Ênfase5 15" xfId="5699" xr:uid="{00000000-0005-0000-0000-0000C5030000}"/>
    <cellStyle name="40% - Ênfase5 16" xfId="5745" xr:uid="{00000000-0005-0000-0000-0000C6030000}"/>
    <cellStyle name="40% - Ênfase5 17" xfId="5804" xr:uid="{00000000-0005-0000-0000-0000C7030000}"/>
    <cellStyle name="40% - Ênfase5 17 2" xfId="16106" xr:uid="{00000000-0005-0000-0000-0000C8030000}"/>
    <cellStyle name="40% - Ênfase5 18" xfId="14142" xr:uid="{00000000-0005-0000-0000-0000C9030000}"/>
    <cellStyle name="40% - Ênfase5 2" xfId="4951" xr:uid="{00000000-0005-0000-0000-0000CA030000}"/>
    <cellStyle name="40% - Ênfase5 2 2" xfId="6175" xr:uid="{00000000-0005-0000-0000-0000CB030000}"/>
    <cellStyle name="40% - Ênfase5 2 2 2" xfId="6176" xr:uid="{00000000-0005-0000-0000-0000CC030000}"/>
    <cellStyle name="40% - Ênfase5 2 2 2 2" xfId="6177" xr:uid="{00000000-0005-0000-0000-0000CD030000}"/>
    <cellStyle name="40% - Ênfase5 2 2 2 2 2" xfId="6178" xr:uid="{00000000-0005-0000-0000-0000CE030000}"/>
    <cellStyle name="40% - Ênfase5 2 2 2 2 2 2" xfId="6179" xr:uid="{00000000-0005-0000-0000-0000CF030000}"/>
    <cellStyle name="40% - Ênfase5 2 2 2 2 2 2 2" xfId="6180" xr:uid="{00000000-0005-0000-0000-0000D0030000}"/>
    <cellStyle name="40% - Ênfase5 2 2 2 2 2 2 2 2" xfId="6181" xr:uid="{00000000-0005-0000-0000-0000D1030000}"/>
    <cellStyle name="40% - Ênfase5 2 2 2 2 2 2 2 3" xfId="14422" xr:uid="{00000000-0005-0000-0000-0000D2030000}"/>
    <cellStyle name="40% - Ênfase5 2 2 2 2 2 2 3" xfId="6182" xr:uid="{00000000-0005-0000-0000-0000D3030000}"/>
    <cellStyle name="40% - Ênfase5 2 2 2 2 2 3" xfId="6183" xr:uid="{00000000-0005-0000-0000-0000D4030000}"/>
    <cellStyle name="40% - Ênfase5 2 2 2 2 2 3 2" xfId="6184" xr:uid="{00000000-0005-0000-0000-0000D5030000}"/>
    <cellStyle name="40% - Ênfase5 2 2 2 2 2 3 2 2" xfId="14423" xr:uid="{00000000-0005-0000-0000-0000D6030000}"/>
    <cellStyle name="40% - Ênfase5 2 2 2 2 2 4" xfId="14421" xr:uid="{00000000-0005-0000-0000-0000D7030000}"/>
    <cellStyle name="40% - Ênfase5 2 2 2 2 3" xfId="6185" xr:uid="{00000000-0005-0000-0000-0000D8030000}"/>
    <cellStyle name="40% - Ênfase5 2 2 2 2 3 2" xfId="6186" xr:uid="{00000000-0005-0000-0000-0000D9030000}"/>
    <cellStyle name="40% - Ênfase5 2 2 2 2 3 3" xfId="14424" xr:uid="{00000000-0005-0000-0000-0000DA030000}"/>
    <cellStyle name="40% - Ênfase5 2 2 2 3" xfId="6187" xr:uid="{00000000-0005-0000-0000-0000DB030000}"/>
    <cellStyle name="40% - Ênfase5 2 2 2 4" xfId="6188" xr:uid="{00000000-0005-0000-0000-0000DC030000}"/>
    <cellStyle name="40% - Ênfase5 2 2 2 4 2" xfId="6189" xr:uid="{00000000-0005-0000-0000-0000DD030000}"/>
    <cellStyle name="40% - Ênfase5 2 2 2 4 2 2" xfId="14425" xr:uid="{00000000-0005-0000-0000-0000DE030000}"/>
    <cellStyle name="40% - Ênfase5 2 2 2 5" xfId="14420" xr:uid="{00000000-0005-0000-0000-0000DF030000}"/>
    <cellStyle name="40% - Ênfase5 2 2 3" xfId="6190" xr:uid="{00000000-0005-0000-0000-0000E0030000}"/>
    <cellStyle name="40% - Ênfase5 2 2 3 2" xfId="14426" xr:uid="{00000000-0005-0000-0000-0000E1030000}"/>
    <cellStyle name="40% - Ênfase5 2 2 4" xfId="6191" xr:uid="{00000000-0005-0000-0000-0000E2030000}"/>
    <cellStyle name="40% - Ênfase5 2 2 4 2" xfId="6192" xr:uid="{00000000-0005-0000-0000-0000E3030000}"/>
    <cellStyle name="40% - Ênfase5 2 2 4 3" xfId="14427" xr:uid="{00000000-0005-0000-0000-0000E4030000}"/>
    <cellStyle name="40% - Ênfase5 2 3" xfId="6193" xr:uid="{00000000-0005-0000-0000-0000E5030000}"/>
    <cellStyle name="40% - Ênfase5 2 4" xfId="6194" xr:uid="{00000000-0005-0000-0000-0000E6030000}"/>
    <cellStyle name="40% - Ênfase5 2 5" xfId="6195" xr:uid="{00000000-0005-0000-0000-0000E7030000}"/>
    <cellStyle name="40% - Ênfase5 2 6" xfId="6196" xr:uid="{00000000-0005-0000-0000-0000E8030000}"/>
    <cellStyle name="40% - Ênfase5 2 6 2" xfId="6197" xr:uid="{00000000-0005-0000-0000-0000E9030000}"/>
    <cellStyle name="40% - Ênfase5 2 6 2 2" xfId="14428" xr:uid="{00000000-0005-0000-0000-0000EA030000}"/>
    <cellStyle name="40% - Ênfase5 2 7" xfId="6174" xr:uid="{00000000-0005-0000-0000-0000EB030000}"/>
    <cellStyle name="40% - Ênfase5 2 7 2" xfId="14419" xr:uid="{00000000-0005-0000-0000-0000EC030000}"/>
    <cellStyle name="40% - Ênfase5 3" xfId="5221" xr:uid="{00000000-0005-0000-0000-0000ED030000}"/>
    <cellStyle name="40% - Ênfase5 3 2" xfId="6199" xr:uid="{00000000-0005-0000-0000-0000EE030000}"/>
    <cellStyle name="40% - Ênfase5 3 2 2" xfId="14430" xr:uid="{00000000-0005-0000-0000-0000EF030000}"/>
    <cellStyle name="40% - Ênfase5 3 3" xfId="6200" xr:uid="{00000000-0005-0000-0000-0000F0030000}"/>
    <cellStyle name="40% - Ênfase5 3 3 2" xfId="14431" xr:uid="{00000000-0005-0000-0000-0000F1030000}"/>
    <cellStyle name="40% - Ênfase5 3 4" xfId="6201" xr:uid="{00000000-0005-0000-0000-0000F2030000}"/>
    <cellStyle name="40% - Ênfase5 3 4 2" xfId="14432" xr:uid="{00000000-0005-0000-0000-0000F3030000}"/>
    <cellStyle name="40% - Ênfase5 3 5" xfId="6198" xr:uid="{00000000-0005-0000-0000-0000F4030000}"/>
    <cellStyle name="40% - Ênfase5 3 5 2" xfId="14429" xr:uid="{00000000-0005-0000-0000-0000F5030000}"/>
    <cellStyle name="40% - Ênfase5 4" xfId="5329" xr:uid="{00000000-0005-0000-0000-0000F6030000}"/>
    <cellStyle name="40% - Ênfase5 4 2" xfId="6203" xr:uid="{00000000-0005-0000-0000-0000F7030000}"/>
    <cellStyle name="40% - Ênfase5 4 2 2" xfId="14434" xr:uid="{00000000-0005-0000-0000-0000F8030000}"/>
    <cellStyle name="40% - Ênfase5 4 3" xfId="6204" xr:uid="{00000000-0005-0000-0000-0000F9030000}"/>
    <cellStyle name="40% - Ênfase5 4 3 2" xfId="14435" xr:uid="{00000000-0005-0000-0000-0000FA030000}"/>
    <cellStyle name="40% - Ênfase5 4 4" xfId="6202" xr:uid="{00000000-0005-0000-0000-0000FB030000}"/>
    <cellStyle name="40% - Ênfase5 4 4 2" xfId="14433" xr:uid="{00000000-0005-0000-0000-0000FC030000}"/>
    <cellStyle name="40% - Ênfase5 5" xfId="5198" xr:uid="{00000000-0005-0000-0000-0000FD030000}"/>
    <cellStyle name="40% - Ênfase5 5 2" xfId="6206" xr:uid="{00000000-0005-0000-0000-0000FE030000}"/>
    <cellStyle name="40% - Ênfase5 5 2 2" xfId="14437" xr:uid="{00000000-0005-0000-0000-0000FF030000}"/>
    <cellStyle name="40% - Ênfase5 5 3" xfId="6205" xr:uid="{00000000-0005-0000-0000-000000040000}"/>
    <cellStyle name="40% - Ênfase5 5 3 2" xfId="14436" xr:uid="{00000000-0005-0000-0000-000001040000}"/>
    <cellStyle name="40% - Ênfase5 6" xfId="5358" xr:uid="{00000000-0005-0000-0000-000002040000}"/>
    <cellStyle name="40% - Ênfase5 6 2" xfId="6208" xr:uid="{00000000-0005-0000-0000-000003040000}"/>
    <cellStyle name="40% - Ênfase5 6 3" xfId="7328" xr:uid="{00000000-0005-0000-0000-000004040000}"/>
    <cellStyle name="40% - Ênfase5 6 3 2" xfId="14714" xr:uid="{00000000-0005-0000-0000-000005040000}"/>
    <cellStyle name="40% - Ênfase5 6 4" xfId="6207" xr:uid="{00000000-0005-0000-0000-000006040000}"/>
    <cellStyle name="40% - Ênfase5 6 4 2" xfId="14438" xr:uid="{00000000-0005-0000-0000-000007040000}"/>
    <cellStyle name="40% - Ênfase5 7" xfId="5387" xr:uid="{00000000-0005-0000-0000-000008040000}"/>
    <cellStyle name="40% - Ênfase5 7 2" xfId="7329" xr:uid="{00000000-0005-0000-0000-000009040000}"/>
    <cellStyle name="40% - Ênfase5 7 2 2" xfId="14715" xr:uid="{00000000-0005-0000-0000-00000A040000}"/>
    <cellStyle name="40% - Ênfase5 7 3" xfId="6209" xr:uid="{00000000-0005-0000-0000-00000B040000}"/>
    <cellStyle name="40% - Ênfase5 7 3 2" xfId="14439" xr:uid="{00000000-0005-0000-0000-00000C040000}"/>
    <cellStyle name="40% - Ênfase5 8" xfId="5414" xr:uid="{00000000-0005-0000-0000-00000D040000}"/>
    <cellStyle name="40% - Ênfase5 9" xfId="5440" xr:uid="{00000000-0005-0000-0000-00000E040000}"/>
    <cellStyle name="40% - Ênfase6" xfId="24" xr:uid="{00000000-0005-0000-0000-00000F040000}"/>
    <cellStyle name="40% - Ênfase6 10" xfId="5507" xr:uid="{00000000-0005-0000-0000-000010040000}"/>
    <cellStyle name="40% - Ênfase6 11" xfId="5593" xr:uid="{00000000-0005-0000-0000-000011040000}"/>
    <cellStyle name="40% - Ênfase6 12" xfId="5483" xr:uid="{00000000-0005-0000-0000-000012040000}"/>
    <cellStyle name="40% - Ênfase6 13" xfId="5620" xr:uid="{00000000-0005-0000-0000-000013040000}"/>
    <cellStyle name="40% - Ênfase6 14" xfId="5648" xr:uid="{00000000-0005-0000-0000-000014040000}"/>
    <cellStyle name="40% - Ênfase6 15" xfId="5700" xr:uid="{00000000-0005-0000-0000-000015040000}"/>
    <cellStyle name="40% - Ênfase6 16" xfId="5744" xr:uid="{00000000-0005-0000-0000-000016040000}"/>
    <cellStyle name="40% - Ênfase6 17" xfId="5808" xr:uid="{00000000-0005-0000-0000-000017040000}"/>
    <cellStyle name="40% - Ênfase6 17 2" xfId="16108" xr:uid="{00000000-0005-0000-0000-000018040000}"/>
    <cellStyle name="40% - Ênfase6 18" xfId="14144" xr:uid="{00000000-0005-0000-0000-000019040000}"/>
    <cellStyle name="40% - Ênfase6 2" xfId="4952" xr:uid="{00000000-0005-0000-0000-00001A040000}"/>
    <cellStyle name="40% - Ênfase6 2 2" xfId="6211" xr:uid="{00000000-0005-0000-0000-00001B040000}"/>
    <cellStyle name="40% - Ênfase6 2 2 2" xfId="6212" xr:uid="{00000000-0005-0000-0000-00001C040000}"/>
    <cellStyle name="40% - Ênfase6 2 2 2 2" xfId="6213" xr:uid="{00000000-0005-0000-0000-00001D040000}"/>
    <cellStyle name="40% - Ênfase6 2 2 2 2 2" xfId="6214" xr:uid="{00000000-0005-0000-0000-00001E040000}"/>
    <cellStyle name="40% - Ênfase6 2 2 2 2 2 2" xfId="6215" xr:uid="{00000000-0005-0000-0000-00001F040000}"/>
    <cellStyle name="40% - Ênfase6 2 2 2 2 2 2 2" xfId="6216" xr:uid="{00000000-0005-0000-0000-000020040000}"/>
    <cellStyle name="40% - Ênfase6 2 2 2 2 2 2 2 2" xfId="6217" xr:uid="{00000000-0005-0000-0000-000021040000}"/>
    <cellStyle name="40% - Ênfase6 2 2 2 2 2 2 2 3" xfId="14443" xr:uid="{00000000-0005-0000-0000-000022040000}"/>
    <cellStyle name="40% - Ênfase6 2 2 2 2 2 2 3" xfId="6218" xr:uid="{00000000-0005-0000-0000-000023040000}"/>
    <cellStyle name="40% - Ênfase6 2 2 2 2 2 3" xfId="6219" xr:uid="{00000000-0005-0000-0000-000024040000}"/>
    <cellStyle name="40% - Ênfase6 2 2 2 2 2 3 2" xfId="6220" xr:uid="{00000000-0005-0000-0000-000025040000}"/>
    <cellStyle name="40% - Ênfase6 2 2 2 2 2 3 2 2" xfId="14444" xr:uid="{00000000-0005-0000-0000-000026040000}"/>
    <cellStyle name="40% - Ênfase6 2 2 2 2 2 4" xfId="14442" xr:uid="{00000000-0005-0000-0000-000027040000}"/>
    <cellStyle name="40% - Ênfase6 2 2 2 2 3" xfId="6221" xr:uid="{00000000-0005-0000-0000-000028040000}"/>
    <cellStyle name="40% - Ênfase6 2 2 2 2 3 2" xfId="6222" xr:uid="{00000000-0005-0000-0000-000029040000}"/>
    <cellStyle name="40% - Ênfase6 2 2 2 2 3 3" xfId="14445" xr:uid="{00000000-0005-0000-0000-00002A040000}"/>
    <cellStyle name="40% - Ênfase6 2 2 2 3" xfId="6223" xr:uid="{00000000-0005-0000-0000-00002B040000}"/>
    <cellStyle name="40% - Ênfase6 2 2 2 4" xfId="6224" xr:uid="{00000000-0005-0000-0000-00002C040000}"/>
    <cellStyle name="40% - Ênfase6 2 2 2 4 2" xfId="6225" xr:uid="{00000000-0005-0000-0000-00002D040000}"/>
    <cellStyle name="40% - Ênfase6 2 2 2 4 2 2" xfId="14446" xr:uid="{00000000-0005-0000-0000-00002E040000}"/>
    <cellStyle name="40% - Ênfase6 2 2 2 5" xfId="14441" xr:uid="{00000000-0005-0000-0000-00002F040000}"/>
    <cellStyle name="40% - Ênfase6 2 2 3" xfId="6226" xr:uid="{00000000-0005-0000-0000-000030040000}"/>
    <cellStyle name="40% - Ênfase6 2 2 3 2" xfId="14447" xr:uid="{00000000-0005-0000-0000-000031040000}"/>
    <cellStyle name="40% - Ênfase6 2 2 4" xfId="6227" xr:uid="{00000000-0005-0000-0000-000032040000}"/>
    <cellStyle name="40% - Ênfase6 2 2 4 2" xfId="6228" xr:uid="{00000000-0005-0000-0000-000033040000}"/>
    <cellStyle name="40% - Ênfase6 2 2 4 3" xfId="14448" xr:uid="{00000000-0005-0000-0000-000034040000}"/>
    <cellStyle name="40% - Ênfase6 2 3" xfId="6229" xr:uid="{00000000-0005-0000-0000-000035040000}"/>
    <cellStyle name="40% - Ênfase6 2 4" xfId="6230" xr:uid="{00000000-0005-0000-0000-000036040000}"/>
    <cellStyle name="40% - Ênfase6 2 5" xfId="6231" xr:uid="{00000000-0005-0000-0000-000037040000}"/>
    <cellStyle name="40% - Ênfase6 2 6" xfId="6232" xr:uid="{00000000-0005-0000-0000-000038040000}"/>
    <cellStyle name="40% - Ênfase6 2 6 2" xfId="6233" xr:uid="{00000000-0005-0000-0000-000039040000}"/>
    <cellStyle name="40% - Ênfase6 2 6 2 2" xfId="14449" xr:uid="{00000000-0005-0000-0000-00003A040000}"/>
    <cellStyle name="40% - Ênfase6 2 7" xfId="6210" xr:uid="{00000000-0005-0000-0000-00003B040000}"/>
    <cellStyle name="40% - Ênfase6 2 7 2" xfId="14440" xr:uid="{00000000-0005-0000-0000-00003C040000}"/>
    <cellStyle name="40% - Ênfase6 3" xfId="5222" xr:uid="{00000000-0005-0000-0000-00003D040000}"/>
    <cellStyle name="40% - Ênfase6 3 2" xfId="6235" xr:uid="{00000000-0005-0000-0000-00003E040000}"/>
    <cellStyle name="40% - Ênfase6 3 2 2" xfId="14451" xr:uid="{00000000-0005-0000-0000-00003F040000}"/>
    <cellStyle name="40% - Ênfase6 3 3" xfId="6236" xr:uid="{00000000-0005-0000-0000-000040040000}"/>
    <cellStyle name="40% - Ênfase6 3 3 2" xfId="14452" xr:uid="{00000000-0005-0000-0000-000041040000}"/>
    <cellStyle name="40% - Ênfase6 3 4" xfId="6237" xr:uid="{00000000-0005-0000-0000-000042040000}"/>
    <cellStyle name="40% - Ênfase6 3 4 2" xfId="14453" xr:uid="{00000000-0005-0000-0000-000043040000}"/>
    <cellStyle name="40% - Ênfase6 3 5" xfId="6234" xr:uid="{00000000-0005-0000-0000-000044040000}"/>
    <cellStyle name="40% - Ênfase6 3 5 2" xfId="14450" xr:uid="{00000000-0005-0000-0000-000045040000}"/>
    <cellStyle name="40% - Ênfase6 4" xfId="5328" xr:uid="{00000000-0005-0000-0000-000046040000}"/>
    <cellStyle name="40% - Ênfase6 4 2" xfId="6239" xr:uid="{00000000-0005-0000-0000-000047040000}"/>
    <cellStyle name="40% - Ênfase6 4 2 2" xfId="14455" xr:uid="{00000000-0005-0000-0000-000048040000}"/>
    <cellStyle name="40% - Ênfase6 4 3" xfId="6240" xr:uid="{00000000-0005-0000-0000-000049040000}"/>
    <cellStyle name="40% - Ênfase6 4 3 2" xfId="14456" xr:uid="{00000000-0005-0000-0000-00004A040000}"/>
    <cellStyle name="40% - Ênfase6 4 4" xfId="6238" xr:uid="{00000000-0005-0000-0000-00004B040000}"/>
    <cellStyle name="40% - Ênfase6 4 4 2" xfId="14454" xr:uid="{00000000-0005-0000-0000-00004C040000}"/>
    <cellStyle name="40% - Ênfase6 5" xfId="5199" xr:uid="{00000000-0005-0000-0000-00004D040000}"/>
    <cellStyle name="40% - Ênfase6 5 2" xfId="6242" xr:uid="{00000000-0005-0000-0000-00004E040000}"/>
    <cellStyle name="40% - Ênfase6 5 2 2" xfId="14458" xr:uid="{00000000-0005-0000-0000-00004F040000}"/>
    <cellStyle name="40% - Ênfase6 5 3" xfId="6241" xr:uid="{00000000-0005-0000-0000-000050040000}"/>
    <cellStyle name="40% - Ênfase6 5 3 2" xfId="14457" xr:uid="{00000000-0005-0000-0000-000051040000}"/>
    <cellStyle name="40% - Ênfase6 6" xfId="5357" xr:uid="{00000000-0005-0000-0000-000052040000}"/>
    <cellStyle name="40% - Ênfase6 6 2" xfId="6244" xr:uid="{00000000-0005-0000-0000-000053040000}"/>
    <cellStyle name="40% - Ênfase6 6 3" xfId="7330" xr:uid="{00000000-0005-0000-0000-000054040000}"/>
    <cellStyle name="40% - Ênfase6 6 3 2" xfId="14716" xr:uid="{00000000-0005-0000-0000-000055040000}"/>
    <cellStyle name="40% - Ênfase6 6 4" xfId="6243" xr:uid="{00000000-0005-0000-0000-000056040000}"/>
    <cellStyle name="40% - Ênfase6 6 4 2" xfId="14459" xr:uid="{00000000-0005-0000-0000-000057040000}"/>
    <cellStyle name="40% - Ênfase6 7" xfId="5386" xr:uid="{00000000-0005-0000-0000-000058040000}"/>
    <cellStyle name="40% - Ênfase6 7 2" xfId="7331" xr:uid="{00000000-0005-0000-0000-000059040000}"/>
    <cellStyle name="40% - Ênfase6 7 2 2" xfId="14717" xr:uid="{00000000-0005-0000-0000-00005A040000}"/>
    <cellStyle name="40% - Ênfase6 7 3" xfId="6245" xr:uid="{00000000-0005-0000-0000-00005B040000}"/>
    <cellStyle name="40% - Ênfase6 7 3 2" xfId="14460" xr:uid="{00000000-0005-0000-0000-00005C040000}"/>
    <cellStyle name="40% - Ênfase6 8" xfId="5413" xr:uid="{00000000-0005-0000-0000-00005D040000}"/>
    <cellStyle name="40% - Ênfase6 9" xfId="5439" xr:uid="{00000000-0005-0000-0000-00005E040000}"/>
    <cellStyle name="40% - Énfasis1" xfId="277" xr:uid="{00000000-0005-0000-0000-00005F040000}"/>
    <cellStyle name="40% - Énfasis1 2" xfId="278" xr:uid="{00000000-0005-0000-0000-000060040000}"/>
    <cellStyle name="40% - Énfasis1 3" xfId="279" xr:uid="{00000000-0005-0000-0000-000061040000}"/>
    <cellStyle name="40% - Énfasis1 4" xfId="280" xr:uid="{00000000-0005-0000-0000-000062040000}"/>
    <cellStyle name="40% - Énfasis1 5" xfId="281" xr:uid="{00000000-0005-0000-0000-000063040000}"/>
    <cellStyle name="40% - Énfasis1 6" xfId="282" xr:uid="{00000000-0005-0000-0000-000064040000}"/>
    <cellStyle name="40% - Énfasis1 7" xfId="283" xr:uid="{00000000-0005-0000-0000-000065040000}"/>
    <cellStyle name="40% - Énfasis2" xfId="284" xr:uid="{00000000-0005-0000-0000-000066040000}"/>
    <cellStyle name="40% - Énfasis2 2" xfId="285" xr:uid="{00000000-0005-0000-0000-000067040000}"/>
    <cellStyle name="40% - Énfasis2 3" xfId="286" xr:uid="{00000000-0005-0000-0000-000068040000}"/>
    <cellStyle name="40% - Énfasis2 4" xfId="287" xr:uid="{00000000-0005-0000-0000-000069040000}"/>
    <cellStyle name="40% - Énfasis2 5" xfId="288" xr:uid="{00000000-0005-0000-0000-00006A040000}"/>
    <cellStyle name="40% - Énfasis2 6" xfId="289" xr:uid="{00000000-0005-0000-0000-00006B040000}"/>
    <cellStyle name="40% - Énfasis2 7" xfId="290" xr:uid="{00000000-0005-0000-0000-00006C040000}"/>
    <cellStyle name="40% - Énfasis3" xfId="291" xr:uid="{00000000-0005-0000-0000-00006D040000}"/>
    <cellStyle name="40% - Énfasis3 2" xfId="292" xr:uid="{00000000-0005-0000-0000-00006E040000}"/>
    <cellStyle name="40% - Énfasis3 3" xfId="293" xr:uid="{00000000-0005-0000-0000-00006F040000}"/>
    <cellStyle name="40% - Énfasis3 4" xfId="294" xr:uid="{00000000-0005-0000-0000-000070040000}"/>
    <cellStyle name="40% - Énfasis3 5" xfId="295" xr:uid="{00000000-0005-0000-0000-000071040000}"/>
    <cellStyle name="40% - Énfasis3 6" xfId="296" xr:uid="{00000000-0005-0000-0000-000072040000}"/>
    <cellStyle name="40% - Énfasis3 7" xfId="297" xr:uid="{00000000-0005-0000-0000-000073040000}"/>
    <cellStyle name="40% - Énfasis4" xfId="298" xr:uid="{00000000-0005-0000-0000-000074040000}"/>
    <cellStyle name="40% - Énfasis4 2" xfId="299" xr:uid="{00000000-0005-0000-0000-000075040000}"/>
    <cellStyle name="40% - Énfasis4 3" xfId="300" xr:uid="{00000000-0005-0000-0000-000076040000}"/>
    <cellStyle name="40% - Énfasis4 4" xfId="301" xr:uid="{00000000-0005-0000-0000-000077040000}"/>
    <cellStyle name="40% - Énfasis4 5" xfId="302" xr:uid="{00000000-0005-0000-0000-000078040000}"/>
    <cellStyle name="40% - Énfasis4 6" xfId="303" xr:uid="{00000000-0005-0000-0000-000079040000}"/>
    <cellStyle name="40% - Énfasis4 7" xfId="304" xr:uid="{00000000-0005-0000-0000-00007A040000}"/>
    <cellStyle name="40% - Énfasis5" xfId="305" xr:uid="{00000000-0005-0000-0000-00007B040000}"/>
    <cellStyle name="40% - Énfasis5 2" xfId="306" xr:uid="{00000000-0005-0000-0000-00007C040000}"/>
    <cellStyle name="40% - Énfasis5 3" xfId="307" xr:uid="{00000000-0005-0000-0000-00007D040000}"/>
    <cellStyle name="40% - Énfasis5 4" xfId="308" xr:uid="{00000000-0005-0000-0000-00007E040000}"/>
    <cellStyle name="40% - Énfasis5 5" xfId="309" xr:uid="{00000000-0005-0000-0000-00007F040000}"/>
    <cellStyle name="40% - Énfasis5 6" xfId="310" xr:uid="{00000000-0005-0000-0000-000080040000}"/>
    <cellStyle name="40% - Énfasis5 7" xfId="311" xr:uid="{00000000-0005-0000-0000-000081040000}"/>
    <cellStyle name="40% - Énfasis6" xfId="312" xr:uid="{00000000-0005-0000-0000-000082040000}"/>
    <cellStyle name="40% - Énfasis6 2" xfId="313" xr:uid="{00000000-0005-0000-0000-000083040000}"/>
    <cellStyle name="40% - Énfasis6 3" xfId="314" xr:uid="{00000000-0005-0000-0000-000084040000}"/>
    <cellStyle name="40% - Énfasis6 4" xfId="315" xr:uid="{00000000-0005-0000-0000-000085040000}"/>
    <cellStyle name="40% - Énfasis6 5" xfId="316" xr:uid="{00000000-0005-0000-0000-000086040000}"/>
    <cellStyle name="40% - Énfasis6 6" xfId="317" xr:uid="{00000000-0005-0000-0000-000087040000}"/>
    <cellStyle name="40% - Énfasis6 7" xfId="318" xr:uid="{00000000-0005-0000-0000-000088040000}"/>
    <cellStyle name="60% - Accent1" xfId="25" xr:uid="{00000000-0005-0000-0000-000089040000}"/>
    <cellStyle name="60% - Accent2" xfId="26" xr:uid="{00000000-0005-0000-0000-00008A040000}"/>
    <cellStyle name="60% - Accent3" xfId="27" xr:uid="{00000000-0005-0000-0000-00008B040000}"/>
    <cellStyle name="60% - Accent4" xfId="28" xr:uid="{00000000-0005-0000-0000-00008C040000}"/>
    <cellStyle name="60% - Accent5" xfId="29" xr:uid="{00000000-0005-0000-0000-00008D040000}"/>
    <cellStyle name="60% - Accent6" xfId="30" xr:uid="{00000000-0005-0000-0000-00008E040000}"/>
    <cellStyle name="60% - Ênfase1" xfId="31" xr:uid="{00000000-0005-0000-0000-00008F040000}"/>
    <cellStyle name="60% - Ênfase1 10" xfId="5509" xr:uid="{00000000-0005-0000-0000-000090040000}"/>
    <cellStyle name="60% - Ênfase1 11" xfId="5590" xr:uid="{00000000-0005-0000-0000-000091040000}"/>
    <cellStyle name="60% - Ênfase1 12" xfId="5486" xr:uid="{00000000-0005-0000-0000-000092040000}"/>
    <cellStyle name="60% - Ênfase1 13" xfId="5613" xr:uid="{00000000-0005-0000-0000-000093040000}"/>
    <cellStyle name="60% - Ênfase1 14" xfId="5642" xr:uid="{00000000-0005-0000-0000-000094040000}"/>
    <cellStyle name="60% - Ênfase1 15" xfId="5701" xr:uid="{00000000-0005-0000-0000-000095040000}"/>
    <cellStyle name="60% - Ênfase1 16" xfId="5743" xr:uid="{00000000-0005-0000-0000-000096040000}"/>
    <cellStyle name="60% - Ênfase1 17" xfId="5789" xr:uid="{00000000-0005-0000-0000-000097040000}"/>
    <cellStyle name="60% - Ênfase1 2" xfId="4953" xr:uid="{00000000-0005-0000-0000-000098040000}"/>
    <cellStyle name="60% - Ênfase1 2 2" xfId="6247" xr:uid="{00000000-0005-0000-0000-000099040000}"/>
    <cellStyle name="60% - Ênfase1 2 2 2" xfId="6248" xr:uid="{00000000-0005-0000-0000-00009A040000}"/>
    <cellStyle name="60% - Ênfase1 2 2 2 2" xfId="6249" xr:uid="{00000000-0005-0000-0000-00009B040000}"/>
    <cellStyle name="60% - Ênfase1 2 2 2 2 2" xfId="6250" xr:uid="{00000000-0005-0000-0000-00009C040000}"/>
    <cellStyle name="60% - Ênfase1 2 2 2 2 2 2" xfId="6251" xr:uid="{00000000-0005-0000-0000-00009D040000}"/>
    <cellStyle name="60% - Ênfase1 2 2 2 2 2 2 2" xfId="6252" xr:uid="{00000000-0005-0000-0000-00009E040000}"/>
    <cellStyle name="60% - Ênfase1 2 2 2 2 2 2 2 2" xfId="6253" xr:uid="{00000000-0005-0000-0000-00009F040000}"/>
    <cellStyle name="60% - Ênfase1 2 2 2 2 2 2 3" xfId="6254" xr:uid="{00000000-0005-0000-0000-0000A0040000}"/>
    <cellStyle name="60% - Ênfase1 2 2 2 2 2 3" xfId="6255" xr:uid="{00000000-0005-0000-0000-0000A1040000}"/>
    <cellStyle name="60% - Ênfase1 2 2 2 2 2 3 2" xfId="6256" xr:uid="{00000000-0005-0000-0000-0000A2040000}"/>
    <cellStyle name="60% - Ênfase1 2 2 2 2 3" xfId="6257" xr:uid="{00000000-0005-0000-0000-0000A3040000}"/>
    <cellStyle name="60% - Ênfase1 2 2 2 2 3 2" xfId="6258" xr:uid="{00000000-0005-0000-0000-0000A4040000}"/>
    <cellStyle name="60% - Ênfase1 2 2 2 3" xfId="6259" xr:uid="{00000000-0005-0000-0000-0000A5040000}"/>
    <cellStyle name="60% - Ênfase1 2 2 2 4" xfId="6260" xr:uid="{00000000-0005-0000-0000-0000A6040000}"/>
    <cellStyle name="60% - Ênfase1 2 2 2 4 2" xfId="6261" xr:uid="{00000000-0005-0000-0000-0000A7040000}"/>
    <cellStyle name="60% - Ênfase1 2 2 3" xfId="6262" xr:uid="{00000000-0005-0000-0000-0000A8040000}"/>
    <cellStyle name="60% - Ênfase1 2 2 4" xfId="6263" xr:uid="{00000000-0005-0000-0000-0000A9040000}"/>
    <cellStyle name="60% - Ênfase1 2 2 4 2" xfId="6264" xr:uid="{00000000-0005-0000-0000-0000AA040000}"/>
    <cellStyle name="60% - Ênfase1 2 3" xfId="6265" xr:uid="{00000000-0005-0000-0000-0000AB040000}"/>
    <cellStyle name="60% - Ênfase1 2 4" xfId="6266" xr:uid="{00000000-0005-0000-0000-0000AC040000}"/>
    <cellStyle name="60% - Ênfase1 2 5" xfId="6267" xr:uid="{00000000-0005-0000-0000-0000AD040000}"/>
    <cellStyle name="60% - Ênfase1 2 6" xfId="6268" xr:uid="{00000000-0005-0000-0000-0000AE040000}"/>
    <cellStyle name="60% - Ênfase1 2 6 2" xfId="6269" xr:uid="{00000000-0005-0000-0000-0000AF040000}"/>
    <cellStyle name="60% - Ênfase1 2 7" xfId="6246" xr:uid="{00000000-0005-0000-0000-0000B0040000}"/>
    <cellStyle name="60% - Ênfase1 3" xfId="5226" xr:uid="{00000000-0005-0000-0000-0000B1040000}"/>
    <cellStyle name="60% - Ênfase1 3 2" xfId="6271" xr:uid="{00000000-0005-0000-0000-0000B2040000}"/>
    <cellStyle name="60% - Ênfase1 3 3" xfId="6272" xr:uid="{00000000-0005-0000-0000-0000B3040000}"/>
    <cellStyle name="60% - Ênfase1 3 4" xfId="6273" xr:uid="{00000000-0005-0000-0000-0000B4040000}"/>
    <cellStyle name="60% - Ênfase1 3 5" xfId="6270" xr:uid="{00000000-0005-0000-0000-0000B5040000}"/>
    <cellStyle name="60% - Ênfase1 4" xfId="5324" xr:uid="{00000000-0005-0000-0000-0000B6040000}"/>
    <cellStyle name="60% - Ênfase1 4 2" xfId="6275" xr:uid="{00000000-0005-0000-0000-0000B7040000}"/>
    <cellStyle name="60% - Ênfase1 4 3" xfId="6276" xr:uid="{00000000-0005-0000-0000-0000B8040000}"/>
    <cellStyle name="60% - Ênfase1 4 4" xfId="6274" xr:uid="{00000000-0005-0000-0000-0000B9040000}"/>
    <cellStyle name="60% - Ênfase1 5" xfId="5203" xr:uid="{00000000-0005-0000-0000-0000BA040000}"/>
    <cellStyle name="60% - Ênfase1 5 2" xfId="6278" xr:uid="{00000000-0005-0000-0000-0000BB040000}"/>
    <cellStyle name="60% - Ênfase1 5 3" xfId="6277" xr:uid="{00000000-0005-0000-0000-0000BC040000}"/>
    <cellStyle name="60% - Ênfase1 6" xfId="5349" xr:uid="{00000000-0005-0000-0000-0000BD040000}"/>
    <cellStyle name="60% - Ênfase1 6 2" xfId="6280" xr:uid="{00000000-0005-0000-0000-0000BE040000}"/>
    <cellStyle name="60% - Ênfase1 6 3" xfId="7332" xr:uid="{00000000-0005-0000-0000-0000BF040000}"/>
    <cellStyle name="60% - Ênfase1 6 4" xfId="6279" xr:uid="{00000000-0005-0000-0000-0000C0040000}"/>
    <cellStyle name="60% - Ênfase1 7" xfId="5378" xr:uid="{00000000-0005-0000-0000-0000C1040000}"/>
    <cellStyle name="60% - Ênfase1 7 2" xfId="7333" xr:uid="{00000000-0005-0000-0000-0000C2040000}"/>
    <cellStyle name="60% - Ênfase1 7 3" xfId="6281" xr:uid="{00000000-0005-0000-0000-0000C3040000}"/>
    <cellStyle name="60% - Ênfase1 8" xfId="5406" xr:uid="{00000000-0005-0000-0000-0000C4040000}"/>
    <cellStyle name="60% - Ênfase1 9" xfId="5433" xr:uid="{00000000-0005-0000-0000-0000C5040000}"/>
    <cellStyle name="60% - Ênfase2" xfId="32" xr:uid="{00000000-0005-0000-0000-0000C6040000}"/>
    <cellStyle name="60% - Ênfase2 10" xfId="5510" xr:uid="{00000000-0005-0000-0000-0000C7040000}"/>
    <cellStyle name="60% - Ênfase2 11" xfId="5589" xr:uid="{00000000-0005-0000-0000-0000C8040000}"/>
    <cellStyle name="60% - Ênfase2 12" xfId="5487" xr:uid="{00000000-0005-0000-0000-0000C9040000}"/>
    <cellStyle name="60% - Ênfase2 13" xfId="5610" xr:uid="{00000000-0005-0000-0000-0000CA040000}"/>
    <cellStyle name="60% - Ênfase2 14" xfId="5639" xr:uid="{00000000-0005-0000-0000-0000CB040000}"/>
    <cellStyle name="60% - Ênfase2 15" xfId="5702" xr:uid="{00000000-0005-0000-0000-0000CC040000}"/>
    <cellStyle name="60% - Ênfase2 16" xfId="5742" xr:uid="{00000000-0005-0000-0000-0000CD040000}"/>
    <cellStyle name="60% - Ênfase2 17" xfId="5793" xr:uid="{00000000-0005-0000-0000-0000CE040000}"/>
    <cellStyle name="60% - Ênfase2 2" xfId="4954" xr:uid="{00000000-0005-0000-0000-0000CF040000}"/>
    <cellStyle name="60% - Ênfase2 2 2" xfId="6283" xr:uid="{00000000-0005-0000-0000-0000D0040000}"/>
    <cellStyle name="60% - Ênfase2 2 2 2" xfId="6284" xr:uid="{00000000-0005-0000-0000-0000D1040000}"/>
    <cellStyle name="60% - Ênfase2 2 2 2 2" xfId="6285" xr:uid="{00000000-0005-0000-0000-0000D2040000}"/>
    <cellStyle name="60% - Ênfase2 2 2 2 2 2" xfId="6286" xr:uid="{00000000-0005-0000-0000-0000D3040000}"/>
    <cellStyle name="60% - Ênfase2 2 2 2 2 2 2" xfId="6287" xr:uid="{00000000-0005-0000-0000-0000D4040000}"/>
    <cellStyle name="60% - Ênfase2 2 2 2 2 2 2 2" xfId="6288" xr:uid="{00000000-0005-0000-0000-0000D5040000}"/>
    <cellStyle name="60% - Ênfase2 2 2 2 2 2 2 2 2" xfId="6289" xr:uid="{00000000-0005-0000-0000-0000D6040000}"/>
    <cellStyle name="60% - Ênfase2 2 2 2 2 2 2 3" xfId="6290" xr:uid="{00000000-0005-0000-0000-0000D7040000}"/>
    <cellStyle name="60% - Ênfase2 2 2 2 2 2 3" xfId="6291" xr:uid="{00000000-0005-0000-0000-0000D8040000}"/>
    <cellStyle name="60% - Ênfase2 2 2 2 2 2 3 2" xfId="6292" xr:uid="{00000000-0005-0000-0000-0000D9040000}"/>
    <cellStyle name="60% - Ênfase2 2 2 2 2 3" xfId="6293" xr:uid="{00000000-0005-0000-0000-0000DA040000}"/>
    <cellStyle name="60% - Ênfase2 2 2 2 2 3 2" xfId="6294" xr:uid="{00000000-0005-0000-0000-0000DB040000}"/>
    <cellStyle name="60% - Ênfase2 2 2 2 3" xfId="6295" xr:uid="{00000000-0005-0000-0000-0000DC040000}"/>
    <cellStyle name="60% - Ênfase2 2 2 2 4" xfId="6296" xr:uid="{00000000-0005-0000-0000-0000DD040000}"/>
    <cellStyle name="60% - Ênfase2 2 2 2 4 2" xfId="6297" xr:uid="{00000000-0005-0000-0000-0000DE040000}"/>
    <cellStyle name="60% - Ênfase2 2 2 3" xfId="6298" xr:uid="{00000000-0005-0000-0000-0000DF040000}"/>
    <cellStyle name="60% - Ênfase2 2 2 4" xfId="6299" xr:uid="{00000000-0005-0000-0000-0000E0040000}"/>
    <cellStyle name="60% - Ênfase2 2 2 4 2" xfId="6300" xr:uid="{00000000-0005-0000-0000-0000E1040000}"/>
    <cellStyle name="60% - Ênfase2 2 3" xfId="6301" xr:uid="{00000000-0005-0000-0000-0000E2040000}"/>
    <cellStyle name="60% - Ênfase2 2 4" xfId="6302" xr:uid="{00000000-0005-0000-0000-0000E3040000}"/>
    <cellStyle name="60% - Ênfase2 2 5" xfId="6303" xr:uid="{00000000-0005-0000-0000-0000E4040000}"/>
    <cellStyle name="60% - Ênfase2 2 6" xfId="6304" xr:uid="{00000000-0005-0000-0000-0000E5040000}"/>
    <cellStyle name="60% - Ênfase2 2 6 2" xfId="6305" xr:uid="{00000000-0005-0000-0000-0000E6040000}"/>
    <cellStyle name="60% - Ênfase2 2 7" xfId="6282" xr:uid="{00000000-0005-0000-0000-0000E7040000}"/>
    <cellStyle name="60% - Ênfase2 3" xfId="5227" xr:uid="{00000000-0005-0000-0000-0000E8040000}"/>
    <cellStyle name="60% - Ênfase2 3 2" xfId="6307" xr:uid="{00000000-0005-0000-0000-0000E9040000}"/>
    <cellStyle name="60% - Ênfase2 3 3" xfId="6308" xr:uid="{00000000-0005-0000-0000-0000EA040000}"/>
    <cellStyle name="60% - Ênfase2 3 4" xfId="6309" xr:uid="{00000000-0005-0000-0000-0000EB040000}"/>
    <cellStyle name="60% - Ênfase2 3 5" xfId="6306" xr:uid="{00000000-0005-0000-0000-0000EC040000}"/>
    <cellStyle name="60% - Ênfase2 4" xfId="5323" xr:uid="{00000000-0005-0000-0000-0000ED040000}"/>
    <cellStyle name="60% - Ênfase2 4 2" xfId="6311" xr:uid="{00000000-0005-0000-0000-0000EE040000}"/>
    <cellStyle name="60% - Ênfase2 4 3" xfId="6312" xr:uid="{00000000-0005-0000-0000-0000EF040000}"/>
    <cellStyle name="60% - Ênfase2 4 4" xfId="6310" xr:uid="{00000000-0005-0000-0000-0000F0040000}"/>
    <cellStyle name="60% - Ênfase2 5" xfId="5204" xr:uid="{00000000-0005-0000-0000-0000F1040000}"/>
    <cellStyle name="60% - Ênfase2 5 2" xfId="6314" xr:uid="{00000000-0005-0000-0000-0000F2040000}"/>
    <cellStyle name="60% - Ênfase2 5 3" xfId="6313" xr:uid="{00000000-0005-0000-0000-0000F3040000}"/>
    <cellStyle name="60% - Ênfase2 6" xfId="5346" xr:uid="{00000000-0005-0000-0000-0000F4040000}"/>
    <cellStyle name="60% - Ênfase2 6 2" xfId="6316" xr:uid="{00000000-0005-0000-0000-0000F5040000}"/>
    <cellStyle name="60% - Ênfase2 6 3" xfId="7334" xr:uid="{00000000-0005-0000-0000-0000F6040000}"/>
    <cellStyle name="60% - Ênfase2 6 4" xfId="6315" xr:uid="{00000000-0005-0000-0000-0000F7040000}"/>
    <cellStyle name="60% - Ênfase2 7" xfId="5375" xr:uid="{00000000-0005-0000-0000-0000F8040000}"/>
    <cellStyle name="60% - Ênfase2 7 2" xfId="7335" xr:uid="{00000000-0005-0000-0000-0000F9040000}"/>
    <cellStyle name="60% - Ênfase2 7 3" xfId="6317" xr:uid="{00000000-0005-0000-0000-0000FA040000}"/>
    <cellStyle name="60% - Ênfase2 8" xfId="5403" xr:uid="{00000000-0005-0000-0000-0000FB040000}"/>
    <cellStyle name="60% - Ênfase2 9" xfId="5430" xr:uid="{00000000-0005-0000-0000-0000FC040000}"/>
    <cellStyle name="60% - Ênfase3" xfId="33" xr:uid="{00000000-0005-0000-0000-0000FD040000}"/>
    <cellStyle name="60% - Ênfase3 10" xfId="5511" xr:uid="{00000000-0005-0000-0000-0000FE040000}"/>
    <cellStyle name="60% - Ênfase3 11" xfId="5588" xr:uid="{00000000-0005-0000-0000-0000FF040000}"/>
    <cellStyle name="60% - Ênfase3 12" xfId="5488" xr:uid="{00000000-0005-0000-0000-000000050000}"/>
    <cellStyle name="60% - Ênfase3 13" xfId="5609" xr:uid="{00000000-0005-0000-0000-000001050000}"/>
    <cellStyle name="60% - Ênfase3 14" xfId="5638" xr:uid="{00000000-0005-0000-0000-000002050000}"/>
    <cellStyle name="60% - Ênfase3 15" xfId="5703" xr:uid="{00000000-0005-0000-0000-000003050000}"/>
    <cellStyle name="60% - Ênfase3 16" xfId="5741" xr:uid="{00000000-0005-0000-0000-000004050000}"/>
    <cellStyle name="60% - Ênfase3 17" xfId="5797" xr:uid="{00000000-0005-0000-0000-000005050000}"/>
    <cellStyle name="60% - Ênfase3 2" xfId="4955" xr:uid="{00000000-0005-0000-0000-000006050000}"/>
    <cellStyle name="60% - Ênfase3 2 2" xfId="6319" xr:uid="{00000000-0005-0000-0000-000007050000}"/>
    <cellStyle name="60% - Ênfase3 2 2 2" xfId="6320" xr:uid="{00000000-0005-0000-0000-000008050000}"/>
    <cellStyle name="60% - Ênfase3 2 2 2 2" xfId="6321" xr:uid="{00000000-0005-0000-0000-000009050000}"/>
    <cellStyle name="60% - Ênfase3 2 2 2 2 2" xfId="6322" xr:uid="{00000000-0005-0000-0000-00000A050000}"/>
    <cellStyle name="60% - Ênfase3 2 2 2 2 2 2" xfId="6323" xr:uid="{00000000-0005-0000-0000-00000B050000}"/>
    <cellStyle name="60% - Ênfase3 2 2 2 2 2 2 2" xfId="6324" xr:uid="{00000000-0005-0000-0000-00000C050000}"/>
    <cellStyle name="60% - Ênfase3 2 2 2 2 2 2 2 2" xfId="6325" xr:uid="{00000000-0005-0000-0000-00000D050000}"/>
    <cellStyle name="60% - Ênfase3 2 2 2 2 2 2 3" xfId="6326" xr:uid="{00000000-0005-0000-0000-00000E050000}"/>
    <cellStyle name="60% - Ênfase3 2 2 2 2 2 3" xfId="6327" xr:uid="{00000000-0005-0000-0000-00000F050000}"/>
    <cellStyle name="60% - Ênfase3 2 2 2 2 2 3 2" xfId="6328" xr:uid="{00000000-0005-0000-0000-000010050000}"/>
    <cellStyle name="60% - Ênfase3 2 2 2 2 3" xfId="6329" xr:uid="{00000000-0005-0000-0000-000011050000}"/>
    <cellStyle name="60% - Ênfase3 2 2 2 2 3 2" xfId="6330" xr:uid="{00000000-0005-0000-0000-000012050000}"/>
    <cellStyle name="60% - Ênfase3 2 2 2 3" xfId="6331" xr:uid="{00000000-0005-0000-0000-000013050000}"/>
    <cellStyle name="60% - Ênfase3 2 2 2 4" xfId="6332" xr:uid="{00000000-0005-0000-0000-000014050000}"/>
    <cellStyle name="60% - Ênfase3 2 2 2 4 2" xfId="6333" xr:uid="{00000000-0005-0000-0000-000015050000}"/>
    <cellStyle name="60% - Ênfase3 2 2 3" xfId="6334" xr:uid="{00000000-0005-0000-0000-000016050000}"/>
    <cellStyle name="60% - Ênfase3 2 2 4" xfId="6335" xr:uid="{00000000-0005-0000-0000-000017050000}"/>
    <cellStyle name="60% - Ênfase3 2 2 4 2" xfId="6336" xr:uid="{00000000-0005-0000-0000-000018050000}"/>
    <cellStyle name="60% - Ênfase3 2 3" xfId="6337" xr:uid="{00000000-0005-0000-0000-000019050000}"/>
    <cellStyle name="60% - Ênfase3 2 4" xfId="6338" xr:uid="{00000000-0005-0000-0000-00001A050000}"/>
    <cellStyle name="60% - Ênfase3 2 5" xfId="6339" xr:uid="{00000000-0005-0000-0000-00001B050000}"/>
    <cellStyle name="60% - Ênfase3 2 6" xfId="6340" xr:uid="{00000000-0005-0000-0000-00001C050000}"/>
    <cellStyle name="60% - Ênfase3 2 6 2" xfId="6341" xr:uid="{00000000-0005-0000-0000-00001D050000}"/>
    <cellStyle name="60% - Ênfase3 2 7" xfId="6318" xr:uid="{00000000-0005-0000-0000-00001E050000}"/>
    <cellStyle name="60% - Ênfase3 3" xfId="5228" xr:uid="{00000000-0005-0000-0000-00001F050000}"/>
    <cellStyle name="60% - Ênfase3 3 2" xfId="6343" xr:uid="{00000000-0005-0000-0000-000020050000}"/>
    <cellStyle name="60% - Ênfase3 3 3" xfId="6344" xr:uid="{00000000-0005-0000-0000-000021050000}"/>
    <cellStyle name="60% - Ênfase3 3 4" xfId="6345" xr:uid="{00000000-0005-0000-0000-000022050000}"/>
    <cellStyle name="60% - Ênfase3 3 5" xfId="6342" xr:uid="{00000000-0005-0000-0000-000023050000}"/>
    <cellStyle name="60% - Ênfase3 4" xfId="5322" xr:uid="{00000000-0005-0000-0000-000024050000}"/>
    <cellStyle name="60% - Ênfase3 4 2" xfId="6347" xr:uid="{00000000-0005-0000-0000-000025050000}"/>
    <cellStyle name="60% - Ênfase3 4 3" xfId="6348" xr:uid="{00000000-0005-0000-0000-000026050000}"/>
    <cellStyle name="60% - Ênfase3 4 4" xfId="6346" xr:uid="{00000000-0005-0000-0000-000027050000}"/>
    <cellStyle name="60% - Ênfase3 5" xfId="5205" xr:uid="{00000000-0005-0000-0000-000028050000}"/>
    <cellStyle name="60% - Ênfase3 5 2" xfId="6350" xr:uid="{00000000-0005-0000-0000-000029050000}"/>
    <cellStyle name="60% - Ênfase3 5 3" xfId="6349" xr:uid="{00000000-0005-0000-0000-00002A050000}"/>
    <cellStyle name="60% - Ênfase3 6" xfId="5345" xr:uid="{00000000-0005-0000-0000-00002B050000}"/>
    <cellStyle name="60% - Ênfase3 6 2" xfId="6352" xr:uid="{00000000-0005-0000-0000-00002C050000}"/>
    <cellStyle name="60% - Ênfase3 6 3" xfId="7336" xr:uid="{00000000-0005-0000-0000-00002D050000}"/>
    <cellStyle name="60% - Ênfase3 6 4" xfId="6351" xr:uid="{00000000-0005-0000-0000-00002E050000}"/>
    <cellStyle name="60% - Ênfase3 7" xfId="5374" xr:uid="{00000000-0005-0000-0000-00002F050000}"/>
    <cellStyle name="60% - Ênfase3 7 2" xfId="7337" xr:uid="{00000000-0005-0000-0000-000030050000}"/>
    <cellStyle name="60% - Ênfase3 7 3" xfId="6353" xr:uid="{00000000-0005-0000-0000-000031050000}"/>
    <cellStyle name="60% - Ênfase3 8" xfId="5402" xr:uid="{00000000-0005-0000-0000-000032050000}"/>
    <cellStyle name="60% - Ênfase3 9" xfId="5429" xr:uid="{00000000-0005-0000-0000-000033050000}"/>
    <cellStyle name="60% - Ênfase4" xfId="34" xr:uid="{00000000-0005-0000-0000-000034050000}"/>
    <cellStyle name="60% - Ênfase4 10" xfId="5512" xr:uid="{00000000-0005-0000-0000-000035050000}"/>
    <cellStyle name="60% - Ênfase4 11" xfId="5587" xr:uid="{00000000-0005-0000-0000-000036050000}"/>
    <cellStyle name="60% - Ênfase4 12" xfId="5489" xr:uid="{00000000-0005-0000-0000-000037050000}"/>
    <cellStyle name="60% - Ênfase4 13" xfId="5608" xr:uid="{00000000-0005-0000-0000-000038050000}"/>
    <cellStyle name="60% - Ênfase4 14" xfId="5637" xr:uid="{00000000-0005-0000-0000-000039050000}"/>
    <cellStyle name="60% - Ênfase4 15" xfId="5704" xr:uid="{00000000-0005-0000-0000-00003A050000}"/>
    <cellStyle name="60% - Ênfase4 16" xfId="5740" xr:uid="{00000000-0005-0000-0000-00003B050000}"/>
    <cellStyle name="60% - Ênfase4 17" xfId="5801" xr:uid="{00000000-0005-0000-0000-00003C050000}"/>
    <cellStyle name="60% - Ênfase4 2" xfId="4956" xr:uid="{00000000-0005-0000-0000-00003D050000}"/>
    <cellStyle name="60% - Ênfase4 2 2" xfId="6355" xr:uid="{00000000-0005-0000-0000-00003E050000}"/>
    <cellStyle name="60% - Ênfase4 2 2 2" xfId="6356" xr:uid="{00000000-0005-0000-0000-00003F050000}"/>
    <cellStyle name="60% - Ênfase4 2 2 2 2" xfId="6357" xr:uid="{00000000-0005-0000-0000-000040050000}"/>
    <cellStyle name="60% - Ênfase4 2 2 2 2 2" xfId="6358" xr:uid="{00000000-0005-0000-0000-000041050000}"/>
    <cellStyle name="60% - Ênfase4 2 2 2 2 2 2" xfId="6359" xr:uid="{00000000-0005-0000-0000-000042050000}"/>
    <cellStyle name="60% - Ênfase4 2 2 2 2 2 2 2" xfId="6360" xr:uid="{00000000-0005-0000-0000-000043050000}"/>
    <cellStyle name="60% - Ênfase4 2 2 2 2 2 2 2 2" xfId="6361" xr:uid="{00000000-0005-0000-0000-000044050000}"/>
    <cellStyle name="60% - Ênfase4 2 2 2 2 2 2 3" xfId="6362" xr:uid="{00000000-0005-0000-0000-000045050000}"/>
    <cellStyle name="60% - Ênfase4 2 2 2 2 2 3" xfId="6363" xr:uid="{00000000-0005-0000-0000-000046050000}"/>
    <cellStyle name="60% - Ênfase4 2 2 2 2 2 3 2" xfId="6364" xr:uid="{00000000-0005-0000-0000-000047050000}"/>
    <cellStyle name="60% - Ênfase4 2 2 2 2 3" xfId="6365" xr:uid="{00000000-0005-0000-0000-000048050000}"/>
    <cellStyle name="60% - Ênfase4 2 2 2 2 3 2" xfId="6366" xr:uid="{00000000-0005-0000-0000-000049050000}"/>
    <cellStyle name="60% - Ênfase4 2 2 2 3" xfId="6367" xr:uid="{00000000-0005-0000-0000-00004A050000}"/>
    <cellStyle name="60% - Ênfase4 2 2 2 4" xfId="6368" xr:uid="{00000000-0005-0000-0000-00004B050000}"/>
    <cellStyle name="60% - Ênfase4 2 2 2 4 2" xfId="6369" xr:uid="{00000000-0005-0000-0000-00004C050000}"/>
    <cellStyle name="60% - Ênfase4 2 2 3" xfId="6370" xr:uid="{00000000-0005-0000-0000-00004D050000}"/>
    <cellStyle name="60% - Ênfase4 2 2 4" xfId="6371" xr:uid="{00000000-0005-0000-0000-00004E050000}"/>
    <cellStyle name="60% - Ênfase4 2 2 4 2" xfId="6372" xr:uid="{00000000-0005-0000-0000-00004F050000}"/>
    <cellStyle name="60% - Ênfase4 2 3" xfId="6373" xr:uid="{00000000-0005-0000-0000-000050050000}"/>
    <cellStyle name="60% - Ênfase4 2 4" xfId="6374" xr:uid="{00000000-0005-0000-0000-000051050000}"/>
    <cellStyle name="60% - Ênfase4 2 5" xfId="6375" xr:uid="{00000000-0005-0000-0000-000052050000}"/>
    <cellStyle name="60% - Ênfase4 2 6" xfId="6376" xr:uid="{00000000-0005-0000-0000-000053050000}"/>
    <cellStyle name="60% - Ênfase4 2 6 2" xfId="6377" xr:uid="{00000000-0005-0000-0000-000054050000}"/>
    <cellStyle name="60% - Ênfase4 2 7" xfId="6354" xr:uid="{00000000-0005-0000-0000-000055050000}"/>
    <cellStyle name="60% - Ênfase4 3" xfId="5229" xr:uid="{00000000-0005-0000-0000-000056050000}"/>
    <cellStyle name="60% - Ênfase4 3 2" xfId="6379" xr:uid="{00000000-0005-0000-0000-000057050000}"/>
    <cellStyle name="60% - Ênfase4 3 3" xfId="6380" xr:uid="{00000000-0005-0000-0000-000058050000}"/>
    <cellStyle name="60% - Ênfase4 3 4" xfId="6381" xr:uid="{00000000-0005-0000-0000-000059050000}"/>
    <cellStyle name="60% - Ênfase4 3 5" xfId="6378" xr:uid="{00000000-0005-0000-0000-00005A050000}"/>
    <cellStyle name="60% - Ênfase4 4" xfId="5321" xr:uid="{00000000-0005-0000-0000-00005B050000}"/>
    <cellStyle name="60% - Ênfase4 4 2" xfId="6383" xr:uid="{00000000-0005-0000-0000-00005C050000}"/>
    <cellStyle name="60% - Ênfase4 4 3" xfId="6384" xr:uid="{00000000-0005-0000-0000-00005D050000}"/>
    <cellStyle name="60% - Ênfase4 4 4" xfId="6382" xr:uid="{00000000-0005-0000-0000-00005E050000}"/>
    <cellStyle name="60% - Ênfase4 5" xfId="5206" xr:uid="{00000000-0005-0000-0000-00005F050000}"/>
    <cellStyle name="60% - Ênfase4 5 2" xfId="6386" xr:uid="{00000000-0005-0000-0000-000060050000}"/>
    <cellStyle name="60% - Ênfase4 5 3" xfId="6385" xr:uid="{00000000-0005-0000-0000-000061050000}"/>
    <cellStyle name="60% - Ênfase4 6" xfId="5344" xr:uid="{00000000-0005-0000-0000-000062050000}"/>
    <cellStyle name="60% - Ênfase4 6 2" xfId="6388" xr:uid="{00000000-0005-0000-0000-000063050000}"/>
    <cellStyle name="60% - Ênfase4 6 3" xfId="7338" xr:uid="{00000000-0005-0000-0000-000064050000}"/>
    <cellStyle name="60% - Ênfase4 6 4" xfId="6387" xr:uid="{00000000-0005-0000-0000-000065050000}"/>
    <cellStyle name="60% - Ênfase4 7" xfId="5373" xr:uid="{00000000-0005-0000-0000-000066050000}"/>
    <cellStyle name="60% - Ênfase4 7 2" xfId="7339" xr:uid="{00000000-0005-0000-0000-000067050000}"/>
    <cellStyle name="60% - Ênfase4 7 3" xfId="6389" xr:uid="{00000000-0005-0000-0000-000068050000}"/>
    <cellStyle name="60% - Ênfase4 8" xfId="5401" xr:uid="{00000000-0005-0000-0000-000069050000}"/>
    <cellStyle name="60% - Ênfase4 9" xfId="5428" xr:uid="{00000000-0005-0000-0000-00006A050000}"/>
    <cellStyle name="60% - Ênfase5" xfId="35" xr:uid="{00000000-0005-0000-0000-00006B050000}"/>
    <cellStyle name="60% - Ênfase5 10" xfId="5513" xr:uid="{00000000-0005-0000-0000-00006C050000}"/>
    <cellStyle name="60% - Ênfase5 11" xfId="5586" xr:uid="{00000000-0005-0000-0000-00006D050000}"/>
    <cellStyle name="60% - Ênfase5 12" xfId="5490" xr:uid="{00000000-0005-0000-0000-00006E050000}"/>
    <cellStyle name="60% - Ênfase5 13" xfId="5607" xr:uid="{00000000-0005-0000-0000-00006F050000}"/>
    <cellStyle name="60% - Ênfase5 14" xfId="5636" xr:uid="{00000000-0005-0000-0000-000070050000}"/>
    <cellStyle name="60% - Ênfase5 15" xfId="5705" xr:uid="{00000000-0005-0000-0000-000071050000}"/>
    <cellStyle name="60% - Ênfase5 16" xfId="5739" xr:uid="{00000000-0005-0000-0000-000072050000}"/>
    <cellStyle name="60% - Ênfase5 17" xfId="5805" xr:uid="{00000000-0005-0000-0000-000073050000}"/>
    <cellStyle name="60% - Ênfase5 2" xfId="4957" xr:uid="{00000000-0005-0000-0000-000074050000}"/>
    <cellStyle name="60% - Ênfase5 2 2" xfId="6391" xr:uid="{00000000-0005-0000-0000-000075050000}"/>
    <cellStyle name="60% - Ênfase5 2 2 2" xfId="6392" xr:uid="{00000000-0005-0000-0000-000076050000}"/>
    <cellStyle name="60% - Ênfase5 2 2 2 2" xfId="6393" xr:uid="{00000000-0005-0000-0000-000077050000}"/>
    <cellStyle name="60% - Ênfase5 2 2 2 2 2" xfId="6394" xr:uid="{00000000-0005-0000-0000-000078050000}"/>
    <cellStyle name="60% - Ênfase5 2 2 2 2 2 2" xfId="6395" xr:uid="{00000000-0005-0000-0000-000079050000}"/>
    <cellStyle name="60% - Ênfase5 2 2 2 2 2 2 2" xfId="6396" xr:uid="{00000000-0005-0000-0000-00007A050000}"/>
    <cellStyle name="60% - Ênfase5 2 2 2 2 2 2 2 2" xfId="6397" xr:uid="{00000000-0005-0000-0000-00007B050000}"/>
    <cellStyle name="60% - Ênfase5 2 2 2 2 2 2 3" xfId="6398" xr:uid="{00000000-0005-0000-0000-00007C050000}"/>
    <cellStyle name="60% - Ênfase5 2 2 2 2 2 3" xfId="6399" xr:uid="{00000000-0005-0000-0000-00007D050000}"/>
    <cellStyle name="60% - Ênfase5 2 2 2 2 2 3 2" xfId="6400" xr:uid="{00000000-0005-0000-0000-00007E050000}"/>
    <cellStyle name="60% - Ênfase5 2 2 2 2 3" xfId="6401" xr:uid="{00000000-0005-0000-0000-00007F050000}"/>
    <cellStyle name="60% - Ênfase5 2 2 2 2 3 2" xfId="6402" xr:uid="{00000000-0005-0000-0000-000080050000}"/>
    <cellStyle name="60% - Ênfase5 2 2 2 3" xfId="6403" xr:uid="{00000000-0005-0000-0000-000081050000}"/>
    <cellStyle name="60% - Ênfase5 2 2 2 4" xfId="6404" xr:uid="{00000000-0005-0000-0000-000082050000}"/>
    <cellStyle name="60% - Ênfase5 2 2 2 4 2" xfId="6405" xr:uid="{00000000-0005-0000-0000-000083050000}"/>
    <cellStyle name="60% - Ênfase5 2 2 3" xfId="6406" xr:uid="{00000000-0005-0000-0000-000084050000}"/>
    <cellStyle name="60% - Ênfase5 2 2 4" xfId="6407" xr:uid="{00000000-0005-0000-0000-000085050000}"/>
    <cellStyle name="60% - Ênfase5 2 2 4 2" xfId="6408" xr:uid="{00000000-0005-0000-0000-000086050000}"/>
    <cellStyle name="60% - Ênfase5 2 3" xfId="6409" xr:uid="{00000000-0005-0000-0000-000087050000}"/>
    <cellStyle name="60% - Ênfase5 2 4" xfId="6410" xr:uid="{00000000-0005-0000-0000-000088050000}"/>
    <cellStyle name="60% - Ênfase5 2 5" xfId="6411" xr:uid="{00000000-0005-0000-0000-000089050000}"/>
    <cellStyle name="60% - Ênfase5 2 6" xfId="6412" xr:uid="{00000000-0005-0000-0000-00008A050000}"/>
    <cellStyle name="60% - Ênfase5 2 6 2" xfId="6413" xr:uid="{00000000-0005-0000-0000-00008B050000}"/>
    <cellStyle name="60% - Ênfase5 2 7" xfId="6390" xr:uid="{00000000-0005-0000-0000-00008C050000}"/>
    <cellStyle name="60% - Ênfase5 3" xfId="5230" xr:uid="{00000000-0005-0000-0000-00008D050000}"/>
    <cellStyle name="60% - Ênfase5 3 2" xfId="6415" xr:uid="{00000000-0005-0000-0000-00008E050000}"/>
    <cellStyle name="60% - Ênfase5 3 3" xfId="6416" xr:uid="{00000000-0005-0000-0000-00008F050000}"/>
    <cellStyle name="60% - Ênfase5 3 4" xfId="6417" xr:uid="{00000000-0005-0000-0000-000090050000}"/>
    <cellStyle name="60% - Ênfase5 3 5" xfId="6414" xr:uid="{00000000-0005-0000-0000-000091050000}"/>
    <cellStyle name="60% - Ênfase5 4" xfId="5320" xr:uid="{00000000-0005-0000-0000-000092050000}"/>
    <cellStyle name="60% - Ênfase5 4 2" xfId="6419" xr:uid="{00000000-0005-0000-0000-000093050000}"/>
    <cellStyle name="60% - Ênfase5 4 3" xfId="6420" xr:uid="{00000000-0005-0000-0000-000094050000}"/>
    <cellStyle name="60% - Ênfase5 4 4" xfId="6418" xr:uid="{00000000-0005-0000-0000-000095050000}"/>
    <cellStyle name="60% - Ênfase5 5" xfId="5207" xr:uid="{00000000-0005-0000-0000-000096050000}"/>
    <cellStyle name="60% - Ênfase5 5 2" xfId="6422" xr:uid="{00000000-0005-0000-0000-000097050000}"/>
    <cellStyle name="60% - Ênfase5 5 3" xfId="6421" xr:uid="{00000000-0005-0000-0000-000098050000}"/>
    <cellStyle name="60% - Ênfase5 6" xfId="5343" xr:uid="{00000000-0005-0000-0000-000099050000}"/>
    <cellStyle name="60% - Ênfase5 6 2" xfId="6424" xr:uid="{00000000-0005-0000-0000-00009A050000}"/>
    <cellStyle name="60% - Ênfase5 6 3" xfId="7340" xr:uid="{00000000-0005-0000-0000-00009B050000}"/>
    <cellStyle name="60% - Ênfase5 6 4" xfId="6423" xr:uid="{00000000-0005-0000-0000-00009C050000}"/>
    <cellStyle name="60% - Ênfase5 7" xfId="5372" xr:uid="{00000000-0005-0000-0000-00009D050000}"/>
    <cellStyle name="60% - Ênfase5 7 2" xfId="7341" xr:uid="{00000000-0005-0000-0000-00009E050000}"/>
    <cellStyle name="60% - Ênfase5 7 3" xfId="6425" xr:uid="{00000000-0005-0000-0000-00009F050000}"/>
    <cellStyle name="60% - Ênfase5 8" xfId="5400" xr:uid="{00000000-0005-0000-0000-0000A0050000}"/>
    <cellStyle name="60% - Ênfase5 9" xfId="5427" xr:uid="{00000000-0005-0000-0000-0000A1050000}"/>
    <cellStyle name="60% - Ênfase6" xfId="36" xr:uid="{00000000-0005-0000-0000-0000A2050000}"/>
    <cellStyle name="60% - Ênfase6 10" xfId="5514" xr:uid="{00000000-0005-0000-0000-0000A3050000}"/>
    <cellStyle name="60% - Ênfase6 11" xfId="5585" xr:uid="{00000000-0005-0000-0000-0000A4050000}"/>
    <cellStyle name="60% - Ênfase6 12" xfId="5491" xr:uid="{00000000-0005-0000-0000-0000A5050000}"/>
    <cellStyle name="60% - Ênfase6 13" xfId="5606" xr:uid="{00000000-0005-0000-0000-0000A6050000}"/>
    <cellStyle name="60% - Ênfase6 14" xfId="5635" xr:uid="{00000000-0005-0000-0000-0000A7050000}"/>
    <cellStyle name="60% - Ênfase6 15" xfId="5706" xr:uid="{00000000-0005-0000-0000-0000A8050000}"/>
    <cellStyle name="60% - Ênfase6 16" xfId="5738" xr:uid="{00000000-0005-0000-0000-0000A9050000}"/>
    <cellStyle name="60% - Ênfase6 17" xfId="5809" xr:uid="{00000000-0005-0000-0000-0000AA050000}"/>
    <cellStyle name="60% - Ênfase6 2" xfId="4958" xr:uid="{00000000-0005-0000-0000-0000AB050000}"/>
    <cellStyle name="60% - Ênfase6 2 2" xfId="6427" xr:uid="{00000000-0005-0000-0000-0000AC050000}"/>
    <cellStyle name="60% - Ênfase6 2 2 2" xfId="6428" xr:uid="{00000000-0005-0000-0000-0000AD050000}"/>
    <cellStyle name="60% - Ênfase6 2 2 2 2" xfId="6429" xr:uid="{00000000-0005-0000-0000-0000AE050000}"/>
    <cellStyle name="60% - Ênfase6 2 2 2 2 2" xfId="6430" xr:uid="{00000000-0005-0000-0000-0000AF050000}"/>
    <cellStyle name="60% - Ênfase6 2 2 2 2 2 2" xfId="6431" xr:uid="{00000000-0005-0000-0000-0000B0050000}"/>
    <cellStyle name="60% - Ênfase6 2 2 2 2 2 2 2" xfId="6432" xr:uid="{00000000-0005-0000-0000-0000B1050000}"/>
    <cellStyle name="60% - Ênfase6 2 2 2 2 2 2 2 2" xfId="6433" xr:uid="{00000000-0005-0000-0000-0000B2050000}"/>
    <cellStyle name="60% - Ênfase6 2 2 2 2 2 2 3" xfId="6434" xr:uid="{00000000-0005-0000-0000-0000B3050000}"/>
    <cellStyle name="60% - Ênfase6 2 2 2 2 2 3" xfId="6435" xr:uid="{00000000-0005-0000-0000-0000B4050000}"/>
    <cellStyle name="60% - Ênfase6 2 2 2 2 2 3 2" xfId="6436" xr:uid="{00000000-0005-0000-0000-0000B5050000}"/>
    <cellStyle name="60% - Ênfase6 2 2 2 2 3" xfId="6437" xr:uid="{00000000-0005-0000-0000-0000B6050000}"/>
    <cellStyle name="60% - Ênfase6 2 2 2 2 3 2" xfId="6438" xr:uid="{00000000-0005-0000-0000-0000B7050000}"/>
    <cellStyle name="60% - Ênfase6 2 2 2 3" xfId="6439" xr:uid="{00000000-0005-0000-0000-0000B8050000}"/>
    <cellStyle name="60% - Ênfase6 2 2 2 4" xfId="6440" xr:uid="{00000000-0005-0000-0000-0000B9050000}"/>
    <cellStyle name="60% - Ênfase6 2 2 2 4 2" xfId="6441" xr:uid="{00000000-0005-0000-0000-0000BA050000}"/>
    <cellStyle name="60% - Ênfase6 2 2 3" xfId="6442" xr:uid="{00000000-0005-0000-0000-0000BB050000}"/>
    <cellStyle name="60% - Ênfase6 2 2 4" xfId="6443" xr:uid="{00000000-0005-0000-0000-0000BC050000}"/>
    <cellStyle name="60% - Ênfase6 2 2 4 2" xfId="6444" xr:uid="{00000000-0005-0000-0000-0000BD050000}"/>
    <cellStyle name="60% - Ênfase6 2 3" xfId="6445" xr:uid="{00000000-0005-0000-0000-0000BE050000}"/>
    <cellStyle name="60% - Ênfase6 2 4" xfId="6446" xr:uid="{00000000-0005-0000-0000-0000BF050000}"/>
    <cellStyle name="60% - Ênfase6 2 5" xfId="6447" xr:uid="{00000000-0005-0000-0000-0000C0050000}"/>
    <cellStyle name="60% - Ênfase6 2 6" xfId="6448" xr:uid="{00000000-0005-0000-0000-0000C1050000}"/>
    <cellStyle name="60% - Ênfase6 2 6 2" xfId="6449" xr:uid="{00000000-0005-0000-0000-0000C2050000}"/>
    <cellStyle name="60% - Ênfase6 2 7" xfId="6426" xr:uid="{00000000-0005-0000-0000-0000C3050000}"/>
    <cellStyle name="60% - Ênfase6 3" xfId="5231" xr:uid="{00000000-0005-0000-0000-0000C4050000}"/>
    <cellStyle name="60% - Ênfase6 3 2" xfId="6451" xr:uid="{00000000-0005-0000-0000-0000C5050000}"/>
    <cellStyle name="60% - Ênfase6 3 3" xfId="6452" xr:uid="{00000000-0005-0000-0000-0000C6050000}"/>
    <cellStyle name="60% - Ênfase6 3 4" xfId="6453" xr:uid="{00000000-0005-0000-0000-0000C7050000}"/>
    <cellStyle name="60% - Ênfase6 3 5" xfId="6450" xr:uid="{00000000-0005-0000-0000-0000C8050000}"/>
    <cellStyle name="60% - Ênfase6 4" xfId="5319" xr:uid="{00000000-0005-0000-0000-0000C9050000}"/>
    <cellStyle name="60% - Ênfase6 4 2" xfId="6455" xr:uid="{00000000-0005-0000-0000-0000CA050000}"/>
    <cellStyle name="60% - Ênfase6 4 3" xfId="6456" xr:uid="{00000000-0005-0000-0000-0000CB050000}"/>
    <cellStyle name="60% - Ênfase6 4 4" xfId="6454" xr:uid="{00000000-0005-0000-0000-0000CC050000}"/>
    <cellStyle name="60% - Ênfase6 5" xfId="5208" xr:uid="{00000000-0005-0000-0000-0000CD050000}"/>
    <cellStyle name="60% - Ênfase6 5 2" xfId="6458" xr:uid="{00000000-0005-0000-0000-0000CE050000}"/>
    <cellStyle name="60% - Ênfase6 5 3" xfId="6457" xr:uid="{00000000-0005-0000-0000-0000CF050000}"/>
    <cellStyle name="60% - Ênfase6 6" xfId="5342" xr:uid="{00000000-0005-0000-0000-0000D0050000}"/>
    <cellStyle name="60% - Ênfase6 6 2" xfId="6460" xr:uid="{00000000-0005-0000-0000-0000D1050000}"/>
    <cellStyle name="60% - Ênfase6 6 3" xfId="7342" xr:uid="{00000000-0005-0000-0000-0000D2050000}"/>
    <cellStyle name="60% - Ênfase6 6 4" xfId="6459" xr:uid="{00000000-0005-0000-0000-0000D3050000}"/>
    <cellStyle name="60% - Ênfase6 7" xfId="5371" xr:uid="{00000000-0005-0000-0000-0000D4050000}"/>
    <cellStyle name="60% - Ênfase6 7 2" xfId="7343" xr:uid="{00000000-0005-0000-0000-0000D5050000}"/>
    <cellStyle name="60% - Ênfase6 7 3" xfId="6461" xr:uid="{00000000-0005-0000-0000-0000D6050000}"/>
    <cellStyle name="60% - Ênfase6 8" xfId="5399" xr:uid="{00000000-0005-0000-0000-0000D7050000}"/>
    <cellStyle name="60% - Ênfase6 9" xfId="5426" xr:uid="{00000000-0005-0000-0000-0000D8050000}"/>
    <cellStyle name="60% - Énfasis1" xfId="319" xr:uid="{00000000-0005-0000-0000-0000D9050000}"/>
    <cellStyle name="60% - Énfasis2" xfId="320" xr:uid="{00000000-0005-0000-0000-0000DA050000}"/>
    <cellStyle name="60% - Énfasis3" xfId="321" xr:uid="{00000000-0005-0000-0000-0000DB050000}"/>
    <cellStyle name="60% - Énfasis4" xfId="322" xr:uid="{00000000-0005-0000-0000-0000DC050000}"/>
    <cellStyle name="60% - Énfasis5" xfId="323" xr:uid="{00000000-0005-0000-0000-0000DD050000}"/>
    <cellStyle name="60% - Énfasis6" xfId="324" xr:uid="{00000000-0005-0000-0000-0000DE050000}"/>
    <cellStyle name="a_Divisão" xfId="325" xr:uid="{00000000-0005-0000-0000-0000DF050000}"/>
    <cellStyle name="a_normal" xfId="326" xr:uid="{00000000-0005-0000-0000-0000E0050000}"/>
    <cellStyle name="a_quebra_1" xfId="327" xr:uid="{00000000-0005-0000-0000-0000E1050000}"/>
    <cellStyle name="a_quebra_2" xfId="328" xr:uid="{00000000-0005-0000-0000-0000E2050000}"/>
    <cellStyle name="A3 297 x 420 mm" xfId="329" xr:uid="{00000000-0005-0000-0000-0000E3050000}"/>
    <cellStyle name="A3 297 x 420 mm 10" xfId="330" xr:uid="{00000000-0005-0000-0000-0000E4050000}"/>
    <cellStyle name="A3 297 x 420 mm 11" xfId="331" xr:uid="{00000000-0005-0000-0000-0000E5050000}"/>
    <cellStyle name="A3 297 x 420 mm 12" xfId="332" xr:uid="{00000000-0005-0000-0000-0000E6050000}"/>
    <cellStyle name="A3 297 x 420 mm 13" xfId="333" xr:uid="{00000000-0005-0000-0000-0000E7050000}"/>
    <cellStyle name="A3 297 x 420 mm 14" xfId="334" xr:uid="{00000000-0005-0000-0000-0000E8050000}"/>
    <cellStyle name="A3 297 x 420 mm 15" xfId="335" xr:uid="{00000000-0005-0000-0000-0000E9050000}"/>
    <cellStyle name="A3 297 x 420 mm 16" xfId="336" xr:uid="{00000000-0005-0000-0000-0000EA050000}"/>
    <cellStyle name="A3 297 x 420 mm 17" xfId="337" xr:uid="{00000000-0005-0000-0000-0000EB050000}"/>
    <cellStyle name="A3 297 x 420 mm 18" xfId="338" xr:uid="{00000000-0005-0000-0000-0000EC050000}"/>
    <cellStyle name="A3 297 x 420 mm 19" xfId="339" xr:uid="{00000000-0005-0000-0000-0000ED050000}"/>
    <cellStyle name="A3 297 x 420 mm 2" xfId="340" xr:uid="{00000000-0005-0000-0000-0000EE050000}"/>
    <cellStyle name="A3 297 x 420 mm 2 10" xfId="341" xr:uid="{00000000-0005-0000-0000-0000EF050000}"/>
    <cellStyle name="A3 297 x 420 mm 2 11" xfId="342" xr:uid="{00000000-0005-0000-0000-0000F0050000}"/>
    <cellStyle name="A3 297 x 420 mm 2 12" xfId="343" xr:uid="{00000000-0005-0000-0000-0000F1050000}"/>
    <cellStyle name="A3 297 x 420 mm 2 13" xfId="344" xr:uid="{00000000-0005-0000-0000-0000F2050000}"/>
    <cellStyle name="A3 297 x 420 mm 2 14" xfId="345" xr:uid="{00000000-0005-0000-0000-0000F3050000}"/>
    <cellStyle name="A3 297 x 420 mm 2 15" xfId="346" xr:uid="{00000000-0005-0000-0000-0000F4050000}"/>
    <cellStyle name="A3 297 x 420 mm 2 16" xfId="347" xr:uid="{00000000-0005-0000-0000-0000F5050000}"/>
    <cellStyle name="A3 297 x 420 mm 2 17" xfId="348" xr:uid="{00000000-0005-0000-0000-0000F6050000}"/>
    <cellStyle name="A3 297 x 420 mm 2 18" xfId="349" xr:uid="{00000000-0005-0000-0000-0000F7050000}"/>
    <cellStyle name="A3 297 x 420 mm 2 19" xfId="350" xr:uid="{00000000-0005-0000-0000-0000F8050000}"/>
    <cellStyle name="A3 297 x 420 mm 2 2" xfId="351" xr:uid="{00000000-0005-0000-0000-0000F9050000}"/>
    <cellStyle name="A3 297 x 420 mm 2 2 10" xfId="352" xr:uid="{00000000-0005-0000-0000-0000FA050000}"/>
    <cellStyle name="A3 297 x 420 mm 2 2 11" xfId="353" xr:uid="{00000000-0005-0000-0000-0000FB050000}"/>
    <cellStyle name="A3 297 x 420 mm 2 2 12" xfId="354" xr:uid="{00000000-0005-0000-0000-0000FC050000}"/>
    <cellStyle name="A3 297 x 420 mm 2 2 13" xfId="355" xr:uid="{00000000-0005-0000-0000-0000FD050000}"/>
    <cellStyle name="A3 297 x 420 mm 2 2 14" xfId="356" xr:uid="{00000000-0005-0000-0000-0000FE050000}"/>
    <cellStyle name="A3 297 x 420 mm 2 2 15" xfId="357" xr:uid="{00000000-0005-0000-0000-0000FF050000}"/>
    <cellStyle name="A3 297 x 420 mm 2 2 16" xfId="358" xr:uid="{00000000-0005-0000-0000-000000060000}"/>
    <cellStyle name="A3 297 x 420 mm 2 2 17" xfId="359" xr:uid="{00000000-0005-0000-0000-000001060000}"/>
    <cellStyle name="A3 297 x 420 mm 2 2 18" xfId="360" xr:uid="{00000000-0005-0000-0000-000002060000}"/>
    <cellStyle name="A3 297 x 420 mm 2 2 19" xfId="361" xr:uid="{00000000-0005-0000-0000-000003060000}"/>
    <cellStyle name="A3 297 x 420 mm 2 2 2" xfId="362" xr:uid="{00000000-0005-0000-0000-000004060000}"/>
    <cellStyle name="A3 297 x 420 mm 2 2 20" xfId="363" xr:uid="{00000000-0005-0000-0000-000005060000}"/>
    <cellStyle name="A3 297 x 420 mm 2 2 21" xfId="364" xr:uid="{00000000-0005-0000-0000-000006060000}"/>
    <cellStyle name="A3 297 x 420 mm 2 2 22" xfId="365" xr:uid="{00000000-0005-0000-0000-000007060000}"/>
    <cellStyle name="A3 297 x 420 mm 2 2 23" xfId="366" xr:uid="{00000000-0005-0000-0000-000008060000}"/>
    <cellStyle name="A3 297 x 420 mm 2 2 24" xfId="367" xr:uid="{00000000-0005-0000-0000-000009060000}"/>
    <cellStyle name="A3 297 x 420 mm 2 2 25" xfId="368" xr:uid="{00000000-0005-0000-0000-00000A060000}"/>
    <cellStyle name="A3 297 x 420 mm 2 2 26" xfId="369" xr:uid="{00000000-0005-0000-0000-00000B060000}"/>
    <cellStyle name="A3 297 x 420 mm 2 2 27" xfId="370" xr:uid="{00000000-0005-0000-0000-00000C060000}"/>
    <cellStyle name="A3 297 x 420 mm 2 2 28" xfId="371" xr:uid="{00000000-0005-0000-0000-00000D060000}"/>
    <cellStyle name="A3 297 x 420 mm 2 2 29" xfId="372" xr:uid="{00000000-0005-0000-0000-00000E060000}"/>
    <cellStyle name="A3 297 x 420 mm 2 2 3" xfId="373" xr:uid="{00000000-0005-0000-0000-00000F060000}"/>
    <cellStyle name="A3 297 x 420 mm 2 2 30" xfId="374" xr:uid="{00000000-0005-0000-0000-000010060000}"/>
    <cellStyle name="A3 297 x 420 mm 2 2 31" xfId="375" xr:uid="{00000000-0005-0000-0000-000011060000}"/>
    <cellStyle name="A3 297 x 420 mm 2 2 32" xfId="376" xr:uid="{00000000-0005-0000-0000-000012060000}"/>
    <cellStyle name="A3 297 x 420 mm 2 2 33" xfId="377" xr:uid="{00000000-0005-0000-0000-000013060000}"/>
    <cellStyle name="A3 297 x 420 mm 2 2 34" xfId="378" xr:uid="{00000000-0005-0000-0000-000014060000}"/>
    <cellStyle name="A3 297 x 420 mm 2 2 35" xfId="379" xr:uid="{00000000-0005-0000-0000-000015060000}"/>
    <cellStyle name="A3 297 x 420 mm 2 2 36" xfId="380" xr:uid="{00000000-0005-0000-0000-000016060000}"/>
    <cellStyle name="A3 297 x 420 mm 2 2 37" xfId="381" xr:uid="{00000000-0005-0000-0000-000017060000}"/>
    <cellStyle name="A3 297 x 420 mm 2 2 38" xfId="382" xr:uid="{00000000-0005-0000-0000-000018060000}"/>
    <cellStyle name="A3 297 x 420 mm 2 2 39" xfId="383" xr:uid="{00000000-0005-0000-0000-000019060000}"/>
    <cellStyle name="A3 297 x 420 mm 2 2 4" xfId="384" xr:uid="{00000000-0005-0000-0000-00001A060000}"/>
    <cellStyle name="A3 297 x 420 mm 2 2 40" xfId="385" xr:uid="{00000000-0005-0000-0000-00001B060000}"/>
    <cellStyle name="A3 297 x 420 mm 2 2 5" xfId="386" xr:uid="{00000000-0005-0000-0000-00001C060000}"/>
    <cellStyle name="A3 297 x 420 mm 2 2 6" xfId="387" xr:uid="{00000000-0005-0000-0000-00001D060000}"/>
    <cellStyle name="A3 297 x 420 mm 2 2 7" xfId="388" xr:uid="{00000000-0005-0000-0000-00001E060000}"/>
    <cellStyle name="A3 297 x 420 mm 2 2 8" xfId="389" xr:uid="{00000000-0005-0000-0000-00001F060000}"/>
    <cellStyle name="A3 297 x 420 mm 2 2 9" xfId="390" xr:uid="{00000000-0005-0000-0000-000020060000}"/>
    <cellStyle name="A3 297 x 420 mm 2 20" xfId="391" xr:uid="{00000000-0005-0000-0000-000021060000}"/>
    <cellStyle name="A3 297 x 420 mm 2 21" xfId="392" xr:uid="{00000000-0005-0000-0000-000022060000}"/>
    <cellStyle name="A3 297 x 420 mm 2 22" xfId="393" xr:uid="{00000000-0005-0000-0000-000023060000}"/>
    <cellStyle name="A3 297 x 420 mm 2 23" xfId="394" xr:uid="{00000000-0005-0000-0000-000024060000}"/>
    <cellStyle name="A3 297 x 420 mm 2 24" xfId="395" xr:uid="{00000000-0005-0000-0000-000025060000}"/>
    <cellStyle name="A3 297 x 420 mm 2 25" xfId="396" xr:uid="{00000000-0005-0000-0000-000026060000}"/>
    <cellStyle name="A3 297 x 420 mm 2 26" xfId="397" xr:uid="{00000000-0005-0000-0000-000027060000}"/>
    <cellStyle name="A3 297 x 420 mm 2 27" xfId="398" xr:uid="{00000000-0005-0000-0000-000028060000}"/>
    <cellStyle name="A3 297 x 420 mm 2 28" xfId="399" xr:uid="{00000000-0005-0000-0000-000029060000}"/>
    <cellStyle name="A3 297 x 420 mm 2 29" xfId="400" xr:uid="{00000000-0005-0000-0000-00002A060000}"/>
    <cellStyle name="A3 297 x 420 mm 2 3" xfId="401" xr:uid="{00000000-0005-0000-0000-00002B060000}"/>
    <cellStyle name="A3 297 x 420 mm 2 30" xfId="402" xr:uid="{00000000-0005-0000-0000-00002C060000}"/>
    <cellStyle name="A3 297 x 420 mm 2 31" xfId="403" xr:uid="{00000000-0005-0000-0000-00002D060000}"/>
    <cellStyle name="A3 297 x 420 mm 2 32" xfId="404" xr:uid="{00000000-0005-0000-0000-00002E060000}"/>
    <cellStyle name="A3 297 x 420 mm 2 33" xfId="405" xr:uid="{00000000-0005-0000-0000-00002F060000}"/>
    <cellStyle name="A3 297 x 420 mm 2 34" xfId="406" xr:uid="{00000000-0005-0000-0000-000030060000}"/>
    <cellStyle name="A3 297 x 420 mm 2 35" xfId="407" xr:uid="{00000000-0005-0000-0000-000031060000}"/>
    <cellStyle name="A3 297 x 420 mm 2 36" xfId="408" xr:uid="{00000000-0005-0000-0000-000032060000}"/>
    <cellStyle name="A3 297 x 420 mm 2 37" xfId="409" xr:uid="{00000000-0005-0000-0000-000033060000}"/>
    <cellStyle name="A3 297 x 420 mm 2 38" xfId="410" xr:uid="{00000000-0005-0000-0000-000034060000}"/>
    <cellStyle name="A3 297 x 420 mm 2 39" xfId="411" xr:uid="{00000000-0005-0000-0000-000035060000}"/>
    <cellStyle name="A3 297 x 420 mm 2 4" xfId="412" xr:uid="{00000000-0005-0000-0000-000036060000}"/>
    <cellStyle name="A3 297 x 420 mm 2 40" xfId="413" xr:uid="{00000000-0005-0000-0000-000037060000}"/>
    <cellStyle name="A3 297 x 420 mm 2 41" xfId="414" xr:uid="{00000000-0005-0000-0000-000038060000}"/>
    <cellStyle name="A3 297 x 420 mm 2 5" xfId="415" xr:uid="{00000000-0005-0000-0000-000039060000}"/>
    <cellStyle name="A3 297 x 420 mm 2 6" xfId="416" xr:uid="{00000000-0005-0000-0000-00003A060000}"/>
    <cellStyle name="A3 297 x 420 mm 2 7" xfId="417" xr:uid="{00000000-0005-0000-0000-00003B060000}"/>
    <cellStyle name="A3 297 x 420 mm 2 8" xfId="418" xr:uid="{00000000-0005-0000-0000-00003C060000}"/>
    <cellStyle name="A3 297 x 420 mm 2 9" xfId="419" xr:uid="{00000000-0005-0000-0000-00003D060000}"/>
    <cellStyle name="A3 297 x 420 mm 20" xfId="420" xr:uid="{00000000-0005-0000-0000-00003E060000}"/>
    <cellStyle name="A3 297 x 420 mm 21" xfId="421" xr:uid="{00000000-0005-0000-0000-00003F060000}"/>
    <cellStyle name="A3 297 x 420 mm 22" xfId="422" xr:uid="{00000000-0005-0000-0000-000040060000}"/>
    <cellStyle name="A3 297 x 420 mm 23" xfId="423" xr:uid="{00000000-0005-0000-0000-000041060000}"/>
    <cellStyle name="A3 297 x 420 mm 24" xfId="424" xr:uid="{00000000-0005-0000-0000-000042060000}"/>
    <cellStyle name="A3 297 x 420 mm 25" xfId="425" xr:uid="{00000000-0005-0000-0000-000043060000}"/>
    <cellStyle name="A3 297 x 420 mm 26" xfId="426" xr:uid="{00000000-0005-0000-0000-000044060000}"/>
    <cellStyle name="A3 297 x 420 mm 27" xfId="427" xr:uid="{00000000-0005-0000-0000-000045060000}"/>
    <cellStyle name="A3 297 x 420 mm 28" xfId="428" xr:uid="{00000000-0005-0000-0000-000046060000}"/>
    <cellStyle name="A3 297 x 420 mm 29" xfId="429" xr:uid="{00000000-0005-0000-0000-000047060000}"/>
    <cellStyle name="A3 297 x 420 mm 3" xfId="430" xr:uid="{00000000-0005-0000-0000-000048060000}"/>
    <cellStyle name="A3 297 x 420 mm 3 2" xfId="431" xr:uid="{00000000-0005-0000-0000-000049060000}"/>
    <cellStyle name="A3 297 x 420 mm 30" xfId="432" xr:uid="{00000000-0005-0000-0000-00004A060000}"/>
    <cellStyle name="A3 297 x 420 mm 31" xfId="433" xr:uid="{00000000-0005-0000-0000-00004B060000}"/>
    <cellStyle name="A3 297 x 420 mm 32" xfId="434" xr:uid="{00000000-0005-0000-0000-00004C060000}"/>
    <cellStyle name="A3 297 x 420 mm 33" xfId="435" xr:uid="{00000000-0005-0000-0000-00004D060000}"/>
    <cellStyle name="A3 297 x 420 mm 34" xfId="436" xr:uid="{00000000-0005-0000-0000-00004E060000}"/>
    <cellStyle name="A3 297 x 420 mm 35" xfId="437" xr:uid="{00000000-0005-0000-0000-00004F060000}"/>
    <cellStyle name="A3 297 x 420 mm 36" xfId="438" xr:uid="{00000000-0005-0000-0000-000050060000}"/>
    <cellStyle name="A3 297 x 420 mm 37" xfId="439" xr:uid="{00000000-0005-0000-0000-000051060000}"/>
    <cellStyle name="A3 297 x 420 mm 38" xfId="440" xr:uid="{00000000-0005-0000-0000-000052060000}"/>
    <cellStyle name="A3 297 x 420 mm 39" xfId="441" xr:uid="{00000000-0005-0000-0000-000053060000}"/>
    <cellStyle name="A3 297 x 420 mm 4" xfId="442" xr:uid="{00000000-0005-0000-0000-000054060000}"/>
    <cellStyle name="A3 297 x 420 mm 4 2" xfId="443" xr:uid="{00000000-0005-0000-0000-000055060000}"/>
    <cellStyle name="A3 297 x 420 mm 40" xfId="444" xr:uid="{00000000-0005-0000-0000-000056060000}"/>
    <cellStyle name="A3 297 x 420 mm 41" xfId="445" xr:uid="{00000000-0005-0000-0000-000057060000}"/>
    <cellStyle name="A3 297 x 420 mm 42" xfId="446" xr:uid="{00000000-0005-0000-0000-000058060000}"/>
    <cellStyle name="A3 297 x 420 mm 43" xfId="447" xr:uid="{00000000-0005-0000-0000-000059060000}"/>
    <cellStyle name="A3 297 x 420 mm 5" xfId="448" xr:uid="{00000000-0005-0000-0000-00005A060000}"/>
    <cellStyle name="A3 297 x 420 mm 5 2" xfId="449" xr:uid="{00000000-0005-0000-0000-00005B060000}"/>
    <cellStyle name="A3 297 x 420 mm 6" xfId="450" xr:uid="{00000000-0005-0000-0000-00005C060000}"/>
    <cellStyle name="A3 297 x 420 mm 7" xfId="451" xr:uid="{00000000-0005-0000-0000-00005D060000}"/>
    <cellStyle name="A3 297 x 420 mm 8" xfId="452" xr:uid="{00000000-0005-0000-0000-00005E060000}"/>
    <cellStyle name="A3 297 x 420 mm 9" xfId="453" xr:uid="{00000000-0005-0000-0000-00005F060000}"/>
    <cellStyle name="A3 297 x 420 mm_Base_PA_2009-2011_Dem_Financeiros_CL" xfId="454" xr:uid="{00000000-0005-0000-0000-000060060000}"/>
    <cellStyle name="Accent1" xfId="37" xr:uid="{00000000-0005-0000-0000-000061060000}"/>
    <cellStyle name="Accent2" xfId="38" xr:uid="{00000000-0005-0000-0000-000062060000}"/>
    <cellStyle name="Accent3" xfId="39" xr:uid="{00000000-0005-0000-0000-000063060000}"/>
    <cellStyle name="Accent4" xfId="40" xr:uid="{00000000-0005-0000-0000-000064060000}"/>
    <cellStyle name="Accent5" xfId="41" xr:uid="{00000000-0005-0000-0000-000065060000}"/>
    <cellStyle name="Accent6" xfId="42" xr:uid="{00000000-0005-0000-0000-000066060000}"/>
    <cellStyle name="Actual Date" xfId="455" xr:uid="{00000000-0005-0000-0000-000067060000}"/>
    <cellStyle name="AFE" xfId="456" xr:uid="{00000000-0005-0000-0000-000068060000}"/>
    <cellStyle name="AFE 2" xfId="457" xr:uid="{00000000-0005-0000-0000-000069060000}"/>
    <cellStyle name="ÀH«áªº¶W³sµ²" xfId="4959" xr:uid="{00000000-0005-0000-0000-00006A060000}"/>
    <cellStyle name="Anos" xfId="458" xr:uid="{00000000-0005-0000-0000-00006B060000}"/>
    <cellStyle name="Anos 10" xfId="459" xr:uid="{00000000-0005-0000-0000-00006C060000}"/>
    <cellStyle name="Anos 11" xfId="460" xr:uid="{00000000-0005-0000-0000-00006D060000}"/>
    <cellStyle name="Anos 12" xfId="461" xr:uid="{00000000-0005-0000-0000-00006E060000}"/>
    <cellStyle name="Anos 13" xfId="462" xr:uid="{00000000-0005-0000-0000-00006F060000}"/>
    <cellStyle name="Anos 14" xfId="463" xr:uid="{00000000-0005-0000-0000-000070060000}"/>
    <cellStyle name="Anos 15" xfId="464" xr:uid="{00000000-0005-0000-0000-000071060000}"/>
    <cellStyle name="Anos 16" xfId="465" xr:uid="{00000000-0005-0000-0000-000072060000}"/>
    <cellStyle name="Anos 17" xfId="466" xr:uid="{00000000-0005-0000-0000-000073060000}"/>
    <cellStyle name="Anos 18" xfId="467" xr:uid="{00000000-0005-0000-0000-000074060000}"/>
    <cellStyle name="Anos 19" xfId="468" xr:uid="{00000000-0005-0000-0000-000075060000}"/>
    <cellStyle name="anos 2" xfId="469" xr:uid="{00000000-0005-0000-0000-000076060000}"/>
    <cellStyle name="Anos 2 2" xfId="470" xr:uid="{00000000-0005-0000-0000-000077060000}"/>
    <cellStyle name="Anos 20" xfId="471" xr:uid="{00000000-0005-0000-0000-000078060000}"/>
    <cellStyle name="Anos 21" xfId="472" xr:uid="{00000000-0005-0000-0000-000079060000}"/>
    <cellStyle name="Anos 22" xfId="473" xr:uid="{00000000-0005-0000-0000-00007A060000}"/>
    <cellStyle name="Anos 23" xfId="474" xr:uid="{00000000-0005-0000-0000-00007B060000}"/>
    <cellStyle name="Anos 24" xfId="475" xr:uid="{00000000-0005-0000-0000-00007C060000}"/>
    <cellStyle name="Anos 25" xfId="476" xr:uid="{00000000-0005-0000-0000-00007D060000}"/>
    <cellStyle name="Anos 26" xfId="477" xr:uid="{00000000-0005-0000-0000-00007E060000}"/>
    <cellStyle name="Anos 27" xfId="478" xr:uid="{00000000-0005-0000-0000-00007F060000}"/>
    <cellStyle name="Anos 28" xfId="479" xr:uid="{00000000-0005-0000-0000-000080060000}"/>
    <cellStyle name="Anos 29" xfId="480" xr:uid="{00000000-0005-0000-0000-000081060000}"/>
    <cellStyle name="Anos 3" xfId="481" xr:uid="{00000000-0005-0000-0000-000082060000}"/>
    <cellStyle name="Anos 30" xfId="482" xr:uid="{00000000-0005-0000-0000-000083060000}"/>
    <cellStyle name="Anos 31" xfId="483" xr:uid="{00000000-0005-0000-0000-000084060000}"/>
    <cellStyle name="Anos 32" xfId="484" xr:uid="{00000000-0005-0000-0000-000085060000}"/>
    <cellStyle name="Anos 33" xfId="485" xr:uid="{00000000-0005-0000-0000-000086060000}"/>
    <cellStyle name="Anos 34" xfId="486" xr:uid="{00000000-0005-0000-0000-000087060000}"/>
    <cellStyle name="Anos 35" xfId="487" xr:uid="{00000000-0005-0000-0000-000088060000}"/>
    <cellStyle name="Anos 36" xfId="488" xr:uid="{00000000-0005-0000-0000-000089060000}"/>
    <cellStyle name="Anos 37" xfId="489" xr:uid="{00000000-0005-0000-0000-00008A060000}"/>
    <cellStyle name="Anos 38" xfId="490" xr:uid="{00000000-0005-0000-0000-00008B060000}"/>
    <cellStyle name="Anos 39" xfId="491" xr:uid="{00000000-0005-0000-0000-00008C060000}"/>
    <cellStyle name="Anos 4" xfId="492" xr:uid="{00000000-0005-0000-0000-00008D060000}"/>
    <cellStyle name="Anos 40" xfId="493" xr:uid="{00000000-0005-0000-0000-00008E060000}"/>
    <cellStyle name="Anos 5" xfId="494" xr:uid="{00000000-0005-0000-0000-00008F060000}"/>
    <cellStyle name="Anos 6" xfId="495" xr:uid="{00000000-0005-0000-0000-000090060000}"/>
    <cellStyle name="Anos 7" xfId="496" xr:uid="{00000000-0005-0000-0000-000091060000}"/>
    <cellStyle name="Anos 8" xfId="497" xr:uid="{00000000-0005-0000-0000-000092060000}"/>
    <cellStyle name="Anos 9" xfId="498" xr:uid="{00000000-0005-0000-0000-000093060000}"/>
    <cellStyle name="Arial 10" xfId="499" xr:uid="{00000000-0005-0000-0000-000094060000}"/>
    <cellStyle name="Arial 10 10" xfId="500" xr:uid="{00000000-0005-0000-0000-000095060000}"/>
    <cellStyle name="Arial 10 11" xfId="501" xr:uid="{00000000-0005-0000-0000-000096060000}"/>
    <cellStyle name="Arial 10 12" xfId="502" xr:uid="{00000000-0005-0000-0000-000097060000}"/>
    <cellStyle name="Arial 10 13" xfId="503" xr:uid="{00000000-0005-0000-0000-000098060000}"/>
    <cellStyle name="Arial 10 14" xfId="504" xr:uid="{00000000-0005-0000-0000-000099060000}"/>
    <cellStyle name="Arial 10 15" xfId="505" xr:uid="{00000000-0005-0000-0000-00009A060000}"/>
    <cellStyle name="Arial 10 16" xfId="506" xr:uid="{00000000-0005-0000-0000-00009B060000}"/>
    <cellStyle name="Arial 10 17" xfId="507" xr:uid="{00000000-0005-0000-0000-00009C060000}"/>
    <cellStyle name="Arial 10 18" xfId="508" xr:uid="{00000000-0005-0000-0000-00009D060000}"/>
    <cellStyle name="Arial 10 19" xfId="509" xr:uid="{00000000-0005-0000-0000-00009E060000}"/>
    <cellStyle name="Arial 10 2" xfId="510" xr:uid="{00000000-0005-0000-0000-00009F060000}"/>
    <cellStyle name="Arial 10 2 2" xfId="511" xr:uid="{00000000-0005-0000-0000-0000A0060000}"/>
    <cellStyle name="Arial 10 20" xfId="512" xr:uid="{00000000-0005-0000-0000-0000A1060000}"/>
    <cellStyle name="Arial 10 21" xfId="513" xr:uid="{00000000-0005-0000-0000-0000A2060000}"/>
    <cellStyle name="Arial 10 22" xfId="514" xr:uid="{00000000-0005-0000-0000-0000A3060000}"/>
    <cellStyle name="Arial 10 23" xfId="515" xr:uid="{00000000-0005-0000-0000-0000A4060000}"/>
    <cellStyle name="Arial 10 24" xfId="516" xr:uid="{00000000-0005-0000-0000-0000A5060000}"/>
    <cellStyle name="Arial 10 25" xfId="517" xr:uid="{00000000-0005-0000-0000-0000A6060000}"/>
    <cellStyle name="Arial 10 26" xfId="518" xr:uid="{00000000-0005-0000-0000-0000A7060000}"/>
    <cellStyle name="Arial 10 27" xfId="519" xr:uid="{00000000-0005-0000-0000-0000A8060000}"/>
    <cellStyle name="Arial 10 28" xfId="520" xr:uid="{00000000-0005-0000-0000-0000A9060000}"/>
    <cellStyle name="Arial 10 29" xfId="521" xr:uid="{00000000-0005-0000-0000-0000AA060000}"/>
    <cellStyle name="Arial 10 3" xfId="522" xr:uid="{00000000-0005-0000-0000-0000AB060000}"/>
    <cellStyle name="Arial 10 3 2" xfId="523" xr:uid="{00000000-0005-0000-0000-0000AC060000}"/>
    <cellStyle name="Arial 10 30" xfId="524" xr:uid="{00000000-0005-0000-0000-0000AD060000}"/>
    <cellStyle name="Arial 10 31" xfId="525" xr:uid="{00000000-0005-0000-0000-0000AE060000}"/>
    <cellStyle name="Arial 10 32" xfId="526" xr:uid="{00000000-0005-0000-0000-0000AF060000}"/>
    <cellStyle name="Arial 10 33" xfId="527" xr:uid="{00000000-0005-0000-0000-0000B0060000}"/>
    <cellStyle name="Arial 10 34" xfId="528" xr:uid="{00000000-0005-0000-0000-0000B1060000}"/>
    <cellStyle name="Arial 10 35" xfId="529" xr:uid="{00000000-0005-0000-0000-0000B2060000}"/>
    <cellStyle name="Arial 10 36" xfId="530" xr:uid="{00000000-0005-0000-0000-0000B3060000}"/>
    <cellStyle name="Arial 10 37" xfId="531" xr:uid="{00000000-0005-0000-0000-0000B4060000}"/>
    <cellStyle name="Arial 10 38" xfId="532" xr:uid="{00000000-0005-0000-0000-0000B5060000}"/>
    <cellStyle name="Arial 10 39" xfId="533" xr:uid="{00000000-0005-0000-0000-0000B6060000}"/>
    <cellStyle name="Arial 10 4" xfId="534" xr:uid="{00000000-0005-0000-0000-0000B7060000}"/>
    <cellStyle name="Arial 10 4 2" xfId="535" xr:uid="{00000000-0005-0000-0000-0000B8060000}"/>
    <cellStyle name="Arial 10 40" xfId="536" xr:uid="{00000000-0005-0000-0000-0000B9060000}"/>
    <cellStyle name="Arial 10 41" xfId="537" xr:uid="{00000000-0005-0000-0000-0000BA060000}"/>
    <cellStyle name="Arial 10 5" xfId="538" xr:uid="{00000000-0005-0000-0000-0000BB060000}"/>
    <cellStyle name="Arial 10 6" xfId="539" xr:uid="{00000000-0005-0000-0000-0000BC060000}"/>
    <cellStyle name="Arial 10 7" xfId="540" xr:uid="{00000000-0005-0000-0000-0000BD060000}"/>
    <cellStyle name="Arial 10 8" xfId="541" xr:uid="{00000000-0005-0000-0000-0000BE060000}"/>
    <cellStyle name="Arial 10 9" xfId="542" xr:uid="{00000000-0005-0000-0000-0000BF060000}"/>
    <cellStyle name="Arial 24" xfId="543" xr:uid="{00000000-0005-0000-0000-0000C0060000}"/>
    <cellStyle name="Arial 24 10" xfId="544" xr:uid="{00000000-0005-0000-0000-0000C1060000}"/>
    <cellStyle name="Arial 24 11" xfId="545" xr:uid="{00000000-0005-0000-0000-0000C2060000}"/>
    <cellStyle name="Arial 24 12" xfId="546" xr:uid="{00000000-0005-0000-0000-0000C3060000}"/>
    <cellStyle name="Arial 24 13" xfId="547" xr:uid="{00000000-0005-0000-0000-0000C4060000}"/>
    <cellStyle name="Arial 24 14" xfId="548" xr:uid="{00000000-0005-0000-0000-0000C5060000}"/>
    <cellStyle name="Arial 24 15" xfId="549" xr:uid="{00000000-0005-0000-0000-0000C6060000}"/>
    <cellStyle name="Arial 24 16" xfId="550" xr:uid="{00000000-0005-0000-0000-0000C7060000}"/>
    <cellStyle name="Arial 24 17" xfId="551" xr:uid="{00000000-0005-0000-0000-0000C8060000}"/>
    <cellStyle name="Arial 24 18" xfId="552" xr:uid="{00000000-0005-0000-0000-0000C9060000}"/>
    <cellStyle name="Arial 24 19" xfId="553" xr:uid="{00000000-0005-0000-0000-0000CA060000}"/>
    <cellStyle name="Arial 24 2" xfId="554" xr:uid="{00000000-0005-0000-0000-0000CB060000}"/>
    <cellStyle name="Arial 24 20" xfId="555" xr:uid="{00000000-0005-0000-0000-0000CC060000}"/>
    <cellStyle name="Arial 24 21" xfId="556" xr:uid="{00000000-0005-0000-0000-0000CD060000}"/>
    <cellStyle name="Arial 24 22" xfId="557" xr:uid="{00000000-0005-0000-0000-0000CE060000}"/>
    <cellStyle name="Arial 24 23" xfId="558" xr:uid="{00000000-0005-0000-0000-0000CF060000}"/>
    <cellStyle name="Arial 24 24" xfId="559" xr:uid="{00000000-0005-0000-0000-0000D0060000}"/>
    <cellStyle name="Arial 24 25" xfId="560" xr:uid="{00000000-0005-0000-0000-0000D1060000}"/>
    <cellStyle name="Arial 24 26" xfId="561" xr:uid="{00000000-0005-0000-0000-0000D2060000}"/>
    <cellStyle name="Arial 24 27" xfId="562" xr:uid="{00000000-0005-0000-0000-0000D3060000}"/>
    <cellStyle name="Arial 24 28" xfId="563" xr:uid="{00000000-0005-0000-0000-0000D4060000}"/>
    <cellStyle name="Arial 24 29" xfId="564" xr:uid="{00000000-0005-0000-0000-0000D5060000}"/>
    <cellStyle name="Arial 24 3" xfId="565" xr:uid="{00000000-0005-0000-0000-0000D6060000}"/>
    <cellStyle name="Arial 24 30" xfId="566" xr:uid="{00000000-0005-0000-0000-0000D7060000}"/>
    <cellStyle name="Arial 24 31" xfId="567" xr:uid="{00000000-0005-0000-0000-0000D8060000}"/>
    <cellStyle name="Arial 24 32" xfId="568" xr:uid="{00000000-0005-0000-0000-0000D9060000}"/>
    <cellStyle name="Arial 24 33" xfId="569" xr:uid="{00000000-0005-0000-0000-0000DA060000}"/>
    <cellStyle name="Arial 24 34" xfId="570" xr:uid="{00000000-0005-0000-0000-0000DB060000}"/>
    <cellStyle name="Arial 24 35" xfId="571" xr:uid="{00000000-0005-0000-0000-0000DC060000}"/>
    <cellStyle name="Arial 24 36" xfId="572" xr:uid="{00000000-0005-0000-0000-0000DD060000}"/>
    <cellStyle name="Arial 24 37" xfId="573" xr:uid="{00000000-0005-0000-0000-0000DE060000}"/>
    <cellStyle name="Arial 24 38" xfId="574" xr:uid="{00000000-0005-0000-0000-0000DF060000}"/>
    <cellStyle name="Arial 24 39" xfId="575" xr:uid="{00000000-0005-0000-0000-0000E0060000}"/>
    <cellStyle name="Arial 24 4" xfId="576" xr:uid="{00000000-0005-0000-0000-0000E1060000}"/>
    <cellStyle name="Arial 24 40" xfId="577" xr:uid="{00000000-0005-0000-0000-0000E2060000}"/>
    <cellStyle name="Arial 24 5" xfId="578" xr:uid="{00000000-0005-0000-0000-0000E3060000}"/>
    <cellStyle name="Arial 24 6" xfId="579" xr:uid="{00000000-0005-0000-0000-0000E4060000}"/>
    <cellStyle name="Arial 24 7" xfId="580" xr:uid="{00000000-0005-0000-0000-0000E5060000}"/>
    <cellStyle name="Arial 24 8" xfId="581" xr:uid="{00000000-0005-0000-0000-0000E6060000}"/>
    <cellStyle name="Arial 24 9" xfId="582" xr:uid="{00000000-0005-0000-0000-0000E7060000}"/>
    <cellStyle name="Azul&amp;Vermelho" xfId="583" xr:uid="{00000000-0005-0000-0000-0000E8060000}"/>
    <cellStyle name="Azul&amp;Vermelho 10" xfId="584" xr:uid="{00000000-0005-0000-0000-0000E9060000}"/>
    <cellStyle name="Azul&amp;Vermelho 11" xfId="585" xr:uid="{00000000-0005-0000-0000-0000EA060000}"/>
    <cellStyle name="Azul&amp;Vermelho 12" xfId="586" xr:uid="{00000000-0005-0000-0000-0000EB060000}"/>
    <cellStyle name="Azul&amp;Vermelho 13" xfId="587" xr:uid="{00000000-0005-0000-0000-0000EC060000}"/>
    <cellStyle name="Azul&amp;Vermelho 14" xfId="588" xr:uid="{00000000-0005-0000-0000-0000ED060000}"/>
    <cellStyle name="Azul&amp;Vermelho 15" xfId="589" xr:uid="{00000000-0005-0000-0000-0000EE060000}"/>
    <cellStyle name="Azul&amp;Vermelho 16" xfId="590" xr:uid="{00000000-0005-0000-0000-0000EF060000}"/>
    <cellStyle name="Azul&amp;Vermelho 17" xfId="591" xr:uid="{00000000-0005-0000-0000-0000F0060000}"/>
    <cellStyle name="Azul&amp;Vermelho 18" xfId="592" xr:uid="{00000000-0005-0000-0000-0000F1060000}"/>
    <cellStyle name="Azul&amp;Vermelho 19" xfId="593" xr:uid="{00000000-0005-0000-0000-0000F2060000}"/>
    <cellStyle name="Azul&amp;Vermelho 2" xfId="594" xr:uid="{00000000-0005-0000-0000-0000F3060000}"/>
    <cellStyle name="Azul&amp;Vermelho 2 2" xfId="595" xr:uid="{00000000-0005-0000-0000-0000F4060000}"/>
    <cellStyle name="Azul&amp;Vermelho 20" xfId="596" xr:uid="{00000000-0005-0000-0000-0000F5060000}"/>
    <cellStyle name="Azul&amp;Vermelho 21" xfId="597" xr:uid="{00000000-0005-0000-0000-0000F6060000}"/>
    <cellStyle name="Azul&amp;Vermelho 22" xfId="598" xr:uid="{00000000-0005-0000-0000-0000F7060000}"/>
    <cellStyle name="Azul&amp;Vermelho 23" xfId="599" xr:uid="{00000000-0005-0000-0000-0000F8060000}"/>
    <cellStyle name="Azul&amp;Vermelho 24" xfId="600" xr:uid="{00000000-0005-0000-0000-0000F9060000}"/>
    <cellStyle name="Azul&amp;Vermelho 25" xfId="601" xr:uid="{00000000-0005-0000-0000-0000FA060000}"/>
    <cellStyle name="Azul&amp;Vermelho 26" xfId="602" xr:uid="{00000000-0005-0000-0000-0000FB060000}"/>
    <cellStyle name="Azul&amp;Vermelho 27" xfId="603" xr:uid="{00000000-0005-0000-0000-0000FC060000}"/>
    <cellStyle name="Azul&amp;Vermelho 28" xfId="604" xr:uid="{00000000-0005-0000-0000-0000FD060000}"/>
    <cellStyle name="Azul&amp;Vermelho 29" xfId="605" xr:uid="{00000000-0005-0000-0000-0000FE060000}"/>
    <cellStyle name="Azul&amp;Vermelho 3" xfId="606" xr:uid="{00000000-0005-0000-0000-0000FF060000}"/>
    <cellStyle name="Azul&amp;Vermelho 3 2" xfId="607" xr:uid="{00000000-0005-0000-0000-000000070000}"/>
    <cellStyle name="Azul&amp;Vermelho 30" xfId="608" xr:uid="{00000000-0005-0000-0000-000001070000}"/>
    <cellStyle name="Azul&amp;Vermelho 31" xfId="609" xr:uid="{00000000-0005-0000-0000-000002070000}"/>
    <cellStyle name="Azul&amp;Vermelho 32" xfId="610" xr:uid="{00000000-0005-0000-0000-000003070000}"/>
    <cellStyle name="Azul&amp;Vermelho 33" xfId="611" xr:uid="{00000000-0005-0000-0000-000004070000}"/>
    <cellStyle name="Azul&amp;Vermelho 34" xfId="612" xr:uid="{00000000-0005-0000-0000-000005070000}"/>
    <cellStyle name="Azul&amp;Vermelho 35" xfId="613" xr:uid="{00000000-0005-0000-0000-000006070000}"/>
    <cellStyle name="Azul&amp;Vermelho 36" xfId="614" xr:uid="{00000000-0005-0000-0000-000007070000}"/>
    <cellStyle name="Azul&amp;Vermelho 37" xfId="615" xr:uid="{00000000-0005-0000-0000-000008070000}"/>
    <cellStyle name="Azul&amp;Vermelho 38" xfId="616" xr:uid="{00000000-0005-0000-0000-000009070000}"/>
    <cellStyle name="Azul&amp;Vermelho 39" xfId="617" xr:uid="{00000000-0005-0000-0000-00000A070000}"/>
    <cellStyle name="Azul&amp;Vermelho 4" xfId="618" xr:uid="{00000000-0005-0000-0000-00000B070000}"/>
    <cellStyle name="Azul&amp;Vermelho 4 2" xfId="619" xr:uid="{00000000-0005-0000-0000-00000C070000}"/>
    <cellStyle name="Azul&amp;Vermelho 40" xfId="620" xr:uid="{00000000-0005-0000-0000-00000D070000}"/>
    <cellStyle name="Azul&amp;Vermelho 41" xfId="621" xr:uid="{00000000-0005-0000-0000-00000E070000}"/>
    <cellStyle name="Azul&amp;Vermelho 5" xfId="622" xr:uid="{00000000-0005-0000-0000-00000F070000}"/>
    <cellStyle name="Azul&amp;Vermelho 6" xfId="623" xr:uid="{00000000-0005-0000-0000-000010070000}"/>
    <cellStyle name="Azul&amp;Vermelho 7" xfId="624" xr:uid="{00000000-0005-0000-0000-000011070000}"/>
    <cellStyle name="Azul&amp;Vermelho 8" xfId="625" xr:uid="{00000000-0005-0000-0000-000012070000}"/>
    <cellStyle name="Azul&amp;Vermelho 9" xfId="626" xr:uid="{00000000-0005-0000-0000-000013070000}"/>
    <cellStyle name="Bad" xfId="43" xr:uid="{00000000-0005-0000-0000-000014070000}"/>
    <cellStyle name="Black Text" xfId="4960" xr:uid="{00000000-0005-0000-0000-000015070000}"/>
    <cellStyle name="Black Text (No Wrap)" xfId="4961" xr:uid="{00000000-0005-0000-0000-000016070000}"/>
    <cellStyle name="Black Text (No Wrap) 2" xfId="16052" xr:uid="{00000000-0005-0000-0000-000017070000}"/>
    <cellStyle name="Blue Text" xfId="4962" xr:uid="{00000000-0005-0000-0000-000018070000}"/>
    <cellStyle name="Blue Text - Ariel 10" xfId="4963" xr:uid="{00000000-0005-0000-0000-000019070000}"/>
    <cellStyle name="Blue Text - Ariel 10 2" xfId="16053" xr:uid="{00000000-0005-0000-0000-00001A070000}"/>
    <cellStyle name="Body" xfId="4964" xr:uid="{00000000-0005-0000-0000-00001B070000}"/>
    <cellStyle name="Bold/Border" xfId="627" xr:uid="{00000000-0005-0000-0000-00001C070000}"/>
    <cellStyle name="Bold/Border 2" xfId="628" xr:uid="{00000000-0005-0000-0000-00001D070000}"/>
    <cellStyle name="Bold/Border 2 2" xfId="7423" xr:uid="{00000000-0005-0000-0000-00001E070000}"/>
    <cellStyle name="Bold/Border 3" xfId="7422" xr:uid="{00000000-0005-0000-0000-00001F070000}"/>
    <cellStyle name="bolet" xfId="4965" xr:uid="{00000000-0005-0000-0000-000020070000}"/>
    <cellStyle name="Bom" xfId="44" xr:uid="{00000000-0005-0000-0000-000021070000}"/>
    <cellStyle name="Bom 10" xfId="5518" xr:uid="{00000000-0005-0000-0000-000022070000}"/>
    <cellStyle name="Bom 11" xfId="5579" xr:uid="{00000000-0005-0000-0000-000023070000}"/>
    <cellStyle name="Bom 12" xfId="5508" xr:uid="{00000000-0005-0000-0000-000024070000}"/>
    <cellStyle name="Bom 13" xfId="5591" xr:uid="{00000000-0005-0000-0000-000025070000}"/>
    <cellStyle name="Bom 14" xfId="5485" xr:uid="{00000000-0005-0000-0000-000026070000}"/>
    <cellStyle name="Bom 15" xfId="5707" xr:uid="{00000000-0005-0000-0000-000027070000}"/>
    <cellStyle name="Bom 16" xfId="5735" xr:uid="{00000000-0005-0000-0000-000028070000}"/>
    <cellStyle name="Bom 17" xfId="5777" xr:uid="{00000000-0005-0000-0000-000029070000}"/>
    <cellStyle name="Bom 2" xfId="4966" xr:uid="{00000000-0005-0000-0000-00002A070000}"/>
    <cellStyle name="Bom 2 2" xfId="6463" xr:uid="{00000000-0005-0000-0000-00002B070000}"/>
    <cellStyle name="Bom 2 2 2" xfId="6464" xr:uid="{00000000-0005-0000-0000-00002C070000}"/>
    <cellStyle name="Bom 2 2 2 2" xfId="6465" xr:uid="{00000000-0005-0000-0000-00002D070000}"/>
    <cellStyle name="Bom 2 2 2 2 2" xfId="6466" xr:uid="{00000000-0005-0000-0000-00002E070000}"/>
    <cellStyle name="Bom 2 2 2 2 2 2" xfId="6467" xr:uid="{00000000-0005-0000-0000-00002F070000}"/>
    <cellStyle name="Bom 2 2 2 2 2 2 2" xfId="6468" xr:uid="{00000000-0005-0000-0000-000030070000}"/>
    <cellStyle name="Bom 2 2 2 2 2 2 2 2" xfId="6469" xr:uid="{00000000-0005-0000-0000-000031070000}"/>
    <cellStyle name="Bom 2 2 2 2 2 2 3" xfId="6470" xr:uid="{00000000-0005-0000-0000-000032070000}"/>
    <cellStyle name="Bom 2 2 2 2 2 3" xfId="6471" xr:uid="{00000000-0005-0000-0000-000033070000}"/>
    <cellStyle name="Bom 2 2 2 2 2 3 2" xfId="6472" xr:uid="{00000000-0005-0000-0000-000034070000}"/>
    <cellStyle name="Bom 2 2 2 2 3" xfId="6473" xr:uid="{00000000-0005-0000-0000-000035070000}"/>
    <cellStyle name="Bom 2 2 2 2 3 2" xfId="6474" xr:uid="{00000000-0005-0000-0000-000036070000}"/>
    <cellStyle name="Bom 2 2 2 3" xfId="6475" xr:uid="{00000000-0005-0000-0000-000037070000}"/>
    <cellStyle name="Bom 2 2 2 4" xfId="6476" xr:uid="{00000000-0005-0000-0000-000038070000}"/>
    <cellStyle name="Bom 2 2 2 4 2" xfId="6477" xr:uid="{00000000-0005-0000-0000-000039070000}"/>
    <cellStyle name="Bom 2 2 3" xfId="6478" xr:uid="{00000000-0005-0000-0000-00003A070000}"/>
    <cellStyle name="Bom 2 2 4" xfId="6479" xr:uid="{00000000-0005-0000-0000-00003B070000}"/>
    <cellStyle name="Bom 2 2 4 2" xfId="6480" xr:uid="{00000000-0005-0000-0000-00003C070000}"/>
    <cellStyle name="Bom 2 3" xfId="6481" xr:uid="{00000000-0005-0000-0000-00003D070000}"/>
    <cellStyle name="Bom 2 4" xfId="6482" xr:uid="{00000000-0005-0000-0000-00003E070000}"/>
    <cellStyle name="Bom 2 5" xfId="6483" xr:uid="{00000000-0005-0000-0000-00003F070000}"/>
    <cellStyle name="Bom 2 6" xfId="6484" xr:uid="{00000000-0005-0000-0000-000040070000}"/>
    <cellStyle name="Bom 2 6 2" xfId="6485" xr:uid="{00000000-0005-0000-0000-000041070000}"/>
    <cellStyle name="Bom 2 7" xfId="6462" xr:uid="{00000000-0005-0000-0000-000042070000}"/>
    <cellStyle name="Bom 3" xfId="5235" xr:uid="{00000000-0005-0000-0000-000043070000}"/>
    <cellStyle name="Bom 3 2" xfId="6487" xr:uid="{00000000-0005-0000-0000-000044070000}"/>
    <cellStyle name="Bom 3 3" xfId="6488" xr:uid="{00000000-0005-0000-0000-000045070000}"/>
    <cellStyle name="Bom 3 4" xfId="6489" xr:uid="{00000000-0005-0000-0000-000046070000}"/>
    <cellStyle name="Bom 3 5" xfId="6486" xr:uid="{00000000-0005-0000-0000-000047070000}"/>
    <cellStyle name="Bom 4" xfId="5314" xr:uid="{00000000-0005-0000-0000-000048070000}"/>
    <cellStyle name="Bom 4 2" xfId="6491" xr:uid="{00000000-0005-0000-0000-000049070000}"/>
    <cellStyle name="Bom 4 3" xfId="6492" xr:uid="{00000000-0005-0000-0000-00004A070000}"/>
    <cellStyle name="Bom 4 4" xfId="6490" xr:uid="{00000000-0005-0000-0000-00004B070000}"/>
    <cellStyle name="Bom 5" xfId="5225" xr:uid="{00000000-0005-0000-0000-00004C070000}"/>
    <cellStyle name="Bom 5 2" xfId="6494" xr:uid="{00000000-0005-0000-0000-00004D070000}"/>
    <cellStyle name="Bom 5 3" xfId="6493" xr:uid="{00000000-0005-0000-0000-00004E070000}"/>
    <cellStyle name="Bom 6" xfId="5325" xr:uid="{00000000-0005-0000-0000-00004F070000}"/>
    <cellStyle name="Bom 6 2" xfId="6496" xr:uid="{00000000-0005-0000-0000-000050070000}"/>
    <cellStyle name="Bom 6 3" xfId="7344" xr:uid="{00000000-0005-0000-0000-000051070000}"/>
    <cellStyle name="Bom 6 4" xfId="6495" xr:uid="{00000000-0005-0000-0000-000052070000}"/>
    <cellStyle name="Bom 7" xfId="5202" xr:uid="{00000000-0005-0000-0000-000053070000}"/>
    <cellStyle name="Bom 7 2" xfId="7345" xr:uid="{00000000-0005-0000-0000-000054070000}"/>
    <cellStyle name="Bom 7 3" xfId="6497" xr:uid="{00000000-0005-0000-0000-000055070000}"/>
    <cellStyle name="Bom 8" xfId="5355" xr:uid="{00000000-0005-0000-0000-000056070000}"/>
    <cellStyle name="Bom 9" xfId="5384" xr:uid="{00000000-0005-0000-0000-000057070000}"/>
    <cellStyle name="BORDA" xfId="629" xr:uid="{00000000-0005-0000-0000-000058070000}"/>
    <cellStyle name="BORDA 10" xfId="630" xr:uid="{00000000-0005-0000-0000-000059070000}"/>
    <cellStyle name="BORDA 11" xfId="631" xr:uid="{00000000-0005-0000-0000-00005A070000}"/>
    <cellStyle name="BORDA 12" xfId="632" xr:uid="{00000000-0005-0000-0000-00005B070000}"/>
    <cellStyle name="BORDA 13" xfId="633" xr:uid="{00000000-0005-0000-0000-00005C070000}"/>
    <cellStyle name="BORDA 14" xfId="634" xr:uid="{00000000-0005-0000-0000-00005D070000}"/>
    <cellStyle name="BORDA 15" xfId="635" xr:uid="{00000000-0005-0000-0000-00005E070000}"/>
    <cellStyle name="BORDA 16" xfId="636" xr:uid="{00000000-0005-0000-0000-00005F070000}"/>
    <cellStyle name="BORDA 17" xfId="637" xr:uid="{00000000-0005-0000-0000-000060070000}"/>
    <cellStyle name="BORDA 18" xfId="638" xr:uid="{00000000-0005-0000-0000-000061070000}"/>
    <cellStyle name="BORDA 19" xfId="639" xr:uid="{00000000-0005-0000-0000-000062070000}"/>
    <cellStyle name="BORDA 2" xfId="640" xr:uid="{00000000-0005-0000-0000-000063070000}"/>
    <cellStyle name="BORDA 20" xfId="641" xr:uid="{00000000-0005-0000-0000-000064070000}"/>
    <cellStyle name="BORDA 21" xfId="642" xr:uid="{00000000-0005-0000-0000-000065070000}"/>
    <cellStyle name="BORDA 22" xfId="643" xr:uid="{00000000-0005-0000-0000-000066070000}"/>
    <cellStyle name="BORDA 23" xfId="644" xr:uid="{00000000-0005-0000-0000-000067070000}"/>
    <cellStyle name="BORDA 24" xfId="645" xr:uid="{00000000-0005-0000-0000-000068070000}"/>
    <cellStyle name="BORDA 25" xfId="646" xr:uid="{00000000-0005-0000-0000-000069070000}"/>
    <cellStyle name="BORDA 26" xfId="647" xr:uid="{00000000-0005-0000-0000-00006A070000}"/>
    <cellStyle name="BORDA 27" xfId="648" xr:uid="{00000000-0005-0000-0000-00006B070000}"/>
    <cellStyle name="BORDA 28" xfId="649" xr:uid="{00000000-0005-0000-0000-00006C070000}"/>
    <cellStyle name="BORDA 29" xfId="650" xr:uid="{00000000-0005-0000-0000-00006D070000}"/>
    <cellStyle name="BORDA 3" xfId="651" xr:uid="{00000000-0005-0000-0000-00006E070000}"/>
    <cellStyle name="BORDA 30" xfId="652" xr:uid="{00000000-0005-0000-0000-00006F070000}"/>
    <cellStyle name="BORDA 31" xfId="653" xr:uid="{00000000-0005-0000-0000-000070070000}"/>
    <cellStyle name="BORDA 32" xfId="654" xr:uid="{00000000-0005-0000-0000-000071070000}"/>
    <cellStyle name="BORDA 33" xfId="655" xr:uid="{00000000-0005-0000-0000-000072070000}"/>
    <cellStyle name="BORDA 34" xfId="656" xr:uid="{00000000-0005-0000-0000-000073070000}"/>
    <cellStyle name="BORDA 35" xfId="657" xr:uid="{00000000-0005-0000-0000-000074070000}"/>
    <cellStyle name="BORDA 36" xfId="658" xr:uid="{00000000-0005-0000-0000-000075070000}"/>
    <cellStyle name="BORDA 37" xfId="659" xr:uid="{00000000-0005-0000-0000-000076070000}"/>
    <cellStyle name="BORDA 38" xfId="660" xr:uid="{00000000-0005-0000-0000-000077070000}"/>
    <cellStyle name="BORDA 39" xfId="661" xr:uid="{00000000-0005-0000-0000-000078070000}"/>
    <cellStyle name="BORDA 4" xfId="662" xr:uid="{00000000-0005-0000-0000-000079070000}"/>
    <cellStyle name="BORDA 40" xfId="663" xr:uid="{00000000-0005-0000-0000-00007A070000}"/>
    <cellStyle name="BORDA 5" xfId="664" xr:uid="{00000000-0005-0000-0000-00007B070000}"/>
    <cellStyle name="BORDA 6" xfId="665" xr:uid="{00000000-0005-0000-0000-00007C070000}"/>
    <cellStyle name="BORDA 7" xfId="666" xr:uid="{00000000-0005-0000-0000-00007D070000}"/>
    <cellStyle name="BORDA 8" xfId="667" xr:uid="{00000000-0005-0000-0000-00007E070000}"/>
    <cellStyle name="BORDA 9" xfId="668" xr:uid="{00000000-0005-0000-0000-00007F070000}"/>
    <cellStyle name="Border" xfId="4967" xr:uid="{00000000-0005-0000-0000-000080070000}"/>
    <cellStyle name="Border 2" xfId="13878" xr:uid="{00000000-0005-0000-0000-000081070000}"/>
    <cellStyle name="Border 3" xfId="22561" xr:uid="{00000000-0005-0000-0000-000082070000}"/>
    <cellStyle name="Border Heavy" xfId="669" xr:uid="{00000000-0005-0000-0000-000083070000}"/>
    <cellStyle name="Border Heavy 2" xfId="670" xr:uid="{00000000-0005-0000-0000-000084070000}"/>
    <cellStyle name="Brand Align Left Text" xfId="671" xr:uid="{00000000-0005-0000-0000-000085070000}"/>
    <cellStyle name="Brand Default" xfId="672" xr:uid="{00000000-0005-0000-0000-000086070000}"/>
    <cellStyle name="Brand Percent" xfId="673" xr:uid="{00000000-0005-0000-0000-000087070000}"/>
    <cellStyle name="Brand Source" xfId="674" xr:uid="{00000000-0005-0000-0000-000088070000}"/>
    <cellStyle name="Brand Subtitle with Underline" xfId="675" xr:uid="{00000000-0005-0000-0000-000089070000}"/>
    <cellStyle name="Brand Subtitle with Underline 2" xfId="676" xr:uid="{00000000-0005-0000-0000-00008A070000}"/>
    <cellStyle name="Brand Subtitle with Underline 3" xfId="677" xr:uid="{00000000-0005-0000-0000-00008B070000}"/>
    <cellStyle name="Brand Subtitle with Underline 4" xfId="678" xr:uid="{00000000-0005-0000-0000-00008C070000}"/>
    <cellStyle name="Brand Subtitle with Underline 5" xfId="679" xr:uid="{00000000-0005-0000-0000-00008D070000}"/>
    <cellStyle name="Brand Subtitle without Underline" xfId="680" xr:uid="{00000000-0005-0000-0000-00008E070000}"/>
    <cellStyle name="Brand Title" xfId="681" xr:uid="{00000000-0005-0000-0000-00008F070000}"/>
    <cellStyle name="Buena" xfId="682" xr:uid="{00000000-0005-0000-0000-000090070000}"/>
    <cellStyle name="Bullet" xfId="683" xr:uid="{00000000-0005-0000-0000-000091070000}"/>
    <cellStyle name="Ç¥ÁØ_P&amp;L Hyperion" xfId="4968" xr:uid="{00000000-0005-0000-0000-000092070000}"/>
    <cellStyle name="CabRo - Estilo1" xfId="684" xr:uid="{00000000-0005-0000-0000-000093070000}"/>
    <cellStyle name="Calc Currency (0)" xfId="685" xr:uid="{00000000-0005-0000-0000-000094070000}"/>
    <cellStyle name="Calc Currency (0) 2" xfId="4969" xr:uid="{00000000-0005-0000-0000-000095070000}"/>
    <cellStyle name="Calc Currency (2)" xfId="4970" xr:uid="{00000000-0005-0000-0000-000096070000}"/>
    <cellStyle name="Calc Percent (0)" xfId="4971" xr:uid="{00000000-0005-0000-0000-000097070000}"/>
    <cellStyle name="Calc Percent (1)" xfId="4972" xr:uid="{00000000-0005-0000-0000-000098070000}"/>
    <cellStyle name="Calc Percent (2)" xfId="4973" xr:uid="{00000000-0005-0000-0000-000099070000}"/>
    <cellStyle name="Calc Units (0)" xfId="4974" xr:uid="{00000000-0005-0000-0000-00009A070000}"/>
    <cellStyle name="Calc Units (1)" xfId="4975" xr:uid="{00000000-0005-0000-0000-00009B070000}"/>
    <cellStyle name="Calc Units (2)" xfId="4976" xr:uid="{00000000-0005-0000-0000-00009C070000}"/>
    <cellStyle name="Calculation" xfId="45" xr:uid="{00000000-0005-0000-0000-00009D070000}"/>
    <cellStyle name="Calculation 10" xfId="22559" xr:uid="{00000000-0005-0000-0000-00009E070000}"/>
    <cellStyle name="Calculation 2" xfId="686" xr:uid="{00000000-0005-0000-0000-00009F070000}"/>
    <cellStyle name="Calculation 2 2" xfId="687" xr:uid="{00000000-0005-0000-0000-0000A0070000}"/>
    <cellStyle name="Calculation 2 2 2" xfId="10509" xr:uid="{00000000-0005-0000-0000-0000A1070000}"/>
    <cellStyle name="Calculation 2 2 2 2" xfId="19236" xr:uid="{00000000-0005-0000-0000-0000A2070000}"/>
    <cellStyle name="Calculation 2 2 3" xfId="14798" xr:uid="{00000000-0005-0000-0000-0000A3070000}"/>
    <cellStyle name="Calculation 2 3" xfId="688" xr:uid="{00000000-0005-0000-0000-0000A4070000}"/>
    <cellStyle name="Calculation 2 3 2" xfId="10510" xr:uid="{00000000-0005-0000-0000-0000A5070000}"/>
    <cellStyle name="Calculation 2 3 2 2" xfId="19237" xr:uid="{00000000-0005-0000-0000-0000A6070000}"/>
    <cellStyle name="Calculation 2 3 3" xfId="13880" xr:uid="{00000000-0005-0000-0000-0000A7070000}"/>
    <cellStyle name="Calculation 2 4" xfId="10508" xr:uid="{00000000-0005-0000-0000-0000A8070000}"/>
    <cellStyle name="Calculation 2 4 2" xfId="19235" xr:uid="{00000000-0005-0000-0000-0000A9070000}"/>
    <cellStyle name="Calculation 2 5" xfId="13879" xr:uid="{00000000-0005-0000-0000-0000AA070000}"/>
    <cellStyle name="Calculation 3" xfId="689" xr:uid="{00000000-0005-0000-0000-0000AB070000}"/>
    <cellStyle name="Calculation 3 2" xfId="690" xr:uid="{00000000-0005-0000-0000-0000AC070000}"/>
    <cellStyle name="Calculation 3 2 2" xfId="10512" xr:uid="{00000000-0005-0000-0000-0000AD070000}"/>
    <cellStyle name="Calculation 3 2 2 2" xfId="19239" xr:uid="{00000000-0005-0000-0000-0000AE070000}"/>
    <cellStyle name="Calculation 3 2 3" xfId="14813" xr:uid="{00000000-0005-0000-0000-0000AF070000}"/>
    <cellStyle name="Calculation 3 3" xfId="691" xr:uid="{00000000-0005-0000-0000-0000B0070000}"/>
    <cellStyle name="Calculation 3 3 2" xfId="10513" xr:uid="{00000000-0005-0000-0000-0000B1070000}"/>
    <cellStyle name="Calculation 3 3 2 2" xfId="19240" xr:uid="{00000000-0005-0000-0000-0000B2070000}"/>
    <cellStyle name="Calculation 3 3 3" xfId="14202" xr:uid="{00000000-0005-0000-0000-0000B3070000}"/>
    <cellStyle name="Calculation 3 4" xfId="10511" xr:uid="{00000000-0005-0000-0000-0000B4070000}"/>
    <cellStyle name="Calculation 3 4 2" xfId="19238" xr:uid="{00000000-0005-0000-0000-0000B5070000}"/>
    <cellStyle name="Calculation 3 5" xfId="13914" xr:uid="{00000000-0005-0000-0000-0000B6070000}"/>
    <cellStyle name="Calculation 4" xfId="692" xr:uid="{00000000-0005-0000-0000-0000B7070000}"/>
    <cellStyle name="Calculation 4 2" xfId="10514" xr:uid="{00000000-0005-0000-0000-0000B8070000}"/>
    <cellStyle name="Calculation 4 2 2" xfId="19241" xr:uid="{00000000-0005-0000-0000-0000B9070000}"/>
    <cellStyle name="Calculation 4 3" xfId="13902" xr:uid="{00000000-0005-0000-0000-0000BA070000}"/>
    <cellStyle name="Calculation 5" xfId="693" xr:uid="{00000000-0005-0000-0000-0000BB070000}"/>
    <cellStyle name="Calculation 5 2" xfId="10515" xr:uid="{00000000-0005-0000-0000-0000BC070000}"/>
    <cellStyle name="Calculation 5 2 2" xfId="19242" xr:uid="{00000000-0005-0000-0000-0000BD070000}"/>
    <cellStyle name="Calculation 5 3" xfId="13942" xr:uid="{00000000-0005-0000-0000-0000BE070000}"/>
    <cellStyle name="Calculation 6" xfId="694" xr:uid="{00000000-0005-0000-0000-0000BF070000}"/>
    <cellStyle name="Calculation 6 2" xfId="10516" xr:uid="{00000000-0005-0000-0000-0000C0070000}"/>
    <cellStyle name="Calculation 6 2 2" xfId="19243" xr:uid="{00000000-0005-0000-0000-0000C1070000}"/>
    <cellStyle name="Calculation 6 3" xfId="14552" xr:uid="{00000000-0005-0000-0000-0000C2070000}"/>
    <cellStyle name="Calculation 7" xfId="695" xr:uid="{00000000-0005-0000-0000-0000C3070000}"/>
    <cellStyle name="Calculation 7 2" xfId="10517" xr:uid="{00000000-0005-0000-0000-0000C4070000}"/>
    <cellStyle name="Calculation 7 2 2" xfId="19244" xr:uid="{00000000-0005-0000-0000-0000C5070000}"/>
    <cellStyle name="Calculation 7 3" xfId="14501" xr:uid="{00000000-0005-0000-0000-0000C6070000}"/>
    <cellStyle name="Calculation 8" xfId="10507" xr:uid="{00000000-0005-0000-0000-0000C7070000}"/>
    <cellStyle name="Calculation 8 2" xfId="19234" xr:uid="{00000000-0005-0000-0000-0000C8070000}"/>
    <cellStyle name="Calculation 9" xfId="13881" xr:uid="{00000000-0005-0000-0000-0000C9070000}"/>
    <cellStyle name="Cálculo" xfId="46" xr:uid="{00000000-0005-0000-0000-0000CA070000}"/>
    <cellStyle name="Cálculo 10" xfId="5520" xr:uid="{00000000-0005-0000-0000-0000CB070000}"/>
    <cellStyle name="Cálculo 10 2" xfId="14051" xr:uid="{00000000-0005-0000-0000-0000CC070000}"/>
    <cellStyle name="Cálculo 10 3" xfId="22536" xr:uid="{00000000-0005-0000-0000-0000CD070000}"/>
    <cellStyle name="Cálculo 11" xfId="5578" xr:uid="{00000000-0005-0000-0000-0000CE070000}"/>
    <cellStyle name="Cálculo 11 2" xfId="14071" xr:uid="{00000000-0005-0000-0000-0000CF070000}"/>
    <cellStyle name="Cálculo 11 3" xfId="16051" xr:uid="{00000000-0005-0000-0000-0000D0070000}"/>
    <cellStyle name="Cálculo 12" xfId="5515" xr:uid="{00000000-0005-0000-0000-0000D1070000}"/>
    <cellStyle name="Cálculo 12 2" xfId="14049" xr:uid="{00000000-0005-0000-0000-0000D2070000}"/>
    <cellStyle name="Cálculo 12 3" xfId="22538" xr:uid="{00000000-0005-0000-0000-0000D3070000}"/>
    <cellStyle name="Cálculo 13" xfId="5584" xr:uid="{00000000-0005-0000-0000-0000D4070000}"/>
    <cellStyle name="Cálculo 13 2" xfId="14074" xr:uid="{00000000-0005-0000-0000-0000D5070000}"/>
    <cellStyle name="Cálculo 13 3" xfId="16078" xr:uid="{00000000-0005-0000-0000-0000D6070000}"/>
    <cellStyle name="Cálculo 14" xfId="5498" xr:uid="{00000000-0005-0000-0000-0000D7070000}"/>
    <cellStyle name="Cálculo 14 2" xfId="14044" xr:uid="{00000000-0005-0000-0000-0000D8070000}"/>
    <cellStyle name="Cálculo 14 3" xfId="22540" xr:uid="{00000000-0005-0000-0000-0000D9070000}"/>
    <cellStyle name="Cálculo 15" xfId="5708" xr:uid="{00000000-0005-0000-0000-0000DA070000}"/>
    <cellStyle name="Cálculo 15 2" xfId="14111" xr:uid="{00000000-0005-0000-0000-0000DB070000}"/>
    <cellStyle name="Cálculo 15 3" xfId="14524" xr:uid="{00000000-0005-0000-0000-0000DC070000}"/>
    <cellStyle name="Cálculo 16" xfId="5734" xr:uid="{00000000-0005-0000-0000-0000DD070000}"/>
    <cellStyle name="Cálculo 16 2" xfId="14118" xr:uid="{00000000-0005-0000-0000-0000DE070000}"/>
    <cellStyle name="Cálculo 16 3" xfId="14491" xr:uid="{00000000-0005-0000-0000-0000DF070000}"/>
    <cellStyle name="Cálculo 17" xfId="5781" xr:uid="{00000000-0005-0000-0000-0000E0070000}"/>
    <cellStyle name="Cálculo 18" xfId="10597" xr:uid="{00000000-0005-0000-0000-0000E1070000}"/>
    <cellStyle name="Cálculo 18 2" xfId="19303" xr:uid="{00000000-0005-0000-0000-0000E2070000}"/>
    <cellStyle name="Cálculo 19" xfId="14607" xr:uid="{00000000-0005-0000-0000-0000E3070000}"/>
    <cellStyle name="Cálculo 2" xfId="4977" xr:uid="{00000000-0005-0000-0000-0000E4070000}"/>
    <cellStyle name="Cálculo 2 2" xfId="6499" xr:uid="{00000000-0005-0000-0000-0000E5070000}"/>
    <cellStyle name="Cálculo 2 2 2" xfId="6500" xr:uid="{00000000-0005-0000-0000-0000E6070000}"/>
    <cellStyle name="Cálculo 2 2 2 2" xfId="6501" xr:uid="{00000000-0005-0000-0000-0000E7070000}"/>
    <cellStyle name="Cálculo 2 2 2 2 2" xfId="6502" xr:uid="{00000000-0005-0000-0000-0000E8070000}"/>
    <cellStyle name="Cálculo 2 2 2 2 2 2" xfId="6503" xr:uid="{00000000-0005-0000-0000-0000E9070000}"/>
    <cellStyle name="Cálculo 2 2 2 2 2 2 2" xfId="6504" xr:uid="{00000000-0005-0000-0000-0000EA070000}"/>
    <cellStyle name="Cálculo 2 2 2 2 2 2 2 2" xfId="6505" xr:uid="{00000000-0005-0000-0000-0000EB070000}"/>
    <cellStyle name="Cálculo 2 2 2 2 2 2 2 2 2" xfId="14474" xr:uid="{00000000-0005-0000-0000-0000EC070000}"/>
    <cellStyle name="Cálculo 2 2 2 2 2 2 2 2 3" xfId="22608" xr:uid="{00000000-0005-0000-0000-0000ED070000}"/>
    <cellStyle name="Cálculo 2 2 2 2 2 2 3" xfId="6506" xr:uid="{00000000-0005-0000-0000-0000EE070000}"/>
    <cellStyle name="Cálculo 2 2 2 2 2 2 3 2" xfId="14475" xr:uid="{00000000-0005-0000-0000-0000EF070000}"/>
    <cellStyle name="Cálculo 2 2 2 2 2 2 3 3" xfId="22580" xr:uid="{00000000-0005-0000-0000-0000F0070000}"/>
    <cellStyle name="Cálculo 2 2 2 2 2 2 4" xfId="14473" xr:uid="{00000000-0005-0000-0000-0000F1070000}"/>
    <cellStyle name="Cálculo 2 2 2 2 2 2 5" xfId="22579" xr:uid="{00000000-0005-0000-0000-0000F2070000}"/>
    <cellStyle name="Cálculo 2 2 2 2 2 3" xfId="6507" xr:uid="{00000000-0005-0000-0000-0000F3070000}"/>
    <cellStyle name="Cálculo 2 2 2 2 2 3 2" xfId="6508" xr:uid="{00000000-0005-0000-0000-0000F4070000}"/>
    <cellStyle name="Cálculo 2 2 2 2 2 3 3" xfId="14476" xr:uid="{00000000-0005-0000-0000-0000F5070000}"/>
    <cellStyle name="Cálculo 2 2 2 2 2 3 4" xfId="16054" xr:uid="{00000000-0005-0000-0000-0000F6070000}"/>
    <cellStyle name="Cálculo 2 2 2 2 3" xfId="6509" xr:uid="{00000000-0005-0000-0000-0000F7070000}"/>
    <cellStyle name="Cálculo 2 2 2 2 3 2" xfId="6510" xr:uid="{00000000-0005-0000-0000-0000F8070000}"/>
    <cellStyle name="Cálculo 2 2 2 2 3 2 2" xfId="14477" xr:uid="{00000000-0005-0000-0000-0000F9070000}"/>
    <cellStyle name="Cálculo 2 2 2 2 3 2 3" xfId="22607" xr:uid="{00000000-0005-0000-0000-0000FA070000}"/>
    <cellStyle name="Cálculo 2 2 2 2 4" xfId="14472" xr:uid="{00000000-0005-0000-0000-0000FB070000}"/>
    <cellStyle name="Cálculo 2 2 2 2 5" xfId="22622" xr:uid="{00000000-0005-0000-0000-0000FC070000}"/>
    <cellStyle name="Cálculo 2 2 2 3" xfId="6511" xr:uid="{00000000-0005-0000-0000-0000FD070000}"/>
    <cellStyle name="Cálculo 2 2 2 3 2" xfId="14478" xr:uid="{00000000-0005-0000-0000-0000FE070000}"/>
    <cellStyle name="Cálculo 2 2 2 3 3" xfId="22578" xr:uid="{00000000-0005-0000-0000-0000FF070000}"/>
    <cellStyle name="Cálculo 2 2 2 4" xfId="6512" xr:uid="{00000000-0005-0000-0000-000000080000}"/>
    <cellStyle name="Cálculo 2 2 2 4 2" xfId="6513" xr:uid="{00000000-0005-0000-0000-000001080000}"/>
    <cellStyle name="Cálculo 2 2 2 4 3" xfId="14479" xr:uid="{00000000-0005-0000-0000-000002080000}"/>
    <cellStyle name="Cálculo 2 2 2 4 4" xfId="22621" xr:uid="{00000000-0005-0000-0000-000003080000}"/>
    <cellStyle name="Cálculo 2 2 3" xfId="6514" xr:uid="{00000000-0005-0000-0000-000004080000}"/>
    <cellStyle name="Cálculo 2 2 4" xfId="6515" xr:uid="{00000000-0005-0000-0000-000005080000}"/>
    <cellStyle name="Cálculo 2 2 4 2" xfId="6516" xr:uid="{00000000-0005-0000-0000-000006080000}"/>
    <cellStyle name="Cálculo 2 2 4 2 2" xfId="14480" xr:uid="{00000000-0005-0000-0000-000007080000}"/>
    <cellStyle name="Cálculo 2 2 4 2 3" xfId="16134" xr:uid="{00000000-0005-0000-0000-000008080000}"/>
    <cellStyle name="Cálculo 2 2 5" xfId="14471" xr:uid="{00000000-0005-0000-0000-000009080000}"/>
    <cellStyle name="Cálculo 2 2 6" xfId="16095" xr:uid="{00000000-0005-0000-0000-00000A080000}"/>
    <cellStyle name="Cálculo 2 3" xfId="6517" xr:uid="{00000000-0005-0000-0000-00000B080000}"/>
    <cellStyle name="Cálculo 2 3 2" xfId="14481" xr:uid="{00000000-0005-0000-0000-00000C080000}"/>
    <cellStyle name="Cálculo 2 3 3" xfId="22619" xr:uid="{00000000-0005-0000-0000-00000D080000}"/>
    <cellStyle name="Cálculo 2 4" xfId="6518" xr:uid="{00000000-0005-0000-0000-00000E080000}"/>
    <cellStyle name="Cálculo 2 4 2" xfId="14482" xr:uid="{00000000-0005-0000-0000-00000F080000}"/>
    <cellStyle name="Cálculo 2 4 3" xfId="22606" xr:uid="{00000000-0005-0000-0000-000010080000}"/>
    <cellStyle name="Cálculo 2 5" xfId="6519" xr:uid="{00000000-0005-0000-0000-000011080000}"/>
    <cellStyle name="Cálculo 2 5 2" xfId="14483" xr:uid="{00000000-0005-0000-0000-000012080000}"/>
    <cellStyle name="Cálculo 2 5 3" xfId="22577" xr:uid="{00000000-0005-0000-0000-000013080000}"/>
    <cellStyle name="Cálculo 2 6" xfId="6520" xr:uid="{00000000-0005-0000-0000-000014080000}"/>
    <cellStyle name="Cálculo 2 6 2" xfId="6521" xr:uid="{00000000-0005-0000-0000-000015080000}"/>
    <cellStyle name="Cálculo 2 6 3" xfId="14484" xr:uid="{00000000-0005-0000-0000-000016080000}"/>
    <cellStyle name="Cálculo 2 6 4" xfId="22620" xr:uid="{00000000-0005-0000-0000-000017080000}"/>
    <cellStyle name="Cálculo 2 7" xfId="6498" xr:uid="{00000000-0005-0000-0000-000018080000}"/>
    <cellStyle name="Cálculo 2 8" xfId="13882" xr:uid="{00000000-0005-0000-0000-000019080000}"/>
    <cellStyle name="Cálculo 2 9" xfId="22558" xr:uid="{00000000-0005-0000-0000-00001A080000}"/>
    <cellStyle name="Cálculo 3" xfId="5237" xr:uid="{00000000-0005-0000-0000-00001B080000}"/>
    <cellStyle name="Cálculo 3 2" xfId="6523" xr:uid="{00000000-0005-0000-0000-00001C080000}"/>
    <cellStyle name="Cálculo 3 3" xfId="6524" xr:uid="{00000000-0005-0000-0000-00001D080000}"/>
    <cellStyle name="Cálculo 3 4" xfId="6525" xr:uid="{00000000-0005-0000-0000-00001E080000}"/>
    <cellStyle name="Cálculo 3 5" xfId="6522" xr:uid="{00000000-0005-0000-0000-00001F080000}"/>
    <cellStyle name="Cálculo 3 6" xfId="13962" xr:uid="{00000000-0005-0000-0000-000020080000}"/>
    <cellStyle name="Cálculo 3 7" xfId="16111" xr:uid="{00000000-0005-0000-0000-000021080000}"/>
    <cellStyle name="Cálculo 4" xfId="5313" xr:uid="{00000000-0005-0000-0000-000022080000}"/>
    <cellStyle name="Cálculo 4 2" xfId="6527" xr:uid="{00000000-0005-0000-0000-000023080000}"/>
    <cellStyle name="Cálculo 4 3" xfId="6528" xr:uid="{00000000-0005-0000-0000-000024080000}"/>
    <cellStyle name="Cálculo 4 4" xfId="6526" xr:uid="{00000000-0005-0000-0000-000025080000}"/>
    <cellStyle name="Cálculo 4 5" xfId="13982" xr:uid="{00000000-0005-0000-0000-000026080000}"/>
    <cellStyle name="Cálculo 4 6" xfId="16118" xr:uid="{00000000-0005-0000-0000-000027080000}"/>
    <cellStyle name="Cálculo 5" xfId="5232" xr:uid="{00000000-0005-0000-0000-000028080000}"/>
    <cellStyle name="Cálculo 5 2" xfId="6530" xr:uid="{00000000-0005-0000-0000-000029080000}"/>
    <cellStyle name="Cálculo 5 3" xfId="6529" xr:uid="{00000000-0005-0000-0000-00002A080000}"/>
    <cellStyle name="Cálculo 5 4" xfId="13960" xr:uid="{00000000-0005-0000-0000-00002B080000}"/>
    <cellStyle name="Cálculo 5 5" xfId="22533" xr:uid="{00000000-0005-0000-0000-00002C080000}"/>
    <cellStyle name="Cálculo 6" xfId="5318" xr:uid="{00000000-0005-0000-0000-00002D080000}"/>
    <cellStyle name="Cálculo 6 2" xfId="6532" xr:uid="{00000000-0005-0000-0000-00002E080000}"/>
    <cellStyle name="Cálculo 6 2 2" xfId="14490" xr:uid="{00000000-0005-0000-0000-00002F080000}"/>
    <cellStyle name="Cálculo 6 2 3" xfId="22605" xr:uid="{00000000-0005-0000-0000-000030080000}"/>
    <cellStyle name="Cálculo 6 3" xfId="7346" xr:uid="{00000000-0005-0000-0000-000031080000}"/>
    <cellStyle name="Cálculo 6 4" xfId="6531" xr:uid="{00000000-0005-0000-0000-000032080000}"/>
    <cellStyle name="Cálculo 6 5" xfId="13986" xr:uid="{00000000-0005-0000-0000-000033080000}"/>
    <cellStyle name="Cálculo 6 6" xfId="16119" xr:uid="{00000000-0005-0000-0000-000034080000}"/>
    <cellStyle name="Cálculo 7" xfId="5215" xr:uid="{00000000-0005-0000-0000-000035080000}"/>
    <cellStyle name="Cálculo 7 2" xfId="7347" xr:uid="{00000000-0005-0000-0000-000036080000}"/>
    <cellStyle name="Cálculo 7 3" xfId="6533" xr:uid="{00000000-0005-0000-0000-000037080000}"/>
    <cellStyle name="Cálculo 7 4" xfId="13953" xr:uid="{00000000-0005-0000-0000-000038080000}"/>
    <cellStyle name="Cálculo 7 5" xfId="22548" xr:uid="{00000000-0005-0000-0000-000039080000}"/>
    <cellStyle name="Cálculo 8" xfId="5335" xr:uid="{00000000-0005-0000-0000-00003A080000}"/>
    <cellStyle name="Cálculo 8 2" xfId="13994" xr:uid="{00000000-0005-0000-0000-00003B080000}"/>
    <cellStyle name="Cálculo 8 3" xfId="16120" xr:uid="{00000000-0005-0000-0000-00003C080000}"/>
    <cellStyle name="Cálculo 9" xfId="5089" xr:uid="{00000000-0005-0000-0000-00003D080000}"/>
    <cellStyle name="Cálculo 9 2" xfId="13911" xr:uid="{00000000-0005-0000-0000-00003E080000}"/>
    <cellStyle name="Cálculo 9 3" xfId="22554" xr:uid="{00000000-0005-0000-0000-00003F080000}"/>
    <cellStyle name="Celda de comprobación" xfId="696" xr:uid="{00000000-0005-0000-0000-000040080000}"/>
    <cellStyle name="Celda vinculada" xfId="697" xr:uid="{00000000-0005-0000-0000-000041080000}"/>
    <cellStyle name="Célula de Verificação" xfId="47" xr:uid="{00000000-0005-0000-0000-000042080000}"/>
    <cellStyle name="Célula de Verificação 10" xfId="5521" xr:uid="{00000000-0005-0000-0000-000043080000}"/>
    <cellStyle name="Célula de Verificação 11" xfId="5577" xr:uid="{00000000-0005-0000-0000-000044080000}"/>
    <cellStyle name="Célula de Verificação 12" xfId="5516" xr:uid="{00000000-0005-0000-0000-000045080000}"/>
    <cellStyle name="Célula de Verificação 13" xfId="5582" xr:uid="{00000000-0005-0000-0000-000046080000}"/>
    <cellStyle name="Célula de Verificação 14" xfId="5499" xr:uid="{00000000-0005-0000-0000-000047080000}"/>
    <cellStyle name="Célula de Verificação 15" xfId="5709" xr:uid="{00000000-0005-0000-0000-000048080000}"/>
    <cellStyle name="Célula de Verificação 16" xfId="5733" xr:uid="{00000000-0005-0000-0000-000049080000}"/>
    <cellStyle name="Célula de Verificação 17" xfId="5783" xr:uid="{00000000-0005-0000-0000-00004A080000}"/>
    <cellStyle name="Célula de Verificação 2" xfId="4978" xr:uid="{00000000-0005-0000-0000-00004B080000}"/>
    <cellStyle name="Célula de Verificação 2 2" xfId="6535" xr:uid="{00000000-0005-0000-0000-00004C080000}"/>
    <cellStyle name="Célula de Verificação 2 2 2" xfId="6536" xr:uid="{00000000-0005-0000-0000-00004D080000}"/>
    <cellStyle name="Célula de Verificação 2 2 2 2" xfId="6537" xr:uid="{00000000-0005-0000-0000-00004E080000}"/>
    <cellStyle name="Célula de Verificação 2 2 2 2 2" xfId="6538" xr:uid="{00000000-0005-0000-0000-00004F080000}"/>
    <cellStyle name="Célula de Verificação 2 2 2 2 2 2" xfId="6539" xr:uid="{00000000-0005-0000-0000-000050080000}"/>
    <cellStyle name="Célula de Verificação 2 2 2 2 2 2 2" xfId="6540" xr:uid="{00000000-0005-0000-0000-000051080000}"/>
    <cellStyle name="Célula de Verificação 2 2 2 2 2 2 2 2" xfId="6541" xr:uid="{00000000-0005-0000-0000-000052080000}"/>
    <cellStyle name="Célula de Verificação 2 2 2 2 2 2 3" xfId="6542" xr:uid="{00000000-0005-0000-0000-000053080000}"/>
    <cellStyle name="Célula de Verificação 2 2 2 2 2 3" xfId="6543" xr:uid="{00000000-0005-0000-0000-000054080000}"/>
    <cellStyle name="Célula de Verificação 2 2 2 2 2 3 2" xfId="6544" xr:uid="{00000000-0005-0000-0000-000055080000}"/>
    <cellStyle name="Célula de Verificação 2 2 2 2 3" xfId="6545" xr:uid="{00000000-0005-0000-0000-000056080000}"/>
    <cellStyle name="Célula de Verificação 2 2 2 2 3 2" xfId="6546" xr:uid="{00000000-0005-0000-0000-000057080000}"/>
    <cellStyle name="Célula de Verificação 2 2 2 3" xfId="6547" xr:uid="{00000000-0005-0000-0000-000058080000}"/>
    <cellStyle name="Célula de Verificação 2 2 2 4" xfId="6548" xr:uid="{00000000-0005-0000-0000-000059080000}"/>
    <cellStyle name="Célula de Verificação 2 2 2 4 2" xfId="6549" xr:uid="{00000000-0005-0000-0000-00005A080000}"/>
    <cellStyle name="Célula de Verificação 2 2 3" xfId="6550" xr:uid="{00000000-0005-0000-0000-00005B080000}"/>
    <cellStyle name="Célula de Verificação 2 2 4" xfId="6551" xr:uid="{00000000-0005-0000-0000-00005C080000}"/>
    <cellStyle name="Célula de Verificação 2 2 4 2" xfId="6552" xr:uid="{00000000-0005-0000-0000-00005D080000}"/>
    <cellStyle name="Célula de Verificação 2 3" xfId="6553" xr:uid="{00000000-0005-0000-0000-00005E080000}"/>
    <cellStyle name="Célula de Verificação 2 4" xfId="6554" xr:uid="{00000000-0005-0000-0000-00005F080000}"/>
    <cellStyle name="Célula de Verificação 2 5" xfId="6555" xr:uid="{00000000-0005-0000-0000-000060080000}"/>
    <cellStyle name="Célula de Verificação 2 6" xfId="6556" xr:uid="{00000000-0005-0000-0000-000061080000}"/>
    <cellStyle name="Célula de Verificação 2 6 2" xfId="6557" xr:uid="{00000000-0005-0000-0000-000062080000}"/>
    <cellStyle name="Célula de Verificação 2 7" xfId="6534" xr:uid="{00000000-0005-0000-0000-000063080000}"/>
    <cellStyle name="Célula de Verificação 3" xfId="5238" xr:uid="{00000000-0005-0000-0000-000064080000}"/>
    <cellStyle name="Célula de Verificação 3 2" xfId="6559" xr:uid="{00000000-0005-0000-0000-000065080000}"/>
    <cellStyle name="Célula de Verificação 3 3" xfId="6560" xr:uid="{00000000-0005-0000-0000-000066080000}"/>
    <cellStyle name="Célula de Verificação 3 4" xfId="6561" xr:uid="{00000000-0005-0000-0000-000067080000}"/>
    <cellStyle name="Célula de Verificação 3 5" xfId="6558" xr:uid="{00000000-0005-0000-0000-000068080000}"/>
    <cellStyle name="Célula de Verificação 4" xfId="5312" xr:uid="{00000000-0005-0000-0000-000069080000}"/>
    <cellStyle name="Célula de Verificação 4 2" xfId="6563" xr:uid="{00000000-0005-0000-0000-00006A080000}"/>
    <cellStyle name="Célula de Verificação 4 3" xfId="6564" xr:uid="{00000000-0005-0000-0000-00006B080000}"/>
    <cellStyle name="Célula de Verificação 4 4" xfId="6562" xr:uid="{00000000-0005-0000-0000-00006C080000}"/>
    <cellStyle name="Célula de Verificação 5" xfId="5233" xr:uid="{00000000-0005-0000-0000-00006D080000}"/>
    <cellStyle name="Célula de Verificação 5 2" xfId="6566" xr:uid="{00000000-0005-0000-0000-00006E080000}"/>
    <cellStyle name="Célula de Verificação 5 3" xfId="6565" xr:uid="{00000000-0005-0000-0000-00006F080000}"/>
    <cellStyle name="Célula de Verificação 6" xfId="5317" xr:uid="{00000000-0005-0000-0000-000070080000}"/>
    <cellStyle name="Célula de Verificação 6 2" xfId="6568" xr:uid="{00000000-0005-0000-0000-000071080000}"/>
    <cellStyle name="Célula de Verificação 6 3" xfId="7348" xr:uid="{00000000-0005-0000-0000-000072080000}"/>
    <cellStyle name="Célula de Verificação 6 4" xfId="6567" xr:uid="{00000000-0005-0000-0000-000073080000}"/>
    <cellStyle name="Célula de Verificação 7" xfId="5216" xr:uid="{00000000-0005-0000-0000-000074080000}"/>
    <cellStyle name="Célula de Verificação 7 2" xfId="7349" xr:uid="{00000000-0005-0000-0000-000075080000}"/>
    <cellStyle name="Célula de Verificação 7 3" xfId="6569" xr:uid="{00000000-0005-0000-0000-000076080000}"/>
    <cellStyle name="Célula de Verificação 8" xfId="5334" xr:uid="{00000000-0005-0000-0000-000077080000}"/>
    <cellStyle name="Célula de Verificação 9" xfId="5193" xr:uid="{00000000-0005-0000-0000-000078080000}"/>
    <cellStyle name="Célula Vinculada" xfId="48" xr:uid="{00000000-0005-0000-0000-000079080000}"/>
    <cellStyle name="Célula Vinculada 10" xfId="5522" xr:uid="{00000000-0005-0000-0000-00007A080000}"/>
    <cellStyle name="Célula Vinculada 11" xfId="5576" xr:uid="{00000000-0005-0000-0000-00007B080000}"/>
    <cellStyle name="Célula Vinculada 12" xfId="5517" xr:uid="{00000000-0005-0000-0000-00007C080000}"/>
    <cellStyle name="Célula Vinculada 13" xfId="5581" xr:uid="{00000000-0005-0000-0000-00007D080000}"/>
    <cellStyle name="Célula Vinculada 14" xfId="5500" xr:uid="{00000000-0005-0000-0000-00007E080000}"/>
    <cellStyle name="Célula Vinculada 15" xfId="5710" xr:uid="{00000000-0005-0000-0000-00007F080000}"/>
    <cellStyle name="Célula Vinculada 16" xfId="5732" xr:uid="{00000000-0005-0000-0000-000080080000}"/>
    <cellStyle name="Célula Vinculada 17" xfId="5782" xr:uid="{00000000-0005-0000-0000-000081080000}"/>
    <cellStyle name="Célula Vinculada 2" xfId="4979" xr:uid="{00000000-0005-0000-0000-000082080000}"/>
    <cellStyle name="Célula Vinculada 2 2" xfId="6571" xr:uid="{00000000-0005-0000-0000-000083080000}"/>
    <cellStyle name="Célula Vinculada 2 2 2" xfId="6572" xr:uid="{00000000-0005-0000-0000-000084080000}"/>
    <cellStyle name="Célula Vinculada 2 2 2 2" xfId="6573" xr:uid="{00000000-0005-0000-0000-000085080000}"/>
    <cellStyle name="Célula Vinculada 2 2 2 2 2" xfId="6574" xr:uid="{00000000-0005-0000-0000-000086080000}"/>
    <cellStyle name="Célula Vinculada 2 2 2 2 2 2" xfId="6575" xr:uid="{00000000-0005-0000-0000-000087080000}"/>
    <cellStyle name="Célula Vinculada 2 2 2 2 2 2 2" xfId="6576" xr:uid="{00000000-0005-0000-0000-000088080000}"/>
    <cellStyle name="Célula Vinculada 2 2 2 2 2 2 2 2" xfId="6577" xr:uid="{00000000-0005-0000-0000-000089080000}"/>
    <cellStyle name="Célula Vinculada 2 2 2 2 2 2 3" xfId="6578" xr:uid="{00000000-0005-0000-0000-00008A080000}"/>
    <cellStyle name="Célula Vinculada 2 2 2 2 2 3" xfId="6579" xr:uid="{00000000-0005-0000-0000-00008B080000}"/>
    <cellStyle name="Célula Vinculada 2 2 2 2 2 3 2" xfId="6580" xr:uid="{00000000-0005-0000-0000-00008C080000}"/>
    <cellStyle name="Célula Vinculada 2 2 2 2 3" xfId="6581" xr:uid="{00000000-0005-0000-0000-00008D080000}"/>
    <cellStyle name="Célula Vinculada 2 2 2 2 3 2" xfId="6582" xr:uid="{00000000-0005-0000-0000-00008E080000}"/>
    <cellStyle name="Célula Vinculada 2 2 2 3" xfId="6583" xr:uid="{00000000-0005-0000-0000-00008F080000}"/>
    <cellStyle name="Célula Vinculada 2 2 2 4" xfId="6584" xr:uid="{00000000-0005-0000-0000-000090080000}"/>
    <cellStyle name="Célula Vinculada 2 2 2 4 2" xfId="6585" xr:uid="{00000000-0005-0000-0000-000091080000}"/>
    <cellStyle name="Célula Vinculada 2 2 3" xfId="6586" xr:uid="{00000000-0005-0000-0000-000092080000}"/>
    <cellStyle name="Célula Vinculada 2 2 4" xfId="6587" xr:uid="{00000000-0005-0000-0000-000093080000}"/>
    <cellStyle name="Célula Vinculada 2 2 4 2" xfId="6588" xr:uid="{00000000-0005-0000-0000-000094080000}"/>
    <cellStyle name="Célula Vinculada 2 3" xfId="6589" xr:uid="{00000000-0005-0000-0000-000095080000}"/>
    <cellStyle name="Célula Vinculada 2 4" xfId="6590" xr:uid="{00000000-0005-0000-0000-000096080000}"/>
    <cellStyle name="Célula Vinculada 2 5" xfId="6591" xr:uid="{00000000-0005-0000-0000-000097080000}"/>
    <cellStyle name="Célula Vinculada 2 6" xfId="6592" xr:uid="{00000000-0005-0000-0000-000098080000}"/>
    <cellStyle name="Célula Vinculada 2 6 2" xfId="6593" xr:uid="{00000000-0005-0000-0000-000099080000}"/>
    <cellStyle name="Célula Vinculada 2 7" xfId="6570" xr:uid="{00000000-0005-0000-0000-00009A080000}"/>
    <cellStyle name="Célula Vinculada 3" xfId="5239" xr:uid="{00000000-0005-0000-0000-00009B080000}"/>
    <cellStyle name="Célula Vinculada 3 2" xfId="6595" xr:uid="{00000000-0005-0000-0000-00009C080000}"/>
    <cellStyle name="Célula Vinculada 3 3" xfId="6596" xr:uid="{00000000-0005-0000-0000-00009D080000}"/>
    <cellStyle name="Célula Vinculada 3 4" xfId="6597" xr:uid="{00000000-0005-0000-0000-00009E080000}"/>
    <cellStyle name="Célula Vinculada 3 5" xfId="6594" xr:uid="{00000000-0005-0000-0000-00009F080000}"/>
    <cellStyle name="Célula Vinculada 4" xfId="5311" xr:uid="{00000000-0005-0000-0000-0000A0080000}"/>
    <cellStyle name="Célula Vinculada 4 2" xfId="6599" xr:uid="{00000000-0005-0000-0000-0000A1080000}"/>
    <cellStyle name="Célula Vinculada 4 3" xfId="6600" xr:uid="{00000000-0005-0000-0000-0000A2080000}"/>
    <cellStyle name="Célula Vinculada 4 4" xfId="6598" xr:uid="{00000000-0005-0000-0000-0000A3080000}"/>
    <cellStyle name="Célula Vinculada 5" xfId="5234" xr:uid="{00000000-0005-0000-0000-0000A4080000}"/>
    <cellStyle name="Célula Vinculada 5 2" xfId="6602" xr:uid="{00000000-0005-0000-0000-0000A5080000}"/>
    <cellStyle name="Célula Vinculada 5 3" xfId="6601" xr:uid="{00000000-0005-0000-0000-0000A6080000}"/>
    <cellStyle name="Célula Vinculada 6" xfId="5316" xr:uid="{00000000-0005-0000-0000-0000A7080000}"/>
    <cellStyle name="Célula Vinculada 6 2" xfId="6604" xr:uid="{00000000-0005-0000-0000-0000A8080000}"/>
    <cellStyle name="Célula Vinculada 6 3" xfId="7350" xr:uid="{00000000-0005-0000-0000-0000A9080000}"/>
    <cellStyle name="Célula Vinculada 6 4" xfId="6603" xr:uid="{00000000-0005-0000-0000-0000AA080000}"/>
    <cellStyle name="Célula Vinculada 7" xfId="5223" xr:uid="{00000000-0005-0000-0000-0000AB080000}"/>
    <cellStyle name="Célula Vinculada 7 2" xfId="7351" xr:uid="{00000000-0005-0000-0000-0000AC080000}"/>
    <cellStyle name="Célula Vinculada 7 3" xfId="6605" xr:uid="{00000000-0005-0000-0000-0000AD080000}"/>
    <cellStyle name="Célula Vinculada 8" xfId="5327" xr:uid="{00000000-0005-0000-0000-0000AE080000}"/>
    <cellStyle name="Célula Vinculada 9" xfId="5200" xr:uid="{00000000-0005-0000-0000-0000AF080000}"/>
    <cellStyle name="Check Cell" xfId="49" xr:uid="{00000000-0005-0000-0000-0000B0080000}"/>
    <cellStyle name="CLEAR" xfId="4980" xr:uid="{00000000-0005-0000-0000-0000B1080000}"/>
    <cellStyle name="column1" xfId="4981" xr:uid="{00000000-0005-0000-0000-0000B2080000}"/>
    <cellStyle name="column1BigNoWrap" xfId="4982" xr:uid="{00000000-0005-0000-0000-0000B3080000}"/>
    <cellStyle name="column1Date" xfId="4983" xr:uid="{00000000-0005-0000-0000-0000B4080000}"/>
    <cellStyle name="column2Date" xfId="4984" xr:uid="{00000000-0005-0000-0000-0000B5080000}"/>
    <cellStyle name="column3Date" xfId="4985" xr:uid="{00000000-0005-0000-0000-0000B6080000}"/>
    <cellStyle name="Comma" xfId="698" xr:uid="{00000000-0005-0000-0000-0000B7080000}"/>
    <cellStyle name="Comma  - Estilo1" xfId="4986" xr:uid="{00000000-0005-0000-0000-0000B8080000}"/>
    <cellStyle name="Comma  - Estilo2" xfId="4987" xr:uid="{00000000-0005-0000-0000-0000B9080000}"/>
    <cellStyle name="Comma  - Estilo3" xfId="4988" xr:uid="{00000000-0005-0000-0000-0000BA080000}"/>
    <cellStyle name="Comma  - Estilo4" xfId="4989" xr:uid="{00000000-0005-0000-0000-0000BB080000}"/>
    <cellStyle name="Comma  - Estilo5" xfId="4990" xr:uid="{00000000-0005-0000-0000-0000BC080000}"/>
    <cellStyle name="Comma  - Estilo6" xfId="4991" xr:uid="{00000000-0005-0000-0000-0000BD080000}"/>
    <cellStyle name="Comma  - Estilo7" xfId="4992" xr:uid="{00000000-0005-0000-0000-0000BE080000}"/>
    <cellStyle name="Comma  - Estilo8" xfId="4993" xr:uid="{00000000-0005-0000-0000-0000BF080000}"/>
    <cellStyle name="Comma  - Style1" xfId="4994" xr:uid="{00000000-0005-0000-0000-0000C0080000}"/>
    <cellStyle name="Comma  - Style1 2" xfId="16061" xr:uid="{00000000-0005-0000-0000-0000C1080000}"/>
    <cellStyle name="Comma  - Style2" xfId="4995" xr:uid="{00000000-0005-0000-0000-0000C2080000}"/>
    <cellStyle name="Comma  - Style2 2" xfId="16062" xr:uid="{00000000-0005-0000-0000-0000C3080000}"/>
    <cellStyle name="Comma  - Style3" xfId="4996" xr:uid="{00000000-0005-0000-0000-0000C4080000}"/>
    <cellStyle name="Comma  - Style3 2" xfId="16063" xr:uid="{00000000-0005-0000-0000-0000C5080000}"/>
    <cellStyle name="Comma  - Style4" xfId="4997" xr:uid="{00000000-0005-0000-0000-0000C6080000}"/>
    <cellStyle name="Comma  - Style4 2" xfId="16064" xr:uid="{00000000-0005-0000-0000-0000C7080000}"/>
    <cellStyle name="Comma  - Style5" xfId="4998" xr:uid="{00000000-0005-0000-0000-0000C8080000}"/>
    <cellStyle name="Comma  - Style5 2" xfId="16065" xr:uid="{00000000-0005-0000-0000-0000C9080000}"/>
    <cellStyle name="Comma  - Style6" xfId="4999" xr:uid="{00000000-0005-0000-0000-0000CA080000}"/>
    <cellStyle name="Comma  - Style6 2" xfId="16066" xr:uid="{00000000-0005-0000-0000-0000CB080000}"/>
    <cellStyle name="Comma  - Style7" xfId="5000" xr:uid="{00000000-0005-0000-0000-0000CC080000}"/>
    <cellStyle name="Comma  - Style7 2" xfId="16067" xr:uid="{00000000-0005-0000-0000-0000CD080000}"/>
    <cellStyle name="Comma  - Style8" xfId="5001" xr:uid="{00000000-0005-0000-0000-0000CE080000}"/>
    <cellStyle name="Comma  - Style8 2" xfId="16068" xr:uid="{00000000-0005-0000-0000-0000CF080000}"/>
    <cellStyle name="Comma [0]" xfId="699" xr:uid="{00000000-0005-0000-0000-0000D0080000}"/>
    <cellStyle name="Comma [0] 10" xfId="700" xr:uid="{00000000-0005-0000-0000-0000D1080000}"/>
    <cellStyle name="Comma [0] 11" xfId="701" xr:uid="{00000000-0005-0000-0000-0000D2080000}"/>
    <cellStyle name="Comma [0] 12" xfId="702" xr:uid="{00000000-0005-0000-0000-0000D3080000}"/>
    <cellStyle name="Comma [0] 13" xfId="703" xr:uid="{00000000-0005-0000-0000-0000D4080000}"/>
    <cellStyle name="Comma [0] 14" xfId="704" xr:uid="{00000000-0005-0000-0000-0000D5080000}"/>
    <cellStyle name="Comma [0] 15" xfId="705" xr:uid="{00000000-0005-0000-0000-0000D6080000}"/>
    <cellStyle name="Comma [0] 16" xfId="706" xr:uid="{00000000-0005-0000-0000-0000D7080000}"/>
    <cellStyle name="Comma [0] 17" xfId="707" xr:uid="{00000000-0005-0000-0000-0000D8080000}"/>
    <cellStyle name="Comma [0] 18" xfId="708" xr:uid="{00000000-0005-0000-0000-0000D9080000}"/>
    <cellStyle name="Comma [0] 19" xfId="709" xr:uid="{00000000-0005-0000-0000-0000DA080000}"/>
    <cellStyle name="Comma [0] 2" xfId="710" xr:uid="{00000000-0005-0000-0000-0000DB080000}"/>
    <cellStyle name="Comma [0] 20" xfId="711" xr:uid="{00000000-0005-0000-0000-0000DC080000}"/>
    <cellStyle name="Comma [0] 21" xfId="712" xr:uid="{00000000-0005-0000-0000-0000DD080000}"/>
    <cellStyle name="Comma [0] 22" xfId="713" xr:uid="{00000000-0005-0000-0000-0000DE080000}"/>
    <cellStyle name="Comma [0] 23" xfId="714" xr:uid="{00000000-0005-0000-0000-0000DF080000}"/>
    <cellStyle name="Comma [0] 24" xfId="715" xr:uid="{00000000-0005-0000-0000-0000E0080000}"/>
    <cellStyle name="Comma [0] 25" xfId="716" xr:uid="{00000000-0005-0000-0000-0000E1080000}"/>
    <cellStyle name="Comma [0] 26" xfId="717" xr:uid="{00000000-0005-0000-0000-0000E2080000}"/>
    <cellStyle name="Comma [0] 27" xfId="718" xr:uid="{00000000-0005-0000-0000-0000E3080000}"/>
    <cellStyle name="Comma [0] 28" xfId="719" xr:uid="{00000000-0005-0000-0000-0000E4080000}"/>
    <cellStyle name="Comma [0] 29" xfId="720" xr:uid="{00000000-0005-0000-0000-0000E5080000}"/>
    <cellStyle name="Comma [0] 3" xfId="721" xr:uid="{00000000-0005-0000-0000-0000E6080000}"/>
    <cellStyle name="Comma [0] 30" xfId="722" xr:uid="{00000000-0005-0000-0000-0000E7080000}"/>
    <cellStyle name="Comma [0] 31" xfId="723" xr:uid="{00000000-0005-0000-0000-0000E8080000}"/>
    <cellStyle name="Comma [0] 32" xfId="724" xr:uid="{00000000-0005-0000-0000-0000E9080000}"/>
    <cellStyle name="Comma [0] 33" xfId="725" xr:uid="{00000000-0005-0000-0000-0000EA080000}"/>
    <cellStyle name="Comma [0] 34" xfId="726" xr:uid="{00000000-0005-0000-0000-0000EB080000}"/>
    <cellStyle name="Comma [0] 35" xfId="727" xr:uid="{00000000-0005-0000-0000-0000EC080000}"/>
    <cellStyle name="Comma [0] 36" xfId="728" xr:uid="{00000000-0005-0000-0000-0000ED080000}"/>
    <cellStyle name="Comma [0] 37" xfId="729" xr:uid="{00000000-0005-0000-0000-0000EE080000}"/>
    <cellStyle name="Comma [0] 38" xfId="730" xr:uid="{00000000-0005-0000-0000-0000EF080000}"/>
    <cellStyle name="Comma [0] 39" xfId="731" xr:uid="{00000000-0005-0000-0000-0000F0080000}"/>
    <cellStyle name="Comma [0] 4" xfId="732" xr:uid="{00000000-0005-0000-0000-0000F1080000}"/>
    <cellStyle name="Comma [0] 40" xfId="733" xr:uid="{00000000-0005-0000-0000-0000F2080000}"/>
    <cellStyle name="Comma [0] 5" xfId="734" xr:uid="{00000000-0005-0000-0000-0000F3080000}"/>
    <cellStyle name="Comma [0] 6" xfId="735" xr:uid="{00000000-0005-0000-0000-0000F4080000}"/>
    <cellStyle name="Comma [0] 7" xfId="736" xr:uid="{00000000-0005-0000-0000-0000F5080000}"/>
    <cellStyle name="Comma [0] 8" xfId="737" xr:uid="{00000000-0005-0000-0000-0000F6080000}"/>
    <cellStyle name="Comma [0] 9" xfId="738" xr:uid="{00000000-0005-0000-0000-0000F7080000}"/>
    <cellStyle name="Comma [00]" xfId="5002" xr:uid="{00000000-0005-0000-0000-0000F8080000}"/>
    <cellStyle name="Comma 0" xfId="5003" xr:uid="{00000000-0005-0000-0000-0000F9080000}"/>
    <cellStyle name="Comma 0*" xfId="5004" xr:uid="{00000000-0005-0000-0000-0000FA080000}"/>
    <cellStyle name="Comma 0_2004.10.04 - Cortez Zip Model2" xfId="5005" xr:uid="{00000000-0005-0000-0000-0000FB080000}"/>
    <cellStyle name="Comma 2" xfId="739" xr:uid="{00000000-0005-0000-0000-0000FC080000}"/>
    <cellStyle name="Comma 2 2" xfId="740" xr:uid="{00000000-0005-0000-0000-0000FD080000}"/>
    <cellStyle name="Comma 2 2 2" xfId="741" xr:uid="{00000000-0005-0000-0000-0000FE080000}"/>
    <cellStyle name="Comma 2 2 2 2" xfId="9046" xr:uid="{00000000-0005-0000-0000-0000FF080000}"/>
    <cellStyle name="Comma 2 2 2 2 2" xfId="17796" xr:uid="{00000000-0005-0000-0000-000000090000}"/>
    <cellStyle name="Comma 2 2 2 3" xfId="7426" xr:uid="{00000000-0005-0000-0000-000001090000}"/>
    <cellStyle name="Comma 2 2 2 3 2" xfId="16184" xr:uid="{00000000-0005-0000-0000-000002090000}"/>
    <cellStyle name="Comma 2 2 2 4" xfId="10648" xr:uid="{00000000-0005-0000-0000-000003090000}"/>
    <cellStyle name="Comma 2 2 2 4 2" xfId="19335" xr:uid="{00000000-0005-0000-0000-000004090000}"/>
    <cellStyle name="Comma 2 2 2 5" xfId="12249" xr:uid="{00000000-0005-0000-0000-000005090000}"/>
    <cellStyle name="Comma 2 2 2 5 2" xfId="20934" xr:uid="{00000000-0005-0000-0000-000006090000}"/>
    <cellStyle name="Comma 2 2 2 6" xfId="13987" xr:uid="{00000000-0005-0000-0000-000007090000}"/>
    <cellStyle name="Comma 2 2 3" xfId="742" xr:uid="{00000000-0005-0000-0000-000008090000}"/>
    <cellStyle name="Comma 2 2 3 2" xfId="7427" xr:uid="{00000000-0005-0000-0000-000009090000}"/>
    <cellStyle name="Comma 2 2 3 2 2" xfId="16185" xr:uid="{00000000-0005-0000-0000-00000A090000}"/>
    <cellStyle name="Comma 2 2 3 3" xfId="10649" xr:uid="{00000000-0005-0000-0000-00000B090000}"/>
    <cellStyle name="Comma 2 2 3 3 2" xfId="19336" xr:uid="{00000000-0005-0000-0000-00000C090000}"/>
    <cellStyle name="Comma 2 2 3 4" xfId="12250" xr:uid="{00000000-0005-0000-0000-00000D090000}"/>
    <cellStyle name="Comma 2 2 3 4 2" xfId="20935" xr:uid="{00000000-0005-0000-0000-00000E090000}"/>
    <cellStyle name="Comma 2 2 3 5" xfId="14468" xr:uid="{00000000-0005-0000-0000-00000F090000}"/>
    <cellStyle name="Comma 2 2 4" xfId="9045" xr:uid="{00000000-0005-0000-0000-000010090000}"/>
    <cellStyle name="Comma 2 2 4 2" xfId="17795" xr:uid="{00000000-0005-0000-0000-000011090000}"/>
    <cellStyle name="Comma 2 2 5" xfId="7425" xr:uid="{00000000-0005-0000-0000-000012090000}"/>
    <cellStyle name="Comma 2 2 5 2" xfId="16183" xr:uid="{00000000-0005-0000-0000-000013090000}"/>
    <cellStyle name="Comma 2 2 6" xfId="10647" xr:uid="{00000000-0005-0000-0000-000014090000}"/>
    <cellStyle name="Comma 2 2 6 2" xfId="19334" xr:uid="{00000000-0005-0000-0000-000015090000}"/>
    <cellStyle name="Comma 2 2 7" xfId="12248" xr:uid="{00000000-0005-0000-0000-000016090000}"/>
    <cellStyle name="Comma 2 2 7 2" xfId="20933" xr:uid="{00000000-0005-0000-0000-000017090000}"/>
    <cellStyle name="Comma 2 2 8" xfId="14470" xr:uid="{00000000-0005-0000-0000-000018090000}"/>
    <cellStyle name="Comma 2 3" xfId="743" xr:uid="{00000000-0005-0000-0000-000019090000}"/>
    <cellStyle name="Comma 2 3 2" xfId="7428" xr:uid="{00000000-0005-0000-0000-00001A090000}"/>
    <cellStyle name="Comma 2 3 2 2" xfId="16186" xr:uid="{00000000-0005-0000-0000-00001B090000}"/>
    <cellStyle name="Comma 2 3 3" xfId="10650" xr:uid="{00000000-0005-0000-0000-00001C090000}"/>
    <cellStyle name="Comma 2 3 3 2" xfId="19337" xr:uid="{00000000-0005-0000-0000-00001D090000}"/>
    <cellStyle name="Comma 2 3 4" xfId="12251" xr:uid="{00000000-0005-0000-0000-00001E090000}"/>
    <cellStyle name="Comma 2 3 4 2" xfId="20936" xr:uid="{00000000-0005-0000-0000-00001F090000}"/>
    <cellStyle name="Comma 2 3 5" xfId="14469" xr:uid="{00000000-0005-0000-0000-000020090000}"/>
    <cellStyle name="Comma 2 4" xfId="5006" xr:uid="{00000000-0005-0000-0000-000021090000}"/>
    <cellStyle name="Comma 2 4 2" xfId="9044" xr:uid="{00000000-0005-0000-0000-000022090000}"/>
    <cellStyle name="Comma 2 4 2 2" xfId="17794" xr:uid="{00000000-0005-0000-0000-000023090000}"/>
    <cellStyle name="Comma 2 5" xfId="7424" xr:uid="{00000000-0005-0000-0000-000024090000}"/>
    <cellStyle name="Comma 2 5 2" xfId="16182" xr:uid="{00000000-0005-0000-0000-000025090000}"/>
    <cellStyle name="Comma 2 6" xfId="10646" xr:uid="{00000000-0005-0000-0000-000026090000}"/>
    <cellStyle name="Comma 2 6 2" xfId="19333" xr:uid="{00000000-0005-0000-0000-000027090000}"/>
    <cellStyle name="Comma 2 7" xfId="12247" xr:uid="{00000000-0005-0000-0000-000028090000}"/>
    <cellStyle name="Comma 2 7 2" xfId="20932" xr:uid="{00000000-0005-0000-0000-000029090000}"/>
    <cellStyle name="Comma 2 8" xfId="14719" xr:uid="{00000000-0005-0000-0000-00002A090000}"/>
    <cellStyle name="Comma 3" xfId="744" xr:uid="{00000000-0005-0000-0000-00002B090000}"/>
    <cellStyle name="Comma 3 2" xfId="745" xr:uid="{00000000-0005-0000-0000-00002C090000}"/>
    <cellStyle name="Comma 3 2 2" xfId="9047" xr:uid="{00000000-0005-0000-0000-00002D090000}"/>
    <cellStyle name="Comma 3 2 2 2" xfId="17797" xr:uid="{00000000-0005-0000-0000-00002E090000}"/>
    <cellStyle name="Comma 3 2 3" xfId="7430" xr:uid="{00000000-0005-0000-0000-00002F090000}"/>
    <cellStyle name="Comma 3 2 3 2" xfId="16188" xr:uid="{00000000-0005-0000-0000-000030090000}"/>
    <cellStyle name="Comma 3 2 4" xfId="10652" xr:uid="{00000000-0005-0000-0000-000031090000}"/>
    <cellStyle name="Comma 3 2 4 2" xfId="19339" xr:uid="{00000000-0005-0000-0000-000032090000}"/>
    <cellStyle name="Comma 3 2 5" xfId="12253" xr:uid="{00000000-0005-0000-0000-000033090000}"/>
    <cellStyle name="Comma 3 2 5 2" xfId="20938" xr:uid="{00000000-0005-0000-0000-000034090000}"/>
    <cellStyle name="Comma 3 2 6" xfId="14465" xr:uid="{00000000-0005-0000-0000-000035090000}"/>
    <cellStyle name="Comma 3 3" xfId="5007" xr:uid="{00000000-0005-0000-0000-000036090000}"/>
    <cellStyle name="Comma 3 3 2" xfId="16069" xr:uid="{00000000-0005-0000-0000-000037090000}"/>
    <cellStyle name="Comma 3 4" xfId="7429" xr:uid="{00000000-0005-0000-0000-000038090000}"/>
    <cellStyle name="Comma 3 4 2" xfId="16187" xr:uid="{00000000-0005-0000-0000-000039090000}"/>
    <cellStyle name="Comma 3 5" xfId="10651" xr:uid="{00000000-0005-0000-0000-00003A090000}"/>
    <cellStyle name="Comma 3 5 2" xfId="19338" xr:uid="{00000000-0005-0000-0000-00003B090000}"/>
    <cellStyle name="Comma 3 6" xfId="12252" xr:uid="{00000000-0005-0000-0000-00003C090000}"/>
    <cellStyle name="Comma 3 6 2" xfId="20937" xr:uid="{00000000-0005-0000-0000-00003D090000}"/>
    <cellStyle name="Comma 3 7" xfId="13883" xr:uid="{00000000-0005-0000-0000-00003E090000}"/>
    <cellStyle name="Comma 3 8" xfId="13959" xr:uid="{00000000-0005-0000-0000-00003F090000}"/>
    <cellStyle name="Comma 4" xfId="746" xr:uid="{00000000-0005-0000-0000-000040090000}"/>
    <cellStyle name="Comma 4 2" xfId="747" xr:uid="{00000000-0005-0000-0000-000041090000}"/>
    <cellStyle name="Comma 4 2 2" xfId="7432" xr:uid="{00000000-0005-0000-0000-000042090000}"/>
    <cellStyle name="Comma 4 2 2 2" xfId="16190" xr:uid="{00000000-0005-0000-0000-000043090000}"/>
    <cellStyle name="Comma 4 2 3" xfId="10654" xr:uid="{00000000-0005-0000-0000-000044090000}"/>
    <cellStyle name="Comma 4 2 3 2" xfId="19341" xr:uid="{00000000-0005-0000-0000-000045090000}"/>
    <cellStyle name="Comma 4 2 4" xfId="12255" xr:uid="{00000000-0005-0000-0000-000046090000}"/>
    <cellStyle name="Comma 4 2 4 2" xfId="20940" xr:uid="{00000000-0005-0000-0000-000047090000}"/>
    <cellStyle name="Comma 4 2 5" xfId="14466" xr:uid="{00000000-0005-0000-0000-000048090000}"/>
    <cellStyle name="Comma 4 3" xfId="7431" xr:uid="{00000000-0005-0000-0000-000049090000}"/>
    <cellStyle name="Comma 4 3 2" xfId="16189" xr:uid="{00000000-0005-0000-0000-00004A090000}"/>
    <cellStyle name="Comma 4 4" xfId="10653" xr:uid="{00000000-0005-0000-0000-00004B090000}"/>
    <cellStyle name="Comma 4 4 2" xfId="19340" xr:uid="{00000000-0005-0000-0000-00004C090000}"/>
    <cellStyle name="Comma 4 5" xfId="12254" xr:uid="{00000000-0005-0000-0000-00004D090000}"/>
    <cellStyle name="Comma 4 5 2" xfId="20939" xr:uid="{00000000-0005-0000-0000-00004E090000}"/>
    <cellStyle name="Comma 4 6" xfId="14467" xr:uid="{00000000-0005-0000-0000-00004F090000}"/>
    <cellStyle name="Comma 5" xfId="748" xr:uid="{00000000-0005-0000-0000-000050090000}"/>
    <cellStyle name="Comma 5 2" xfId="7433" xr:uid="{00000000-0005-0000-0000-000051090000}"/>
    <cellStyle name="Comma 5 2 2" xfId="16191" xr:uid="{00000000-0005-0000-0000-000052090000}"/>
    <cellStyle name="Comma 5 3" xfId="10655" xr:uid="{00000000-0005-0000-0000-000053090000}"/>
    <cellStyle name="Comma 5 3 2" xfId="19342" xr:uid="{00000000-0005-0000-0000-000054090000}"/>
    <cellStyle name="Comma 5 4" xfId="12256" xr:uid="{00000000-0005-0000-0000-000055090000}"/>
    <cellStyle name="Comma 5 4 2" xfId="20941" xr:uid="{00000000-0005-0000-0000-000056090000}"/>
    <cellStyle name="Comma 5 5" xfId="13983" xr:uid="{00000000-0005-0000-0000-000057090000}"/>
    <cellStyle name="Comma 6" xfId="749" xr:uid="{00000000-0005-0000-0000-000058090000}"/>
    <cellStyle name="Comma 6 2" xfId="7434" xr:uid="{00000000-0005-0000-0000-000059090000}"/>
    <cellStyle name="Comma 6 2 2" xfId="16192" xr:uid="{00000000-0005-0000-0000-00005A090000}"/>
    <cellStyle name="Comma 6 3" xfId="10656" xr:uid="{00000000-0005-0000-0000-00005B090000}"/>
    <cellStyle name="Comma 6 3 2" xfId="19343" xr:uid="{00000000-0005-0000-0000-00005C090000}"/>
    <cellStyle name="Comma 6 4" xfId="12257" xr:uid="{00000000-0005-0000-0000-00005D090000}"/>
    <cellStyle name="Comma 6 4 2" xfId="20942" xr:uid="{00000000-0005-0000-0000-00005E090000}"/>
    <cellStyle name="Comma 6 5" xfId="14462" xr:uid="{00000000-0005-0000-0000-00005F090000}"/>
    <cellStyle name="Comma 7" xfId="750" xr:uid="{00000000-0005-0000-0000-000060090000}"/>
    <cellStyle name="Comma 7 2" xfId="7435" xr:uid="{00000000-0005-0000-0000-000061090000}"/>
    <cellStyle name="Comma 7 2 2" xfId="16193" xr:uid="{00000000-0005-0000-0000-000062090000}"/>
    <cellStyle name="Comma 7 3" xfId="10657" xr:uid="{00000000-0005-0000-0000-000063090000}"/>
    <cellStyle name="Comma 7 3 2" xfId="19344" xr:uid="{00000000-0005-0000-0000-000064090000}"/>
    <cellStyle name="Comma 7 4" xfId="12258" xr:uid="{00000000-0005-0000-0000-000065090000}"/>
    <cellStyle name="Comma 7 4 2" xfId="20943" xr:uid="{00000000-0005-0000-0000-000066090000}"/>
    <cellStyle name="Comma 7 5" xfId="14464" xr:uid="{00000000-0005-0000-0000-000067090000}"/>
    <cellStyle name="Comma 8" xfId="751" xr:uid="{00000000-0005-0000-0000-000068090000}"/>
    <cellStyle name="Comma 8 2" xfId="9048" xr:uid="{00000000-0005-0000-0000-000069090000}"/>
    <cellStyle name="Comma 8 2 2" xfId="17798" xr:uid="{00000000-0005-0000-0000-00006A090000}"/>
    <cellStyle name="Comma 8 3" xfId="7436" xr:uid="{00000000-0005-0000-0000-00006B090000}"/>
    <cellStyle name="Comma 8 3 2" xfId="16194" xr:uid="{00000000-0005-0000-0000-00006C090000}"/>
    <cellStyle name="Comma 8 4" xfId="10658" xr:uid="{00000000-0005-0000-0000-00006D090000}"/>
    <cellStyle name="Comma 8 4 2" xfId="19345" xr:uid="{00000000-0005-0000-0000-00006E090000}"/>
    <cellStyle name="Comma 8 5" xfId="12259" xr:uid="{00000000-0005-0000-0000-00006F090000}"/>
    <cellStyle name="Comma 8 5 2" xfId="20944" xr:uid="{00000000-0005-0000-0000-000070090000}"/>
    <cellStyle name="Comma 8 6" xfId="14463" xr:uid="{00000000-0005-0000-0000-000071090000}"/>
    <cellStyle name="Comma_DD_HE" xfId="752" xr:uid="{00000000-0005-0000-0000-000072090000}"/>
    <cellStyle name="Comma0" xfId="753" xr:uid="{00000000-0005-0000-0000-000073090000}"/>
    <cellStyle name="Comma0 10" xfId="754" xr:uid="{00000000-0005-0000-0000-000074090000}"/>
    <cellStyle name="Comma0 11" xfId="755" xr:uid="{00000000-0005-0000-0000-000075090000}"/>
    <cellStyle name="Comma0 12" xfId="756" xr:uid="{00000000-0005-0000-0000-000076090000}"/>
    <cellStyle name="Comma0 13" xfId="757" xr:uid="{00000000-0005-0000-0000-000077090000}"/>
    <cellStyle name="Comma0 14" xfId="758" xr:uid="{00000000-0005-0000-0000-000078090000}"/>
    <cellStyle name="Comma0 15" xfId="759" xr:uid="{00000000-0005-0000-0000-000079090000}"/>
    <cellStyle name="Comma0 16" xfId="760" xr:uid="{00000000-0005-0000-0000-00007A090000}"/>
    <cellStyle name="Comma0 17" xfId="761" xr:uid="{00000000-0005-0000-0000-00007B090000}"/>
    <cellStyle name="Comma0 18" xfId="762" xr:uid="{00000000-0005-0000-0000-00007C090000}"/>
    <cellStyle name="Comma0 19" xfId="763" xr:uid="{00000000-0005-0000-0000-00007D090000}"/>
    <cellStyle name="Comma0 2" xfId="764" xr:uid="{00000000-0005-0000-0000-00007E090000}"/>
    <cellStyle name="Comma0 2 2" xfId="765" xr:uid="{00000000-0005-0000-0000-00007F090000}"/>
    <cellStyle name="Comma0 20" xfId="766" xr:uid="{00000000-0005-0000-0000-000080090000}"/>
    <cellStyle name="Comma0 21" xfId="767" xr:uid="{00000000-0005-0000-0000-000081090000}"/>
    <cellStyle name="Comma0 22" xfId="768" xr:uid="{00000000-0005-0000-0000-000082090000}"/>
    <cellStyle name="Comma0 23" xfId="769" xr:uid="{00000000-0005-0000-0000-000083090000}"/>
    <cellStyle name="Comma0 24" xfId="770" xr:uid="{00000000-0005-0000-0000-000084090000}"/>
    <cellStyle name="Comma0 25" xfId="771" xr:uid="{00000000-0005-0000-0000-000085090000}"/>
    <cellStyle name="Comma0 26" xfId="772" xr:uid="{00000000-0005-0000-0000-000086090000}"/>
    <cellStyle name="Comma0 27" xfId="773" xr:uid="{00000000-0005-0000-0000-000087090000}"/>
    <cellStyle name="Comma0 28" xfId="774" xr:uid="{00000000-0005-0000-0000-000088090000}"/>
    <cellStyle name="Comma0 29" xfId="775" xr:uid="{00000000-0005-0000-0000-000089090000}"/>
    <cellStyle name="Comma0 3" xfId="776" xr:uid="{00000000-0005-0000-0000-00008A090000}"/>
    <cellStyle name="Comma0 3 2" xfId="777" xr:uid="{00000000-0005-0000-0000-00008B090000}"/>
    <cellStyle name="Comma0 30" xfId="778" xr:uid="{00000000-0005-0000-0000-00008C090000}"/>
    <cellStyle name="Comma0 31" xfId="779" xr:uid="{00000000-0005-0000-0000-00008D090000}"/>
    <cellStyle name="Comma0 32" xfId="780" xr:uid="{00000000-0005-0000-0000-00008E090000}"/>
    <cellStyle name="Comma0 33" xfId="781" xr:uid="{00000000-0005-0000-0000-00008F090000}"/>
    <cellStyle name="Comma0 34" xfId="782" xr:uid="{00000000-0005-0000-0000-000090090000}"/>
    <cellStyle name="Comma0 35" xfId="783" xr:uid="{00000000-0005-0000-0000-000091090000}"/>
    <cellStyle name="Comma0 36" xfId="784" xr:uid="{00000000-0005-0000-0000-000092090000}"/>
    <cellStyle name="Comma0 37" xfId="785" xr:uid="{00000000-0005-0000-0000-000093090000}"/>
    <cellStyle name="Comma0 38" xfId="786" xr:uid="{00000000-0005-0000-0000-000094090000}"/>
    <cellStyle name="Comma0 39" xfId="787" xr:uid="{00000000-0005-0000-0000-000095090000}"/>
    <cellStyle name="Comma0 4" xfId="788" xr:uid="{00000000-0005-0000-0000-000096090000}"/>
    <cellStyle name="Comma0 4 2" xfId="789" xr:uid="{00000000-0005-0000-0000-000097090000}"/>
    <cellStyle name="Comma0 40" xfId="790" xr:uid="{00000000-0005-0000-0000-000098090000}"/>
    <cellStyle name="Comma0 41" xfId="5008" xr:uid="{00000000-0005-0000-0000-000099090000}"/>
    <cellStyle name="Comma0 5" xfId="791" xr:uid="{00000000-0005-0000-0000-00009A090000}"/>
    <cellStyle name="Comma0 6" xfId="792" xr:uid="{00000000-0005-0000-0000-00009B090000}"/>
    <cellStyle name="Comma0 7" xfId="793" xr:uid="{00000000-0005-0000-0000-00009C090000}"/>
    <cellStyle name="Comma0 8" xfId="794" xr:uid="{00000000-0005-0000-0000-00009D090000}"/>
    <cellStyle name="Comma0 9" xfId="795" xr:uid="{00000000-0005-0000-0000-00009E090000}"/>
    <cellStyle name="Copied" xfId="796" xr:uid="{00000000-0005-0000-0000-00009F090000}"/>
    <cellStyle name="Corpo" xfId="797" xr:uid="{00000000-0005-0000-0000-0000A0090000}"/>
    <cellStyle name="Corpo 10" xfId="798" xr:uid="{00000000-0005-0000-0000-0000A1090000}"/>
    <cellStyle name="Corpo 11" xfId="799" xr:uid="{00000000-0005-0000-0000-0000A2090000}"/>
    <cellStyle name="Corpo 12" xfId="800" xr:uid="{00000000-0005-0000-0000-0000A3090000}"/>
    <cellStyle name="Corpo 13" xfId="801" xr:uid="{00000000-0005-0000-0000-0000A4090000}"/>
    <cellStyle name="Corpo 14" xfId="802" xr:uid="{00000000-0005-0000-0000-0000A5090000}"/>
    <cellStyle name="Corpo 15" xfId="803" xr:uid="{00000000-0005-0000-0000-0000A6090000}"/>
    <cellStyle name="Corpo 16" xfId="804" xr:uid="{00000000-0005-0000-0000-0000A7090000}"/>
    <cellStyle name="Corpo 17" xfId="805" xr:uid="{00000000-0005-0000-0000-0000A8090000}"/>
    <cellStyle name="Corpo 18" xfId="806" xr:uid="{00000000-0005-0000-0000-0000A9090000}"/>
    <cellStyle name="Corpo 19" xfId="807" xr:uid="{00000000-0005-0000-0000-0000AA090000}"/>
    <cellStyle name="Corpo 2" xfId="808" xr:uid="{00000000-0005-0000-0000-0000AB090000}"/>
    <cellStyle name="Corpo 2 10" xfId="809" xr:uid="{00000000-0005-0000-0000-0000AC090000}"/>
    <cellStyle name="Corpo 2 11" xfId="810" xr:uid="{00000000-0005-0000-0000-0000AD090000}"/>
    <cellStyle name="Corpo 2 12" xfId="811" xr:uid="{00000000-0005-0000-0000-0000AE090000}"/>
    <cellStyle name="Corpo 2 13" xfId="812" xr:uid="{00000000-0005-0000-0000-0000AF090000}"/>
    <cellStyle name="Corpo 2 14" xfId="813" xr:uid="{00000000-0005-0000-0000-0000B0090000}"/>
    <cellStyle name="Corpo 2 15" xfId="814" xr:uid="{00000000-0005-0000-0000-0000B1090000}"/>
    <cellStyle name="Corpo 2 16" xfId="815" xr:uid="{00000000-0005-0000-0000-0000B2090000}"/>
    <cellStyle name="Corpo 2 17" xfId="816" xr:uid="{00000000-0005-0000-0000-0000B3090000}"/>
    <cellStyle name="Corpo 2 18" xfId="817" xr:uid="{00000000-0005-0000-0000-0000B4090000}"/>
    <cellStyle name="Corpo 2 19" xfId="818" xr:uid="{00000000-0005-0000-0000-0000B5090000}"/>
    <cellStyle name="Corpo 2 2" xfId="819" xr:uid="{00000000-0005-0000-0000-0000B6090000}"/>
    <cellStyle name="Corpo 2 20" xfId="820" xr:uid="{00000000-0005-0000-0000-0000B7090000}"/>
    <cellStyle name="Corpo 2 21" xfId="821" xr:uid="{00000000-0005-0000-0000-0000B8090000}"/>
    <cellStyle name="Corpo 2 22" xfId="822" xr:uid="{00000000-0005-0000-0000-0000B9090000}"/>
    <cellStyle name="Corpo 2 23" xfId="823" xr:uid="{00000000-0005-0000-0000-0000BA090000}"/>
    <cellStyle name="Corpo 2 24" xfId="824" xr:uid="{00000000-0005-0000-0000-0000BB090000}"/>
    <cellStyle name="Corpo 2 25" xfId="825" xr:uid="{00000000-0005-0000-0000-0000BC090000}"/>
    <cellStyle name="Corpo 2 26" xfId="826" xr:uid="{00000000-0005-0000-0000-0000BD090000}"/>
    <cellStyle name="Corpo 2 27" xfId="827" xr:uid="{00000000-0005-0000-0000-0000BE090000}"/>
    <cellStyle name="Corpo 2 28" xfId="828" xr:uid="{00000000-0005-0000-0000-0000BF090000}"/>
    <cellStyle name="Corpo 2 29" xfId="829" xr:uid="{00000000-0005-0000-0000-0000C0090000}"/>
    <cellStyle name="Corpo 2 3" xfId="830" xr:uid="{00000000-0005-0000-0000-0000C1090000}"/>
    <cellStyle name="Corpo 2 30" xfId="831" xr:uid="{00000000-0005-0000-0000-0000C2090000}"/>
    <cellStyle name="Corpo 2 31" xfId="832" xr:uid="{00000000-0005-0000-0000-0000C3090000}"/>
    <cellStyle name="Corpo 2 32" xfId="833" xr:uid="{00000000-0005-0000-0000-0000C4090000}"/>
    <cellStyle name="Corpo 2 33" xfId="834" xr:uid="{00000000-0005-0000-0000-0000C5090000}"/>
    <cellStyle name="Corpo 2 34" xfId="835" xr:uid="{00000000-0005-0000-0000-0000C6090000}"/>
    <cellStyle name="Corpo 2 35" xfId="836" xr:uid="{00000000-0005-0000-0000-0000C7090000}"/>
    <cellStyle name="Corpo 2 36" xfId="837" xr:uid="{00000000-0005-0000-0000-0000C8090000}"/>
    <cellStyle name="Corpo 2 37" xfId="838" xr:uid="{00000000-0005-0000-0000-0000C9090000}"/>
    <cellStyle name="Corpo 2 38" xfId="839" xr:uid="{00000000-0005-0000-0000-0000CA090000}"/>
    <cellStyle name="Corpo 2 39" xfId="840" xr:uid="{00000000-0005-0000-0000-0000CB090000}"/>
    <cellStyle name="Corpo 2 4" xfId="841" xr:uid="{00000000-0005-0000-0000-0000CC090000}"/>
    <cellStyle name="Corpo 2 40" xfId="842" xr:uid="{00000000-0005-0000-0000-0000CD090000}"/>
    <cellStyle name="Corpo 2 5" xfId="843" xr:uid="{00000000-0005-0000-0000-0000CE090000}"/>
    <cellStyle name="Corpo 2 6" xfId="844" xr:uid="{00000000-0005-0000-0000-0000CF090000}"/>
    <cellStyle name="Corpo 2 7" xfId="845" xr:uid="{00000000-0005-0000-0000-0000D0090000}"/>
    <cellStyle name="Corpo 2 8" xfId="846" xr:uid="{00000000-0005-0000-0000-0000D1090000}"/>
    <cellStyle name="Corpo 2 9" xfId="847" xr:uid="{00000000-0005-0000-0000-0000D2090000}"/>
    <cellStyle name="Corpo 20" xfId="848" xr:uid="{00000000-0005-0000-0000-0000D3090000}"/>
    <cellStyle name="Corpo 21" xfId="849" xr:uid="{00000000-0005-0000-0000-0000D4090000}"/>
    <cellStyle name="Corpo 22" xfId="850" xr:uid="{00000000-0005-0000-0000-0000D5090000}"/>
    <cellStyle name="Corpo 23" xfId="851" xr:uid="{00000000-0005-0000-0000-0000D6090000}"/>
    <cellStyle name="Corpo 24" xfId="852" xr:uid="{00000000-0005-0000-0000-0000D7090000}"/>
    <cellStyle name="Corpo 25" xfId="853" xr:uid="{00000000-0005-0000-0000-0000D8090000}"/>
    <cellStyle name="Corpo 26" xfId="854" xr:uid="{00000000-0005-0000-0000-0000D9090000}"/>
    <cellStyle name="Corpo 27" xfId="855" xr:uid="{00000000-0005-0000-0000-0000DA090000}"/>
    <cellStyle name="Corpo 28" xfId="856" xr:uid="{00000000-0005-0000-0000-0000DB090000}"/>
    <cellStyle name="Corpo 29" xfId="857" xr:uid="{00000000-0005-0000-0000-0000DC090000}"/>
    <cellStyle name="Corpo 3" xfId="858" xr:uid="{00000000-0005-0000-0000-0000DD090000}"/>
    <cellStyle name="Corpo 30" xfId="859" xr:uid="{00000000-0005-0000-0000-0000DE090000}"/>
    <cellStyle name="Corpo 31" xfId="860" xr:uid="{00000000-0005-0000-0000-0000DF090000}"/>
    <cellStyle name="Corpo 32" xfId="861" xr:uid="{00000000-0005-0000-0000-0000E0090000}"/>
    <cellStyle name="Corpo 33" xfId="862" xr:uid="{00000000-0005-0000-0000-0000E1090000}"/>
    <cellStyle name="Corpo 34" xfId="863" xr:uid="{00000000-0005-0000-0000-0000E2090000}"/>
    <cellStyle name="Corpo 35" xfId="864" xr:uid="{00000000-0005-0000-0000-0000E3090000}"/>
    <cellStyle name="Corpo 36" xfId="865" xr:uid="{00000000-0005-0000-0000-0000E4090000}"/>
    <cellStyle name="Corpo 37" xfId="866" xr:uid="{00000000-0005-0000-0000-0000E5090000}"/>
    <cellStyle name="Corpo 38" xfId="867" xr:uid="{00000000-0005-0000-0000-0000E6090000}"/>
    <cellStyle name="Corpo 39" xfId="868" xr:uid="{00000000-0005-0000-0000-0000E7090000}"/>
    <cellStyle name="Corpo 4" xfId="869" xr:uid="{00000000-0005-0000-0000-0000E8090000}"/>
    <cellStyle name="Corpo 40" xfId="870" xr:uid="{00000000-0005-0000-0000-0000E9090000}"/>
    <cellStyle name="Corpo 41" xfId="871" xr:uid="{00000000-0005-0000-0000-0000EA090000}"/>
    <cellStyle name="Corpo 5" xfId="872" xr:uid="{00000000-0005-0000-0000-0000EB090000}"/>
    <cellStyle name="Corpo 6" xfId="873" xr:uid="{00000000-0005-0000-0000-0000EC090000}"/>
    <cellStyle name="Corpo 7" xfId="874" xr:uid="{00000000-0005-0000-0000-0000ED090000}"/>
    <cellStyle name="Corpo 8" xfId="875" xr:uid="{00000000-0005-0000-0000-0000EE090000}"/>
    <cellStyle name="Corpo 9" xfId="876" xr:uid="{00000000-0005-0000-0000-0000EF090000}"/>
    <cellStyle name="Corpo_Consolidado Angola_Mineração_SDM" xfId="877" xr:uid="{00000000-0005-0000-0000-0000F0090000}"/>
    <cellStyle name="Cover Date" xfId="5009" xr:uid="{00000000-0005-0000-0000-0000F1090000}"/>
    <cellStyle name="Cover Subtitle" xfId="5010" xr:uid="{00000000-0005-0000-0000-0000F2090000}"/>
    <cellStyle name="Cover Title" xfId="5011" xr:uid="{00000000-0005-0000-0000-0000F3090000}"/>
    <cellStyle name="Currency" xfId="878" xr:uid="{00000000-0005-0000-0000-0000F4090000}"/>
    <cellStyle name="Currency [0]" xfId="879" xr:uid="{00000000-0005-0000-0000-0000F5090000}"/>
    <cellStyle name="Currency [0] 10" xfId="880" xr:uid="{00000000-0005-0000-0000-0000F6090000}"/>
    <cellStyle name="Currency [0] 11" xfId="881" xr:uid="{00000000-0005-0000-0000-0000F7090000}"/>
    <cellStyle name="Currency [0] 12" xfId="882" xr:uid="{00000000-0005-0000-0000-0000F8090000}"/>
    <cellStyle name="Currency [0] 13" xfId="883" xr:uid="{00000000-0005-0000-0000-0000F9090000}"/>
    <cellStyle name="Currency [0] 14" xfId="884" xr:uid="{00000000-0005-0000-0000-0000FA090000}"/>
    <cellStyle name="Currency [0] 15" xfId="885" xr:uid="{00000000-0005-0000-0000-0000FB090000}"/>
    <cellStyle name="Currency [0] 16" xfId="886" xr:uid="{00000000-0005-0000-0000-0000FC090000}"/>
    <cellStyle name="Currency [0] 17" xfId="887" xr:uid="{00000000-0005-0000-0000-0000FD090000}"/>
    <cellStyle name="Currency [0] 18" xfId="888" xr:uid="{00000000-0005-0000-0000-0000FE090000}"/>
    <cellStyle name="Currency [0] 19" xfId="889" xr:uid="{00000000-0005-0000-0000-0000FF090000}"/>
    <cellStyle name="Currency [0] 2" xfId="890" xr:uid="{00000000-0005-0000-0000-0000000A0000}"/>
    <cellStyle name="Currency [0] 20" xfId="891" xr:uid="{00000000-0005-0000-0000-0000010A0000}"/>
    <cellStyle name="Currency [0] 21" xfId="892" xr:uid="{00000000-0005-0000-0000-0000020A0000}"/>
    <cellStyle name="Currency [0] 22" xfId="893" xr:uid="{00000000-0005-0000-0000-0000030A0000}"/>
    <cellStyle name="Currency [0] 23" xfId="894" xr:uid="{00000000-0005-0000-0000-0000040A0000}"/>
    <cellStyle name="Currency [0] 24" xfId="895" xr:uid="{00000000-0005-0000-0000-0000050A0000}"/>
    <cellStyle name="Currency [0] 25" xfId="896" xr:uid="{00000000-0005-0000-0000-0000060A0000}"/>
    <cellStyle name="Currency [0] 26" xfId="897" xr:uid="{00000000-0005-0000-0000-0000070A0000}"/>
    <cellStyle name="Currency [0] 27" xfId="898" xr:uid="{00000000-0005-0000-0000-0000080A0000}"/>
    <cellStyle name="Currency [0] 28" xfId="899" xr:uid="{00000000-0005-0000-0000-0000090A0000}"/>
    <cellStyle name="Currency [0] 29" xfId="900" xr:uid="{00000000-0005-0000-0000-00000A0A0000}"/>
    <cellStyle name="Currency [0] 3" xfId="901" xr:uid="{00000000-0005-0000-0000-00000B0A0000}"/>
    <cellStyle name="Currency [0] 30" xfId="902" xr:uid="{00000000-0005-0000-0000-00000C0A0000}"/>
    <cellStyle name="Currency [0] 31" xfId="903" xr:uid="{00000000-0005-0000-0000-00000D0A0000}"/>
    <cellStyle name="Currency [0] 32" xfId="904" xr:uid="{00000000-0005-0000-0000-00000E0A0000}"/>
    <cellStyle name="Currency [0] 33" xfId="905" xr:uid="{00000000-0005-0000-0000-00000F0A0000}"/>
    <cellStyle name="Currency [0] 34" xfId="906" xr:uid="{00000000-0005-0000-0000-0000100A0000}"/>
    <cellStyle name="Currency [0] 35" xfId="907" xr:uid="{00000000-0005-0000-0000-0000110A0000}"/>
    <cellStyle name="Currency [0] 36" xfId="908" xr:uid="{00000000-0005-0000-0000-0000120A0000}"/>
    <cellStyle name="Currency [0] 37" xfId="909" xr:uid="{00000000-0005-0000-0000-0000130A0000}"/>
    <cellStyle name="Currency [0] 38" xfId="910" xr:uid="{00000000-0005-0000-0000-0000140A0000}"/>
    <cellStyle name="Currency [0] 39" xfId="911" xr:uid="{00000000-0005-0000-0000-0000150A0000}"/>
    <cellStyle name="Currency [0] 4" xfId="912" xr:uid="{00000000-0005-0000-0000-0000160A0000}"/>
    <cellStyle name="Currency [0] 40" xfId="913" xr:uid="{00000000-0005-0000-0000-0000170A0000}"/>
    <cellStyle name="Currency [0] 5" xfId="914" xr:uid="{00000000-0005-0000-0000-0000180A0000}"/>
    <cellStyle name="Currency [0] 6" xfId="915" xr:uid="{00000000-0005-0000-0000-0000190A0000}"/>
    <cellStyle name="Currency [0] 7" xfId="916" xr:uid="{00000000-0005-0000-0000-00001A0A0000}"/>
    <cellStyle name="Currency [0] 8" xfId="917" xr:uid="{00000000-0005-0000-0000-00001B0A0000}"/>
    <cellStyle name="Currency [0] 9" xfId="918" xr:uid="{00000000-0005-0000-0000-00001C0A0000}"/>
    <cellStyle name="Currency [00]" xfId="5012" xr:uid="{00000000-0005-0000-0000-00001D0A0000}"/>
    <cellStyle name="Currency [1]" xfId="919" xr:uid="{00000000-0005-0000-0000-00001E0A0000}"/>
    <cellStyle name="Currency [1] 2" xfId="12260" xr:uid="{00000000-0005-0000-0000-00001F0A0000}"/>
    <cellStyle name="Currency [2]" xfId="920" xr:uid="{00000000-0005-0000-0000-0000200A0000}"/>
    <cellStyle name="Currency [2] 2" xfId="12261" xr:uid="{00000000-0005-0000-0000-0000210A0000}"/>
    <cellStyle name="Currency 0" xfId="5013" xr:uid="{00000000-0005-0000-0000-0000220A0000}"/>
    <cellStyle name="Currency 2" xfId="5014" xr:uid="{00000000-0005-0000-0000-0000230A0000}"/>
    <cellStyle name="Currency 3*" xfId="5015" xr:uid="{00000000-0005-0000-0000-0000240A0000}"/>
    <cellStyle name="Currency0" xfId="921" xr:uid="{00000000-0005-0000-0000-0000250A0000}"/>
    <cellStyle name="Currency0 2" xfId="922" xr:uid="{00000000-0005-0000-0000-0000260A0000}"/>
    <cellStyle name="Currency0 3" xfId="5016" xr:uid="{00000000-0005-0000-0000-0000270A0000}"/>
    <cellStyle name="Currency0 4" xfId="12262" xr:uid="{00000000-0005-0000-0000-0000280A0000}"/>
    <cellStyle name="Cur㟲ency_DemFin Cesp 99 0600 Legis_OPPV28" xfId="923" xr:uid="{00000000-0005-0000-0000-0000290A0000}"/>
    <cellStyle name="Dash" xfId="924" xr:uid="{00000000-0005-0000-0000-00002A0A0000}"/>
    <cellStyle name="Data" xfId="925" xr:uid="{00000000-0005-0000-0000-00002B0A0000}"/>
    <cellStyle name="Data 10" xfId="926" xr:uid="{00000000-0005-0000-0000-00002C0A0000}"/>
    <cellStyle name="Data 11" xfId="927" xr:uid="{00000000-0005-0000-0000-00002D0A0000}"/>
    <cellStyle name="Data 12" xfId="928" xr:uid="{00000000-0005-0000-0000-00002E0A0000}"/>
    <cellStyle name="Data 13" xfId="929" xr:uid="{00000000-0005-0000-0000-00002F0A0000}"/>
    <cellStyle name="Data 14" xfId="930" xr:uid="{00000000-0005-0000-0000-0000300A0000}"/>
    <cellStyle name="Data 15" xfId="931" xr:uid="{00000000-0005-0000-0000-0000310A0000}"/>
    <cellStyle name="Data 16" xfId="932" xr:uid="{00000000-0005-0000-0000-0000320A0000}"/>
    <cellStyle name="Data 17" xfId="933" xr:uid="{00000000-0005-0000-0000-0000330A0000}"/>
    <cellStyle name="Data 18" xfId="934" xr:uid="{00000000-0005-0000-0000-0000340A0000}"/>
    <cellStyle name="Data 19" xfId="935" xr:uid="{00000000-0005-0000-0000-0000350A0000}"/>
    <cellStyle name="Data 2" xfId="936" xr:uid="{00000000-0005-0000-0000-0000360A0000}"/>
    <cellStyle name="Data 20" xfId="937" xr:uid="{00000000-0005-0000-0000-0000370A0000}"/>
    <cellStyle name="Data 21" xfId="938" xr:uid="{00000000-0005-0000-0000-0000380A0000}"/>
    <cellStyle name="Data 22" xfId="939" xr:uid="{00000000-0005-0000-0000-0000390A0000}"/>
    <cellStyle name="Data 23" xfId="940" xr:uid="{00000000-0005-0000-0000-00003A0A0000}"/>
    <cellStyle name="Data 24" xfId="941" xr:uid="{00000000-0005-0000-0000-00003B0A0000}"/>
    <cellStyle name="Data 25" xfId="942" xr:uid="{00000000-0005-0000-0000-00003C0A0000}"/>
    <cellStyle name="Data 26" xfId="943" xr:uid="{00000000-0005-0000-0000-00003D0A0000}"/>
    <cellStyle name="Data 27" xfId="944" xr:uid="{00000000-0005-0000-0000-00003E0A0000}"/>
    <cellStyle name="Data 28" xfId="945" xr:uid="{00000000-0005-0000-0000-00003F0A0000}"/>
    <cellStyle name="Data 29" xfId="946" xr:uid="{00000000-0005-0000-0000-0000400A0000}"/>
    <cellStyle name="Data 3" xfId="947" xr:uid="{00000000-0005-0000-0000-0000410A0000}"/>
    <cellStyle name="Data 30" xfId="948" xr:uid="{00000000-0005-0000-0000-0000420A0000}"/>
    <cellStyle name="Data 31" xfId="949" xr:uid="{00000000-0005-0000-0000-0000430A0000}"/>
    <cellStyle name="Data 32" xfId="950" xr:uid="{00000000-0005-0000-0000-0000440A0000}"/>
    <cellStyle name="Data 33" xfId="951" xr:uid="{00000000-0005-0000-0000-0000450A0000}"/>
    <cellStyle name="Data 34" xfId="952" xr:uid="{00000000-0005-0000-0000-0000460A0000}"/>
    <cellStyle name="Data 35" xfId="953" xr:uid="{00000000-0005-0000-0000-0000470A0000}"/>
    <cellStyle name="Data 36" xfId="954" xr:uid="{00000000-0005-0000-0000-0000480A0000}"/>
    <cellStyle name="Data 37" xfId="955" xr:uid="{00000000-0005-0000-0000-0000490A0000}"/>
    <cellStyle name="Data 38" xfId="956" xr:uid="{00000000-0005-0000-0000-00004A0A0000}"/>
    <cellStyle name="Data 39" xfId="957" xr:uid="{00000000-0005-0000-0000-00004B0A0000}"/>
    <cellStyle name="Data 4" xfId="958" xr:uid="{00000000-0005-0000-0000-00004C0A0000}"/>
    <cellStyle name="Data 40" xfId="959" xr:uid="{00000000-0005-0000-0000-00004D0A0000}"/>
    <cellStyle name="Data 41" xfId="5017" xr:uid="{00000000-0005-0000-0000-00004E0A0000}"/>
    <cellStyle name="Data 5" xfId="960" xr:uid="{00000000-0005-0000-0000-00004F0A0000}"/>
    <cellStyle name="Data 6" xfId="961" xr:uid="{00000000-0005-0000-0000-0000500A0000}"/>
    <cellStyle name="Data 7" xfId="962" xr:uid="{00000000-0005-0000-0000-0000510A0000}"/>
    <cellStyle name="Data 8" xfId="963" xr:uid="{00000000-0005-0000-0000-0000520A0000}"/>
    <cellStyle name="Data 9" xfId="964" xr:uid="{00000000-0005-0000-0000-0000530A0000}"/>
    <cellStyle name="Date" xfId="965" xr:uid="{00000000-0005-0000-0000-0000540A0000}"/>
    <cellStyle name="Date [d-mmm-yy]" xfId="966" xr:uid="{00000000-0005-0000-0000-0000550A0000}"/>
    <cellStyle name="Date [mm-d-yy]" xfId="967" xr:uid="{00000000-0005-0000-0000-0000560A0000}"/>
    <cellStyle name="Date [mm-d-yyyy]" xfId="968" xr:uid="{00000000-0005-0000-0000-0000570A0000}"/>
    <cellStyle name="Date [mmm-d-yyyy]" xfId="969" xr:uid="{00000000-0005-0000-0000-0000580A0000}"/>
    <cellStyle name="Date [mmm-yy]" xfId="970" xr:uid="{00000000-0005-0000-0000-0000590A0000}"/>
    <cellStyle name="Date [mmm-yyyy]" xfId="971" xr:uid="{00000000-0005-0000-0000-00005A0A0000}"/>
    <cellStyle name="Date [mmm-yyyy] 2" xfId="972" xr:uid="{00000000-0005-0000-0000-00005B0A0000}"/>
    <cellStyle name="Date [mmm-yyyy] 2 2" xfId="7440" xr:uid="{00000000-0005-0000-0000-00005C0A0000}"/>
    <cellStyle name="Date [mmm-yyyy] 3" xfId="7439" xr:uid="{00000000-0005-0000-0000-00005D0A0000}"/>
    <cellStyle name="Date 10" xfId="973" xr:uid="{00000000-0005-0000-0000-00005E0A0000}"/>
    <cellStyle name="Date 11" xfId="974" xr:uid="{00000000-0005-0000-0000-00005F0A0000}"/>
    <cellStyle name="Date 12" xfId="975" xr:uid="{00000000-0005-0000-0000-0000600A0000}"/>
    <cellStyle name="Date 13" xfId="976" xr:uid="{00000000-0005-0000-0000-0000610A0000}"/>
    <cellStyle name="Date 14" xfId="977" xr:uid="{00000000-0005-0000-0000-0000620A0000}"/>
    <cellStyle name="Date 15" xfId="978" xr:uid="{00000000-0005-0000-0000-0000630A0000}"/>
    <cellStyle name="Date 16" xfId="979" xr:uid="{00000000-0005-0000-0000-0000640A0000}"/>
    <cellStyle name="Date 17" xfId="980" xr:uid="{00000000-0005-0000-0000-0000650A0000}"/>
    <cellStyle name="Date 18" xfId="5018" xr:uid="{00000000-0005-0000-0000-0000660A0000}"/>
    <cellStyle name="Date 19" xfId="7401" xr:uid="{00000000-0005-0000-0000-0000670A0000}"/>
    <cellStyle name="Date 2" xfId="981" xr:uid="{00000000-0005-0000-0000-0000680A0000}"/>
    <cellStyle name="Date 20" xfId="7409" xr:uid="{00000000-0005-0000-0000-0000690A0000}"/>
    <cellStyle name="Date 21" xfId="7404" xr:uid="{00000000-0005-0000-0000-00006A0A0000}"/>
    <cellStyle name="Date 22" xfId="7405" xr:uid="{00000000-0005-0000-0000-00006B0A0000}"/>
    <cellStyle name="Date 23" xfId="13885" xr:uid="{00000000-0005-0000-0000-00006C0A0000}"/>
    <cellStyle name="Date 24" xfId="14668" xr:uid="{00000000-0005-0000-0000-00006D0A0000}"/>
    <cellStyle name="Date 25" xfId="14774" xr:uid="{00000000-0005-0000-0000-00006E0A0000}"/>
    <cellStyle name="Date 26" xfId="16113" xr:uid="{00000000-0005-0000-0000-00006F0A0000}"/>
    <cellStyle name="Date 27" xfId="14692" xr:uid="{00000000-0005-0000-0000-0000700A0000}"/>
    <cellStyle name="Date 28" xfId="22581" xr:uid="{00000000-0005-0000-0000-0000710A0000}"/>
    <cellStyle name="Date 29" xfId="22598" xr:uid="{00000000-0005-0000-0000-0000720A0000}"/>
    <cellStyle name="Date 3" xfId="982" xr:uid="{00000000-0005-0000-0000-0000730A0000}"/>
    <cellStyle name="Date 4" xfId="983" xr:uid="{00000000-0005-0000-0000-0000740A0000}"/>
    <cellStyle name="Date 5" xfId="984" xr:uid="{00000000-0005-0000-0000-0000750A0000}"/>
    <cellStyle name="Date 6" xfId="985" xr:uid="{00000000-0005-0000-0000-0000760A0000}"/>
    <cellStyle name="Date 7" xfId="986" xr:uid="{00000000-0005-0000-0000-0000770A0000}"/>
    <cellStyle name="Date 8" xfId="987" xr:uid="{00000000-0005-0000-0000-0000780A0000}"/>
    <cellStyle name="Date 9" xfId="988" xr:uid="{00000000-0005-0000-0000-0000790A0000}"/>
    <cellStyle name="Date Aligned" xfId="5019" xr:uid="{00000000-0005-0000-0000-00007A0A0000}"/>
    <cellStyle name="Date Short" xfId="5020" xr:uid="{00000000-0005-0000-0000-00007B0A0000}"/>
    <cellStyle name="Date, mmm-yy" xfId="5021" xr:uid="{00000000-0005-0000-0000-00007C0A0000}"/>
    <cellStyle name="Date, mmm-yy 2" xfId="13886" xr:uid="{00000000-0005-0000-0000-00007D0A0000}"/>
    <cellStyle name="Date, mmm-yy 3" xfId="22557" xr:uid="{00000000-0005-0000-0000-00007E0A0000}"/>
    <cellStyle name="Date_Valuation Negocio PET_ posCE18_04_06" xfId="989" xr:uid="{00000000-0005-0000-0000-00007F0A0000}"/>
    <cellStyle name="Date2" xfId="990" xr:uid="{00000000-0005-0000-0000-0000800A0000}"/>
    <cellStyle name="Date2h" xfId="991" xr:uid="{00000000-0005-0000-0000-0000810A0000}"/>
    <cellStyle name="DateLong" xfId="992" xr:uid="{00000000-0005-0000-0000-0000820A0000}"/>
    <cellStyle name="DateShort" xfId="993" xr:uid="{00000000-0005-0000-0000-0000830A0000}"/>
    <cellStyle name="Dezimal [0]_Anlagenbuchhaltung" xfId="994" xr:uid="{00000000-0005-0000-0000-0000840A0000}"/>
    <cellStyle name="Dezimal_Anlagenbuchhaltung" xfId="995" xr:uid="{00000000-0005-0000-0000-0000850A0000}"/>
    <cellStyle name="dollars" xfId="996" xr:uid="{00000000-0005-0000-0000-0000860A0000}"/>
    <cellStyle name="dollars 2" xfId="12263" xr:uid="{00000000-0005-0000-0000-0000870A0000}"/>
    <cellStyle name="Dotted Line" xfId="5022" xr:uid="{00000000-0005-0000-0000-0000880A0000}"/>
    <cellStyle name="Encabezado 2" xfId="5023" xr:uid="{00000000-0005-0000-0000-0000890A0000}"/>
    <cellStyle name="Encabezado 4" xfId="997" xr:uid="{00000000-0005-0000-0000-00008A0A0000}"/>
    <cellStyle name="Ênfase1" xfId="50" xr:uid="{00000000-0005-0000-0000-00008B0A0000}"/>
    <cellStyle name="Ênfase1 10" xfId="5542" xr:uid="{00000000-0005-0000-0000-00008C0A0000}"/>
    <cellStyle name="Ênfase1 11" xfId="5559" xr:uid="{00000000-0005-0000-0000-00008D0A0000}"/>
    <cellStyle name="Ênfase1 12" xfId="5535" xr:uid="{00000000-0005-0000-0000-00008E0A0000}"/>
    <cellStyle name="Ênfase1 13" xfId="5566" xr:uid="{00000000-0005-0000-0000-00008F0A0000}"/>
    <cellStyle name="Ênfase1 14" xfId="5528" xr:uid="{00000000-0005-0000-0000-0000900A0000}"/>
    <cellStyle name="Ênfase1 15" xfId="5714" xr:uid="{00000000-0005-0000-0000-0000910A0000}"/>
    <cellStyle name="Ênfase1 16" xfId="5728" xr:uid="{00000000-0005-0000-0000-0000920A0000}"/>
    <cellStyle name="Ênfase1 17" xfId="5786" xr:uid="{00000000-0005-0000-0000-0000930A0000}"/>
    <cellStyle name="Ênfase1 2" xfId="5024" xr:uid="{00000000-0005-0000-0000-0000940A0000}"/>
    <cellStyle name="Ênfase1 2 2" xfId="6607" xr:uid="{00000000-0005-0000-0000-0000950A0000}"/>
    <cellStyle name="Ênfase1 2 2 2" xfId="6608" xr:uid="{00000000-0005-0000-0000-0000960A0000}"/>
    <cellStyle name="Ênfase1 2 2 2 2" xfId="6609" xr:uid="{00000000-0005-0000-0000-0000970A0000}"/>
    <cellStyle name="Ênfase1 2 2 2 2 2" xfId="6610" xr:uid="{00000000-0005-0000-0000-0000980A0000}"/>
    <cellStyle name="Ênfase1 2 2 2 2 2 2" xfId="6611" xr:uid="{00000000-0005-0000-0000-0000990A0000}"/>
    <cellStyle name="Ênfase1 2 2 2 2 2 2 2" xfId="6612" xr:uid="{00000000-0005-0000-0000-00009A0A0000}"/>
    <cellStyle name="Ênfase1 2 2 2 2 2 2 2 2" xfId="6613" xr:uid="{00000000-0005-0000-0000-00009B0A0000}"/>
    <cellStyle name="Ênfase1 2 2 2 2 2 2 3" xfId="6614" xr:uid="{00000000-0005-0000-0000-00009C0A0000}"/>
    <cellStyle name="Ênfase1 2 2 2 2 2 3" xfId="6615" xr:uid="{00000000-0005-0000-0000-00009D0A0000}"/>
    <cellStyle name="Ênfase1 2 2 2 2 2 3 2" xfId="6616" xr:uid="{00000000-0005-0000-0000-00009E0A0000}"/>
    <cellStyle name="Ênfase1 2 2 2 2 3" xfId="6617" xr:uid="{00000000-0005-0000-0000-00009F0A0000}"/>
    <cellStyle name="Ênfase1 2 2 2 2 3 2" xfId="6618" xr:uid="{00000000-0005-0000-0000-0000A00A0000}"/>
    <cellStyle name="Ênfase1 2 2 2 3" xfId="6619" xr:uid="{00000000-0005-0000-0000-0000A10A0000}"/>
    <cellStyle name="Ênfase1 2 2 2 4" xfId="6620" xr:uid="{00000000-0005-0000-0000-0000A20A0000}"/>
    <cellStyle name="Ênfase1 2 2 2 4 2" xfId="6621" xr:uid="{00000000-0005-0000-0000-0000A30A0000}"/>
    <cellStyle name="Ênfase1 2 2 3" xfId="6622" xr:uid="{00000000-0005-0000-0000-0000A40A0000}"/>
    <cellStyle name="Ênfase1 2 2 4" xfId="6623" xr:uid="{00000000-0005-0000-0000-0000A50A0000}"/>
    <cellStyle name="Ênfase1 2 2 4 2" xfId="6624" xr:uid="{00000000-0005-0000-0000-0000A60A0000}"/>
    <cellStyle name="Ênfase1 2 3" xfId="6625" xr:uid="{00000000-0005-0000-0000-0000A70A0000}"/>
    <cellStyle name="Ênfase1 2 4" xfId="6626" xr:uid="{00000000-0005-0000-0000-0000A80A0000}"/>
    <cellStyle name="Ênfase1 2 5" xfId="6627" xr:uid="{00000000-0005-0000-0000-0000A90A0000}"/>
    <cellStyle name="Ênfase1 2 6" xfId="6628" xr:uid="{00000000-0005-0000-0000-0000AA0A0000}"/>
    <cellStyle name="Ênfase1 2 6 2" xfId="6629" xr:uid="{00000000-0005-0000-0000-0000AB0A0000}"/>
    <cellStyle name="Ênfase1 2 7" xfId="6606" xr:uid="{00000000-0005-0000-0000-0000AC0A0000}"/>
    <cellStyle name="Ênfase1 3" xfId="5267" xr:uid="{00000000-0005-0000-0000-0000AD0A0000}"/>
    <cellStyle name="Ênfase1 3 2" xfId="6631" xr:uid="{00000000-0005-0000-0000-0000AE0A0000}"/>
    <cellStyle name="Ênfase1 3 3" xfId="6632" xr:uid="{00000000-0005-0000-0000-0000AF0A0000}"/>
    <cellStyle name="Ênfase1 3 4" xfId="6633" xr:uid="{00000000-0005-0000-0000-0000B00A0000}"/>
    <cellStyle name="Ênfase1 3 5" xfId="6630" xr:uid="{00000000-0005-0000-0000-0000B10A0000}"/>
    <cellStyle name="Ênfase1 4" xfId="5286" xr:uid="{00000000-0005-0000-0000-0000B20A0000}"/>
    <cellStyle name="Ênfase1 4 2" xfId="6635" xr:uid="{00000000-0005-0000-0000-0000B30A0000}"/>
    <cellStyle name="Ênfase1 4 3" xfId="6636" xr:uid="{00000000-0005-0000-0000-0000B40A0000}"/>
    <cellStyle name="Ênfase1 4 4" xfId="6634" xr:uid="{00000000-0005-0000-0000-0000B50A0000}"/>
    <cellStyle name="Ênfase1 5" xfId="5260" xr:uid="{00000000-0005-0000-0000-0000B60A0000}"/>
    <cellStyle name="Ênfase1 5 2" xfId="6638" xr:uid="{00000000-0005-0000-0000-0000B70A0000}"/>
    <cellStyle name="Ênfase1 5 3" xfId="6637" xr:uid="{00000000-0005-0000-0000-0000B80A0000}"/>
    <cellStyle name="Ênfase1 6" xfId="5293" xr:uid="{00000000-0005-0000-0000-0000B90A0000}"/>
    <cellStyle name="Ênfase1 6 2" xfId="6640" xr:uid="{00000000-0005-0000-0000-0000BA0A0000}"/>
    <cellStyle name="Ênfase1 6 3" xfId="7352" xr:uid="{00000000-0005-0000-0000-0000BB0A0000}"/>
    <cellStyle name="Ênfase1 6 4" xfId="6639" xr:uid="{00000000-0005-0000-0000-0000BC0A0000}"/>
    <cellStyle name="Ênfase1 7" xfId="5253" xr:uid="{00000000-0005-0000-0000-0000BD0A0000}"/>
    <cellStyle name="Ênfase1 7 2" xfId="7353" xr:uid="{00000000-0005-0000-0000-0000BE0A0000}"/>
    <cellStyle name="Ênfase1 7 3" xfId="6641" xr:uid="{00000000-0005-0000-0000-0000BF0A0000}"/>
    <cellStyle name="Ênfase1 8" xfId="5301" xr:uid="{00000000-0005-0000-0000-0000C00A0000}"/>
    <cellStyle name="Ênfase1 9" xfId="5245" xr:uid="{00000000-0005-0000-0000-0000C10A0000}"/>
    <cellStyle name="Ênfase2" xfId="51" xr:uid="{00000000-0005-0000-0000-0000C20A0000}"/>
    <cellStyle name="Ênfase2 10" xfId="5543" xr:uid="{00000000-0005-0000-0000-0000C30A0000}"/>
    <cellStyle name="Ênfase2 11" xfId="5558" xr:uid="{00000000-0005-0000-0000-0000C40A0000}"/>
    <cellStyle name="Ênfase2 12" xfId="5536" xr:uid="{00000000-0005-0000-0000-0000C50A0000}"/>
    <cellStyle name="Ênfase2 13" xfId="5565" xr:uid="{00000000-0005-0000-0000-0000C60A0000}"/>
    <cellStyle name="Ênfase2 14" xfId="5529" xr:uid="{00000000-0005-0000-0000-0000C70A0000}"/>
    <cellStyle name="Ênfase2 15" xfId="5715" xr:uid="{00000000-0005-0000-0000-0000C80A0000}"/>
    <cellStyle name="Ênfase2 16" xfId="5727" xr:uid="{00000000-0005-0000-0000-0000C90A0000}"/>
    <cellStyle name="Ênfase2 17" xfId="5790" xr:uid="{00000000-0005-0000-0000-0000CA0A0000}"/>
    <cellStyle name="Ênfase2 2" xfId="5025" xr:uid="{00000000-0005-0000-0000-0000CB0A0000}"/>
    <cellStyle name="Ênfase2 2 2" xfId="6643" xr:uid="{00000000-0005-0000-0000-0000CC0A0000}"/>
    <cellStyle name="Ênfase2 2 2 2" xfId="6644" xr:uid="{00000000-0005-0000-0000-0000CD0A0000}"/>
    <cellStyle name="Ênfase2 2 2 2 2" xfId="6645" xr:uid="{00000000-0005-0000-0000-0000CE0A0000}"/>
    <cellStyle name="Ênfase2 2 2 2 2 2" xfId="6646" xr:uid="{00000000-0005-0000-0000-0000CF0A0000}"/>
    <cellStyle name="Ênfase2 2 2 2 2 2 2" xfId="6647" xr:uid="{00000000-0005-0000-0000-0000D00A0000}"/>
    <cellStyle name="Ênfase2 2 2 2 2 2 2 2" xfId="6648" xr:uid="{00000000-0005-0000-0000-0000D10A0000}"/>
    <cellStyle name="Ênfase2 2 2 2 2 2 2 2 2" xfId="6649" xr:uid="{00000000-0005-0000-0000-0000D20A0000}"/>
    <cellStyle name="Ênfase2 2 2 2 2 2 2 3" xfId="6650" xr:uid="{00000000-0005-0000-0000-0000D30A0000}"/>
    <cellStyle name="Ênfase2 2 2 2 2 2 3" xfId="6651" xr:uid="{00000000-0005-0000-0000-0000D40A0000}"/>
    <cellStyle name="Ênfase2 2 2 2 2 2 3 2" xfId="6652" xr:uid="{00000000-0005-0000-0000-0000D50A0000}"/>
    <cellStyle name="Ênfase2 2 2 2 2 3" xfId="6653" xr:uid="{00000000-0005-0000-0000-0000D60A0000}"/>
    <cellStyle name="Ênfase2 2 2 2 2 3 2" xfId="6654" xr:uid="{00000000-0005-0000-0000-0000D70A0000}"/>
    <cellStyle name="Ênfase2 2 2 2 3" xfId="6655" xr:uid="{00000000-0005-0000-0000-0000D80A0000}"/>
    <cellStyle name="Ênfase2 2 2 2 4" xfId="6656" xr:uid="{00000000-0005-0000-0000-0000D90A0000}"/>
    <cellStyle name="Ênfase2 2 2 2 4 2" xfId="6657" xr:uid="{00000000-0005-0000-0000-0000DA0A0000}"/>
    <cellStyle name="Ênfase2 2 2 3" xfId="6658" xr:uid="{00000000-0005-0000-0000-0000DB0A0000}"/>
    <cellStyle name="Ênfase2 2 2 4" xfId="6659" xr:uid="{00000000-0005-0000-0000-0000DC0A0000}"/>
    <cellStyle name="Ênfase2 2 2 4 2" xfId="6660" xr:uid="{00000000-0005-0000-0000-0000DD0A0000}"/>
    <cellStyle name="Ênfase2 2 3" xfId="6661" xr:uid="{00000000-0005-0000-0000-0000DE0A0000}"/>
    <cellStyle name="Ênfase2 2 4" xfId="6662" xr:uid="{00000000-0005-0000-0000-0000DF0A0000}"/>
    <cellStyle name="Ênfase2 2 5" xfId="6663" xr:uid="{00000000-0005-0000-0000-0000E00A0000}"/>
    <cellStyle name="Ênfase2 2 6" xfId="6664" xr:uid="{00000000-0005-0000-0000-0000E10A0000}"/>
    <cellStyle name="Ênfase2 2 6 2" xfId="6665" xr:uid="{00000000-0005-0000-0000-0000E20A0000}"/>
    <cellStyle name="Ênfase2 2 7" xfId="6642" xr:uid="{00000000-0005-0000-0000-0000E30A0000}"/>
    <cellStyle name="Ênfase2 3" xfId="5268" xr:uid="{00000000-0005-0000-0000-0000E40A0000}"/>
    <cellStyle name="Ênfase2 3 2" xfId="6667" xr:uid="{00000000-0005-0000-0000-0000E50A0000}"/>
    <cellStyle name="Ênfase2 3 3" xfId="6668" xr:uid="{00000000-0005-0000-0000-0000E60A0000}"/>
    <cellStyle name="Ênfase2 3 4" xfId="6669" xr:uid="{00000000-0005-0000-0000-0000E70A0000}"/>
    <cellStyle name="Ênfase2 3 5" xfId="6666" xr:uid="{00000000-0005-0000-0000-0000E80A0000}"/>
    <cellStyle name="Ênfase2 4" xfId="5285" xr:uid="{00000000-0005-0000-0000-0000E90A0000}"/>
    <cellStyle name="Ênfase2 4 2" xfId="6671" xr:uid="{00000000-0005-0000-0000-0000EA0A0000}"/>
    <cellStyle name="Ênfase2 4 3" xfId="6672" xr:uid="{00000000-0005-0000-0000-0000EB0A0000}"/>
    <cellStyle name="Ênfase2 4 4" xfId="6670" xr:uid="{00000000-0005-0000-0000-0000EC0A0000}"/>
    <cellStyle name="Ênfase2 5" xfId="5261" xr:uid="{00000000-0005-0000-0000-0000ED0A0000}"/>
    <cellStyle name="Ênfase2 5 2" xfId="6674" xr:uid="{00000000-0005-0000-0000-0000EE0A0000}"/>
    <cellStyle name="Ênfase2 5 3" xfId="6673" xr:uid="{00000000-0005-0000-0000-0000EF0A0000}"/>
    <cellStyle name="Ênfase2 6" xfId="5292" xr:uid="{00000000-0005-0000-0000-0000F00A0000}"/>
    <cellStyle name="Ênfase2 6 2" xfId="6676" xr:uid="{00000000-0005-0000-0000-0000F10A0000}"/>
    <cellStyle name="Ênfase2 6 3" xfId="7354" xr:uid="{00000000-0005-0000-0000-0000F20A0000}"/>
    <cellStyle name="Ênfase2 6 4" xfId="6675" xr:uid="{00000000-0005-0000-0000-0000F30A0000}"/>
    <cellStyle name="Ênfase2 7" xfId="5254" xr:uid="{00000000-0005-0000-0000-0000F40A0000}"/>
    <cellStyle name="Ênfase2 7 2" xfId="7355" xr:uid="{00000000-0005-0000-0000-0000F50A0000}"/>
    <cellStyle name="Ênfase2 7 3" xfId="6677" xr:uid="{00000000-0005-0000-0000-0000F60A0000}"/>
    <cellStyle name="Ênfase2 8" xfId="5108" xr:uid="{00000000-0005-0000-0000-0000F70A0000}"/>
    <cellStyle name="Ênfase2 9" xfId="5363" xr:uid="{00000000-0005-0000-0000-0000F80A0000}"/>
    <cellStyle name="Ênfase3" xfId="52" xr:uid="{00000000-0005-0000-0000-0000F90A0000}"/>
    <cellStyle name="Ênfase3 10" xfId="5544" xr:uid="{00000000-0005-0000-0000-0000FA0A0000}"/>
    <cellStyle name="Ênfase3 11" xfId="5556" xr:uid="{00000000-0005-0000-0000-0000FB0A0000}"/>
    <cellStyle name="Ênfase3 12" xfId="5537" xr:uid="{00000000-0005-0000-0000-0000FC0A0000}"/>
    <cellStyle name="Ênfase3 13" xfId="5564" xr:uid="{00000000-0005-0000-0000-0000FD0A0000}"/>
    <cellStyle name="Ênfase3 14" xfId="5530" xr:uid="{00000000-0005-0000-0000-0000FE0A0000}"/>
    <cellStyle name="Ênfase3 15" xfId="5716" xr:uid="{00000000-0005-0000-0000-0000FF0A0000}"/>
    <cellStyle name="Ênfase3 16" xfId="5725" xr:uid="{00000000-0005-0000-0000-0000000B0000}"/>
    <cellStyle name="Ênfase3 17" xfId="5794" xr:uid="{00000000-0005-0000-0000-0000010B0000}"/>
    <cellStyle name="Ênfase3 2" xfId="5026" xr:uid="{00000000-0005-0000-0000-0000020B0000}"/>
    <cellStyle name="Ênfase3 2 2" xfId="6679" xr:uid="{00000000-0005-0000-0000-0000030B0000}"/>
    <cellStyle name="Ênfase3 2 2 2" xfId="6680" xr:uid="{00000000-0005-0000-0000-0000040B0000}"/>
    <cellStyle name="Ênfase3 2 2 2 2" xfId="6681" xr:uid="{00000000-0005-0000-0000-0000050B0000}"/>
    <cellStyle name="Ênfase3 2 2 2 2 2" xfId="6682" xr:uid="{00000000-0005-0000-0000-0000060B0000}"/>
    <cellStyle name="Ênfase3 2 2 2 2 2 2" xfId="6683" xr:uid="{00000000-0005-0000-0000-0000070B0000}"/>
    <cellStyle name="Ênfase3 2 2 2 2 2 2 2" xfId="6684" xr:uid="{00000000-0005-0000-0000-0000080B0000}"/>
    <cellStyle name="Ênfase3 2 2 2 2 2 2 2 2" xfId="6685" xr:uid="{00000000-0005-0000-0000-0000090B0000}"/>
    <cellStyle name="Ênfase3 2 2 2 2 2 2 3" xfId="6686" xr:uid="{00000000-0005-0000-0000-00000A0B0000}"/>
    <cellStyle name="Ênfase3 2 2 2 2 2 3" xfId="6687" xr:uid="{00000000-0005-0000-0000-00000B0B0000}"/>
    <cellStyle name="Ênfase3 2 2 2 2 2 3 2" xfId="6688" xr:uid="{00000000-0005-0000-0000-00000C0B0000}"/>
    <cellStyle name="Ênfase3 2 2 2 2 3" xfId="6689" xr:uid="{00000000-0005-0000-0000-00000D0B0000}"/>
    <cellStyle name="Ênfase3 2 2 2 2 3 2" xfId="6690" xr:uid="{00000000-0005-0000-0000-00000E0B0000}"/>
    <cellStyle name="Ênfase3 2 2 2 3" xfId="6691" xr:uid="{00000000-0005-0000-0000-00000F0B0000}"/>
    <cellStyle name="Ênfase3 2 2 2 4" xfId="6692" xr:uid="{00000000-0005-0000-0000-0000100B0000}"/>
    <cellStyle name="Ênfase3 2 2 2 4 2" xfId="6693" xr:uid="{00000000-0005-0000-0000-0000110B0000}"/>
    <cellStyle name="Ênfase3 2 2 3" xfId="6694" xr:uid="{00000000-0005-0000-0000-0000120B0000}"/>
    <cellStyle name="Ênfase3 2 2 4" xfId="6695" xr:uid="{00000000-0005-0000-0000-0000130B0000}"/>
    <cellStyle name="Ênfase3 2 2 4 2" xfId="6696" xr:uid="{00000000-0005-0000-0000-0000140B0000}"/>
    <cellStyle name="Ênfase3 2 3" xfId="6697" xr:uid="{00000000-0005-0000-0000-0000150B0000}"/>
    <cellStyle name="Ênfase3 2 4" xfId="6698" xr:uid="{00000000-0005-0000-0000-0000160B0000}"/>
    <cellStyle name="Ênfase3 2 5" xfId="6699" xr:uid="{00000000-0005-0000-0000-0000170B0000}"/>
    <cellStyle name="Ênfase3 2 6" xfId="6700" xr:uid="{00000000-0005-0000-0000-0000180B0000}"/>
    <cellStyle name="Ênfase3 2 6 2" xfId="6701" xr:uid="{00000000-0005-0000-0000-0000190B0000}"/>
    <cellStyle name="Ênfase3 2 7" xfId="6678" xr:uid="{00000000-0005-0000-0000-00001A0B0000}"/>
    <cellStyle name="Ênfase3 3" xfId="5269" xr:uid="{00000000-0005-0000-0000-00001B0B0000}"/>
    <cellStyle name="Ênfase3 3 2" xfId="6703" xr:uid="{00000000-0005-0000-0000-00001C0B0000}"/>
    <cellStyle name="Ênfase3 3 3" xfId="6704" xr:uid="{00000000-0005-0000-0000-00001D0B0000}"/>
    <cellStyle name="Ênfase3 3 4" xfId="6705" xr:uid="{00000000-0005-0000-0000-00001E0B0000}"/>
    <cellStyle name="Ênfase3 3 5" xfId="6702" xr:uid="{00000000-0005-0000-0000-00001F0B0000}"/>
    <cellStyle name="Ênfase3 4" xfId="5284" xr:uid="{00000000-0005-0000-0000-0000200B0000}"/>
    <cellStyle name="Ênfase3 4 2" xfId="6707" xr:uid="{00000000-0005-0000-0000-0000210B0000}"/>
    <cellStyle name="Ênfase3 4 3" xfId="6708" xr:uid="{00000000-0005-0000-0000-0000220B0000}"/>
    <cellStyle name="Ênfase3 4 4" xfId="6706" xr:uid="{00000000-0005-0000-0000-0000230B0000}"/>
    <cellStyle name="Ênfase3 5" xfId="5262" xr:uid="{00000000-0005-0000-0000-0000240B0000}"/>
    <cellStyle name="Ênfase3 5 2" xfId="6710" xr:uid="{00000000-0005-0000-0000-0000250B0000}"/>
    <cellStyle name="Ênfase3 5 3" xfId="6709" xr:uid="{00000000-0005-0000-0000-0000260B0000}"/>
    <cellStyle name="Ênfase3 6" xfId="5291" xr:uid="{00000000-0005-0000-0000-0000270B0000}"/>
    <cellStyle name="Ênfase3 6 2" xfId="6712" xr:uid="{00000000-0005-0000-0000-0000280B0000}"/>
    <cellStyle name="Ênfase3 6 3" xfId="7356" xr:uid="{00000000-0005-0000-0000-0000290B0000}"/>
    <cellStyle name="Ênfase3 6 4" xfId="6711" xr:uid="{00000000-0005-0000-0000-00002A0B0000}"/>
    <cellStyle name="Ênfase3 7" xfId="5255" xr:uid="{00000000-0005-0000-0000-00002B0B0000}"/>
    <cellStyle name="Ênfase3 7 2" xfId="7357" xr:uid="{00000000-0005-0000-0000-00002C0B0000}"/>
    <cellStyle name="Ênfase3 7 3" xfId="6713" xr:uid="{00000000-0005-0000-0000-00002D0B0000}"/>
    <cellStyle name="Ênfase3 8" xfId="5300" xr:uid="{00000000-0005-0000-0000-00002E0B0000}"/>
    <cellStyle name="Ênfase3 9" xfId="5246" xr:uid="{00000000-0005-0000-0000-00002F0B0000}"/>
    <cellStyle name="Ênfase4" xfId="53" xr:uid="{00000000-0005-0000-0000-0000300B0000}"/>
    <cellStyle name="Ênfase4 10" xfId="5545" xr:uid="{00000000-0005-0000-0000-0000310B0000}"/>
    <cellStyle name="Ênfase4 11" xfId="5555" xr:uid="{00000000-0005-0000-0000-0000320B0000}"/>
    <cellStyle name="Ênfase4 12" xfId="5538" xr:uid="{00000000-0005-0000-0000-0000330B0000}"/>
    <cellStyle name="Ênfase4 13" xfId="5563" xr:uid="{00000000-0005-0000-0000-0000340B0000}"/>
    <cellStyle name="Ênfase4 14" xfId="5531" xr:uid="{00000000-0005-0000-0000-0000350B0000}"/>
    <cellStyle name="Ênfase4 15" xfId="5717" xr:uid="{00000000-0005-0000-0000-0000360B0000}"/>
    <cellStyle name="Ênfase4 16" xfId="5724" xr:uid="{00000000-0005-0000-0000-0000370B0000}"/>
    <cellStyle name="Ênfase4 17" xfId="5798" xr:uid="{00000000-0005-0000-0000-0000380B0000}"/>
    <cellStyle name="Ênfase4 2" xfId="5027" xr:uid="{00000000-0005-0000-0000-0000390B0000}"/>
    <cellStyle name="Ênfase4 2 2" xfId="6715" xr:uid="{00000000-0005-0000-0000-00003A0B0000}"/>
    <cellStyle name="Ênfase4 2 2 2" xfId="6716" xr:uid="{00000000-0005-0000-0000-00003B0B0000}"/>
    <cellStyle name="Ênfase4 2 2 2 2" xfId="6717" xr:uid="{00000000-0005-0000-0000-00003C0B0000}"/>
    <cellStyle name="Ênfase4 2 2 2 2 2" xfId="6718" xr:uid="{00000000-0005-0000-0000-00003D0B0000}"/>
    <cellStyle name="Ênfase4 2 2 2 2 2 2" xfId="6719" xr:uid="{00000000-0005-0000-0000-00003E0B0000}"/>
    <cellStyle name="Ênfase4 2 2 2 2 2 2 2" xfId="6720" xr:uid="{00000000-0005-0000-0000-00003F0B0000}"/>
    <cellStyle name="Ênfase4 2 2 2 2 2 2 2 2" xfId="6721" xr:uid="{00000000-0005-0000-0000-0000400B0000}"/>
    <cellStyle name="Ênfase4 2 2 2 2 2 2 3" xfId="6722" xr:uid="{00000000-0005-0000-0000-0000410B0000}"/>
    <cellStyle name="Ênfase4 2 2 2 2 2 3" xfId="6723" xr:uid="{00000000-0005-0000-0000-0000420B0000}"/>
    <cellStyle name="Ênfase4 2 2 2 2 2 3 2" xfId="6724" xr:uid="{00000000-0005-0000-0000-0000430B0000}"/>
    <cellStyle name="Ênfase4 2 2 2 2 3" xfId="6725" xr:uid="{00000000-0005-0000-0000-0000440B0000}"/>
    <cellStyle name="Ênfase4 2 2 2 2 3 2" xfId="6726" xr:uid="{00000000-0005-0000-0000-0000450B0000}"/>
    <cellStyle name="Ênfase4 2 2 2 3" xfId="6727" xr:uid="{00000000-0005-0000-0000-0000460B0000}"/>
    <cellStyle name="Ênfase4 2 2 2 4" xfId="6728" xr:uid="{00000000-0005-0000-0000-0000470B0000}"/>
    <cellStyle name="Ênfase4 2 2 2 4 2" xfId="6729" xr:uid="{00000000-0005-0000-0000-0000480B0000}"/>
    <cellStyle name="Ênfase4 2 2 3" xfId="6730" xr:uid="{00000000-0005-0000-0000-0000490B0000}"/>
    <cellStyle name="Ênfase4 2 2 4" xfId="6731" xr:uid="{00000000-0005-0000-0000-00004A0B0000}"/>
    <cellStyle name="Ênfase4 2 2 4 2" xfId="6732" xr:uid="{00000000-0005-0000-0000-00004B0B0000}"/>
    <cellStyle name="Ênfase4 2 3" xfId="6733" xr:uid="{00000000-0005-0000-0000-00004C0B0000}"/>
    <cellStyle name="Ênfase4 2 4" xfId="6734" xr:uid="{00000000-0005-0000-0000-00004D0B0000}"/>
    <cellStyle name="Ênfase4 2 5" xfId="6735" xr:uid="{00000000-0005-0000-0000-00004E0B0000}"/>
    <cellStyle name="Ênfase4 2 6" xfId="6736" xr:uid="{00000000-0005-0000-0000-00004F0B0000}"/>
    <cellStyle name="Ênfase4 2 6 2" xfId="6737" xr:uid="{00000000-0005-0000-0000-0000500B0000}"/>
    <cellStyle name="Ênfase4 2 7" xfId="6714" xr:uid="{00000000-0005-0000-0000-0000510B0000}"/>
    <cellStyle name="Ênfase4 3" xfId="5270" xr:uid="{00000000-0005-0000-0000-0000520B0000}"/>
    <cellStyle name="Ênfase4 3 2" xfId="6739" xr:uid="{00000000-0005-0000-0000-0000530B0000}"/>
    <cellStyle name="Ênfase4 3 3" xfId="6740" xr:uid="{00000000-0005-0000-0000-0000540B0000}"/>
    <cellStyle name="Ênfase4 3 4" xfId="6741" xr:uid="{00000000-0005-0000-0000-0000550B0000}"/>
    <cellStyle name="Ênfase4 3 5" xfId="6738" xr:uid="{00000000-0005-0000-0000-0000560B0000}"/>
    <cellStyle name="Ênfase4 4" xfId="5283" xr:uid="{00000000-0005-0000-0000-0000570B0000}"/>
    <cellStyle name="Ênfase4 4 2" xfId="6743" xr:uid="{00000000-0005-0000-0000-0000580B0000}"/>
    <cellStyle name="Ênfase4 4 3" xfId="6744" xr:uid="{00000000-0005-0000-0000-0000590B0000}"/>
    <cellStyle name="Ênfase4 4 4" xfId="6742" xr:uid="{00000000-0005-0000-0000-00005A0B0000}"/>
    <cellStyle name="Ênfase4 5" xfId="5263" xr:uid="{00000000-0005-0000-0000-00005B0B0000}"/>
    <cellStyle name="Ênfase4 5 2" xfId="6746" xr:uid="{00000000-0005-0000-0000-00005C0B0000}"/>
    <cellStyle name="Ênfase4 5 3" xfId="6745" xr:uid="{00000000-0005-0000-0000-00005D0B0000}"/>
    <cellStyle name="Ênfase4 6" xfId="5290" xr:uid="{00000000-0005-0000-0000-00005E0B0000}"/>
    <cellStyle name="Ênfase4 6 2" xfId="6748" xr:uid="{00000000-0005-0000-0000-00005F0B0000}"/>
    <cellStyle name="Ênfase4 6 3" xfId="7358" xr:uid="{00000000-0005-0000-0000-0000600B0000}"/>
    <cellStyle name="Ênfase4 6 4" xfId="6747" xr:uid="{00000000-0005-0000-0000-0000610B0000}"/>
    <cellStyle name="Ênfase4 7" xfId="5256" xr:uid="{00000000-0005-0000-0000-0000620B0000}"/>
    <cellStyle name="Ênfase4 7 2" xfId="7359" xr:uid="{00000000-0005-0000-0000-0000630B0000}"/>
    <cellStyle name="Ênfase4 7 3" xfId="6749" xr:uid="{00000000-0005-0000-0000-0000640B0000}"/>
    <cellStyle name="Ênfase4 8" xfId="5299" xr:uid="{00000000-0005-0000-0000-0000650B0000}"/>
    <cellStyle name="Ênfase4 9" xfId="5247" xr:uid="{00000000-0005-0000-0000-0000660B0000}"/>
    <cellStyle name="Ênfase5" xfId="54" xr:uid="{00000000-0005-0000-0000-0000670B0000}"/>
    <cellStyle name="Ênfase5 10" xfId="5546" xr:uid="{00000000-0005-0000-0000-0000680B0000}"/>
    <cellStyle name="Ênfase5 11" xfId="5554" xr:uid="{00000000-0005-0000-0000-0000690B0000}"/>
    <cellStyle name="Ênfase5 12" xfId="5539" xr:uid="{00000000-0005-0000-0000-00006A0B0000}"/>
    <cellStyle name="Ênfase5 13" xfId="5562" xr:uid="{00000000-0005-0000-0000-00006B0B0000}"/>
    <cellStyle name="Ênfase5 14" xfId="5532" xr:uid="{00000000-0005-0000-0000-00006C0B0000}"/>
    <cellStyle name="Ênfase5 15" xfId="5718" xr:uid="{00000000-0005-0000-0000-00006D0B0000}"/>
    <cellStyle name="Ênfase5 16" xfId="5723" xr:uid="{00000000-0005-0000-0000-00006E0B0000}"/>
    <cellStyle name="Ênfase5 17" xfId="5802" xr:uid="{00000000-0005-0000-0000-00006F0B0000}"/>
    <cellStyle name="Ênfase5 2" xfId="5028" xr:uid="{00000000-0005-0000-0000-0000700B0000}"/>
    <cellStyle name="Ênfase5 2 2" xfId="6751" xr:uid="{00000000-0005-0000-0000-0000710B0000}"/>
    <cellStyle name="Ênfase5 2 2 2" xfId="6752" xr:uid="{00000000-0005-0000-0000-0000720B0000}"/>
    <cellStyle name="Ênfase5 2 2 2 2" xfId="6753" xr:uid="{00000000-0005-0000-0000-0000730B0000}"/>
    <cellStyle name="Ênfase5 2 2 2 2 2" xfId="6754" xr:uid="{00000000-0005-0000-0000-0000740B0000}"/>
    <cellStyle name="Ênfase5 2 2 2 2 2 2" xfId="6755" xr:uid="{00000000-0005-0000-0000-0000750B0000}"/>
    <cellStyle name="Ênfase5 2 2 2 2 2 2 2" xfId="6756" xr:uid="{00000000-0005-0000-0000-0000760B0000}"/>
    <cellStyle name="Ênfase5 2 2 2 2 2 2 2 2" xfId="6757" xr:uid="{00000000-0005-0000-0000-0000770B0000}"/>
    <cellStyle name="Ênfase5 2 2 2 2 2 2 3" xfId="6758" xr:uid="{00000000-0005-0000-0000-0000780B0000}"/>
    <cellStyle name="Ênfase5 2 2 2 2 2 3" xfId="6759" xr:uid="{00000000-0005-0000-0000-0000790B0000}"/>
    <cellStyle name="Ênfase5 2 2 2 2 2 3 2" xfId="6760" xr:uid="{00000000-0005-0000-0000-00007A0B0000}"/>
    <cellStyle name="Ênfase5 2 2 2 2 3" xfId="6761" xr:uid="{00000000-0005-0000-0000-00007B0B0000}"/>
    <cellStyle name="Ênfase5 2 2 2 2 3 2" xfId="6762" xr:uid="{00000000-0005-0000-0000-00007C0B0000}"/>
    <cellStyle name="Ênfase5 2 2 2 3" xfId="6763" xr:uid="{00000000-0005-0000-0000-00007D0B0000}"/>
    <cellStyle name="Ênfase5 2 2 2 4" xfId="6764" xr:uid="{00000000-0005-0000-0000-00007E0B0000}"/>
    <cellStyle name="Ênfase5 2 2 2 4 2" xfId="6765" xr:uid="{00000000-0005-0000-0000-00007F0B0000}"/>
    <cellStyle name="Ênfase5 2 2 3" xfId="6766" xr:uid="{00000000-0005-0000-0000-0000800B0000}"/>
    <cellStyle name="Ênfase5 2 2 4" xfId="6767" xr:uid="{00000000-0005-0000-0000-0000810B0000}"/>
    <cellStyle name="Ênfase5 2 2 4 2" xfId="6768" xr:uid="{00000000-0005-0000-0000-0000820B0000}"/>
    <cellStyle name="Ênfase5 2 3" xfId="6769" xr:uid="{00000000-0005-0000-0000-0000830B0000}"/>
    <cellStyle name="Ênfase5 2 4" xfId="6770" xr:uid="{00000000-0005-0000-0000-0000840B0000}"/>
    <cellStyle name="Ênfase5 2 5" xfId="6771" xr:uid="{00000000-0005-0000-0000-0000850B0000}"/>
    <cellStyle name="Ênfase5 2 6" xfId="6772" xr:uid="{00000000-0005-0000-0000-0000860B0000}"/>
    <cellStyle name="Ênfase5 2 6 2" xfId="6773" xr:uid="{00000000-0005-0000-0000-0000870B0000}"/>
    <cellStyle name="Ênfase5 2 7" xfId="6750" xr:uid="{00000000-0005-0000-0000-0000880B0000}"/>
    <cellStyle name="Ênfase5 3" xfId="5271" xr:uid="{00000000-0005-0000-0000-0000890B0000}"/>
    <cellStyle name="Ênfase5 3 2" xfId="6775" xr:uid="{00000000-0005-0000-0000-00008A0B0000}"/>
    <cellStyle name="Ênfase5 3 3" xfId="6776" xr:uid="{00000000-0005-0000-0000-00008B0B0000}"/>
    <cellStyle name="Ênfase5 3 4" xfId="6777" xr:uid="{00000000-0005-0000-0000-00008C0B0000}"/>
    <cellStyle name="Ênfase5 3 5" xfId="6774" xr:uid="{00000000-0005-0000-0000-00008D0B0000}"/>
    <cellStyle name="Ênfase5 4" xfId="5282" xr:uid="{00000000-0005-0000-0000-00008E0B0000}"/>
    <cellStyle name="Ênfase5 4 2" xfId="6779" xr:uid="{00000000-0005-0000-0000-00008F0B0000}"/>
    <cellStyle name="Ênfase5 4 3" xfId="6780" xr:uid="{00000000-0005-0000-0000-0000900B0000}"/>
    <cellStyle name="Ênfase5 4 4" xfId="6778" xr:uid="{00000000-0005-0000-0000-0000910B0000}"/>
    <cellStyle name="Ênfase5 5" xfId="5264" xr:uid="{00000000-0005-0000-0000-0000920B0000}"/>
    <cellStyle name="Ênfase5 5 2" xfId="6782" xr:uid="{00000000-0005-0000-0000-0000930B0000}"/>
    <cellStyle name="Ênfase5 5 3" xfId="6781" xr:uid="{00000000-0005-0000-0000-0000940B0000}"/>
    <cellStyle name="Ênfase5 6" xfId="5289" xr:uid="{00000000-0005-0000-0000-0000950B0000}"/>
    <cellStyle name="Ênfase5 6 2" xfId="6784" xr:uid="{00000000-0005-0000-0000-0000960B0000}"/>
    <cellStyle name="Ênfase5 6 3" xfId="7360" xr:uid="{00000000-0005-0000-0000-0000970B0000}"/>
    <cellStyle name="Ênfase5 6 4" xfId="6783" xr:uid="{00000000-0005-0000-0000-0000980B0000}"/>
    <cellStyle name="Ênfase5 7" xfId="5257" xr:uid="{00000000-0005-0000-0000-0000990B0000}"/>
    <cellStyle name="Ênfase5 7 2" xfId="7361" xr:uid="{00000000-0005-0000-0000-00009A0B0000}"/>
    <cellStyle name="Ênfase5 7 3" xfId="6785" xr:uid="{00000000-0005-0000-0000-00009B0B0000}"/>
    <cellStyle name="Ênfase5 8" xfId="5297" xr:uid="{00000000-0005-0000-0000-00009C0B0000}"/>
    <cellStyle name="Ênfase5 9" xfId="5249" xr:uid="{00000000-0005-0000-0000-00009D0B0000}"/>
    <cellStyle name="Ênfase6" xfId="55" xr:uid="{00000000-0005-0000-0000-00009E0B0000}"/>
    <cellStyle name="Ênfase6 10" xfId="5547" xr:uid="{00000000-0005-0000-0000-00009F0B0000}"/>
    <cellStyle name="Ênfase6 11" xfId="5553" xr:uid="{00000000-0005-0000-0000-0000A00B0000}"/>
    <cellStyle name="Ênfase6 12" xfId="5540" xr:uid="{00000000-0005-0000-0000-0000A10B0000}"/>
    <cellStyle name="Ênfase6 13" xfId="5561" xr:uid="{00000000-0005-0000-0000-0000A20B0000}"/>
    <cellStyle name="Ênfase6 14" xfId="5533" xr:uid="{00000000-0005-0000-0000-0000A30B0000}"/>
    <cellStyle name="Ênfase6 15" xfId="5719" xr:uid="{00000000-0005-0000-0000-0000A40B0000}"/>
    <cellStyle name="Ênfase6 16" xfId="5722" xr:uid="{00000000-0005-0000-0000-0000A50B0000}"/>
    <cellStyle name="Ênfase6 17" xfId="5806" xr:uid="{00000000-0005-0000-0000-0000A60B0000}"/>
    <cellStyle name="Ênfase6 2" xfId="5029" xr:uid="{00000000-0005-0000-0000-0000A70B0000}"/>
    <cellStyle name="Ênfase6 2 2" xfId="6787" xr:uid="{00000000-0005-0000-0000-0000A80B0000}"/>
    <cellStyle name="Ênfase6 2 2 2" xfId="6788" xr:uid="{00000000-0005-0000-0000-0000A90B0000}"/>
    <cellStyle name="Ênfase6 2 2 2 2" xfId="6789" xr:uid="{00000000-0005-0000-0000-0000AA0B0000}"/>
    <cellStyle name="Ênfase6 2 2 2 2 2" xfId="6790" xr:uid="{00000000-0005-0000-0000-0000AB0B0000}"/>
    <cellStyle name="Ênfase6 2 2 2 2 2 2" xfId="6791" xr:uid="{00000000-0005-0000-0000-0000AC0B0000}"/>
    <cellStyle name="Ênfase6 2 2 2 2 2 2 2" xfId="6792" xr:uid="{00000000-0005-0000-0000-0000AD0B0000}"/>
    <cellStyle name="Ênfase6 2 2 2 2 2 2 2 2" xfId="6793" xr:uid="{00000000-0005-0000-0000-0000AE0B0000}"/>
    <cellStyle name="Ênfase6 2 2 2 2 2 2 3" xfId="6794" xr:uid="{00000000-0005-0000-0000-0000AF0B0000}"/>
    <cellStyle name="Ênfase6 2 2 2 2 2 3" xfId="6795" xr:uid="{00000000-0005-0000-0000-0000B00B0000}"/>
    <cellStyle name="Ênfase6 2 2 2 2 2 3 2" xfId="6796" xr:uid="{00000000-0005-0000-0000-0000B10B0000}"/>
    <cellStyle name="Ênfase6 2 2 2 2 3" xfId="6797" xr:uid="{00000000-0005-0000-0000-0000B20B0000}"/>
    <cellStyle name="Ênfase6 2 2 2 2 3 2" xfId="6798" xr:uid="{00000000-0005-0000-0000-0000B30B0000}"/>
    <cellStyle name="Ênfase6 2 2 2 3" xfId="6799" xr:uid="{00000000-0005-0000-0000-0000B40B0000}"/>
    <cellStyle name="Ênfase6 2 2 2 4" xfId="6800" xr:uid="{00000000-0005-0000-0000-0000B50B0000}"/>
    <cellStyle name="Ênfase6 2 2 2 4 2" xfId="6801" xr:uid="{00000000-0005-0000-0000-0000B60B0000}"/>
    <cellStyle name="Ênfase6 2 2 3" xfId="6802" xr:uid="{00000000-0005-0000-0000-0000B70B0000}"/>
    <cellStyle name="Ênfase6 2 2 4" xfId="6803" xr:uid="{00000000-0005-0000-0000-0000B80B0000}"/>
    <cellStyle name="Ênfase6 2 2 4 2" xfId="6804" xr:uid="{00000000-0005-0000-0000-0000B90B0000}"/>
    <cellStyle name="Ênfase6 2 3" xfId="6805" xr:uid="{00000000-0005-0000-0000-0000BA0B0000}"/>
    <cellStyle name="Ênfase6 2 4" xfId="6806" xr:uid="{00000000-0005-0000-0000-0000BB0B0000}"/>
    <cellStyle name="Ênfase6 2 5" xfId="6807" xr:uid="{00000000-0005-0000-0000-0000BC0B0000}"/>
    <cellStyle name="Ênfase6 2 6" xfId="6808" xr:uid="{00000000-0005-0000-0000-0000BD0B0000}"/>
    <cellStyle name="Ênfase6 2 6 2" xfId="6809" xr:uid="{00000000-0005-0000-0000-0000BE0B0000}"/>
    <cellStyle name="Ênfase6 2 7" xfId="6786" xr:uid="{00000000-0005-0000-0000-0000BF0B0000}"/>
    <cellStyle name="Ênfase6 3" xfId="5272" xr:uid="{00000000-0005-0000-0000-0000C00B0000}"/>
    <cellStyle name="Ênfase6 3 2" xfId="6811" xr:uid="{00000000-0005-0000-0000-0000C10B0000}"/>
    <cellStyle name="Ênfase6 3 3" xfId="6812" xr:uid="{00000000-0005-0000-0000-0000C20B0000}"/>
    <cellStyle name="Ênfase6 3 4" xfId="6813" xr:uid="{00000000-0005-0000-0000-0000C30B0000}"/>
    <cellStyle name="Ênfase6 3 5" xfId="6810" xr:uid="{00000000-0005-0000-0000-0000C40B0000}"/>
    <cellStyle name="Ênfase6 4" xfId="5281" xr:uid="{00000000-0005-0000-0000-0000C50B0000}"/>
    <cellStyle name="Ênfase6 4 2" xfId="6815" xr:uid="{00000000-0005-0000-0000-0000C60B0000}"/>
    <cellStyle name="Ênfase6 4 3" xfId="6816" xr:uid="{00000000-0005-0000-0000-0000C70B0000}"/>
    <cellStyle name="Ênfase6 4 4" xfId="6814" xr:uid="{00000000-0005-0000-0000-0000C80B0000}"/>
    <cellStyle name="Ênfase6 5" xfId="5265" xr:uid="{00000000-0005-0000-0000-0000C90B0000}"/>
    <cellStyle name="Ênfase6 5 2" xfId="6818" xr:uid="{00000000-0005-0000-0000-0000CA0B0000}"/>
    <cellStyle name="Ênfase6 5 3" xfId="6817" xr:uid="{00000000-0005-0000-0000-0000CB0B0000}"/>
    <cellStyle name="Ênfase6 6" xfId="5288" xr:uid="{00000000-0005-0000-0000-0000CC0B0000}"/>
    <cellStyle name="Ênfase6 6 2" xfId="6820" xr:uid="{00000000-0005-0000-0000-0000CD0B0000}"/>
    <cellStyle name="Ênfase6 6 3" xfId="7362" xr:uid="{00000000-0005-0000-0000-0000CE0B0000}"/>
    <cellStyle name="Ênfase6 6 4" xfId="6819" xr:uid="{00000000-0005-0000-0000-0000CF0B0000}"/>
    <cellStyle name="Ênfase6 7" xfId="5258" xr:uid="{00000000-0005-0000-0000-0000D00B0000}"/>
    <cellStyle name="Ênfase6 7 2" xfId="7363" xr:uid="{00000000-0005-0000-0000-0000D10B0000}"/>
    <cellStyle name="Ênfase6 7 3" xfId="6821" xr:uid="{00000000-0005-0000-0000-0000D20B0000}"/>
    <cellStyle name="Ênfase6 8" xfId="5296" xr:uid="{00000000-0005-0000-0000-0000D30B0000}"/>
    <cellStyle name="Ênfase6 9" xfId="5250" xr:uid="{00000000-0005-0000-0000-0000D40B0000}"/>
    <cellStyle name="Énfasis1" xfId="998" xr:uid="{00000000-0005-0000-0000-0000D50B0000}"/>
    <cellStyle name="Énfasis2" xfId="999" xr:uid="{00000000-0005-0000-0000-0000D60B0000}"/>
    <cellStyle name="Énfasis3" xfId="1000" xr:uid="{00000000-0005-0000-0000-0000D70B0000}"/>
    <cellStyle name="Énfasis4" xfId="1001" xr:uid="{00000000-0005-0000-0000-0000D80B0000}"/>
    <cellStyle name="Énfasis5" xfId="1002" xr:uid="{00000000-0005-0000-0000-0000D90B0000}"/>
    <cellStyle name="Énfasis6" xfId="1003" xr:uid="{00000000-0005-0000-0000-0000DA0B0000}"/>
    <cellStyle name="Enter Currency (0)" xfId="5030" xr:uid="{00000000-0005-0000-0000-0000DB0B0000}"/>
    <cellStyle name="Enter Currency (2)" xfId="5031" xr:uid="{00000000-0005-0000-0000-0000DC0B0000}"/>
    <cellStyle name="Enter Units (0)" xfId="5032" xr:uid="{00000000-0005-0000-0000-0000DD0B0000}"/>
    <cellStyle name="Enter Units (1)" xfId="5033" xr:uid="{00000000-0005-0000-0000-0000DE0B0000}"/>
    <cellStyle name="Enter Units (2)" xfId="5034" xr:uid="{00000000-0005-0000-0000-0000DF0B0000}"/>
    <cellStyle name="Entered" xfId="1004" xr:uid="{00000000-0005-0000-0000-0000E00B0000}"/>
    <cellStyle name="Entrada" xfId="56" xr:uid="{00000000-0005-0000-0000-0000E10B0000}"/>
    <cellStyle name="Entrada 10" xfId="5550" xr:uid="{00000000-0005-0000-0000-0000E20B0000}"/>
    <cellStyle name="Entrada 10 2" xfId="14061" xr:uid="{00000000-0005-0000-0000-0000E30B0000}"/>
    <cellStyle name="Entrada 10 3" xfId="16129" xr:uid="{00000000-0005-0000-0000-0000E40B0000}"/>
    <cellStyle name="Entrada 11" xfId="5551" xr:uid="{00000000-0005-0000-0000-0000E50B0000}"/>
    <cellStyle name="Entrada 11 2" xfId="14062" xr:uid="{00000000-0005-0000-0000-0000E60B0000}"/>
    <cellStyle name="Entrada 11 3" xfId="16130" xr:uid="{00000000-0005-0000-0000-0000E70B0000}"/>
    <cellStyle name="Entrada 12" xfId="5549" xr:uid="{00000000-0005-0000-0000-0000E80B0000}"/>
    <cellStyle name="Entrada 12 2" xfId="14060" xr:uid="{00000000-0005-0000-0000-0000E90B0000}"/>
    <cellStyle name="Entrada 12 3" xfId="16128" xr:uid="{00000000-0005-0000-0000-0000EA0B0000}"/>
    <cellStyle name="Entrada 13" xfId="5552" xr:uid="{00000000-0005-0000-0000-0000EB0B0000}"/>
    <cellStyle name="Entrada 13 2" xfId="14063" xr:uid="{00000000-0005-0000-0000-0000EC0B0000}"/>
    <cellStyle name="Entrada 13 3" xfId="16131" xr:uid="{00000000-0005-0000-0000-0000ED0B0000}"/>
    <cellStyle name="Entrada 14" xfId="5548" xr:uid="{00000000-0005-0000-0000-0000EE0B0000}"/>
    <cellStyle name="Entrada 14 2" xfId="14059" xr:uid="{00000000-0005-0000-0000-0000EF0B0000}"/>
    <cellStyle name="Entrada 14 3" xfId="16127" xr:uid="{00000000-0005-0000-0000-0000F00B0000}"/>
    <cellStyle name="Entrada 15" xfId="5720" xr:uid="{00000000-0005-0000-0000-0000F10B0000}"/>
    <cellStyle name="Entrada 15 2" xfId="14114" xr:uid="{00000000-0005-0000-0000-0000F20B0000}"/>
    <cellStyle name="Entrada 15 3" xfId="14117" xr:uid="{00000000-0005-0000-0000-0000F30B0000}"/>
    <cellStyle name="Entrada 16" xfId="5721" xr:uid="{00000000-0005-0000-0000-0000F40B0000}"/>
    <cellStyle name="Entrada 16 2" xfId="14115" xr:uid="{00000000-0005-0000-0000-0000F50B0000}"/>
    <cellStyle name="Entrada 16 3" xfId="14112" xr:uid="{00000000-0005-0000-0000-0000F60B0000}"/>
    <cellStyle name="Entrada 17" xfId="5779" xr:uid="{00000000-0005-0000-0000-0000F70B0000}"/>
    <cellStyle name="Entrada 18" xfId="10598" xr:uid="{00000000-0005-0000-0000-0000F80B0000}"/>
    <cellStyle name="Entrada 18 2" xfId="19304" xr:uid="{00000000-0005-0000-0000-0000F90B0000}"/>
    <cellStyle name="Entrada 2" xfId="5035" xr:uid="{00000000-0005-0000-0000-0000FA0B0000}"/>
    <cellStyle name="Entrada 2 2" xfId="6823" xr:uid="{00000000-0005-0000-0000-0000FB0B0000}"/>
    <cellStyle name="Entrada 2 2 2" xfId="6824" xr:uid="{00000000-0005-0000-0000-0000FC0B0000}"/>
    <cellStyle name="Entrada 2 2 2 2" xfId="6825" xr:uid="{00000000-0005-0000-0000-0000FD0B0000}"/>
    <cellStyle name="Entrada 2 2 2 2 2" xfId="6826" xr:uid="{00000000-0005-0000-0000-0000FE0B0000}"/>
    <cellStyle name="Entrada 2 2 2 2 2 2" xfId="6827" xr:uid="{00000000-0005-0000-0000-0000FF0B0000}"/>
    <cellStyle name="Entrada 2 2 2 2 2 2 2" xfId="6828" xr:uid="{00000000-0005-0000-0000-0000000C0000}"/>
    <cellStyle name="Entrada 2 2 2 2 2 2 2 2" xfId="6829" xr:uid="{00000000-0005-0000-0000-0000010C0000}"/>
    <cellStyle name="Entrada 2 2 2 2 2 2 2 2 2" xfId="14528" xr:uid="{00000000-0005-0000-0000-0000020C0000}"/>
    <cellStyle name="Entrada 2 2 2 2 2 2 2 2 3" xfId="14488" xr:uid="{00000000-0005-0000-0000-0000030C0000}"/>
    <cellStyle name="Entrada 2 2 2 2 2 2 3" xfId="6830" xr:uid="{00000000-0005-0000-0000-0000040C0000}"/>
    <cellStyle name="Entrada 2 2 2 2 2 2 3 2" xfId="14529" xr:uid="{00000000-0005-0000-0000-0000050C0000}"/>
    <cellStyle name="Entrada 2 2 2 2 2 2 3 3" xfId="14487" xr:uid="{00000000-0005-0000-0000-0000060C0000}"/>
    <cellStyle name="Entrada 2 2 2 2 2 2 4" xfId="14527" xr:uid="{00000000-0005-0000-0000-0000070C0000}"/>
    <cellStyle name="Entrada 2 2 2 2 2 2 5" xfId="22589" xr:uid="{00000000-0005-0000-0000-0000080C0000}"/>
    <cellStyle name="Entrada 2 2 2 2 2 3" xfId="6831" xr:uid="{00000000-0005-0000-0000-0000090C0000}"/>
    <cellStyle name="Entrada 2 2 2 2 2 3 2" xfId="6832" xr:uid="{00000000-0005-0000-0000-00000A0C0000}"/>
    <cellStyle name="Entrada 2 2 2 2 2 3 3" xfId="14530" xr:uid="{00000000-0005-0000-0000-00000B0C0000}"/>
    <cellStyle name="Entrada 2 2 2 2 2 3 4" xfId="22586" xr:uid="{00000000-0005-0000-0000-00000C0C0000}"/>
    <cellStyle name="Entrada 2 2 2 2 3" xfId="6833" xr:uid="{00000000-0005-0000-0000-00000D0C0000}"/>
    <cellStyle name="Entrada 2 2 2 2 3 2" xfId="6834" xr:uid="{00000000-0005-0000-0000-00000E0C0000}"/>
    <cellStyle name="Entrada 2 2 2 2 3 2 2" xfId="14531" xr:uid="{00000000-0005-0000-0000-00000F0C0000}"/>
    <cellStyle name="Entrada 2 2 2 2 3 2 3" xfId="22575" xr:uid="{00000000-0005-0000-0000-0000100C0000}"/>
    <cellStyle name="Entrada 2 2 2 2 4" xfId="14526" xr:uid="{00000000-0005-0000-0000-0000110C0000}"/>
    <cellStyle name="Entrada 2 2 2 2 5" xfId="22604" xr:uid="{00000000-0005-0000-0000-0000120C0000}"/>
    <cellStyle name="Entrada 2 2 2 3" xfId="6835" xr:uid="{00000000-0005-0000-0000-0000130C0000}"/>
    <cellStyle name="Entrada 2 2 2 3 2" xfId="14532" xr:uid="{00000000-0005-0000-0000-0000140C0000}"/>
    <cellStyle name="Entrada 2 2 2 3 3" xfId="22588" xr:uid="{00000000-0005-0000-0000-0000150C0000}"/>
    <cellStyle name="Entrada 2 2 2 4" xfId="6836" xr:uid="{00000000-0005-0000-0000-0000160C0000}"/>
    <cellStyle name="Entrada 2 2 2 4 2" xfId="6837" xr:uid="{00000000-0005-0000-0000-0000170C0000}"/>
    <cellStyle name="Entrada 2 2 2 4 3" xfId="14533" xr:uid="{00000000-0005-0000-0000-0000180C0000}"/>
    <cellStyle name="Entrada 2 2 2 4 4" xfId="14485" xr:uid="{00000000-0005-0000-0000-0000190C0000}"/>
    <cellStyle name="Entrada 2 2 3" xfId="6838" xr:uid="{00000000-0005-0000-0000-00001A0C0000}"/>
    <cellStyle name="Entrada 2 2 4" xfId="6839" xr:uid="{00000000-0005-0000-0000-00001B0C0000}"/>
    <cellStyle name="Entrada 2 2 4 2" xfId="6840" xr:uid="{00000000-0005-0000-0000-00001C0C0000}"/>
    <cellStyle name="Entrada 2 2 4 2 2" xfId="14534" xr:uid="{00000000-0005-0000-0000-00001D0C0000}"/>
    <cellStyle name="Entrada 2 2 4 2 3" xfId="14486" xr:uid="{00000000-0005-0000-0000-00001E0C0000}"/>
    <cellStyle name="Entrada 2 2 5" xfId="14525" xr:uid="{00000000-0005-0000-0000-00001F0C0000}"/>
    <cellStyle name="Entrada 2 2 6" xfId="14489" xr:uid="{00000000-0005-0000-0000-0000200C0000}"/>
    <cellStyle name="Entrada 2 3" xfId="6841" xr:uid="{00000000-0005-0000-0000-0000210C0000}"/>
    <cellStyle name="Entrada 2 3 2" xfId="14535" xr:uid="{00000000-0005-0000-0000-0000220C0000}"/>
    <cellStyle name="Entrada 2 3 3" xfId="22617" xr:uid="{00000000-0005-0000-0000-0000230C0000}"/>
    <cellStyle name="Entrada 2 4" xfId="6842" xr:uid="{00000000-0005-0000-0000-0000240C0000}"/>
    <cellStyle name="Entrada 2 4 2" xfId="14536" xr:uid="{00000000-0005-0000-0000-0000250C0000}"/>
    <cellStyle name="Entrada 2 4 3" xfId="22603" xr:uid="{00000000-0005-0000-0000-0000260C0000}"/>
    <cellStyle name="Entrada 2 5" xfId="6843" xr:uid="{00000000-0005-0000-0000-0000270C0000}"/>
    <cellStyle name="Entrada 2 5 2" xfId="14537" xr:uid="{00000000-0005-0000-0000-0000280C0000}"/>
    <cellStyle name="Entrada 2 5 3" xfId="22574" xr:uid="{00000000-0005-0000-0000-0000290C0000}"/>
    <cellStyle name="Entrada 2 6" xfId="6844" xr:uid="{00000000-0005-0000-0000-00002A0C0000}"/>
    <cellStyle name="Entrada 2 6 2" xfId="6845" xr:uid="{00000000-0005-0000-0000-00002B0C0000}"/>
    <cellStyle name="Entrada 2 6 3" xfId="14538" xr:uid="{00000000-0005-0000-0000-00002C0C0000}"/>
    <cellStyle name="Entrada 2 6 4" xfId="22618" xr:uid="{00000000-0005-0000-0000-00002D0C0000}"/>
    <cellStyle name="Entrada 2 7" xfId="6822" xr:uid="{00000000-0005-0000-0000-00002E0C0000}"/>
    <cellStyle name="Entrada 2 8" xfId="13891" xr:uid="{00000000-0005-0000-0000-00002F0C0000}"/>
    <cellStyle name="Entrada 2 9" xfId="16085" xr:uid="{00000000-0005-0000-0000-0000300C0000}"/>
    <cellStyle name="Entrada 3" xfId="5276" xr:uid="{00000000-0005-0000-0000-0000310C0000}"/>
    <cellStyle name="Entrada 3 2" xfId="6847" xr:uid="{00000000-0005-0000-0000-0000320C0000}"/>
    <cellStyle name="Entrada 3 3" xfId="6848" xr:uid="{00000000-0005-0000-0000-0000330C0000}"/>
    <cellStyle name="Entrada 3 4" xfId="6849" xr:uid="{00000000-0005-0000-0000-0000340C0000}"/>
    <cellStyle name="Entrada 3 5" xfId="6846" xr:uid="{00000000-0005-0000-0000-0000350C0000}"/>
    <cellStyle name="Entrada 3 6" xfId="13970" xr:uid="{00000000-0005-0000-0000-0000360C0000}"/>
    <cellStyle name="Entrada 3 7" xfId="22546" xr:uid="{00000000-0005-0000-0000-0000370C0000}"/>
    <cellStyle name="Entrada 4" xfId="5277" xr:uid="{00000000-0005-0000-0000-0000380C0000}"/>
    <cellStyle name="Entrada 4 2" xfId="6851" xr:uid="{00000000-0005-0000-0000-0000390C0000}"/>
    <cellStyle name="Entrada 4 3" xfId="6852" xr:uid="{00000000-0005-0000-0000-00003A0C0000}"/>
    <cellStyle name="Entrada 4 4" xfId="6850" xr:uid="{00000000-0005-0000-0000-00003B0C0000}"/>
    <cellStyle name="Entrada 4 5" xfId="13971" xr:uid="{00000000-0005-0000-0000-00003C0C0000}"/>
    <cellStyle name="Entrada 4 6" xfId="22545" xr:uid="{00000000-0005-0000-0000-00003D0C0000}"/>
    <cellStyle name="Entrada 5" xfId="5275" xr:uid="{00000000-0005-0000-0000-00003E0C0000}"/>
    <cellStyle name="Entrada 5 2" xfId="6854" xr:uid="{00000000-0005-0000-0000-00003F0C0000}"/>
    <cellStyle name="Entrada 5 3" xfId="6853" xr:uid="{00000000-0005-0000-0000-0000400C0000}"/>
    <cellStyle name="Entrada 5 4" xfId="13969" xr:uid="{00000000-0005-0000-0000-0000410C0000}"/>
    <cellStyle name="Entrada 5 5" xfId="22547" xr:uid="{00000000-0005-0000-0000-0000420C0000}"/>
    <cellStyle name="Entrada 6" xfId="5278" xr:uid="{00000000-0005-0000-0000-0000430C0000}"/>
    <cellStyle name="Entrada 6 2" xfId="6856" xr:uid="{00000000-0005-0000-0000-0000440C0000}"/>
    <cellStyle name="Entrada 6 2 2" xfId="14541" xr:uid="{00000000-0005-0000-0000-0000450C0000}"/>
    <cellStyle name="Entrada 6 2 3" xfId="22587" xr:uid="{00000000-0005-0000-0000-0000460C0000}"/>
    <cellStyle name="Entrada 6 3" xfId="7364" xr:uid="{00000000-0005-0000-0000-0000470C0000}"/>
    <cellStyle name="Entrada 6 4" xfId="6855" xr:uid="{00000000-0005-0000-0000-0000480C0000}"/>
    <cellStyle name="Entrada 6 5" xfId="13972" xr:uid="{00000000-0005-0000-0000-0000490C0000}"/>
    <cellStyle name="Entrada 6 6" xfId="22544" xr:uid="{00000000-0005-0000-0000-00004A0C0000}"/>
    <cellStyle name="Entrada 7" xfId="5274" xr:uid="{00000000-0005-0000-0000-00004B0C0000}"/>
    <cellStyle name="Entrada 7 2" xfId="7365" xr:uid="{00000000-0005-0000-0000-00004C0C0000}"/>
    <cellStyle name="Entrada 7 3" xfId="6857" xr:uid="{00000000-0005-0000-0000-00004D0C0000}"/>
    <cellStyle name="Entrada 7 4" xfId="13968" xr:uid="{00000000-0005-0000-0000-00004E0C0000}"/>
    <cellStyle name="Entrada 7 5" xfId="22542" xr:uid="{00000000-0005-0000-0000-00004F0C0000}"/>
    <cellStyle name="Entrada 8" xfId="5279" xr:uid="{00000000-0005-0000-0000-0000500C0000}"/>
    <cellStyle name="Entrada 8 2" xfId="13973" xr:uid="{00000000-0005-0000-0000-0000510C0000}"/>
    <cellStyle name="Entrada 8 3" xfId="22543" xr:uid="{00000000-0005-0000-0000-0000520C0000}"/>
    <cellStyle name="Entrada 9" xfId="5273" xr:uid="{00000000-0005-0000-0000-0000530C0000}"/>
    <cellStyle name="Entrada 9 2" xfId="13967" xr:uid="{00000000-0005-0000-0000-0000540C0000}"/>
    <cellStyle name="Entrada 9 3" xfId="14797" xr:uid="{00000000-0005-0000-0000-0000550C0000}"/>
    <cellStyle name="Estilo 1" xfId="5036" xr:uid="{00000000-0005-0000-0000-0000560C0000}"/>
    <cellStyle name="Estilo 2" xfId="5037" xr:uid="{00000000-0005-0000-0000-0000570C0000}"/>
    <cellStyle name="Euro" xfId="57" xr:uid="{00000000-0005-0000-0000-0000580C0000}"/>
    <cellStyle name="Euro 10" xfId="1006" xr:uid="{00000000-0005-0000-0000-0000590C0000}"/>
    <cellStyle name="Euro 11" xfId="1007" xr:uid="{00000000-0005-0000-0000-00005A0C0000}"/>
    <cellStyle name="Euro 12" xfId="1008" xr:uid="{00000000-0005-0000-0000-00005B0C0000}"/>
    <cellStyle name="Euro 13" xfId="1009" xr:uid="{00000000-0005-0000-0000-00005C0C0000}"/>
    <cellStyle name="Euro 14" xfId="1010" xr:uid="{00000000-0005-0000-0000-00005D0C0000}"/>
    <cellStyle name="Euro 15" xfId="1011" xr:uid="{00000000-0005-0000-0000-00005E0C0000}"/>
    <cellStyle name="Euro 16" xfId="1012" xr:uid="{00000000-0005-0000-0000-00005F0C0000}"/>
    <cellStyle name="Euro 17" xfId="1013" xr:uid="{00000000-0005-0000-0000-0000600C0000}"/>
    <cellStyle name="Euro 18" xfId="1014" xr:uid="{00000000-0005-0000-0000-0000610C0000}"/>
    <cellStyle name="Euro 19" xfId="1015" xr:uid="{00000000-0005-0000-0000-0000620C0000}"/>
    <cellStyle name="Euro 2" xfId="126" xr:uid="{00000000-0005-0000-0000-0000630C0000}"/>
    <cellStyle name="Euro 2 2" xfId="1017" xr:uid="{00000000-0005-0000-0000-0000640C0000}"/>
    <cellStyle name="Euro 2 3" xfId="1016" xr:uid="{00000000-0005-0000-0000-0000650C0000}"/>
    <cellStyle name="Euro 2 3 2" xfId="10456" xr:uid="{00000000-0005-0000-0000-0000660C0000}"/>
    <cellStyle name="Euro 20" xfId="1018" xr:uid="{00000000-0005-0000-0000-0000670C0000}"/>
    <cellStyle name="Euro 21" xfId="1019" xr:uid="{00000000-0005-0000-0000-0000680C0000}"/>
    <cellStyle name="Euro 22" xfId="1020" xr:uid="{00000000-0005-0000-0000-0000690C0000}"/>
    <cellStyle name="Euro 23" xfId="1021" xr:uid="{00000000-0005-0000-0000-00006A0C0000}"/>
    <cellStyle name="Euro 24" xfId="1022" xr:uid="{00000000-0005-0000-0000-00006B0C0000}"/>
    <cellStyle name="Euro 25" xfId="1023" xr:uid="{00000000-0005-0000-0000-00006C0C0000}"/>
    <cellStyle name="Euro 26" xfId="1024" xr:uid="{00000000-0005-0000-0000-00006D0C0000}"/>
    <cellStyle name="Euro 27" xfId="1025" xr:uid="{00000000-0005-0000-0000-00006E0C0000}"/>
    <cellStyle name="Euro 28" xfId="1026" xr:uid="{00000000-0005-0000-0000-00006F0C0000}"/>
    <cellStyle name="Euro 29" xfId="1027" xr:uid="{00000000-0005-0000-0000-0000700C0000}"/>
    <cellStyle name="Euro 3" xfId="123" xr:uid="{00000000-0005-0000-0000-0000710C0000}"/>
    <cellStyle name="Euro 3 2" xfId="1029" xr:uid="{00000000-0005-0000-0000-0000720C0000}"/>
    <cellStyle name="Euro 3 3" xfId="1028" xr:uid="{00000000-0005-0000-0000-0000730C0000}"/>
    <cellStyle name="Euro 30" xfId="1030" xr:uid="{00000000-0005-0000-0000-0000740C0000}"/>
    <cellStyle name="Euro 31" xfId="1031" xr:uid="{00000000-0005-0000-0000-0000750C0000}"/>
    <cellStyle name="Euro 32" xfId="1032" xr:uid="{00000000-0005-0000-0000-0000760C0000}"/>
    <cellStyle name="Euro 33" xfId="1033" xr:uid="{00000000-0005-0000-0000-0000770C0000}"/>
    <cellStyle name="Euro 34" xfId="1034" xr:uid="{00000000-0005-0000-0000-0000780C0000}"/>
    <cellStyle name="Euro 35" xfId="1035" xr:uid="{00000000-0005-0000-0000-0000790C0000}"/>
    <cellStyle name="Euro 36" xfId="1036" xr:uid="{00000000-0005-0000-0000-00007A0C0000}"/>
    <cellStyle name="Euro 37" xfId="1037" xr:uid="{00000000-0005-0000-0000-00007B0C0000}"/>
    <cellStyle name="Euro 38" xfId="1038" xr:uid="{00000000-0005-0000-0000-00007C0C0000}"/>
    <cellStyle name="Euro 39" xfId="1039" xr:uid="{00000000-0005-0000-0000-00007D0C0000}"/>
    <cellStyle name="Euro 4" xfId="1040" xr:uid="{00000000-0005-0000-0000-00007E0C0000}"/>
    <cellStyle name="Euro 4 2" xfId="1041" xr:uid="{00000000-0005-0000-0000-00007F0C0000}"/>
    <cellStyle name="Euro 40" xfId="1042" xr:uid="{00000000-0005-0000-0000-0000800C0000}"/>
    <cellStyle name="Euro 41" xfId="1043" xr:uid="{00000000-0005-0000-0000-0000810C0000}"/>
    <cellStyle name="Euro 42" xfId="1044" xr:uid="{00000000-0005-0000-0000-0000820C0000}"/>
    <cellStyle name="Euro 43" xfId="1005" xr:uid="{00000000-0005-0000-0000-0000830C0000}"/>
    <cellStyle name="Euro 44" xfId="5038" xr:uid="{00000000-0005-0000-0000-0000840C0000}"/>
    <cellStyle name="Euro 5" xfId="1045" xr:uid="{00000000-0005-0000-0000-0000850C0000}"/>
    <cellStyle name="Euro 6" xfId="1046" xr:uid="{00000000-0005-0000-0000-0000860C0000}"/>
    <cellStyle name="Euro 7" xfId="1047" xr:uid="{00000000-0005-0000-0000-0000870C0000}"/>
    <cellStyle name="Euro 8" xfId="1048" xr:uid="{00000000-0005-0000-0000-0000880C0000}"/>
    <cellStyle name="Euro 9" xfId="1049" xr:uid="{00000000-0005-0000-0000-0000890C0000}"/>
    <cellStyle name="Explanatory Text" xfId="58" xr:uid="{00000000-0005-0000-0000-00008A0C0000}"/>
    <cellStyle name="EY House" xfId="1050" xr:uid="{00000000-0005-0000-0000-00008B0C0000}"/>
    <cellStyle name="f" xfId="1051" xr:uid="{00000000-0005-0000-0000-00008C0C0000}"/>
    <cellStyle name="F2" xfId="1052" xr:uid="{00000000-0005-0000-0000-00008D0C0000}"/>
    <cellStyle name="F2 2" xfId="5039" xr:uid="{00000000-0005-0000-0000-00008E0C0000}"/>
    <cellStyle name="F3" xfId="1053" xr:uid="{00000000-0005-0000-0000-00008F0C0000}"/>
    <cellStyle name="F3 2" xfId="5040" xr:uid="{00000000-0005-0000-0000-0000900C0000}"/>
    <cellStyle name="F4" xfId="1054" xr:uid="{00000000-0005-0000-0000-0000910C0000}"/>
    <cellStyle name="F4 2" xfId="5041" xr:uid="{00000000-0005-0000-0000-0000920C0000}"/>
    <cellStyle name="F5" xfId="1055" xr:uid="{00000000-0005-0000-0000-0000930C0000}"/>
    <cellStyle name="F5 2" xfId="5042" xr:uid="{00000000-0005-0000-0000-0000940C0000}"/>
    <cellStyle name="F6" xfId="1056" xr:uid="{00000000-0005-0000-0000-0000950C0000}"/>
    <cellStyle name="F6 2" xfId="5043" xr:uid="{00000000-0005-0000-0000-0000960C0000}"/>
    <cellStyle name="F7" xfId="1057" xr:uid="{00000000-0005-0000-0000-0000970C0000}"/>
    <cellStyle name="F7 2" xfId="5044" xr:uid="{00000000-0005-0000-0000-0000980C0000}"/>
    <cellStyle name="F8" xfId="1058" xr:uid="{00000000-0005-0000-0000-0000990C0000}"/>
    <cellStyle name="F8 2" xfId="5045" xr:uid="{00000000-0005-0000-0000-00009A0C0000}"/>
    <cellStyle name="Factor" xfId="1059" xr:uid="{00000000-0005-0000-0000-00009B0C0000}"/>
    <cellStyle name="Fixed" xfId="1060" xr:uid="{00000000-0005-0000-0000-00009C0C0000}"/>
    <cellStyle name="Fixed [0]" xfId="1061" xr:uid="{00000000-0005-0000-0000-00009D0C0000}"/>
    <cellStyle name="Fixed 10" xfId="1062" xr:uid="{00000000-0005-0000-0000-00009E0C0000}"/>
    <cellStyle name="Fixed 11" xfId="1063" xr:uid="{00000000-0005-0000-0000-00009F0C0000}"/>
    <cellStyle name="Fixed 12" xfId="1064" xr:uid="{00000000-0005-0000-0000-0000A00C0000}"/>
    <cellStyle name="Fixed 13" xfId="1065" xr:uid="{00000000-0005-0000-0000-0000A10C0000}"/>
    <cellStyle name="Fixed 14" xfId="1066" xr:uid="{00000000-0005-0000-0000-0000A20C0000}"/>
    <cellStyle name="Fixed 15" xfId="1067" xr:uid="{00000000-0005-0000-0000-0000A30C0000}"/>
    <cellStyle name="Fixed 16" xfId="1068" xr:uid="{00000000-0005-0000-0000-0000A40C0000}"/>
    <cellStyle name="Fixed 17" xfId="1069" xr:uid="{00000000-0005-0000-0000-0000A50C0000}"/>
    <cellStyle name="Fixed 18" xfId="5046" xr:uid="{00000000-0005-0000-0000-0000A60C0000}"/>
    <cellStyle name="Fixed 19" xfId="7402" xr:uid="{00000000-0005-0000-0000-0000A70C0000}"/>
    <cellStyle name="Fixed 2" xfId="1070" xr:uid="{00000000-0005-0000-0000-0000A80C0000}"/>
    <cellStyle name="Fixed 20" xfId="7411" xr:uid="{00000000-0005-0000-0000-0000A90C0000}"/>
    <cellStyle name="Fixed 21" xfId="7406" xr:uid="{00000000-0005-0000-0000-0000AA0C0000}"/>
    <cellStyle name="Fixed 22" xfId="7408" xr:uid="{00000000-0005-0000-0000-0000AB0C0000}"/>
    <cellStyle name="Fixed 23" xfId="13894" xr:uid="{00000000-0005-0000-0000-0000AC0C0000}"/>
    <cellStyle name="Fixed 24" xfId="14659" xr:uid="{00000000-0005-0000-0000-0000AD0C0000}"/>
    <cellStyle name="Fixed 25" xfId="14773" xr:uid="{00000000-0005-0000-0000-0000AE0C0000}"/>
    <cellStyle name="Fixed 26" xfId="22556" xr:uid="{00000000-0005-0000-0000-0000AF0C0000}"/>
    <cellStyle name="Fixed 27" xfId="16060" xr:uid="{00000000-0005-0000-0000-0000B00C0000}"/>
    <cellStyle name="Fixed 28" xfId="14770" xr:uid="{00000000-0005-0000-0000-0000B10C0000}"/>
    <cellStyle name="Fixed 29" xfId="14492" xr:uid="{00000000-0005-0000-0000-0000B20C0000}"/>
    <cellStyle name="Fixed 3" xfId="1071" xr:uid="{00000000-0005-0000-0000-0000B30C0000}"/>
    <cellStyle name="Fixed 4" xfId="1072" xr:uid="{00000000-0005-0000-0000-0000B40C0000}"/>
    <cellStyle name="Fixed 5" xfId="1073" xr:uid="{00000000-0005-0000-0000-0000B50C0000}"/>
    <cellStyle name="Fixed 6" xfId="1074" xr:uid="{00000000-0005-0000-0000-0000B60C0000}"/>
    <cellStyle name="Fixed 7" xfId="1075" xr:uid="{00000000-0005-0000-0000-0000B70C0000}"/>
    <cellStyle name="Fixed 8" xfId="1076" xr:uid="{00000000-0005-0000-0000-0000B80C0000}"/>
    <cellStyle name="Fixed 9" xfId="1077" xr:uid="{00000000-0005-0000-0000-0000B90C0000}"/>
    <cellStyle name="Fixo" xfId="5047" xr:uid="{00000000-0005-0000-0000-0000BA0C0000}"/>
    <cellStyle name="Followed Hyperlink" xfId="1078" xr:uid="{00000000-0005-0000-0000-0000BB0C0000}"/>
    <cellStyle name="Followed Hyperlink 10" xfId="1079" xr:uid="{00000000-0005-0000-0000-0000BC0C0000}"/>
    <cellStyle name="Followed Hyperlink 11" xfId="1080" xr:uid="{00000000-0005-0000-0000-0000BD0C0000}"/>
    <cellStyle name="Followed Hyperlink 12" xfId="1081" xr:uid="{00000000-0005-0000-0000-0000BE0C0000}"/>
    <cellStyle name="Followed Hyperlink 13" xfId="1082" xr:uid="{00000000-0005-0000-0000-0000BF0C0000}"/>
    <cellStyle name="Followed Hyperlink 14" xfId="1083" xr:uid="{00000000-0005-0000-0000-0000C00C0000}"/>
    <cellStyle name="Followed Hyperlink 15" xfId="1084" xr:uid="{00000000-0005-0000-0000-0000C10C0000}"/>
    <cellStyle name="Followed Hyperlink 16" xfId="1085" xr:uid="{00000000-0005-0000-0000-0000C20C0000}"/>
    <cellStyle name="Followed Hyperlink 17" xfId="1086" xr:uid="{00000000-0005-0000-0000-0000C30C0000}"/>
    <cellStyle name="Followed Hyperlink 18" xfId="1087" xr:uid="{00000000-0005-0000-0000-0000C40C0000}"/>
    <cellStyle name="Followed Hyperlink 19" xfId="1088" xr:uid="{00000000-0005-0000-0000-0000C50C0000}"/>
    <cellStyle name="Followed Hyperlink 2" xfId="1089" xr:uid="{00000000-0005-0000-0000-0000C60C0000}"/>
    <cellStyle name="Followed Hyperlink 20" xfId="1090" xr:uid="{00000000-0005-0000-0000-0000C70C0000}"/>
    <cellStyle name="Followed Hyperlink 21" xfId="1091" xr:uid="{00000000-0005-0000-0000-0000C80C0000}"/>
    <cellStyle name="Followed Hyperlink 22" xfId="1092" xr:uid="{00000000-0005-0000-0000-0000C90C0000}"/>
    <cellStyle name="Followed Hyperlink 23" xfId="1093" xr:uid="{00000000-0005-0000-0000-0000CA0C0000}"/>
    <cellStyle name="Followed Hyperlink 24" xfId="1094" xr:uid="{00000000-0005-0000-0000-0000CB0C0000}"/>
    <cellStyle name="Followed Hyperlink 25" xfId="1095" xr:uid="{00000000-0005-0000-0000-0000CC0C0000}"/>
    <cellStyle name="Followed Hyperlink 26" xfId="1096" xr:uid="{00000000-0005-0000-0000-0000CD0C0000}"/>
    <cellStyle name="Followed Hyperlink 27" xfId="1097" xr:uid="{00000000-0005-0000-0000-0000CE0C0000}"/>
    <cellStyle name="Followed Hyperlink 28" xfId="1098" xr:uid="{00000000-0005-0000-0000-0000CF0C0000}"/>
    <cellStyle name="Followed Hyperlink 29" xfId="1099" xr:uid="{00000000-0005-0000-0000-0000D00C0000}"/>
    <cellStyle name="Followed Hyperlink 3" xfId="1100" xr:uid="{00000000-0005-0000-0000-0000D10C0000}"/>
    <cellStyle name="Followed Hyperlink 30" xfId="1101" xr:uid="{00000000-0005-0000-0000-0000D20C0000}"/>
    <cellStyle name="Followed Hyperlink 31" xfId="1102" xr:uid="{00000000-0005-0000-0000-0000D30C0000}"/>
    <cellStyle name="Followed Hyperlink 32" xfId="1103" xr:uid="{00000000-0005-0000-0000-0000D40C0000}"/>
    <cellStyle name="Followed Hyperlink 33" xfId="1104" xr:uid="{00000000-0005-0000-0000-0000D50C0000}"/>
    <cellStyle name="Followed Hyperlink 34" xfId="1105" xr:uid="{00000000-0005-0000-0000-0000D60C0000}"/>
    <cellStyle name="Followed Hyperlink 35" xfId="1106" xr:uid="{00000000-0005-0000-0000-0000D70C0000}"/>
    <cellStyle name="Followed Hyperlink 36" xfId="1107" xr:uid="{00000000-0005-0000-0000-0000D80C0000}"/>
    <cellStyle name="Followed Hyperlink 37" xfId="1108" xr:uid="{00000000-0005-0000-0000-0000D90C0000}"/>
    <cellStyle name="Followed Hyperlink 38" xfId="1109" xr:uid="{00000000-0005-0000-0000-0000DA0C0000}"/>
    <cellStyle name="Followed Hyperlink 39" xfId="1110" xr:uid="{00000000-0005-0000-0000-0000DB0C0000}"/>
    <cellStyle name="Followed Hyperlink 4" xfId="1111" xr:uid="{00000000-0005-0000-0000-0000DC0C0000}"/>
    <cellStyle name="Followed Hyperlink 40" xfId="1112" xr:uid="{00000000-0005-0000-0000-0000DD0C0000}"/>
    <cellStyle name="Followed Hyperlink 5" xfId="1113" xr:uid="{00000000-0005-0000-0000-0000DE0C0000}"/>
    <cellStyle name="Followed Hyperlink 6" xfId="1114" xr:uid="{00000000-0005-0000-0000-0000DF0C0000}"/>
    <cellStyle name="Followed Hyperlink 7" xfId="1115" xr:uid="{00000000-0005-0000-0000-0000E00C0000}"/>
    <cellStyle name="Followed Hyperlink 8" xfId="1116" xr:uid="{00000000-0005-0000-0000-0000E10C0000}"/>
    <cellStyle name="Followed Hyperlink 9" xfId="1117" xr:uid="{00000000-0005-0000-0000-0000E20C0000}"/>
    <cellStyle name="Footer SBILogo1" xfId="5048" xr:uid="{00000000-0005-0000-0000-0000E30C0000}"/>
    <cellStyle name="Footer SBILogo2" xfId="5049" xr:uid="{00000000-0005-0000-0000-0000E40C0000}"/>
    <cellStyle name="Footnote" xfId="1118" xr:uid="{00000000-0005-0000-0000-0000E50C0000}"/>
    <cellStyle name="Footnote 2" xfId="5050" xr:uid="{00000000-0005-0000-0000-0000E60C0000}"/>
    <cellStyle name="Footnote Reference" xfId="5051" xr:uid="{00000000-0005-0000-0000-0000E70C0000}"/>
    <cellStyle name="Footnote_Actual + Backlog_@Net Revenue_5.13.03 Update" xfId="5052" xr:uid="{00000000-0005-0000-0000-0000E80C0000}"/>
    <cellStyle name="FORECAST" xfId="1119" xr:uid="{00000000-0005-0000-0000-0000E90C0000}"/>
    <cellStyle name="Fraction Change" xfId="5053" xr:uid="{00000000-0005-0000-0000-0000EA0C0000}"/>
    <cellStyle name="Fraction Change 2" xfId="16070" xr:uid="{00000000-0005-0000-0000-0000EB0C0000}"/>
    <cellStyle name="Fractions" xfId="5054" xr:uid="{00000000-0005-0000-0000-0000EC0C0000}"/>
    <cellStyle name="Good" xfId="59" xr:uid="{00000000-0005-0000-0000-0000ED0C0000}"/>
    <cellStyle name="grayText2" xfId="5055" xr:uid="{00000000-0005-0000-0000-0000EE0C0000}"/>
    <cellStyle name="grayText2Big" xfId="5056" xr:uid="{00000000-0005-0000-0000-0000EF0C0000}"/>
    <cellStyle name="Grey" xfId="1120" xr:uid="{00000000-0005-0000-0000-0000F00C0000}"/>
    <cellStyle name="Growth Rates/Margins" xfId="5057" xr:uid="{00000000-0005-0000-0000-0000F10C0000}"/>
    <cellStyle name="Hard Percent" xfId="5058" xr:uid="{00000000-0005-0000-0000-0000F20C0000}"/>
    <cellStyle name="HEADER" xfId="1121" xr:uid="{00000000-0005-0000-0000-0000F30C0000}"/>
    <cellStyle name="Header 2" xfId="5059" xr:uid="{00000000-0005-0000-0000-0000F40C0000}"/>
    <cellStyle name="Header Draft Stamp" xfId="5060" xr:uid="{00000000-0005-0000-0000-0000F50C0000}"/>
    <cellStyle name="Header_pldt" xfId="5061" xr:uid="{00000000-0005-0000-0000-0000F60C0000}"/>
    <cellStyle name="Header1" xfId="1122" xr:uid="{00000000-0005-0000-0000-0000F70C0000}"/>
    <cellStyle name="Header1 10" xfId="1123" xr:uid="{00000000-0005-0000-0000-0000F80C0000}"/>
    <cellStyle name="Header1 11" xfId="1124" xr:uid="{00000000-0005-0000-0000-0000F90C0000}"/>
    <cellStyle name="Header1 12" xfId="1125" xr:uid="{00000000-0005-0000-0000-0000FA0C0000}"/>
    <cellStyle name="Header1 13" xfId="1126" xr:uid="{00000000-0005-0000-0000-0000FB0C0000}"/>
    <cellStyle name="Header1 14" xfId="1127" xr:uid="{00000000-0005-0000-0000-0000FC0C0000}"/>
    <cellStyle name="Header1 15" xfId="1128" xr:uid="{00000000-0005-0000-0000-0000FD0C0000}"/>
    <cellStyle name="Header1 16" xfId="1129" xr:uid="{00000000-0005-0000-0000-0000FE0C0000}"/>
    <cellStyle name="Header1 17" xfId="1130" xr:uid="{00000000-0005-0000-0000-0000FF0C0000}"/>
    <cellStyle name="Header1 18" xfId="1131" xr:uid="{00000000-0005-0000-0000-0000000D0000}"/>
    <cellStyle name="Header1 19" xfId="1132" xr:uid="{00000000-0005-0000-0000-0000010D0000}"/>
    <cellStyle name="Header1 2" xfId="1133" xr:uid="{00000000-0005-0000-0000-0000020D0000}"/>
    <cellStyle name="Header1 20" xfId="1134" xr:uid="{00000000-0005-0000-0000-0000030D0000}"/>
    <cellStyle name="Header1 21" xfId="1135" xr:uid="{00000000-0005-0000-0000-0000040D0000}"/>
    <cellStyle name="Header1 22" xfId="1136" xr:uid="{00000000-0005-0000-0000-0000050D0000}"/>
    <cellStyle name="Header1 23" xfId="1137" xr:uid="{00000000-0005-0000-0000-0000060D0000}"/>
    <cellStyle name="Header1 24" xfId="1138" xr:uid="{00000000-0005-0000-0000-0000070D0000}"/>
    <cellStyle name="Header1 25" xfId="1139" xr:uid="{00000000-0005-0000-0000-0000080D0000}"/>
    <cellStyle name="Header1 26" xfId="1140" xr:uid="{00000000-0005-0000-0000-0000090D0000}"/>
    <cellStyle name="Header1 27" xfId="1141" xr:uid="{00000000-0005-0000-0000-00000A0D0000}"/>
    <cellStyle name="Header1 28" xfId="1142" xr:uid="{00000000-0005-0000-0000-00000B0D0000}"/>
    <cellStyle name="Header1 29" xfId="1143" xr:uid="{00000000-0005-0000-0000-00000C0D0000}"/>
    <cellStyle name="Header1 3" xfId="1144" xr:uid="{00000000-0005-0000-0000-00000D0D0000}"/>
    <cellStyle name="Header1 30" xfId="1145" xr:uid="{00000000-0005-0000-0000-00000E0D0000}"/>
    <cellStyle name="Header1 31" xfId="1146" xr:uid="{00000000-0005-0000-0000-00000F0D0000}"/>
    <cellStyle name="Header1 32" xfId="1147" xr:uid="{00000000-0005-0000-0000-0000100D0000}"/>
    <cellStyle name="Header1 33" xfId="1148" xr:uid="{00000000-0005-0000-0000-0000110D0000}"/>
    <cellStyle name="Header1 34" xfId="1149" xr:uid="{00000000-0005-0000-0000-0000120D0000}"/>
    <cellStyle name="Header1 35" xfId="1150" xr:uid="{00000000-0005-0000-0000-0000130D0000}"/>
    <cellStyle name="Header1 36" xfId="1151" xr:uid="{00000000-0005-0000-0000-0000140D0000}"/>
    <cellStyle name="Header1 37" xfId="1152" xr:uid="{00000000-0005-0000-0000-0000150D0000}"/>
    <cellStyle name="Header1 38" xfId="1153" xr:uid="{00000000-0005-0000-0000-0000160D0000}"/>
    <cellStyle name="Header1 39" xfId="1154" xr:uid="{00000000-0005-0000-0000-0000170D0000}"/>
    <cellStyle name="Header1 4" xfId="1155" xr:uid="{00000000-0005-0000-0000-0000180D0000}"/>
    <cellStyle name="Header1 40" xfId="1156" xr:uid="{00000000-0005-0000-0000-0000190D0000}"/>
    <cellStyle name="Header1 5" xfId="1157" xr:uid="{00000000-0005-0000-0000-00001A0D0000}"/>
    <cellStyle name="Header1 6" xfId="1158" xr:uid="{00000000-0005-0000-0000-00001B0D0000}"/>
    <cellStyle name="Header1 7" xfId="1159" xr:uid="{00000000-0005-0000-0000-00001C0D0000}"/>
    <cellStyle name="Header1 8" xfId="1160" xr:uid="{00000000-0005-0000-0000-00001D0D0000}"/>
    <cellStyle name="Header1 9" xfId="1161" xr:uid="{00000000-0005-0000-0000-00001E0D0000}"/>
    <cellStyle name="Header2" xfId="1162" xr:uid="{00000000-0005-0000-0000-00001F0D0000}"/>
    <cellStyle name="Header2 10" xfId="1163" xr:uid="{00000000-0005-0000-0000-0000200D0000}"/>
    <cellStyle name="Header2 11" xfId="1164" xr:uid="{00000000-0005-0000-0000-0000210D0000}"/>
    <cellStyle name="Header2 12" xfId="1165" xr:uid="{00000000-0005-0000-0000-0000220D0000}"/>
    <cellStyle name="Header2 13" xfId="1166" xr:uid="{00000000-0005-0000-0000-0000230D0000}"/>
    <cellStyle name="Header2 14" xfId="1167" xr:uid="{00000000-0005-0000-0000-0000240D0000}"/>
    <cellStyle name="Header2 15" xfId="1168" xr:uid="{00000000-0005-0000-0000-0000250D0000}"/>
    <cellStyle name="Header2 16" xfId="1169" xr:uid="{00000000-0005-0000-0000-0000260D0000}"/>
    <cellStyle name="Header2 17" xfId="1170" xr:uid="{00000000-0005-0000-0000-0000270D0000}"/>
    <cellStyle name="Header2 18" xfId="1171" xr:uid="{00000000-0005-0000-0000-0000280D0000}"/>
    <cellStyle name="Header2 19" xfId="1172" xr:uid="{00000000-0005-0000-0000-0000290D0000}"/>
    <cellStyle name="Header2 2" xfId="1173" xr:uid="{00000000-0005-0000-0000-00002A0D0000}"/>
    <cellStyle name="Header2 20" xfId="1174" xr:uid="{00000000-0005-0000-0000-00002B0D0000}"/>
    <cellStyle name="Header2 21" xfId="1175" xr:uid="{00000000-0005-0000-0000-00002C0D0000}"/>
    <cellStyle name="Header2 22" xfId="1176" xr:uid="{00000000-0005-0000-0000-00002D0D0000}"/>
    <cellStyle name="Header2 23" xfId="1177" xr:uid="{00000000-0005-0000-0000-00002E0D0000}"/>
    <cellStyle name="Header2 24" xfId="1178" xr:uid="{00000000-0005-0000-0000-00002F0D0000}"/>
    <cellStyle name="Header2 25" xfId="1179" xr:uid="{00000000-0005-0000-0000-0000300D0000}"/>
    <cellStyle name="Header2 26" xfId="1180" xr:uid="{00000000-0005-0000-0000-0000310D0000}"/>
    <cellStyle name="Header2 27" xfId="1181" xr:uid="{00000000-0005-0000-0000-0000320D0000}"/>
    <cellStyle name="Header2 28" xfId="1182" xr:uid="{00000000-0005-0000-0000-0000330D0000}"/>
    <cellStyle name="Header2 29" xfId="1183" xr:uid="{00000000-0005-0000-0000-0000340D0000}"/>
    <cellStyle name="Header2 3" xfId="1184" xr:uid="{00000000-0005-0000-0000-0000350D0000}"/>
    <cellStyle name="Header2 30" xfId="1185" xr:uid="{00000000-0005-0000-0000-0000360D0000}"/>
    <cellStyle name="Header2 31" xfId="1186" xr:uid="{00000000-0005-0000-0000-0000370D0000}"/>
    <cellStyle name="Header2 32" xfId="1187" xr:uid="{00000000-0005-0000-0000-0000380D0000}"/>
    <cellStyle name="Header2 33" xfId="1188" xr:uid="{00000000-0005-0000-0000-0000390D0000}"/>
    <cellStyle name="Header2 34" xfId="1189" xr:uid="{00000000-0005-0000-0000-00003A0D0000}"/>
    <cellStyle name="Header2 35" xfId="1190" xr:uid="{00000000-0005-0000-0000-00003B0D0000}"/>
    <cellStyle name="Header2 36" xfId="1191" xr:uid="{00000000-0005-0000-0000-00003C0D0000}"/>
    <cellStyle name="Header2 37" xfId="1192" xr:uid="{00000000-0005-0000-0000-00003D0D0000}"/>
    <cellStyle name="Header2 38" xfId="1193" xr:uid="{00000000-0005-0000-0000-00003E0D0000}"/>
    <cellStyle name="Header2 39" xfId="1194" xr:uid="{00000000-0005-0000-0000-00003F0D0000}"/>
    <cellStyle name="Header2 4" xfId="1195" xr:uid="{00000000-0005-0000-0000-0000400D0000}"/>
    <cellStyle name="Header2 40" xfId="1196" xr:uid="{00000000-0005-0000-0000-0000410D0000}"/>
    <cellStyle name="Header2 41" xfId="1197" xr:uid="{00000000-0005-0000-0000-0000420D0000}"/>
    <cellStyle name="Header2 5" xfId="1198" xr:uid="{00000000-0005-0000-0000-0000430D0000}"/>
    <cellStyle name="Header2 6" xfId="1199" xr:uid="{00000000-0005-0000-0000-0000440D0000}"/>
    <cellStyle name="Header2 7" xfId="1200" xr:uid="{00000000-0005-0000-0000-0000450D0000}"/>
    <cellStyle name="Header2 8" xfId="1201" xr:uid="{00000000-0005-0000-0000-0000460D0000}"/>
    <cellStyle name="Header2 9" xfId="1202" xr:uid="{00000000-0005-0000-0000-0000470D0000}"/>
    <cellStyle name="Heading 1" xfId="60" xr:uid="{00000000-0005-0000-0000-0000480D0000}"/>
    <cellStyle name="Heading 1 2" xfId="5062" xr:uid="{00000000-0005-0000-0000-0000490D0000}"/>
    <cellStyle name="Heading 1 Above" xfId="5063" xr:uid="{00000000-0005-0000-0000-00004A0D0000}"/>
    <cellStyle name="Heading 1+" xfId="5064" xr:uid="{00000000-0005-0000-0000-00004B0D0000}"/>
    <cellStyle name="Heading 2" xfId="61" xr:uid="{00000000-0005-0000-0000-00004C0D0000}"/>
    <cellStyle name="Heading 2 2" xfId="5065" xr:uid="{00000000-0005-0000-0000-00004D0D0000}"/>
    <cellStyle name="Heading 2 Below" xfId="5066" xr:uid="{00000000-0005-0000-0000-00004E0D0000}"/>
    <cellStyle name="Heading 2+" xfId="5067" xr:uid="{00000000-0005-0000-0000-00004F0D0000}"/>
    <cellStyle name="Heading 3" xfId="62" xr:uid="{00000000-0005-0000-0000-0000500D0000}"/>
    <cellStyle name="Heading 3 2" xfId="1203" xr:uid="{00000000-0005-0000-0000-0000510D0000}"/>
    <cellStyle name="Heading 3 3" xfId="1204" xr:uid="{00000000-0005-0000-0000-0000520D0000}"/>
    <cellStyle name="Heading 3 4" xfId="1205" xr:uid="{00000000-0005-0000-0000-0000530D0000}"/>
    <cellStyle name="Heading 3 5" xfId="1206" xr:uid="{00000000-0005-0000-0000-0000540D0000}"/>
    <cellStyle name="Heading 3 6" xfId="1207" xr:uid="{00000000-0005-0000-0000-0000550D0000}"/>
    <cellStyle name="Heading 3+" xfId="5068" xr:uid="{00000000-0005-0000-0000-0000560D0000}"/>
    <cellStyle name="Heading 4" xfId="63" xr:uid="{00000000-0005-0000-0000-0000570D0000}"/>
    <cellStyle name="Heading1" xfId="1208" xr:uid="{00000000-0005-0000-0000-0000580D0000}"/>
    <cellStyle name="Heading1 2" xfId="1209" xr:uid="{00000000-0005-0000-0000-0000590D0000}"/>
    <cellStyle name="Heading2" xfId="1210" xr:uid="{00000000-0005-0000-0000-00005A0D0000}"/>
    <cellStyle name="Heading2 2" xfId="1211" xr:uid="{00000000-0005-0000-0000-00005B0D0000}"/>
    <cellStyle name="HEADINGS" xfId="1212" xr:uid="{00000000-0005-0000-0000-00005C0D0000}"/>
    <cellStyle name="HIGHLIGHT" xfId="1213" xr:uid="{00000000-0005-0000-0000-00005D0D0000}"/>
    <cellStyle name="Hiperlink" xfId="64" builtinId="8"/>
    <cellStyle name="Hiperlink 2" xfId="4909" xr:uid="{00000000-0005-0000-0000-00005F0D0000}"/>
    <cellStyle name="Hipervínculo" xfId="5069" xr:uid="{00000000-0005-0000-0000-0000600D0000}"/>
    <cellStyle name="Hyperlink 2" xfId="1214" xr:uid="{00000000-0005-0000-0000-0000610D0000}"/>
    <cellStyle name="Hyperlink 2 2" xfId="1215" xr:uid="{00000000-0005-0000-0000-0000620D0000}"/>
    <cellStyle name="Incorrecto" xfId="1216" xr:uid="{00000000-0005-0000-0000-0000630D0000}"/>
    <cellStyle name="Incorreto" xfId="65" xr:uid="{00000000-0005-0000-0000-0000640D0000}"/>
    <cellStyle name="Incorreto 10" xfId="5557" xr:uid="{00000000-0005-0000-0000-0000650D0000}"/>
    <cellStyle name="Incorreto 11" xfId="5541" xr:uid="{00000000-0005-0000-0000-0000660D0000}"/>
    <cellStyle name="Incorreto 12" xfId="5560" xr:uid="{00000000-0005-0000-0000-0000670D0000}"/>
    <cellStyle name="Incorreto 13" xfId="5534" xr:uid="{00000000-0005-0000-0000-0000680D0000}"/>
    <cellStyle name="Incorreto 14" xfId="5567" xr:uid="{00000000-0005-0000-0000-0000690D0000}"/>
    <cellStyle name="Incorreto 15" xfId="5726" xr:uid="{00000000-0005-0000-0000-00006A0D0000}"/>
    <cellStyle name="Incorreto 16" xfId="5713" xr:uid="{00000000-0005-0000-0000-00006B0D0000}"/>
    <cellStyle name="Incorreto 2" xfId="5070" xr:uid="{00000000-0005-0000-0000-00006C0D0000}"/>
    <cellStyle name="Incorreto 2 2" xfId="6859" xr:uid="{00000000-0005-0000-0000-00006D0D0000}"/>
    <cellStyle name="Incorreto 2 2 2" xfId="6860" xr:uid="{00000000-0005-0000-0000-00006E0D0000}"/>
    <cellStyle name="Incorreto 2 2 2 2" xfId="6861" xr:uid="{00000000-0005-0000-0000-00006F0D0000}"/>
    <cellStyle name="Incorreto 2 2 2 2 2" xfId="6862" xr:uid="{00000000-0005-0000-0000-0000700D0000}"/>
    <cellStyle name="Incorreto 2 2 2 2 2 2" xfId="6863" xr:uid="{00000000-0005-0000-0000-0000710D0000}"/>
    <cellStyle name="Incorreto 2 2 2 2 2 2 2" xfId="6864" xr:uid="{00000000-0005-0000-0000-0000720D0000}"/>
    <cellStyle name="Incorreto 2 2 2 2 2 2 2 2" xfId="6865" xr:uid="{00000000-0005-0000-0000-0000730D0000}"/>
    <cellStyle name="Incorreto 2 2 2 2 2 2 3" xfId="6866" xr:uid="{00000000-0005-0000-0000-0000740D0000}"/>
    <cellStyle name="Incorreto 2 2 2 2 2 3" xfId="6867" xr:uid="{00000000-0005-0000-0000-0000750D0000}"/>
    <cellStyle name="Incorreto 2 2 2 2 2 3 2" xfId="6868" xr:uid="{00000000-0005-0000-0000-0000760D0000}"/>
    <cellStyle name="Incorreto 2 2 2 2 3" xfId="6869" xr:uid="{00000000-0005-0000-0000-0000770D0000}"/>
    <cellStyle name="Incorreto 2 2 2 2 3 2" xfId="6870" xr:uid="{00000000-0005-0000-0000-0000780D0000}"/>
    <cellStyle name="Incorreto 2 2 2 3" xfId="6871" xr:uid="{00000000-0005-0000-0000-0000790D0000}"/>
    <cellStyle name="Incorreto 2 2 2 4" xfId="6872" xr:uid="{00000000-0005-0000-0000-00007A0D0000}"/>
    <cellStyle name="Incorreto 2 2 2 4 2" xfId="6873" xr:uid="{00000000-0005-0000-0000-00007B0D0000}"/>
    <cellStyle name="Incorreto 2 2 3" xfId="6874" xr:uid="{00000000-0005-0000-0000-00007C0D0000}"/>
    <cellStyle name="Incorreto 2 2 4" xfId="6875" xr:uid="{00000000-0005-0000-0000-00007D0D0000}"/>
    <cellStyle name="Incorreto 2 2 4 2" xfId="6876" xr:uid="{00000000-0005-0000-0000-00007E0D0000}"/>
    <cellStyle name="Incorreto 2 3" xfId="6877" xr:uid="{00000000-0005-0000-0000-00007F0D0000}"/>
    <cellStyle name="Incorreto 2 4" xfId="6878" xr:uid="{00000000-0005-0000-0000-0000800D0000}"/>
    <cellStyle name="Incorreto 2 5" xfId="6879" xr:uid="{00000000-0005-0000-0000-0000810D0000}"/>
    <cellStyle name="Incorreto 2 6" xfId="6880" xr:uid="{00000000-0005-0000-0000-0000820D0000}"/>
    <cellStyle name="Incorreto 2 6 2" xfId="6881" xr:uid="{00000000-0005-0000-0000-0000830D0000}"/>
    <cellStyle name="Incorreto 2 7" xfId="6858" xr:uid="{00000000-0005-0000-0000-0000840D0000}"/>
    <cellStyle name="Incorreto 3" xfId="5280" xr:uid="{00000000-0005-0000-0000-0000850D0000}"/>
    <cellStyle name="Incorreto 3 2" xfId="6883" xr:uid="{00000000-0005-0000-0000-0000860D0000}"/>
    <cellStyle name="Incorreto 3 3" xfId="6884" xr:uid="{00000000-0005-0000-0000-0000870D0000}"/>
    <cellStyle name="Incorreto 3 4" xfId="6885" xr:uid="{00000000-0005-0000-0000-0000880D0000}"/>
    <cellStyle name="Incorreto 3 5" xfId="6882" xr:uid="{00000000-0005-0000-0000-0000890D0000}"/>
    <cellStyle name="Incorreto 4" xfId="5266" xr:uid="{00000000-0005-0000-0000-00008A0D0000}"/>
    <cellStyle name="Incorreto 4 2" xfId="6887" xr:uid="{00000000-0005-0000-0000-00008B0D0000}"/>
    <cellStyle name="Incorreto 4 3" xfId="6888" xr:uid="{00000000-0005-0000-0000-00008C0D0000}"/>
    <cellStyle name="Incorreto 4 4" xfId="6886" xr:uid="{00000000-0005-0000-0000-00008D0D0000}"/>
    <cellStyle name="Incorreto 5" xfId="5287" xr:uid="{00000000-0005-0000-0000-00008E0D0000}"/>
    <cellStyle name="Incorreto 5 2" xfId="6890" xr:uid="{00000000-0005-0000-0000-00008F0D0000}"/>
    <cellStyle name="Incorreto 5 3" xfId="6889" xr:uid="{00000000-0005-0000-0000-0000900D0000}"/>
    <cellStyle name="Incorreto 6" xfId="5259" xr:uid="{00000000-0005-0000-0000-0000910D0000}"/>
    <cellStyle name="Incorreto 6 2" xfId="6892" xr:uid="{00000000-0005-0000-0000-0000920D0000}"/>
    <cellStyle name="Incorreto 6 3" xfId="7366" xr:uid="{00000000-0005-0000-0000-0000930D0000}"/>
    <cellStyle name="Incorreto 6 4" xfId="6891" xr:uid="{00000000-0005-0000-0000-0000940D0000}"/>
    <cellStyle name="Incorreto 7" xfId="5295" xr:uid="{00000000-0005-0000-0000-0000950D0000}"/>
    <cellStyle name="Incorreto 7 2" xfId="7367" xr:uid="{00000000-0005-0000-0000-0000960D0000}"/>
    <cellStyle name="Incorreto 7 3" xfId="6893" xr:uid="{00000000-0005-0000-0000-0000970D0000}"/>
    <cellStyle name="Incorreto 8" xfId="5251" xr:uid="{00000000-0005-0000-0000-0000980D0000}"/>
    <cellStyle name="Incorreto 9" xfId="5303" xr:uid="{00000000-0005-0000-0000-0000990D0000}"/>
    <cellStyle name="Indefinido" xfId="5071" xr:uid="{00000000-0005-0000-0000-00009A0D0000}"/>
    <cellStyle name="Input" xfId="66" xr:uid="{00000000-0005-0000-0000-00009B0D0000}"/>
    <cellStyle name="Input [yellow]" xfId="1217" xr:uid="{00000000-0005-0000-0000-00009C0D0000}"/>
    <cellStyle name="Input [yellow] 2" xfId="1218" xr:uid="{00000000-0005-0000-0000-00009D0D0000}"/>
    <cellStyle name="Input [yellow] 3" xfId="1219" xr:uid="{00000000-0005-0000-0000-00009E0D0000}"/>
    <cellStyle name="Input [yellow] 4" xfId="1220" xr:uid="{00000000-0005-0000-0000-00009F0D0000}"/>
    <cellStyle name="Input 10" xfId="10531" xr:uid="{00000000-0005-0000-0000-0000A00D0000}"/>
    <cellStyle name="Input 10 2" xfId="19258" xr:uid="{00000000-0005-0000-0000-0000A10D0000}"/>
    <cellStyle name="Input 11" xfId="10533" xr:uid="{00000000-0005-0000-0000-0000A20D0000}"/>
    <cellStyle name="Input 11 2" xfId="19260" xr:uid="{00000000-0005-0000-0000-0000A30D0000}"/>
    <cellStyle name="Input 12" xfId="10595" xr:uid="{00000000-0005-0000-0000-0000A40D0000}"/>
    <cellStyle name="Input 12 2" xfId="19301" xr:uid="{00000000-0005-0000-0000-0000A50D0000}"/>
    <cellStyle name="Input 13" xfId="10518" xr:uid="{00000000-0005-0000-0000-0000A60D0000}"/>
    <cellStyle name="Input 13 2" xfId="19245" xr:uid="{00000000-0005-0000-0000-0000A70D0000}"/>
    <cellStyle name="Input 14" xfId="10580" xr:uid="{00000000-0005-0000-0000-0000A80D0000}"/>
    <cellStyle name="Input 14 2" xfId="19298" xr:uid="{00000000-0005-0000-0000-0000A90D0000}"/>
    <cellStyle name="Input 15" xfId="10530" xr:uid="{00000000-0005-0000-0000-0000AA0D0000}"/>
    <cellStyle name="Input 15 2" xfId="19257" xr:uid="{00000000-0005-0000-0000-0000AB0D0000}"/>
    <cellStyle name="Input 16" xfId="10535" xr:uid="{00000000-0005-0000-0000-0000AC0D0000}"/>
    <cellStyle name="Input 16 2" xfId="19262" xr:uid="{00000000-0005-0000-0000-0000AD0D0000}"/>
    <cellStyle name="Input 17" xfId="10599" xr:uid="{00000000-0005-0000-0000-0000AE0D0000}"/>
    <cellStyle name="Input 17 2" xfId="19305" xr:uid="{00000000-0005-0000-0000-0000AF0D0000}"/>
    <cellStyle name="Input 18" xfId="12264" xr:uid="{00000000-0005-0000-0000-0000B00D0000}"/>
    <cellStyle name="Input 18 2" xfId="20945" xr:uid="{00000000-0005-0000-0000-0000B10D0000}"/>
    <cellStyle name="Input 19" xfId="13908" xr:uid="{00000000-0005-0000-0000-0000B20D0000}"/>
    <cellStyle name="Input 2" xfId="1221" xr:uid="{00000000-0005-0000-0000-0000B30D0000}"/>
    <cellStyle name="Input 2 2" xfId="1222" xr:uid="{00000000-0005-0000-0000-0000B40D0000}"/>
    <cellStyle name="Input 2 2 2" xfId="10522" xr:uid="{00000000-0005-0000-0000-0000B50D0000}"/>
    <cellStyle name="Input 2 2 2 2" xfId="19249" xr:uid="{00000000-0005-0000-0000-0000B60D0000}"/>
    <cellStyle name="Input 2 2 3" xfId="14718" xr:uid="{00000000-0005-0000-0000-0000B70D0000}"/>
    <cellStyle name="Input 2 3" xfId="10521" xr:uid="{00000000-0005-0000-0000-0000B80D0000}"/>
    <cellStyle name="Input 2 3 2" xfId="19248" xr:uid="{00000000-0005-0000-0000-0000B90D0000}"/>
    <cellStyle name="Input 2 4" xfId="14642" xr:uid="{00000000-0005-0000-0000-0000BA0D0000}"/>
    <cellStyle name="Input 20" xfId="14650" xr:uid="{00000000-0005-0000-0000-0000BB0D0000}"/>
    <cellStyle name="Input 21" xfId="14772" xr:uid="{00000000-0005-0000-0000-0000BC0D0000}"/>
    <cellStyle name="Input 22" xfId="14500" xr:uid="{00000000-0005-0000-0000-0000BD0D0000}"/>
    <cellStyle name="Input 23" xfId="16163" xr:uid="{00000000-0005-0000-0000-0000BE0D0000}"/>
    <cellStyle name="Input 24" xfId="22555" xr:uid="{00000000-0005-0000-0000-0000BF0D0000}"/>
    <cellStyle name="Input 25" xfId="14643" xr:uid="{00000000-0005-0000-0000-0000C00D0000}"/>
    <cellStyle name="Input 26" xfId="13978" xr:uid="{00000000-0005-0000-0000-0000C10D0000}"/>
    <cellStyle name="Input 27" xfId="22576" xr:uid="{00000000-0005-0000-0000-0000C20D0000}"/>
    <cellStyle name="Input 3" xfId="1223" xr:uid="{00000000-0005-0000-0000-0000C30D0000}"/>
    <cellStyle name="Input 3 2" xfId="1224" xr:uid="{00000000-0005-0000-0000-0000C40D0000}"/>
    <cellStyle name="Input 3 2 2" xfId="10524" xr:uid="{00000000-0005-0000-0000-0000C50D0000}"/>
    <cellStyle name="Input 3 2 2 2" xfId="19251" xr:uid="{00000000-0005-0000-0000-0000C60D0000}"/>
    <cellStyle name="Input 3 2 3" xfId="14760" xr:uid="{00000000-0005-0000-0000-0000C70D0000}"/>
    <cellStyle name="Input 3 3" xfId="10523" xr:uid="{00000000-0005-0000-0000-0000C80D0000}"/>
    <cellStyle name="Input 3 3 2" xfId="19250" xr:uid="{00000000-0005-0000-0000-0000C90D0000}"/>
    <cellStyle name="Input 3 4" xfId="14507" xr:uid="{00000000-0005-0000-0000-0000CA0D0000}"/>
    <cellStyle name="Input 4" xfId="1225" xr:uid="{00000000-0005-0000-0000-0000CB0D0000}"/>
    <cellStyle name="Input 4 2" xfId="10525" xr:uid="{00000000-0005-0000-0000-0000CC0D0000}"/>
    <cellStyle name="Input 4 2 2" xfId="19252" xr:uid="{00000000-0005-0000-0000-0000CD0D0000}"/>
    <cellStyle name="Input 4 3" xfId="13996" xr:uid="{00000000-0005-0000-0000-0000CE0D0000}"/>
    <cellStyle name="Input 5" xfId="1226" xr:uid="{00000000-0005-0000-0000-0000CF0D0000}"/>
    <cellStyle name="Input 5 2" xfId="10526" xr:uid="{00000000-0005-0000-0000-0000D00D0000}"/>
    <cellStyle name="Input 5 2 2" xfId="19253" xr:uid="{00000000-0005-0000-0000-0000D10D0000}"/>
    <cellStyle name="Input 5 3" xfId="13964" xr:uid="{00000000-0005-0000-0000-0000D20D0000}"/>
    <cellStyle name="Input 6" xfId="1227" xr:uid="{00000000-0005-0000-0000-0000D30D0000}"/>
    <cellStyle name="Input 6 2" xfId="10527" xr:uid="{00000000-0005-0000-0000-0000D40D0000}"/>
    <cellStyle name="Input 6 2 2" xfId="19254" xr:uid="{00000000-0005-0000-0000-0000D50D0000}"/>
    <cellStyle name="Input 6 3" xfId="14461" xr:uid="{00000000-0005-0000-0000-0000D60D0000}"/>
    <cellStyle name="Input 7" xfId="1228" xr:uid="{00000000-0005-0000-0000-0000D70D0000}"/>
    <cellStyle name="Input 7 2" xfId="10528" xr:uid="{00000000-0005-0000-0000-0000D80D0000}"/>
    <cellStyle name="Input 7 2 2" xfId="19255" xr:uid="{00000000-0005-0000-0000-0000D90D0000}"/>
    <cellStyle name="Input 7 3" xfId="14641" xr:uid="{00000000-0005-0000-0000-0000DA0D0000}"/>
    <cellStyle name="Input 8" xfId="10520" xr:uid="{00000000-0005-0000-0000-0000DB0D0000}"/>
    <cellStyle name="Input 8 2" xfId="19247" xr:uid="{00000000-0005-0000-0000-0000DC0D0000}"/>
    <cellStyle name="Input 9" xfId="10596" xr:uid="{00000000-0005-0000-0000-0000DD0D0000}"/>
    <cellStyle name="Input 9 2" xfId="19302" xr:uid="{00000000-0005-0000-0000-0000DE0D0000}"/>
    <cellStyle name="Input Box" xfId="5072" xr:uid="{00000000-0005-0000-0000-0000DF0D0000}"/>
    <cellStyle name="Input Currency" xfId="1229" xr:uid="{00000000-0005-0000-0000-0000E00D0000}"/>
    <cellStyle name="Input Currency 2" xfId="12265" xr:uid="{00000000-0005-0000-0000-0000E10D0000}"/>
    <cellStyle name="Input Date" xfId="1230" xr:uid="{00000000-0005-0000-0000-0000E20D0000}"/>
    <cellStyle name="Input Fixed [0]" xfId="1231" xr:uid="{00000000-0005-0000-0000-0000E30D0000}"/>
    <cellStyle name="Input Normal" xfId="1232" xr:uid="{00000000-0005-0000-0000-0000E40D0000}"/>
    <cellStyle name="Input Percent" xfId="1233" xr:uid="{00000000-0005-0000-0000-0000E50D0000}"/>
    <cellStyle name="Input Percent [2]" xfId="1234" xr:uid="{00000000-0005-0000-0000-0000E60D0000}"/>
    <cellStyle name="Input Percent_Consolidado Angola_Mineração_SDM" xfId="1235" xr:uid="{00000000-0005-0000-0000-0000E70D0000}"/>
    <cellStyle name="Input Titles" xfId="1236" xr:uid="{00000000-0005-0000-0000-0000E80D0000}"/>
    <cellStyle name="InputBlueFont" xfId="1237" xr:uid="{00000000-0005-0000-0000-0000E90D0000}"/>
    <cellStyle name="Komma [0]_Blad1" xfId="1238" xr:uid="{00000000-0005-0000-0000-0000EA0D0000}"/>
    <cellStyle name="Komma_Blad1" xfId="1239" xr:uid="{00000000-0005-0000-0000-0000EB0D0000}"/>
    <cellStyle name="left" xfId="1240" xr:uid="{00000000-0005-0000-0000-0000EC0D0000}"/>
    <cellStyle name="leftStyle" xfId="5073" xr:uid="{00000000-0005-0000-0000-0000ED0D0000}"/>
    <cellStyle name="leftStyle2" xfId="5074" xr:uid="{00000000-0005-0000-0000-0000EE0D0000}"/>
    <cellStyle name="Linha" xfId="1241" xr:uid="{00000000-0005-0000-0000-0000EF0D0000}"/>
    <cellStyle name="Linha 10" xfId="1242" xr:uid="{00000000-0005-0000-0000-0000F00D0000}"/>
    <cellStyle name="Linha 11" xfId="1243" xr:uid="{00000000-0005-0000-0000-0000F10D0000}"/>
    <cellStyle name="Linha 12" xfId="1244" xr:uid="{00000000-0005-0000-0000-0000F20D0000}"/>
    <cellStyle name="Linha 13" xfId="1245" xr:uid="{00000000-0005-0000-0000-0000F30D0000}"/>
    <cellStyle name="Linha 14" xfId="1246" xr:uid="{00000000-0005-0000-0000-0000F40D0000}"/>
    <cellStyle name="Linha 15" xfId="1247" xr:uid="{00000000-0005-0000-0000-0000F50D0000}"/>
    <cellStyle name="Linha 16" xfId="1248" xr:uid="{00000000-0005-0000-0000-0000F60D0000}"/>
    <cellStyle name="Linha 17" xfId="1249" xr:uid="{00000000-0005-0000-0000-0000F70D0000}"/>
    <cellStyle name="Linha 18" xfId="1250" xr:uid="{00000000-0005-0000-0000-0000F80D0000}"/>
    <cellStyle name="Linha 19" xfId="1251" xr:uid="{00000000-0005-0000-0000-0000F90D0000}"/>
    <cellStyle name="Linha 2" xfId="1252" xr:uid="{00000000-0005-0000-0000-0000FA0D0000}"/>
    <cellStyle name="Linha 20" xfId="1253" xr:uid="{00000000-0005-0000-0000-0000FB0D0000}"/>
    <cellStyle name="Linha 21" xfId="1254" xr:uid="{00000000-0005-0000-0000-0000FC0D0000}"/>
    <cellStyle name="Linha 22" xfId="1255" xr:uid="{00000000-0005-0000-0000-0000FD0D0000}"/>
    <cellStyle name="Linha 23" xfId="1256" xr:uid="{00000000-0005-0000-0000-0000FE0D0000}"/>
    <cellStyle name="Linha 24" xfId="1257" xr:uid="{00000000-0005-0000-0000-0000FF0D0000}"/>
    <cellStyle name="Linha 25" xfId="1258" xr:uid="{00000000-0005-0000-0000-0000000E0000}"/>
    <cellStyle name="Linha 26" xfId="1259" xr:uid="{00000000-0005-0000-0000-0000010E0000}"/>
    <cellStyle name="Linha 27" xfId="1260" xr:uid="{00000000-0005-0000-0000-0000020E0000}"/>
    <cellStyle name="Linha 28" xfId="1261" xr:uid="{00000000-0005-0000-0000-0000030E0000}"/>
    <cellStyle name="Linha 29" xfId="1262" xr:uid="{00000000-0005-0000-0000-0000040E0000}"/>
    <cellStyle name="Linha 3" xfId="1263" xr:uid="{00000000-0005-0000-0000-0000050E0000}"/>
    <cellStyle name="Linha 30" xfId="1264" xr:uid="{00000000-0005-0000-0000-0000060E0000}"/>
    <cellStyle name="Linha 31" xfId="1265" xr:uid="{00000000-0005-0000-0000-0000070E0000}"/>
    <cellStyle name="Linha 32" xfId="1266" xr:uid="{00000000-0005-0000-0000-0000080E0000}"/>
    <cellStyle name="Linha 33" xfId="1267" xr:uid="{00000000-0005-0000-0000-0000090E0000}"/>
    <cellStyle name="Linha 34" xfId="1268" xr:uid="{00000000-0005-0000-0000-00000A0E0000}"/>
    <cellStyle name="Linha 35" xfId="1269" xr:uid="{00000000-0005-0000-0000-00000B0E0000}"/>
    <cellStyle name="Linha 36" xfId="1270" xr:uid="{00000000-0005-0000-0000-00000C0E0000}"/>
    <cellStyle name="Linha 37" xfId="1271" xr:uid="{00000000-0005-0000-0000-00000D0E0000}"/>
    <cellStyle name="Linha 38" xfId="1272" xr:uid="{00000000-0005-0000-0000-00000E0E0000}"/>
    <cellStyle name="Linha 39" xfId="1273" xr:uid="{00000000-0005-0000-0000-00000F0E0000}"/>
    <cellStyle name="Linha 4" xfId="1274" xr:uid="{00000000-0005-0000-0000-0000100E0000}"/>
    <cellStyle name="Linha 40" xfId="1275" xr:uid="{00000000-0005-0000-0000-0000110E0000}"/>
    <cellStyle name="Linha 5" xfId="1276" xr:uid="{00000000-0005-0000-0000-0000120E0000}"/>
    <cellStyle name="Linha 6" xfId="1277" xr:uid="{00000000-0005-0000-0000-0000130E0000}"/>
    <cellStyle name="Linha 7" xfId="1278" xr:uid="{00000000-0005-0000-0000-0000140E0000}"/>
    <cellStyle name="Linha 8" xfId="1279" xr:uid="{00000000-0005-0000-0000-0000150E0000}"/>
    <cellStyle name="Linha 9" xfId="1280" xr:uid="{00000000-0005-0000-0000-0000160E0000}"/>
    <cellStyle name="Link Currency (0)" xfId="5075" xr:uid="{00000000-0005-0000-0000-0000170E0000}"/>
    <cellStyle name="Link Currency (2)" xfId="5076" xr:uid="{00000000-0005-0000-0000-0000180E0000}"/>
    <cellStyle name="Link Units (0)" xfId="5077" xr:uid="{00000000-0005-0000-0000-0000190E0000}"/>
    <cellStyle name="Link Units (1)" xfId="5078" xr:uid="{00000000-0005-0000-0000-00001A0E0000}"/>
    <cellStyle name="Link Units (2)" xfId="5079" xr:uid="{00000000-0005-0000-0000-00001B0E0000}"/>
    <cellStyle name="Linked Cell" xfId="67" xr:uid="{00000000-0005-0000-0000-00001C0E0000}"/>
    <cellStyle name="M" xfId="1281" xr:uid="{00000000-0005-0000-0000-00001D0E0000}"/>
    <cellStyle name="M 2" xfId="1282" xr:uid="{00000000-0005-0000-0000-00001E0E0000}"/>
    <cellStyle name="M 2 2" xfId="1283" xr:uid="{00000000-0005-0000-0000-00001F0E0000}"/>
    <cellStyle name="M 2 3" xfId="1284" xr:uid="{00000000-0005-0000-0000-0000200E0000}"/>
    <cellStyle name="M 2 4" xfId="1285" xr:uid="{00000000-0005-0000-0000-0000210E0000}"/>
    <cellStyle name="M 3" xfId="1286" xr:uid="{00000000-0005-0000-0000-0000220E0000}"/>
    <cellStyle name="M 3 2" xfId="1287" xr:uid="{00000000-0005-0000-0000-0000230E0000}"/>
    <cellStyle name="M 3 3" xfId="1288" xr:uid="{00000000-0005-0000-0000-0000240E0000}"/>
    <cellStyle name="M 3 4" xfId="1289" xr:uid="{00000000-0005-0000-0000-0000250E0000}"/>
    <cellStyle name="M 4" xfId="1290" xr:uid="{00000000-0005-0000-0000-0000260E0000}"/>
    <cellStyle name="M 4 2" xfId="1291" xr:uid="{00000000-0005-0000-0000-0000270E0000}"/>
    <cellStyle name="M 4 3" xfId="1292" xr:uid="{00000000-0005-0000-0000-0000280E0000}"/>
    <cellStyle name="M 4 4" xfId="1293" xr:uid="{00000000-0005-0000-0000-0000290E0000}"/>
    <cellStyle name="M 5" xfId="1294" xr:uid="{00000000-0005-0000-0000-00002A0E0000}"/>
    <cellStyle name="M 5 2" xfId="1295" xr:uid="{00000000-0005-0000-0000-00002B0E0000}"/>
    <cellStyle name="M 6" xfId="1296" xr:uid="{00000000-0005-0000-0000-00002C0E0000}"/>
    <cellStyle name="M 6 2" xfId="1297" xr:uid="{00000000-0005-0000-0000-00002D0E0000}"/>
    <cellStyle name="M 7" xfId="1298" xr:uid="{00000000-0005-0000-0000-00002E0E0000}"/>
    <cellStyle name="M 7 2" xfId="1299" xr:uid="{00000000-0005-0000-0000-00002F0E0000}"/>
    <cellStyle name="M 8" xfId="1300" xr:uid="{00000000-0005-0000-0000-0000300E0000}"/>
    <cellStyle name="M 9" xfId="1301" xr:uid="{00000000-0005-0000-0000-0000310E0000}"/>
    <cellStyle name="M_Braskem balanço e dre" xfId="1302" xr:uid="{00000000-0005-0000-0000-0000320E0000}"/>
    <cellStyle name="M_Braskem balanço e dre 2" xfId="1303" xr:uid="{00000000-0005-0000-0000-0000330E0000}"/>
    <cellStyle name="M_Braskem balanço e dre 2 2" xfId="1304" xr:uid="{00000000-0005-0000-0000-0000340E0000}"/>
    <cellStyle name="M_Braskem balanço e dre 3" xfId="1305" xr:uid="{00000000-0005-0000-0000-0000350E0000}"/>
    <cellStyle name="M_Braskem balanço e dre 4" xfId="1306" xr:uid="{00000000-0005-0000-0000-0000360E0000}"/>
    <cellStyle name="M_Braskem balanço e dre_Novos quadros - SBSA" xfId="1307" xr:uid="{00000000-0005-0000-0000-0000370E0000}"/>
    <cellStyle name="M_Braskem balanço e dre_Novos quadros - SBSA 2" xfId="1308" xr:uid="{00000000-0005-0000-0000-0000380E0000}"/>
    <cellStyle name="M_Braskem balanço e dre_Novos quadros - SBSA 2 2" xfId="1309" xr:uid="{00000000-0005-0000-0000-0000390E0000}"/>
    <cellStyle name="M_Braskem balanço e dre_Novos quadros - SBSA 3" xfId="1310" xr:uid="{00000000-0005-0000-0000-00003A0E0000}"/>
    <cellStyle name="M_Braskem balanço e dre_ODB_Quadros_ 8ª versão" xfId="1311" xr:uid="{00000000-0005-0000-0000-00003B0E0000}"/>
    <cellStyle name="M_Braskem balanço e dre_ODB_Quadros_ 8ª versão 2" xfId="1312" xr:uid="{00000000-0005-0000-0000-00003C0E0000}"/>
    <cellStyle name="M_Braskem balanço e dre_ODB_Quadros_ 8ª versão 2 2" xfId="1313" xr:uid="{00000000-0005-0000-0000-00003D0E0000}"/>
    <cellStyle name="M_Braskem balanço e dre_ODB_Quadros_ 8ª versão 3" xfId="1314" xr:uid="{00000000-0005-0000-0000-00003E0E0000}"/>
    <cellStyle name="M_Braskem balanço e dre_Quadros Relat PwC Jaguaribe dez08 e dez07 v1" xfId="1315" xr:uid="{00000000-0005-0000-0000-00003F0E0000}"/>
    <cellStyle name="M_Braskem balanço e dre_Quadros Relat PwC Jaguaribe dez08 e dez07 v1 2" xfId="1316" xr:uid="{00000000-0005-0000-0000-0000400E0000}"/>
    <cellStyle name="M_Braskem balanço e dre_Quadros Relat PwC Jaguaribe dez08 e dez07 v1 2 2" xfId="1317" xr:uid="{00000000-0005-0000-0000-0000410E0000}"/>
    <cellStyle name="M_Braskem balanço e dre_Quadros Relat PwC Jaguaribe dez08 e dez07 v1 3" xfId="1318" xr:uid="{00000000-0005-0000-0000-0000420E0000}"/>
    <cellStyle name="M_Ced. 6 - Mapa DOAR 2006 e 2007_controladora" xfId="1319" xr:uid="{00000000-0005-0000-0000-0000430E0000}"/>
    <cellStyle name="M_Ced. 6 - Mapa DOAR 2006 e 2007_controladora 2" xfId="1320" xr:uid="{00000000-0005-0000-0000-0000440E0000}"/>
    <cellStyle name="M_Ced. 6 - Mapa DOAR 2006 e 2007_controladora 2 2" xfId="1321" xr:uid="{00000000-0005-0000-0000-0000450E0000}"/>
    <cellStyle name="M_Ced. 6 - Mapa DOAR 2006 e 2007_controladora 3" xfId="1322" xr:uid="{00000000-0005-0000-0000-0000460E0000}"/>
    <cellStyle name="M_Ced. 6 - Mapa DOAR 2006 e 2007_controladora 4" xfId="1323" xr:uid="{00000000-0005-0000-0000-0000470E0000}"/>
    <cellStyle name="M_Consolidado Angola_Mineração_Com_2007" xfId="1324" xr:uid="{00000000-0005-0000-0000-0000480E0000}"/>
    <cellStyle name="M_Consolidado Angola_Mineração_Com_2007 2" xfId="1325" xr:uid="{00000000-0005-0000-0000-0000490E0000}"/>
    <cellStyle name="M_Consolidado Angola_Mineração_Com_2007 3" xfId="1326" xr:uid="{00000000-0005-0000-0000-00004A0E0000}"/>
    <cellStyle name="M_Consolidado Angola_Mineração_Com_2007 4" xfId="1327" xr:uid="{00000000-0005-0000-0000-00004B0E0000}"/>
    <cellStyle name="M_Consolidado Angola_Outros_com_2007" xfId="1328" xr:uid="{00000000-0005-0000-0000-00004C0E0000}"/>
    <cellStyle name="M_Consolidado Angola_Outros_com_2007 2" xfId="1329" xr:uid="{00000000-0005-0000-0000-00004D0E0000}"/>
    <cellStyle name="M_Consolidado Angola_Outros_com_2007 3" xfId="1330" xr:uid="{00000000-0005-0000-0000-00004E0E0000}"/>
    <cellStyle name="M_Consolidado Angola_Outros_com_2007 4" xfId="1331" xr:uid="{00000000-0005-0000-0000-00004F0E0000}"/>
    <cellStyle name="M_Cópia de QUADROS ACOMPANHAMENTO OEI 06_08_Diplan final" xfId="1332" xr:uid="{00000000-0005-0000-0000-0000500E0000}"/>
    <cellStyle name="M_Cópia de QUADROS ACOMPANHAMENTO OEI 06_08_Diplan final 2" xfId="1333" xr:uid="{00000000-0005-0000-0000-0000510E0000}"/>
    <cellStyle name="M_Cópia de QUADROS ACOMPANHAMENTO OEI 06_08_Diplan final 2 2" xfId="1334" xr:uid="{00000000-0005-0000-0000-0000520E0000}"/>
    <cellStyle name="M_Cópia de QUADROS ACOMPANHAMENTO OEI 06_08_Diplan final 2 3" xfId="1335" xr:uid="{00000000-0005-0000-0000-0000530E0000}"/>
    <cellStyle name="M_Cópia de QUADROS ACOMPANHAMENTO OEI 06_08_Diplan final 2 4" xfId="1336" xr:uid="{00000000-0005-0000-0000-0000540E0000}"/>
    <cellStyle name="M_Cópia de QUADROS ACOMPANHAMENTO OEI 06_08_Diplan final 3" xfId="1337" xr:uid="{00000000-0005-0000-0000-0000550E0000}"/>
    <cellStyle name="M_Cópia de QUADROS ACOMPANHAMENTO OEI 06_08_Diplan final 4" xfId="1338" xr:uid="{00000000-0005-0000-0000-0000560E0000}"/>
    <cellStyle name="M_Cópia de QUADROS ACOMPANHAMENTO OEI 06_08_Diplan final 5" xfId="1339" xr:uid="{00000000-0005-0000-0000-0000570E0000}"/>
    <cellStyle name="M_Dados PN 2006" xfId="1340" xr:uid="{00000000-0005-0000-0000-0000580E0000}"/>
    <cellStyle name="M_Dados PN 2006 2" xfId="1341" xr:uid="{00000000-0005-0000-0000-0000590E0000}"/>
    <cellStyle name="M_Dados PN 2006 3" xfId="1342" xr:uid="{00000000-0005-0000-0000-00005A0E0000}"/>
    <cellStyle name="M_Dados PN 2006 4" xfId="1343" xr:uid="{00000000-0005-0000-0000-00005B0E0000}"/>
    <cellStyle name="M_Dados PN 2006_Consolidado Angola_Mineração_Com_2007" xfId="1344" xr:uid="{00000000-0005-0000-0000-00005C0E0000}"/>
    <cellStyle name="M_Dados PN 2006_Consolidado Angola_Mineração_Com_2007 2" xfId="1345" xr:uid="{00000000-0005-0000-0000-00005D0E0000}"/>
    <cellStyle name="M_Dados PN 2006_Consolidado Angola_Mineração_Com_2007 3" xfId="1346" xr:uid="{00000000-0005-0000-0000-00005E0E0000}"/>
    <cellStyle name="M_Dados PN 2006_Consolidado Angola_Mineração_Com_2007 4" xfId="1347" xr:uid="{00000000-0005-0000-0000-00005F0E0000}"/>
    <cellStyle name="M_Dados PN 2006_Consolidado Angola_Outros_com_2007" xfId="1348" xr:uid="{00000000-0005-0000-0000-0000600E0000}"/>
    <cellStyle name="M_Dados PN 2006_Consolidado Angola_Outros_com_2007 2" xfId="1349" xr:uid="{00000000-0005-0000-0000-0000610E0000}"/>
    <cellStyle name="M_Dados PN 2006_Consolidado Angola_Outros_com_2007 3" xfId="1350" xr:uid="{00000000-0005-0000-0000-0000620E0000}"/>
    <cellStyle name="M_Dados PN 2006_Consolidado Angola_Outros_com_2007 4" xfId="1351" xr:uid="{00000000-0005-0000-0000-0000630E0000}"/>
    <cellStyle name="M_Dados PN 2006_Mascara Relatorio 2008 - Cópia" xfId="1352" xr:uid="{00000000-0005-0000-0000-0000640E0000}"/>
    <cellStyle name="M_Dados PN 2006_Mascara Relatorio 2008 - Cópia 2" xfId="1353" xr:uid="{00000000-0005-0000-0000-0000650E0000}"/>
    <cellStyle name="M_Dados PN 2006_Mascara Relatorio 2008 - Cópia 3" xfId="1354" xr:uid="{00000000-0005-0000-0000-0000660E0000}"/>
    <cellStyle name="M_Dados PN 2006_Mascara Relatorio 2008 - Cópia 4" xfId="1355" xr:uid="{00000000-0005-0000-0000-0000670E0000}"/>
    <cellStyle name="M_Fechamento 2008_OEA" xfId="1356" xr:uid="{00000000-0005-0000-0000-0000680E0000}"/>
    <cellStyle name="M_Fechamento 2008_OEA 2" xfId="1357" xr:uid="{00000000-0005-0000-0000-0000690E0000}"/>
    <cellStyle name="M_Fechamento 2008_OEA 2 2" xfId="1358" xr:uid="{00000000-0005-0000-0000-00006A0E0000}"/>
    <cellStyle name="M_Fechamento 2008_OEA 2 3" xfId="1359" xr:uid="{00000000-0005-0000-0000-00006B0E0000}"/>
    <cellStyle name="M_Fechamento 2008_OEA 2 4" xfId="1360" xr:uid="{00000000-0005-0000-0000-00006C0E0000}"/>
    <cellStyle name="M_Fechamento 2008_OEA 3" xfId="1361" xr:uid="{00000000-0005-0000-0000-00006D0E0000}"/>
    <cellStyle name="M_Fechamento 2008_OEA 4" xfId="1362" xr:uid="{00000000-0005-0000-0000-00006E0E0000}"/>
    <cellStyle name="M_Fechamento 2008_OEA 5" xfId="1363" xr:uid="{00000000-0005-0000-0000-00006F0E0000}"/>
    <cellStyle name="M_Mascara Relatorio 2008 - Cópia" xfId="1364" xr:uid="{00000000-0005-0000-0000-0000700E0000}"/>
    <cellStyle name="M_Mascara Relatorio 2008 - Cópia 2" xfId="1365" xr:uid="{00000000-0005-0000-0000-0000710E0000}"/>
    <cellStyle name="M_Mascara Relatorio 2008 - Cópia 3" xfId="1366" xr:uid="{00000000-0005-0000-0000-0000720E0000}"/>
    <cellStyle name="M_Mascara Relatorio 2008 - Cópia 4" xfId="1367" xr:uid="{00000000-0005-0000-0000-0000730E0000}"/>
    <cellStyle name="M_MEQ_rodada 08" xfId="1368" xr:uid="{00000000-0005-0000-0000-0000740E0000}"/>
    <cellStyle name="M_MEQ_rodada 08 2" xfId="1369" xr:uid="{00000000-0005-0000-0000-0000750E0000}"/>
    <cellStyle name="M_MEQ_rodada 08 3" xfId="1370" xr:uid="{00000000-0005-0000-0000-0000760E0000}"/>
    <cellStyle name="M_MEQ_rodada 08 4" xfId="1371" xr:uid="{00000000-0005-0000-0000-0000770E0000}"/>
    <cellStyle name="M_MEQ_rodada 08_Consolidado Angola_Mineração_Com_2007" xfId="1372" xr:uid="{00000000-0005-0000-0000-0000780E0000}"/>
    <cellStyle name="M_MEQ_rodada 08_Consolidado Angola_Mineração_Com_2007 2" xfId="1373" xr:uid="{00000000-0005-0000-0000-0000790E0000}"/>
    <cellStyle name="M_MEQ_rodada 08_Consolidado Angola_Mineração_Com_2007 3" xfId="1374" xr:uid="{00000000-0005-0000-0000-00007A0E0000}"/>
    <cellStyle name="M_MEQ_rodada 08_Consolidado Angola_Mineração_Com_2007 4" xfId="1375" xr:uid="{00000000-0005-0000-0000-00007B0E0000}"/>
    <cellStyle name="M_MEQ_rodada 08_Consolidado Angola_Outros_com_2007" xfId="1376" xr:uid="{00000000-0005-0000-0000-00007C0E0000}"/>
    <cellStyle name="M_MEQ_rodada 08_Consolidado Angola_Outros_com_2007 2" xfId="1377" xr:uid="{00000000-0005-0000-0000-00007D0E0000}"/>
    <cellStyle name="M_MEQ_rodada 08_Consolidado Angola_Outros_com_2007 3" xfId="1378" xr:uid="{00000000-0005-0000-0000-00007E0E0000}"/>
    <cellStyle name="M_MEQ_rodada 08_Consolidado Angola_Outros_com_2007 4" xfId="1379" xr:uid="{00000000-0005-0000-0000-00007F0E0000}"/>
    <cellStyle name="M_MEQ_rodada 08_Mascara Relatorio 2008 - Cópia" xfId="1380" xr:uid="{00000000-0005-0000-0000-0000800E0000}"/>
    <cellStyle name="M_MEQ_rodada 08_Mascara Relatorio 2008 - Cópia 2" xfId="1381" xr:uid="{00000000-0005-0000-0000-0000810E0000}"/>
    <cellStyle name="M_MEQ_rodada 08_Mascara Relatorio 2008 - Cópia 3" xfId="1382" xr:uid="{00000000-0005-0000-0000-0000820E0000}"/>
    <cellStyle name="M_MEQ_rodada 08_Mascara Relatorio 2008 - Cópia 4" xfId="1383" xr:uid="{00000000-0005-0000-0000-0000830E0000}"/>
    <cellStyle name="M_Nota 14 Forneced" xfId="1384" xr:uid="{00000000-0005-0000-0000-0000840E0000}"/>
    <cellStyle name="M_Nota 14 Forneced 2" xfId="1385" xr:uid="{00000000-0005-0000-0000-0000850E0000}"/>
    <cellStyle name="M_Nota 14 Forneced 2 2" xfId="1386" xr:uid="{00000000-0005-0000-0000-0000860E0000}"/>
    <cellStyle name="M_Nota 14 Forneced 3" xfId="1387" xr:uid="{00000000-0005-0000-0000-0000870E0000}"/>
    <cellStyle name="M_notas_complementares finais" xfId="1388" xr:uid="{00000000-0005-0000-0000-0000880E0000}"/>
    <cellStyle name="M_notas_complementares finais 2" xfId="1389" xr:uid="{00000000-0005-0000-0000-0000890E0000}"/>
    <cellStyle name="M_notas_complementares finais 2 2" xfId="1390" xr:uid="{00000000-0005-0000-0000-00008A0E0000}"/>
    <cellStyle name="M_notas_complementares finais 3" xfId="1391" xr:uid="{00000000-0005-0000-0000-00008B0E0000}"/>
    <cellStyle name="M_notas_complementares finais 4" xfId="1392" xr:uid="{00000000-0005-0000-0000-00008C0E0000}"/>
    <cellStyle name="M_notas_complementares finais_Novos quadros - SBSA" xfId="1393" xr:uid="{00000000-0005-0000-0000-00008D0E0000}"/>
    <cellStyle name="M_notas_complementares finais_Novos quadros - SBSA 2" xfId="1394" xr:uid="{00000000-0005-0000-0000-00008E0E0000}"/>
    <cellStyle name="M_notas_complementares finais_Novos quadros - SBSA 2 2" xfId="1395" xr:uid="{00000000-0005-0000-0000-00008F0E0000}"/>
    <cellStyle name="M_notas_complementares finais_Novos quadros - SBSA 3" xfId="1396" xr:uid="{00000000-0005-0000-0000-0000900E0000}"/>
    <cellStyle name="M_notas_complementares finais_ODB_Quadros_ 8ª versão" xfId="1397" xr:uid="{00000000-0005-0000-0000-0000910E0000}"/>
    <cellStyle name="M_notas_complementares finais_ODB_Quadros_ 8ª versão 2" xfId="1398" xr:uid="{00000000-0005-0000-0000-0000920E0000}"/>
    <cellStyle name="M_notas_complementares finais_ODB_Quadros_ 8ª versão 2 2" xfId="1399" xr:uid="{00000000-0005-0000-0000-0000930E0000}"/>
    <cellStyle name="M_notas_complementares finais_ODB_Quadros_ 8ª versão 3" xfId="1400" xr:uid="{00000000-0005-0000-0000-0000940E0000}"/>
    <cellStyle name="M_notas_complementares finais_Quadros Relat PwC Jaguaribe dez08 e dez07 v1" xfId="1401" xr:uid="{00000000-0005-0000-0000-0000950E0000}"/>
    <cellStyle name="M_notas_complementares finais_Quadros Relat PwC Jaguaribe dez08 e dez07 v1 2" xfId="1402" xr:uid="{00000000-0005-0000-0000-0000960E0000}"/>
    <cellStyle name="M_notas_complementares finais_Quadros Relat PwC Jaguaribe dez08 e dez07 v1 2 2" xfId="1403" xr:uid="{00000000-0005-0000-0000-0000970E0000}"/>
    <cellStyle name="M_notas_complementares finais_Quadros Relat PwC Jaguaribe dez08 e dez07 v1 3" xfId="1404" xr:uid="{00000000-0005-0000-0000-0000980E0000}"/>
    <cellStyle name="M_Novos quadros - SBSA" xfId="1405" xr:uid="{00000000-0005-0000-0000-0000990E0000}"/>
    <cellStyle name="M_Novos quadros - SBSA 2" xfId="1406" xr:uid="{00000000-0005-0000-0000-00009A0E0000}"/>
    <cellStyle name="M_Novos quadros - SBSA 2 2" xfId="1407" xr:uid="{00000000-0005-0000-0000-00009B0E0000}"/>
    <cellStyle name="M_Novos quadros - SBSA 3" xfId="1408" xr:uid="{00000000-0005-0000-0000-00009C0E0000}"/>
    <cellStyle name="M_ODB Consolidado - Quadros jun.05 II" xfId="1409" xr:uid="{00000000-0005-0000-0000-00009D0E0000}"/>
    <cellStyle name="M_ODB Consolidado - Quadros jun.05 II 2" xfId="1410" xr:uid="{00000000-0005-0000-0000-00009E0E0000}"/>
    <cellStyle name="M_ODB Consolidado - Quadros jun.05 II 2 2" xfId="1411" xr:uid="{00000000-0005-0000-0000-00009F0E0000}"/>
    <cellStyle name="M_ODB Consolidado - Quadros jun.05 II 3" xfId="1412" xr:uid="{00000000-0005-0000-0000-0000A00E0000}"/>
    <cellStyle name="M_ODB Consolidado - Quadros jun.05 II 4" xfId="1413" xr:uid="{00000000-0005-0000-0000-0000A10E0000}"/>
    <cellStyle name="M_ODB Consolidado - Quadros jun.05 II_Novos quadros - SBSA" xfId="1414" xr:uid="{00000000-0005-0000-0000-0000A20E0000}"/>
    <cellStyle name="M_ODB Consolidado - Quadros jun.05 II_Novos quadros - SBSA 2" xfId="1415" xr:uid="{00000000-0005-0000-0000-0000A30E0000}"/>
    <cellStyle name="M_ODB Consolidado - Quadros jun.05 II_Novos quadros - SBSA 2 2" xfId="1416" xr:uid="{00000000-0005-0000-0000-0000A40E0000}"/>
    <cellStyle name="M_ODB Consolidado - Quadros jun.05 II_Novos quadros - SBSA 3" xfId="1417" xr:uid="{00000000-0005-0000-0000-0000A50E0000}"/>
    <cellStyle name="M_ODB Consolidado - Quadros jun.05 II_ODB_Quadros_ 8ª versão" xfId="1418" xr:uid="{00000000-0005-0000-0000-0000A60E0000}"/>
    <cellStyle name="M_ODB Consolidado - Quadros jun.05 II_ODB_Quadros_ 8ª versão 2" xfId="1419" xr:uid="{00000000-0005-0000-0000-0000A70E0000}"/>
    <cellStyle name="M_ODB Consolidado - Quadros jun.05 II_ODB_Quadros_ 8ª versão 2 2" xfId="1420" xr:uid="{00000000-0005-0000-0000-0000A80E0000}"/>
    <cellStyle name="M_ODB Consolidado - Quadros jun.05 II_ODB_Quadros_ 8ª versão 3" xfId="1421" xr:uid="{00000000-0005-0000-0000-0000A90E0000}"/>
    <cellStyle name="M_ODB Consolidado - Quadros jun.05 II_Quadros Relat PwC Jaguaribe dez08 e dez07 v1" xfId="1422" xr:uid="{00000000-0005-0000-0000-0000AA0E0000}"/>
    <cellStyle name="M_ODB Consolidado - Quadros jun.05 II_Quadros Relat PwC Jaguaribe dez08 e dez07 v1 2" xfId="1423" xr:uid="{00000000-0005-0000-0000-0000AB0E0000}"/>
    <cellStyle name="M_ODB Consolidado - Quadros jun.05 II_Quadros Relat PwC Jaguaribe dez08 e dez07 v1 2 2" xfId="1424" xr:uid="{00000000-0005-0000-0000-0000AC0E0000}"/>
    <cellStyle name="M_ODB Consolidado - Quadros jun.05 II_Quadros Relat PwC Jaguaribe dez08 e dez07 v1 3" xfId="1425" xr:uid="{00000000-0005-0000-0000-0000AD0E0000}"/>
    <cellStyle name="M_ODB Consolidado - Quadros Port_ jun_06" xfId="1426" xr:uid="{00000000-0005-0000-0000-0000AE0E0000}"/>
    <cellStyle name="M_ODB Consolidado - Quadros Port_ jun_06 2" xfId="1427" xr:uid="{00000000-0005-0000-0000-0000AF0E0000}"/>
    <cellStyle name="M_ODB Consolidado - Quadros Port_ jun_06 2 2" xfId="1428" xr:uid="{00000000-0005-0000-0000-0000B00E0000}"/>
    <cellStyle name="M_ODB Consolidado - Quadros Port_ jun_06 3" xfId="1429" xr:uid="{00000000-0005-0000-0000-0000B10E0000}"/>
    <cellStyle name="M_ODB Consolidado - Quadros Port_ jun_06 4" xfId="1430" xr:uid="{00000000-0005-0000-0000-0000B20E0000}"/>
    <cellStyle name="M_ODB Consolidado - Quadros Port_ jun_06_Novos quadros - SBSA" xfId="1431" xr:uid="{00000000-0005-0000-0000-0000B30E0000}"/>
    <cellStyle name="M_ODB Consolidado - Quadros Port_ jun_06_Novos quadros - SBSA 2" xfId="1432" xr:uid="{00000000-0005-0000-0000-0000B40E0000}"/>
    <cellStyle name="M_ODB Consolidado - Quadros Port_ jun_06_Novos quadros - SBSA 2 2" xfId="1433" xr:uid="{00000000-0005-0000-0000-0000B50E0000}"/>
    <cellStyle name="M_ODB Consolidado - Quadros Port_ jun_06_Novos quadros - SBSA 3" xfId="1434" xr:uid="{00000000-0005-0000-0000-0000B60E0000}"/>
    <cellStyle name="M_ODB Consolidado - Quadros Port_ jun_06_ODB_Quadros_ 8ª versão" xfId="1435" xr:uid="{00000000-0005-0000-0000-0000B70E0000}"/>
    <cellStyle name="M_ODB Consolidado - Quadros Port_ jun_06_ODB_Quadros_ 8ª versão 2" xfId="1436" xr:uid="{00000000-0005-0000-0000-0000B80E0000}"/>
    <cellStyle name="M_ODB Consolidado - Quadros Port_ jun_06_ODB_Quadros_ 8ª versão 2 2" xfId="1437" xr:uid="{00000000-0005-0000-0000-0000B90E0000}"/>
    <cellStyle name="M_ODB Consolidado - Quadros Port_ jun_06_ODB_Quadros_ 8ª versão 3" xfId="1438" xr:uid="{00000000-0005-0000-0000-0000BA0E0000}"/>
    <cellStyle name="M_ODB Consolidado - Quadros Port_ jun_06_Quadros Relat PwC Jaguaribe dez08 e dez07 v1" xfId="1439" xr:uid="{00000000-0005-0000-0000-0000BB0E0000}"/>
    <cellStyle name="M_ODB Consolidado - Quadros Port_ jun_06_Quadros Relat PwC Jaguaribe dez08 e dez07 v1 2" xfId="1440" xr:uid="{00000000-0005-0000-0000-0000BC0E0000}"/>
    <cellStyle name="M_ODB Consolidado - Quadros Port_ jun_06_Quadros Relat PwC Jaguaribe dez08 e dez07 v1 2 2" xfId="1441" xr:uid="{00000000-0005-0000-0000-0000BD0E0000}"/>
    <cellStyle name="M_ODB Consolidado - Quadros Port_ jun_06_Quadros Relat PwC Jaguaribe dez08 e dez07 v1 3" xfId="1442" xr:uid="{00000000-0005-0000-0000-0000BE0E0000}"/>
    <cellStyle name="M_ODB Consolidado - Quadros_ dez_06" xfId="1443" xr:uid="{00000000-0005-0000-0000-0000BF0E0000}"/>
    <cellStyle name="M_ODB Consolidado - Quadros_ dez_06 2" xfId="1444" xr:uid="{00000000-0005-0000-0000-0000C00E0000}"/>
    <cellStyle name="M_ODB Consolidado - Quadros_ dez_06 2 2" xfId="1445" xr:uid="{00000000-0005-0000-0000-0000C10E0000}"/>
    <cellStyle name="M_ODB Consolidado - Quadros_ dez_06 3" xfId="1446" xr:uid="{00000000-0005-0000-0000-0000C20E0000}"/>
    <cellStyle name="M_ODB Consolidado - Quadros_ dez_06 4" xfId="1447" xr:uid="{00000000-0005-0000-0000-0000C30E0000}"/>
    <cellStyle name="M_ODB Consolidado - Quadros_ jun_06" xfId="1448" xr:uid="{00000000-0005-0000-0000-0000C40E0000}"/>
    <cellStyle name="M_ODB Consolidado - Quadros_ jun_06 2" xfId="1449" xr:uid="{00000000-0005-0000-0000-0000C50E0000}"/>
    <cellStyle name="M_ODB Consolidado - Quadros_ jun_06 2 2" xfId="1450" xr:uid="{00000000-0005-0000-0000-0000C60E0000}"/>
    <cellStyle name="M_ODB Consolidado - Quadros_ jun_06 3" xfId="1451" xr:uid="{00000000-0005-0000-0000-0000C70E0000}"/>
    <cellStyle name="M_ODB Consolidado - Quadros_ jun_06 4" xfId="1452" xr:uid="{00000000-0005-0000-0000-0000C80E0000}"/>
    <cellStyle name="M_ODB Consolidado - Quadros_ jun_06_Novos quadros - SBSA" xfId="1453" xr:uid="{00000000-0005-0000-0000-0000C90E0000}"/>
    <cellStyle name="M_ODB Consolidado - Quadros_ jun_06_Novos quadros - SBSA 2" xfId="1454" xr:uid="{00000000-0005-0000-0000-0000CA0E0000}"/>
    <cellStyle name="M_ODB Consolidado - Quadros_ jun_06_Novos quadros - SBSA 2 2" xfId="1455" xr:uid="{00000000-0005-0000-0000-0000CB0E0000}"/>
    <cellStyle name="M_ODB Consolidado - Quadros_ jun_06_Novos quadros - SBSA 3" xfId="1456" xr:uid="{00000000-0005-0000-0000-0000CC0E0000}"/>
    <cellStyle name="M_ODB Consolidado - Quadros_ jun_06_ODB_Quadros_ 8ª versão" xfId="1457" xr:uid="{00000000-0005-0000-0000-0000CD0E0000}"/>
    <cellStyle name="M_ODB Consolidado - Quadros_ jun_06_ODB_Quadros_ 8ª versão 2" xfId="1458" xr:uid="{00000000-0005-0000-0000-0000CE0E0000}"/>
    <cellStyle name="M_ODB Consolidado - Quadros_ jun_06_ODB_Quadros_ 8ª versão 2 2" xfId="1459" xr:uid="{00000000-0005-0000-0000-0000CF0E0000}"/>
    <cellStyle name="M_ODB Consolidado - Quadros_ jun_06_ODB_Quadros_ 8ª versão 3" xfId="1460" xr:uid="{00000000-0005-0000-0000-0000D00E0000}"/>
    <cellStyle name="M_ODB Consolidado - Quadros_ jun_06_Quadros Relat PwC Jaguaribe dez08 e dez07 v1" xfId="1461" xr:uid="{00000000-0005-0000-0000-0000D10E0000}"/>
    <cellStyle name="M_ODB Consolidado - Quadros_ jun_06_Quadros Relat PwC Jaguaribe dez08 e dez07 v1 2" xfId="1462" xr:uid="{00000000-0005-0000-0000-0000D20E0000}"/>
    <cellStyle name="M_ODB Consolidado - Quadros_ jun_06_Quadros Relat PwC Jaguaribe dez08 e dez07 v1 2 2" xfId="1463" xr:uid="{00000000-0005-0000-0000-0000D30E0000}"/>
    <cellStyle name="M_ODB Consolidado - Quadros_ jun_06_Quadros Relat PwC Jaguaribe dez08 e dez07 v1 3" xfId="1464" xr:uid="{00000000-0005-0000-0000-0000D40E0000}"/>
    <cellStyle name="M_ODB Consolidado_Port_2002" xfId="1465" xr:uid="{00000000-0005-0000-0000-0000D50E0000}"/>
    <cellStyle name="M_ODB Consolidado_Port_2002 2" xfId="1466" xr:uid="{00000000-0005-0000-0000-0000D60E0000}"/>
    <cellStyle name="M_ODB Consolidado_Port_2002 2 2" xfId="1467" xr:uid="{00000000-0005-0000-0000-0000D70E0000}"/>
    <cellStyle name="M_ODB Consolidado_Port_2002 3" xfId="1468" xr:uid="{00000000-0005-0000-0000-0000D80E0000}"/>
    <cellStyle name="M_ODB Consolidado_Port_2002 4" xfId="1469" xr:uid="{00000000-0005-0000-0000-0000D90E0000}"/>
    <cellStyle name="M_ODB Consolidado_Port_2002_Novos quadros - SBSA" xfId="1470" xr:uid="{00000000-0005-0000-0000-0000DA0E0000}"/>
    <cellStyle name="M_ODB Consolidado_Port_2002_Novos quadros - SBSA 2" xfId="1471" xr:uid="{00000000-0005-0000-0000-0000DB0E0000}"/>
    <cellStyle name="M_ODB Consolidado_Port_2002_Novos quadros - SBSA 2 2" xfId="1472" xr:uid="{00000000-0005-0000-0000-0000DC0E0000}"/>
    <cellStyle name="M_ODB Consolidado_Port_2002_Novos quadros - SBSA 3" xfId="1473" xr:uid="{00000000-0005-0000-0000-0000DD0E0000}"/>
    <cellStyle name="M_ODB Consolidado_Port_2002_ODB_Quadros_ 8ª versão" xfId="1474" xr:uid="{00000000-0005-0000-0000-0000DE0E0000}"/>
    <cellStyle name="M_ODB Consolidado_Port_2002_ODB_Quadros_ 8ª versão 2" xfId="1475" xr:uid="{00000000-0005-0000-0000-0000DF0E0000}"/>
    <cellStyle name="M_ODB Consolidado_Port_2002_ODB_Quadros_ 8ª versão 2 2" xfId="1476" xr:uid="{00000000-0005-0000-0000-0000E00E0000}"/>
    <cellStyle name="M_ODB Consolidado_Port_2002_ODB_Quadros_ 8ª versão 3" xfId="1477" xr:uid="{00000000-0005-0000-0000-0000E10E0000}"/>
    <cellStyle name="M_ODB Consolidado_Port_2002_Quadros Relat PwC Jaguaribe dez08 e dez07 v1" xfId="1478" xr:uid="{00000000-0005-0000-0000-0000E20E0000}"/>
    <cellStyle name="M_ODB Consolidado_Port_2002_Quadros Relat PwC Jaguaribe dez08 e dez07 v1 2" xfId="1479" xr:uid="{00000000-0005-0000-0000-0000E30E0000}"/>
    <cellStyle name="M_ODB Consolidado_Port_2002_Quadros Relat PwC Jaguaribe dez08 e dez07 v1 2 2" xfId="1480" xr:uid="{00000000-0005-0000-0000-0000E40E0000}"/>
    <cellStyle name="M_ODB Consolidado_Port_2002_Quadros Relat PwC Jaguaribe dez08 e dez07 v1 3" xfId="1481" xr:uid="{00000000-0005-0000-0000-0000E50E0000}"/>
    <cellStyle name="M_ODB Consolidado_Port_2003" xfId="1482" xr:uid="{00000000-0005-0000-0000-0000E60E0000}"/>
    <cellStyle name="M_ODB Consolidado_Port_2003 2" xfId="1483" xr:uid="{00000000-0005-0000-0000-0000E70E0000}"/>
    <cellStyle name="M_ODB Consolidado_Port_2003 2 2" xfId="1484" xr:uid="{00000000-0005-0000-0000-0000E80E0000}"/>
    <cellStyle name="M_ODB Consolidado_Port_2003 3" xfId="1485" xr:uid="{00000000-0005-0000-0000-0000E90E0000}"/>
    <cellStyle name="M_ODB Consolidado_Port_2003 4" xfId="1486" xr:uid="{00000000-0005-0000-0000-0000EA0E0000}"/>
    <cellStyle name="M_ODB Consolidado_Port_2003_Novos quadros - SBSA" xfId="1487" xr:uid="{00000000-0005-0000-0000-0000EB0E0000}"/>
    <cellStyle name="M_ODB Consolidado_Port_2003_Novos quadros - SBSA 2" xfId="1488" xr:uid="{00000000-0005-0000-0000-0000EC0E0000}"/>
    <cellStyle name="M_ODB Consolidado_Port_2003_Novos quadros - SBSA 2 2" xfId="1489" xr:uid="{00000000-0005-0000-0000-0000ED0E0000}"/>
    <cellStyle name="M_ODB Consolidado_Port_2003_Novos quadros - SBSA 3" xfId="1490" xr:uid="{00000000-0005-0000-0000-0000EE0E0000}"/>
    <cellStyle name="M_ODB Consolidado_Port_2003_ODB_Quadros_ 8ª versão" xfId="1491" xr:uid="{00000000-0005-0000-0000-0000EF0E0000}"/>
    <cellStyle name="M_ODB Consolidado_Port_2003_ODB_Quadros_ 8ª versão 2" xfId="1492" xr:uid="{00000000-0005-0000-0000-0000F00E0000}"/>
    <cellStyle name="M_ODB Consolidado_Port_2003_ODB_Quadros_ 8ª versão 2 2" xfId="1493" xr:uid="{00000000-0005-0000-0000-0000F10E0000}"/>
    <cellStyle name="M_ODB Consolidado_Port_2003_ODB_Quadros_ 8ª versão 3" xfId="1494" xr:uid="{00000000-0005-0000-0000-0000F20E0000}"/>
    <cellStyle name="M_ODB Consolidado_Port_2003_Quadros Relat PwC Jaguaribe dez08 e dez07 v1" xfId="1495" xr:uid="{00000000-0005-0000-0000-0000F30E0000}"/>
    <cellStyle name="M_ODB Consolidado_Port_2003_Quadros Relat PwC Jaguaribe dez08 e dez07 v1 2" xfId="1496" xr:uid="{00000000-0005-0000-0000-0000F40E0000}"/>
    <cellStyle name="M_ODB Consolidado_Port_2003_Quadros Relat PwC Jaguaribe dez08 e dez07 v1 2 2" xfId="1497" xr:uid="{00000000-0005-0000-0000-0000F50E0000}"/>
    <cellStyle name="M_ODB Consolidado_Port_2003_Quadros Relat PwC Jaguaribe dez08 e dez07 v1 3" xfId="1498" xr:uid="{00000000-0005-0000-0000-0000F60E0000}"/>
    <cellStyle name="M_ODB Consolidado_Port_2004" xfId="1499" xr:uid="{00000000-0005-0000-0000-0000F70E0000}"/>
    <cellStyle name="M_ODB Consolidado_Port_2004 2" xfId="1500" xr:uid="{00000000-0005-0000-0000-0000F80E0000}"/>
    <cellStyle name="M_ODB Consolidado_Port_2004 2 2" xfId="1501" xr:uid="{00000000-0005-0000-0000-0000F90E0000}"/>
    <cellStyle name="M_ODB Consolidado_Port_2004 3" xfId="1502" xr:uid="{00000000-0005-0000-0000-0000FA0E0000}"/>
    <cellStyle name="M_ODB Consolidado_Port_2004 4" xfId="1503" xr:uid="{00000000-0005-0000-0000-0000FB0E0000}"/>
    <cellStyle name="M_ODB Consolidado_Port_2004_Novos quadros - SBSA" xfId="1504" xr:uid="{00000000-0005-0000-0000-0000FC0E0000}"/>
    <cellStyle name="M_ODB Consolidado_Port_2004_Novos quadros - SBSA 2" xfId="1505" xr:uid="{00000000-0005-0000-0000-0000FD0E0000}"/>
    <cellStyle name="M_ODB Consolidado_Port_2004_Novos quadros - SBSA 2 2" xfId="1506" xr:uid="{00000000-0005-0000-0000-0000FE0E0000}"/>
    <cellStyle name="M_ODB Consolidado_Port_2004_Novos quadros - SBSA 3" xfId="1507" xr:uid="{00000000-0005-0000-0000-0000FF0E0000}"/>
    <cellStyle name="M_ODB Consolidado_Port_2004_ODB_Quadros_ 8ª versão" xfId="1508" xr:uid="{00000000-0005-0000-0000-0000000F0000}"/>
    <cellStyle name="M_ODB Consolidado_Port_2004_ODB_Quadros_ 8ª versão 2" xfId="1509" xr:uid="{00000000-0005-0000-0000-0000010F0000}"/>
    <cellStyle name="M_ODB Consolidado_Port_2004_ODB_Quadros_ 8ª versão 2 2" xfId="1510" xr:uid="{00000000-0005-0000-0000-0000020F0000}"/>
    <cellStyle name="M_ODB Consolidado_Port_2004_ODB_Quadros_ 8ª versão 3" xfId="1511" xr:uid="{00000000-0005-0000-0000-0000030F0000}"/>
    <cellStyle name="M_ODB Consolidado_Port_2004_Quadros Relat PwC Jaguaribe dez08 e dez07 v1" xfId="1512" xr:uid="{00000000-0005-0000-0000-0000040F0000}"/>
    <cellStyle name="M_ODB Consolidado_Port_2004_Quadros Relat PwC Jaguaribe dez08 e dez07 v1 2" xfId="1513" xr:uid="{00000000-0005-0000-0000-0000050F0000}"/>
    <cellStyle name="M_ODB Consolidado_Port_2004_Quadros Relat PwC Jaguaribe dez08 e dez07 v1 2 2" xfId="1514" xr:uid="{00000000-0005-0000-0000-0000060F0000}"/>
    <cellStyle name="M_ODB Consolidado_Port_2004_Quadros Relat PwC Jaguaribe dez08 e dez07 v1 3" xfId="1515" xr:uid="{00000000-0005-0000-0000-0000070F0000}"/>
    <cellStyle name="M_ODB Consolidado_Port_Dez03" xfId="1516" xr:uid="{00000000-0005-0000-0000-0000080F0000}"/>
    <cellStyle name="M_ODB Consolidado_Port_Dez03 2" xfId="1517" xr:uid="{00000000-0005-0000-0000-0000090F0000}"/>
    <cellStyle name="M_ODB Consolidado_Port_Dez03 2 2" xfId="1518" xr:uid="{00000000-0005-0000-0000-00000A0F0000}"/>
    <cellStyle name="M_ODB Consolidado_Port_Dez03 3" xfId="1519" xr:uid="{00000000-0005-0000-0000-00000B0F0000}"/>
    <cellStyle name="M_ODB Consolidado_Port_Dez03 4" xfId="1520" xr:uid="{00000000-0005-0000-0000-00000C0F0000}"/>
    <cellStyle name="M_ODB Consolidado_Port_Dez03(22_03_04)" xfId="1521" xr:uid="{00000000-0005-0000-0000-00000D0F0000}"/>
    <cellStyle name="M_ODB Consolidado_Port_Dez03(22_03_04) 2" xfId="1522" xr:uid="{00000000-0005-0000-0000-00000E0F0000}"/>
    <cellStyle name="M_ODB Consolidado_Port_Dez03(22_03_04) 2 2" xfId="1523" xr:uid="{00000000-0005-0000-0000-00000F0F0000}"/>
    <cellStyle name="M_ODB Consolidado_Port_Dez03(22_03_04) 3" xfId="1524" xr:uid="{00000000-0005-0000-0000-0000100F0000}"/>
    <cellStyle name="M_ODB Consolidado_Port_Dez03(22_03_04) 4" xfId="1525" xr:uid="{00000000-0005-0000-0000-0000110F0000}"/>
    <cellStyle name="M_ODB Consolidado_Port_Dez03(22_03_04)_Novos quadros - SBSA" xfId="1526" xr:uid="{00000000-0005-0000-0000-0000120F0000}"/>
    <cellStyle name="M_ODB Consolidado_Port_Dez03(22_03_04)_Novos quadros - SBSA 2" xfId="1527" xr:uid="{00000000-0005-0000-0000-0000130F0000}"/>
    <cellStyle name="M_ODB Consolidado_Port_Dez03(22_03_04)_Novos quadros - SBSA 2 2" xfId="1528" xr:uid="{00000000-0005-0000-0000-0000140F0000}"/>
    <cellStyle name="M_ODB Consolidado_Port_Dez03(22_03_04)_Novos quadros - SBSA 3" xfId="1529" xr:uid="{00000000-0005-0000-0000-0000150F0000}"/>
    <cellStyle name="M_ODB Consolidado_Port_Dez03(22_03_04)_ODB_Quadros_ 8ª versão" xfId="1530" xr:uid="{00000000-0005-0000-0000-0000160F0000}"/>
    <cellStyle name="M_ODB Consolidado_Port_Dez03(22_03_04)_ODB_Quadros_ 8ª versão 2" xfId="1531" xr:uid="{00000000-0005-0000-0000-0000170F0000}"/>
    <cellStyle name="M_ODB Consolidado_Port_Dez03(22_03_04)_ODB_Quadros_ 8ª versão 2 2" xfId="1532" xr:uid="{00000000-0005-0000-0000-0000180F0000}"/>
    <cellStyle name="M_ODB Consolidado_Port_Dez03(22_03_04)_ODB_Quadros_ 8ª versão 3" xfId="1533" xr:uid="{00000000-0005-0000-0000-0000190F0000}"/>
    <cellStyle name="M_ODB Consolidado_Port_Dez03(22_03_04)_Quadros Relat PwC Jaguaribe dez08 e dez07 v1" xfId="1534" xr:uid="{00000000-0005-0000-0000-00001A0F0000}"/>
    <cellStyle name="M_ODB Consolidado_Port_Dez03(22_03_04)_Quadros Relat PwC Jaguaribe dez08 e dez07 v1 2" xfId="1535" xr:uid="{00000000-0005-0000-0000-00001B0F0000}"/>
    <cellStyle name="M_ODB Consolidado_Port_Dez03(22_03_04)_Quadros Relat PwC Jaguaribe dez08 e dez07 v1 2 2" xfId="1536" xr:uid="{00000000-0005-0000-0000-00001C0F0000}"/>
    <cellStyle name="M_ODB Consolidado_Port_Dez03(22_03_04)_Quadros Relat PwC Jaguaribe dez08 e dez07 v1 3" xfId="1537" xr:uid="{00000000-0005-0000-0000-00001D0F0000}"/>
    <cellStyle name="M_ODB Consolidado_Port_Dez03_Novos quadros - SBSA" xfId="1538" xr:uid="{00000000-0005-0000-0000-00001E0F0000}"/>
    <cellStyle name="M_ODB Consolidado_Port_Dez03_Novos quadros - SBSA 2" xfId="1539" xr:uid="{00000000-0005-0000-0000-00001F0F0000}"/>
    <cellStyle name="M_ODB Consolidado_Port_Dez03_Novos quadros - SBSA 2 2" xfId="1540" xr:uid="{00000000-0005-0000-0000-0000200F0000}"/>
    <cellStyle name="M_ODB Consolidado_Port_Dez03_Novos quadros - SBSA 3" xfId="1541" xr:uid="{00000000-0005-0000-0000-0000210F0000}"/>
    <cellStyle name="M_ODB Consolidado_Port_Dez03_ODB_Quadros_ 8ª versão" xfId="1542" xr:uid="{00000000-0005-0000-0000-0000220F0000}"/>
    <cellStyle name="M_ODB Consolidado_Port_Dez03_ODB_Quadros_ 8ª versão 2" xfId="1543" xr:uid="{00000000-0005-0000-0000-0000230F0000}"/>
    <cellStyle name="M_ODB Consolidado_Port_Dez03_ODB_Quadros_ 8ª versão 2 2" xfId="1544" xr:uid="{00000000-0005-0000-0000-0000240F0000}"/>
    <cellStyle name="M_ODB Consolidado_Port_Dez03_ODB_Quadros_ 8ª versão 3" xfId="1545" xr:uid="{00000000-0005-0000-0000-0000250F0000}"/>
    <cellStyle name="M_ODB Consolidado_Port_Dez03_Quadros Relat PwC Jaguaribe dez08 e dez07 v1" xfId="1546" xr:uid="{00000000-0005-0000-0000-0000260F0000}"/>
    <cellStyle name="M_ODB Consolidado_Port_Dez03_Quadros Relat PwC Jaguaribe dez08 e dez07 v1 2" xfId="1547" xr:uid="{00000000-0005-0000-0000-0000270F0000}"/>
    <cellStyle name="M_ODB Consolidado_Port_Dez03_Quadros Relat PwC Jaguaribe dez08 e dez07 v1 2 2" xfId="1548" xr:uid="{00000000-0005-0000-0000-0000280F0000}"/>
    <cellStyle name="M_ODB Consolidado_Port_Dez03_Quadros Relat PwC Jaguaribe dez08 e dez07 v1 3" xfId="1549" xr:uid="{00000000-0005-0000-0000-0000290F0000}"/>
    <cellStyle name="M_ODB_Quadros_ 8ª versão" xfId="1550" xr:uid="{00000000-0005-0000-0000-00002A0F0000}"/>
    <cellStyle name="M_ODB_Quadros_ 8ª versão 2" xfId="1551" xr:uid="{00000000-0005-0000-0000-00002B0F0000}"/>
    <cellStyle name="M_ODB_Quadros_ 8ª versão 2 2" xfId="1552" xr:uid="{00000000-0005-0000-0000-00002C0F0000}"/>
    <cellStyle name="M_ODB_Quadros_ 8ª versão 3" xfId="1553" xr:uid="{00000000-0005-0000-0000-00002D0F0000}"/>
    <cellStyle name="M_ODB_Quadros_ dez_07- 11 versão - final" xfId="1554" xr:uid="{00000000-0005-0000-0000-00002E0F0000}"/>
    <cellStyle name="M_ODB_Quadros_ dez_07- 11 versão - final 2" xfId="1555" xr:uid="{00000000-0005-0000-0000-00002F0F0000}"/>
    <cellStyle name="M_ODB_Quadros_ dez_07- 11 versão - final 2 2" xfId="1556" xr:uid="{00000000-0005-0000-0000-0000300F0000}"/>
    <cellStyle name="M_ODB_Quadros_ dez_07- 11 versão - final 3" xfId="1557" xr:uid="{00000000-0005-0000-0000-0000310F0000}"/>
    <cellStyle name="M_ODB_Quadros_ dez_07- 2 versão" xfId="1558" xr:uid="{00000000-0005-0000-0000-0000320F0000}"/>
    <cellStyle name="M_ODB_Quadros_ dez_07- 2 versão 2" xfId="1559" xr:uid="{00000000-0005-0000-0000-0000330F0000}"/>
    <cellStyle name="M_ODB_Quadros_ dez_07- 2 versão 2 2" xfId="1560" xr:uid="{00000000-0005-0000-0000-0000340F0000}"/>
    <cellStyle name="M_ODB_Quadros_ dez_07- 2 versão 3" xfId="1561" xr:uid="{00000000-0005-0000-0000-0000350F0000}"/>
    <cellStyle name="M_ODB_Quadros_ dez_07- 2 versão-bruno" xfId="1562" xr:uid="{00000000-0005-0000-0000-0000360F0000}"/>
    <cellStyle name="M_ODB_Quadros_ dez_07- 2 versão-bruno 2" xfId="1563" xr:uid="{00000000-0005-0000-0000-0000370F0000}"/>
    <cellStyle name="M_ODB_Quadros_ dez_07- 2 versão-bruno 2 2" xfId="1564" xr:uid="{00000000-0005-0000-0000-0000380F0000}"/>
    <cellStyle name="M_ODB_Quadros_ dez_07- 2 versão-bruno 3" xfId="1565" xr:uid="{00000000-0005-0000-0000-0000390F0000}"/>
    <cellStyle name="M_ODB_Quadros_ dez_07- 7 versão" xfId="1566" xr:uid="{00000000-0005-0000-0000-00003A0F0000}"/>
    <cellStyle name="M_ODB_Quadros_ dez_07- 7 versão 2" xfId="1567" xr:uid="{00000000-0005-0000-0000-00003B0F0000}"/>
    <cellStyle name="M_ODB_Quadros_ dez_07- 7 versão 2 2" xfId="1568" xr:uid="{00000000-0005-0000-0000-00003C0F0000}"/>
    <cellStyle name="M_ODB_Quadros_ dez_07- 7 versão 3" xfId="1569" xr:uid="{00000000-0005-0000-0000-00003D0F0000}"/>
    <cellStyle name="M_ODB_Quadros_ jun_07" xfId="1570" xr:uid="{00000000-0005-0000-0000-00003E0F0000}"/>
    <cellStyle name="M_ODB_Quadros_ jun_07 2" xfId="1571" xr:uid="{00000000-0005-0000-0000-00003F0F0000}"/>
    <cellStyle name="M_ODB_Quadros_ jun_07 2 2" xfId="1572" xr:uid="{00000000-0005-0000-0000-0000400F0000}"/>
    <cellStyle name="M_ODB_Quadros_ jun_07 3" xfId="1573" xr:uid="{00000000-0005-0000-0000-0000410F0000}"/>
    <cellStyle name="M_ODB_Quadros_ jun_07-Paty" xfId="1574" xr:uid="{00000000-0005-0000-0000-0000420F0000}"/>
    <cellStyle name="M_ODB_Quadros_ jun_07-Paty 2" xfId="1575" xr:uid="{00000000-0005-0000-0000-0000430F0000}"/>
    <cellStyle name="M_ODB_Quadros_ jun_07-Paty 2 2" xfId="1576" xr:uid="{00000000-0005-0000-0000-0000440F0000}"/>
    <cellStyle name="M_ODB_Quadros_ jun_07-Paty 3" xfId="1577" xr:uid="{00000000-0005-0000-0000-0000450F0000}"/>
    <cellStyle name="M_ODB_Quadros_1ª versão" xfId="1578" xr:uid="{00000000-0005-0000-0000-0000460F0000}"/>
    <cellStyle name="M_ODB_Quadros_1ª versão 2" xfId="1579" xr:uid="{00000000-0005-0000-0000-0000470F0000}"/>
    <cellStyle name="M_ODB_Quadros_1ª versão 2 2" xfId="1580" xr:uid="{00000000-0005-0000-0000-0000480F0000}"/>
    <cellStyle name="M_ODB_Quadros_1ª versão 3" xfId="1581" xr:uid="{00000000-0005-0000-0000-0000490F0000}"/>
    <cellStyle name="M_ODB_Quadros_6ª versão" xfId="1582" xr:uid="{00000000-0005-0000-0000-00004A0F0000}"/>
    <cellStyle name="M_ODB_Quadros_6ª versão 2" xfId="1583" xr:uid="{00000000-0005-0000-0000-00004B0F0000}"/>
    <cellStyle name="M_ODB_Quadros_6ª versão 2 2" xfId="1584" xr:uid="{00000000-0005-0000-0000-00004C0F0000}"/>
    <cellStyle name="M_ODB_Quadros_6ª versão 3" xfId="1585" xr:uid="{00000000-0005-0000-0000-00004D0F0000}"/>
    <cellStyle name="M_ODB_Quadros_v4 (3)" xfId="1586" xr:uid="{00000000-0005-0000-0000-00004E0F0000}"/>
    <cellStyle name="M_ODB_Quadros_v4 (3) 2" xfId="1587" xr:uid="{00000000-0005-0000-0000-00004F0F0000}"/>
    <cellStyle name="M_ODB_Quadros_v4 (3) 2 2" xfId="1588" xr:uid="{00000000-0005-0000-0000-0000500F0000}"/>
    <cellStyle name="M_ODB_Quadros_v4 (3) 3" xfId="1589" xr:uid="{00000000-0005-0000-0000-0000510F0000}"/>
    <cellStyle name="M_ODBConsolidado Relat2002 Port FINAL" xfId="1590" xr:uid="{00000000-0005-0000-0000-0000520F0000}"/>
    <cellStyle name="M_ODBConsolidado Relat2002 Port FINAL 2" xfId="1591" xr:uid="{00000000-0005-0000-0000-0000530F0000}"/>
    <cellStyle name="M_ODBConsolidado Relat2002 Port FINAL 2 2" xfId="1592" xr:uid="{00000000-0005-0000-0000-0000540F0000}"/>
    <cellStyle name="M_ODBConsolidado Relat2002 Port FINAL 3" xfId="1593" xr:uid="{00000000-0005-0000-0000-0000550F0000}"/>
    <cellStyle name="M_ODBConsolidado Relat2002 Port FINAL 4" xfId="1594" xr:uid="{00000000-0005-0000-0000-0000560F0000}"/>
    <cellStyle name="M_ODBConsolidado Relat2002 Port FINAL_Novos quadros - SBSA" xfId="1595" xr:uid="{00000000-0005-0000-0000-0000570F0000}"/>
    <cellStyle name="M_ODBConsolidado Relat2002 Port FINAL_Novos quadros - SBSA 2" xfId="1596" xr:uid="{00000000-0005-0000-0000-0000580F0000}"/>
    <cellStyle name="M_ODBConsolidado Relat2002 Port FINAL_Novos quadros - SBSA 2 2" xfId="1597" xr:uid="{00000000-0005-0000-0000-0000590F0000}"/>
    <cellStyle name="M_ODBConsolidado Relat2002 Port FINAL_Novos quadros - SBSA 3" xfId="1598" xr:uid="{00000000-0005-0000-0000-00005A0F0000}"/>
    <cellStyle name="M_ODBConsolidado Relat2002 Port FINAL_ODB_Quadros_ 8ª versão" xfId="1599" xr:uid="{00000000-0005-0000-0000-00005B0F0000}"/>
    <cellStyle name="M_ODBConsolidado Relat2002 Port FINAL_ODB_Quadros_ 8ª versão 2" xfId="1600" xr:uid="{00000000-0005-0000-0000-00005C0F0000}"/>
    <cellStyle name="M_ODBConsolidado Relat2002 Port FINAL_ODB_Quadros_ 8ª versão 2 2" xfId="1601" xr:uid="{00000000-0005-0000-0000-00005D0F0000}"/>
    <cellStyle name="M_ODBConsolidado Relat2002 Port FINAL_ODB_Quadros_ 8ª versão 3" xfId="1602" xr:uid="{00000000-0005-0000-0000-00005E0F0000}"/>
    <cellStyle name="M_ODBConsolidado Relat2002 Port FINAL_Quadros Relat PwC Jaguaribe dez08 e dez07 v1" xfId="1603" xr:uid="{00000000-0005-0000-0000-00005F0F0000}"/>
    <cellStyle name="M_ODBConsolidado Relat2002 Port FINAL_Quadros Relat PwC Jaguaribe dez08 e dez07 v1 2" xfId="1604" xr:uid="{00000000-0005-0000-0000-0000600F0000}"/>
    <cellStyle name="M_ODBConsolidado Relat2002 Port FINAL_Quadros Relat PwC Jaguaribe dez08 e dez07 v1 2 2" xfId="1605" xr:uid="{00000000-0005-0000-0000-0000610F0000}"/>
    <cellStyle name="M_ODBConsolidado Relat2002 Port FINAL_Quadros Relat PwC Jaguaribe dez08 e dez07 v1 3" xfId="1606" xr:uid="{00000000-0005-0000-0000-0000620F0000}"/>
    <cellStyle name="M_ODBPARINV_Consolidado_Quadros_ dez_06_23042007 com doar_final" xfId="1607" xr:uid="{00000000-0005-0000-0000-0000630F0000}"/>
    <cellStyle name="M_ODBPARINV_Consolidado_Quadros_ dez_06_23042007 com doar_final 2" xfId="1608" xr:uid="{00000000-0005-0000-0000-0000640F0000}"/>
    <cellStyle name="M_ODBPARINV_Consolidado_Quadros_ dez_06_23042007 com doar_final 2 2" xfId="1609" xr:uid="{00000000-0005-0000-0000-0000650F0000}"/>
    <cellStyle name="M_ODBPARINV_Consolidado_Quadros_ dez_06_23042007 com doar_final 3" xfId="1610" xr:uid="{00000000-0005-0000-0000-0000660F0000}"/>
    <cellStyle name="M_ODBPARINV_Consolidado_Quadros_ dez_06_23042007 com doar_final 4" xfId="1611" xr:uid="{00000000-0005-0000-0000-0000670F0000}"/>
    <cellStyle name="M_para Bruno" xfId="1612" xr:uid="{00000000-0005-0000-0000-0000680F0000}"/>
    <cellStyle name="M_para Bruno 2" xfId="1613" xr:uid="{00000000-0005-0000-0000-0000690F0000}"/>
    <cellStyle name="M_para Bruno 2 2" xfId="1614" xr:uid="{00000000-0005-0000-0000-00006A0F0000}"/>
    <cellStyle name="M_para Bruno 2 2 2" xfId="1615" xr:uid="{00000000-0005-0000-0000-00006B0F0000}"/>
    <cellStyle name="M_para Bruno 2 3" xfId="1616" xr:uid="{00000000-0005-0000-0000-00006C0F0000}"/>
    <cellStyle name="M_para Bruno 2 4" xfId="1617" xr:uid="{00000000-0005-0000-0000-00006D0F0000}"/>
    <cellStyle name="M_para Bruno 2_Novos quadros - SBSA" xfId="1618" xr:uid="{00000000-0005-0000-0000-00006E0F0000}"/>
    <cellStyle name="M_para Bruno 2_Novos quadros - SBSA 2" xfId="1619" xr:uid="{00000000-0005-0000-0000-00006F0F0000}"/>
    <cellStyle name="M_para Bruno 2_Novos quadros - SBSA 2 2" xfId="1620" xr:uid="{00000000-0005-0000-0000-0000700F0000}"/>
    <cellStyle name="M_para Bruno 2_Novos quadros - SBSA 3" xfId="1621" xr:uid="{00000000-0005-0000-0000-0000710F0000}"/>
    <cellStyle name="M_para Bruno 2_ODB_Quadros_ 8ª versão" xfId="1622" xr:uid="{00000000-0005-0000-0000-0000720F0000}"/>
    <cellStyle name="M_para Bruno 2_ODB_Quadros_ 8ª versão 2" xfId="1623" xr:uid="{00000000-0005-0000-0000-0000730F0000}"/>
    <cellStyle name="M_para Bruno 2_ODB_Quadros_ 8ª versão 2 2" xfId="1624" xr:uid="{00000000-0005-0000-0000-0000740F0000}"/>
    <cellStyle name="M_para Bruno 2_ODB_Quadros_ 8ª versão 3" xfId="1625" xr:uid="{00000000-0005-0000-0000-0000750F0000}"/>
    <cellStyle name="M_para Bruno 2_Quadros Relat PwC Jaguaribe dez08 e dez07 v1" xfId="1626" xr:uid="{00000000-0005-0000-0000-0000760F0000}"/>
    <cellStyle name="M_para Bruno 2_Quadros Relat PwC Jaguaribe dez08 e dez07 v1 2" xfId="1627" xr:uid="{00000000-0005-0000-0000-0000770F0000}"/>
    <cellStyle name="M_para Bruno 2_Quadros Relat PwC Jaguaribe dez08 e dez07 v1 2 2" xfId="1628" xr:uid="{00000000-0005-0000-0000-0000780F0000}"/>
    <cellStyle name="M_para Bruno 2_Quadros Relat PwC Jaguaribe dez08 e dez07 v1 3" xfId="1629" xr:uid="{00000000-0005-0000-0000-0000790F0000}"/>
    <cellStyle name="M_para Bruno 3" xfId="1630" xr:uid="{00000000-0005-0000-0000-00007A0F0000}"/>
    <cellStyle name="M_para Bruno 3 2" xfId="1631" xr:uid="{00000000-0005-0000-0000-00007B0F0000}"/>
    <cellStyle name="M_para Bruno 4" xfId="1632" xr:uid="{00000000-0005-0000-0000-00007C0F0000}"/>
    <cellStyle name="M_para Bruno 5" xfId="1633" xr:uid="{00000000-0005-0000-0000-00007D0F0000}"/>
    <cellStyle name="M_para Bruno_Novos quadros - SBSA" xfId="1634" xr:uid="{00000000-0005-0000-0000-00007E0F0000}"/>
    <cellStyle name="M_para Bruno_Novos quadros - SBSA 2" xfId="1635" xr:uid="{00000000-0005-0000-0000-00007F0F0000}"/>
    <cellStyle name="M_para Bruno_Novos quadros - SBSA 2 2" xfId="1636" xr:uid="{00000000-0005-0000-0000-0000800F0000}"/>
    <cellStyle name="M_para Bruno_Novos quadros - SBSA 3" xfId="1637" xr:uid="{00000000-0005-0000-0000-0000810F0000}"/>
    <cellStyle name="M_para Bruno_ODB_Quadros_ 8ª versão" xfId="1638" xr:uid="{00000000-0005-0000-0000-0000820F0000}"/>
    <cellStyle name="M_para Bruno_ODB_Quadros_ 8ª versão 2" xfId="1639" xr:uid="{00000000-0005-0000-0000-0000830F0000}"/>
    <cellStyle name="M_para Bruno_ODB_Quadros_ 8ª versão 2 2" xfId="1640" xr:uid="{00000000-0005-0000-0000-0000840F0000}"/>
    <cellStyle name="M_para Bruno_ODB_Quadros_ 8ª versão 3" xfId="1641" xr:uid="{00000000-0005-0000-0000-0000850F0000}"/>
    <cellStyle name="M_para Bruno_Quadros Relat PwC Jaguaribe dez08 e dez07 v1" xfId="1642" xr:uid="{00000000-0005-0000-0000-0000860F0000}"/>
    <cellStyle name="M_para Bruno_Quadros Relat PwC Jaguaribe dez08 e dez07 v1 2" xfId="1643" xr:uid="{00000000-0005-0000-0000-0000870F0000}"/>
    <cellStyle name="M_para Bruno_Quadros Relat PwC Jaguaribe dez08 e dez07 v1 2 2" xfId="1644" xr:uid="{00000000-0005-0000-0000-0000880F0000}"/>
    <cellStyle name="M_para Bruno_Quadros Relat PwC Jaguaribe dez08 e dez07 v1 3" xfId="1645" xr:uid="{00000000-0005-0000-0000-0000890F0000}"/>
    <cellStyle name="M_para Bruno1" xfId="1646" xr:uid="{00000000-0005-0000-0000-00008A0F0000}"/>
    <cellStyle name="M_para Bruno1 2" xfId="1647" xr:uid="{00000000-0005-0000-0000-00008B0F0000}"/>
    <cellStyle name="M_para Bruno1 2 2" xfId="1648" xr:uid="{00000000-0005-0000-0000-00008C0F0000}"/>
    <cellStyle name="M_para Bruno1 3" xfId="1649" xr:uid="{00000000-0005-0000-0000-00008D0F0000}"/>
    <cellStyle name="M_para Bruno1 4" xfId="1650" xr:uid="{00000000-0005-0000-0000-00008E0F0000}"/>
    <cellStyle name="M_para Bruno1_Novos quadros - SBSA" xfId="1651" xr:uid="{00000000-0005-0000-0000-00008F0F0000}"/>
    <cellStyle name="M_para Bruno1_Novos quadros - SBSA 2" xfId="1652" xr:uid="{00000000-0005-0000-0000-0000900F0000}"/>
    <cellStyle name="M_para Bruno1_Novos quadros - SBSA 2 2" xfId="1653" xr:uid="{00000000-0005-0000-0000-0000910F0000}"/>
    <cellStyle name="M_para Bruno1_Novos quadros - SBSA 3" xfId="1654" xr:uid="{00000000-0005-0000-0000-0000920F0000}"/>
    <cellStyle name="M_para Bruno1_ODB_Quadros_ 8ª versão" xfId="1655" xr:uid="{00000000-0005-0000-0000-0000930F0000}"/>
    <cellStyle name="M_para Bruno1_ODB_Quadros_ 8ª versão 2" xfId="1656" xr:uid="{00000000-0005-0000-0000-0000940F0000}"/>
    <cellStyle name="M_para Bruno1_ODB_Quadros_ 8ª versão 2 2" xfId="1657" xr:uid="{00000000-0005-0000-0000-0000950F0000}"/>
    <cellStyle name="M_para Bruno1_ODB_Quadros_ 8ª versão 3" xfId="1658" xr:uid="{00000000-0005-0000-0000-0000960F0000}"/>
    <cellStyle name="M_para Bruno1_Quadros Relat PwC Jaguaribe dez08 e dez07 v1" xfId="1659" xr:uid="{00000000-0005-0000-0000-0000970F0000}"/>
    <cellStyle name="M_para Bruno1_Quadros Relat PwC Jaguaribe dez08 e dez07 v1 2" xfId="1660" xr:uid="{00000000-0005-0000-0000-0000980F0000}"/>
    <cellStyle name="M_para Bruno1_Quadros Relat PwC Jaguaribe dez08 e dez07 v1 2 2" xfId="1661" xr:uid="{00000000-0005-0000-0000-0000990F0000}"/>
    <cellStyle name="M_para Bruno1_Quadros Relat PwC Jaguaribe dez08 e dez07 v1 3" xfId="1662" xr:uid="{00000000-0005-0000-0000-00009A0F0000}"/>
    <cellStyle name="M_Partes relac Consl " xfId="1663" xr:uid="{00000000-0005-0000-0000-00009B0F0000}"/>
    <cellStyle name="M_Partes relac Consl  2" xfId="1664" xr:uid="{00000000-0005-0000-0000-00009C0F0000}"/>
    <cellStyle name="M_Partes relac Consl  2 2" xfId="1665" xr:uid="{00000000-0005-0000-0000-00009D0F0000}"/>
    <cellStyle name="M_Partes relac Consl  3" xfId="1666" xr:uid="{00000000-0005-0000-0000-00009E0F0000}"/>
    <cellStyle name="M_Participação ODB" xfId="1667" xr:uid="{00000000-0005-0000-0000-00009F0F0000}"/>
    <cellStyle name="M_Participação ODB 2" xfId="1668" xr:uid="{00000000-0005-0000-0000-0000A00F0000}"/>
    <cellStyle name="M_Participação ODB 2 2" xfId="1669" xr:uid="{00000000-0005-0000-0000-0000A10F0000}"/>
    <cellStyle name="M_Participação ODB 3" xfId="1670" xr:uid="{00000000-0005-0000-0000-0000A20F0000}"/>
    <cellStyle name="M_pendencia braskem" xfId="1671" xr:uid="{00000000-0005-0000-0000-0000A30F0000}"/>
    <cellStyle name="M_pendencia braskem 2" xfId="1672" xr:uid="{00000000-0005-0000-0000-0000A40F0000}"/>
    <cellStyle name="M_pendencia braskem 2 2" xfId="1673" xr:uid="{00000000-0005-0000-0000-0000A50F0000}"/>
    <cellStyle name="M_pendencia braskem 3" xfId="1674" xr:uid="{00000000-0005-0000-0000-0000A60F0000}"/>
    <cellStyle name="M_pendencia braskem 4" xfId="1675" xr:uid="{00000000-0005-0000-0000-0000A70F0000}"/>
    <cellStyle name="M_pendencia braskem_Novos quadros - SBSA" xfId="1676" xr:uid="{00000000-0005-0000-0000-0000A80F0000}"/>
    <cellStyle name="M_pendencia braskem_Novos quadros - SBSA 2" xfId="1677" xr:uid="{00000000-0005-0000-0000-0000A90F0000}"/>
    <cellStyle name="M_pendencia braskem_Novos quadros - SBSA 2 2" xfId="1678" xr:uid="{00000000-0005-0000-0000-0000AA0F0000}"/>
    <cellStyle name="M_pendencia braskem_Novos quadros - SBSA 3" xfId="1679" xr:uid="{00000000-0005-0000-0000-0000AB0F0000}"/>
    <cellStyle name="M_pendencia braskem_ODB_Quadros_ 8ª versão" xfId="1680" xr:uid="{00000000-0005-0000-0000-0000AC0F0000}"/>
    <cellStyle name="M_pendencia braskem_ODB_Quadros_ 8ª versão 2" xfId="1681" xr:uid="{00000000-0005-0000-0000-0000AD0F0000}"/>
    <cellStyle name="M_pendencia braskem_ODB_Quadros_ 8ª versão 2 2" xfId="1682" xr:uid="{00000000-0005-0000-0000-0000AE0F0000}"/>
    <cellStyle name="M_pendencia braskem_ODB_Quadros_ 8ª versão 3" xfId="1683" xr:uid="{00000000-0005-0000-0000-0000AF0F0000}"/>
    <cellStyle name="M_pendencia braskem_Quadros Relat PwC Jaguaribe dez08 e dez07 v1" xfId="1684" xr:uid="{00000000-0005-0000-0000-0000B00F0000}"/>
    <cellStyle name="M_pendencia braskem_Quadros Relat PwC Jaguaribe dez08 e dez07 v1 2" xfId="1685" xr:uid="{00000000-0005-0000-0000-0000B10F0000}"/>
    <cellStyle name="M_pendencia braskem_Quadros Relat PwC Jaguaribe dez08 e dez07 v1 2 2" xfId="1686" xr:uid="{00000000-0005-0000-0000-0000B20F0000}"/>
    <cellStyle name="M_pendencia braskem_Quadros Relat PwC Jaguaribe dez08 e dez07 v1 3" xfId="1687" xr:uid="{00000000-0005-0000-0000-0000B30F0000}"/>
    <cellStyle name="M_Petroflex_Valuation 09_novos invest" xfId="1688" xr:uid="{00000000-0005-0000-0000-0000B40F0000}"/>
    <cellStyle name="M_Petroflex_Valuation 09_novos invest 2" xfId="1689" xr:uid="{00000000-0005-0000-0000-0000B50F0000}"/>
    <cellStyle name="M_Petroflex_Valuation 09_novos invest 3" xfId="1690" xr:uid="{00000000-0005-0000-0000-0000B60F0000}"/>
    <cellStyle name="M_Petroflex_Valuation 09_novos invest 4" xfId="1691" xr:uid="{00000000-0005-0000-0000-0000B70F0000}"/>
    <cellStyle name="M_Petroflex_Valuation 09_novos invest_Consolidado Angola_Mineração_Com_2007" xfId="1692" xr:uid="{00000000-0005-0000-0000-0000B80F0000}"/>
    <cellStyle name="M_Petroflex_Valuation 09_novos invest_Consolidado Angola_Mineração_Com_2007 2" xfId="1693" xr:uid="{00000000-0005-0000-0000-0000B90F0000}"/>
    <cellStyle name="M_Petroflex_Valuation 09_novos invest_Consolidado Angola_Mineração_Com_2007 3" xfId="1694" xr:uid="{00000000-0005-0000-0000-0000BA0F0000}"/>
    <cellStyle name="M_Petroflex_Valuation 09_novos invest_Consolidado Angola_Mineração_Com_2007 4" xfId="1695" xr:uid="{00000000-0005-0000-0000-0000BB0F0000}"/>
    <cellStyle name="M_Petroflex_Valuation 09_novos invest_Consolidado Angola_Mineração_SDM" xfId="1696" xr:uid="{00000000-0005-0000-0000-0000BC0F0000}"/>
    <cellStyle name="M_Petroflex_Valuation 09_novos invest_Consolidado Angola_Mineração_SDM 2" xfId="1697" xr:uid="{00000000-0005-0000-0000-0000BD0F0000}"/>
    <cellStyle name="M_Petroflex_Valuation 09_novos invest_Consolidado Angola_Mineração_SDM 3" xfId="1698" xr:uid="{00000000-0005-0000-0000-0000BE0F0000}"/>
    <cellStyle name="M_Petroflex_Valuation 09_novos invest_Consolidado Angola_Mineração_SDM 4" xfId="1699" xr:uid="{00000000-0005-0000-0000-0000BF0F0000}"/>
    <cellStyle name="M_Petroflex_Valuation 09_novos invest_Consolidado Angola_Outros" xfId="1700" xr:uid="{00000000-0005-0000-0000-0000C00F0000}"/>
    <cellStyle name="M_Petroflex_Valuation 09_novos invest_Consolidado Angola_Outros 2" xfId="1701" xr:uid="{00000000-0005-0000-0000-0000C10F0000}"/>
    <cellStyle name="M_Petroflex_Valuation 09_novos invest_Consolidado Angola_Outros 3" xfId="1702" xr:uid="{00000000-0005-0000-0000-0000C20F0000}"/>
    <cellStyle name="M_Petroflex_Valuation 09_novos invest_Consolidado Angola_Outros 4" xfId="1703" xr:uid="{00000000-0005-0000-0000-0000C30F0000}"/>
    <cellStyle name="M_Petroflex_Valuation 09_novos invest_Consolidado Angola_Outros_com_2007" xfId="1704" xr:uid="{00000000-0005-0000-0000-0000C40F0000}"/>
    <cellStyle name="M_Petroflex_Valuation 09_novos invest_Consolidado Angola_Outros_com_2007 2" xfId="1705" xr:uid="{00000000-0005-0000-0000-0000C50F0000}"/>
    <cellStyle name="M_Petroflex_Valuation 09_novos invest_Consolidado Angola_Outros_com_2007 3" xfId="1706" xr:uid="{00000000-0005-0000-0000-0000C60F0000}"/>
    <cellStyle name="M_Petroflex_Valuation 09_novos invest_Consolidado Angola_Outros_com_2007 4" xfId="1707" xr:uid="{00000000-0005-0000-0000-0000C70F0000}"/>
    <cellStyle name="M_Petroflex_Valuation 09_novos invest_Mascara Relatorio 2008 - Cópia" xfId="1708" xr:uid="{00000000-0005-0000-0000-0000C80F0000}"/>
    <cellStyle name="M_Petroflex_Valuation 09_novos invest_Mascara Relatorio 2008 - Cópia 2" xfId="1709" xr:uid="{00000000-0005-0000-0000-0000C90F0000}"/>
    <cellStyle name="M_Petroflex_Valuation 09_novos invest_Mascara Relatorio 2008 - Cópia 3" xfId="1710" xr:uid="{00000000-0005-0000-0000-0000CA0F0000}"/>
    <cellStyle name="M_Petroflex_Valuation 09_novos invest_Mascara Relatorio 2008 - Cópia 4" xfId="1711" xr:uid="{00000000-0005-0000-0000-0000CB0F0000}"/>
    <cellStyle name="M_Polibrasil_LP" xfId="1712" xr:uid="{00000000-0005-0000-0000-0000CC0F0000}"/>
    <cellStyle name="M_Polibrasil_LP 2" xfId="1713" xr:uid="{00000000-0005-0000-0000-0000CD0F0000}"/>
    <cellStyle name="M_Polibrasil_LP 3" xfId="1714" xr:uid="{00000000-0005-0000-0000-0000CE0F0000}"/>
    <cellStyle name="M_Polibrasil_LP 4" xfId="1715" xr:uid="{00000000-0005-0000-0000-0000CF0F0000}"/>
    <cellStyle name="M_Polibrasil_LP_Consolidado Angola_Mineração_Com_2007" xfId="1716" xr:uid="{00000000-0005-0000-0000-0000D00F0000}"/>
    <cellStyle name="M_Polibrasil_LP_Consolidado Angola_Mineração_Com_2007 2" xfId="1717" xr:uid="{00000000-0005-0000-0000-0000D10F0000}"/>
    <cellStyle name="M_Polibrasil_LP_Consolidado Angola_Mineração_Com_2007 3" xfId="1718" xr:uid="{00000000-0005-0000-0000-0000D20F0000}"/>
    <cellStyle name="M_Polibrasil_LP_Consolidado Angola_Mineração_Com_2007 4" xfId="1719" xr:uid="{00000000-0005-0000-0000-0000D30F0000}"/>
    <cellStyle name="M_Polibrasil_LP_Consolidado Angola_Mineração_SDM" xfId="1720" xr:uid="{00000000-0005-0000-0000-0000D40F0000}"/>
    <cellStyle name="M_Polibrasil_LP_Consolidado Angola_Mineração_SDM 2" xfId="1721" xr:uid="{00000000-0005-0000-0000-0000D50F0000}"/>
    <cellStyle name="M_Polibrasil_LP_Consolidado Angola_Mineração_SDM 3" xfId="1722" xr:uid="{00000000-0005-0000-0000-0000D60F0000}"/>
    <cellStyle name="M_Polibrasil_LP_Consolidado Angola_Mineração_SDM 4" xfId="1723" xr:uid="{00000000-0005-0000-0000-0000D70F0000}"/>
    <cellStyle name="M_Polibrasil_LP_Consolidado Angola_Outros" xfId="1724" xr:uid="{00000000-0005-0000-0000-0000D80F0000}"/>
    <cellStyle name="M_Polibrasil_LP_Consolidado Angola_Outros 2" xfId="1725" xr:uid="{00000000-0005-0000-0000-0000D90F0000}"/>
    <cellStyle name="M_Polibrasil_LP_Consolidado Angola_Outros 3" xfId="1726" xr:uid="{00000000-0005-0000-0000-0000DA0F0000}"/>
    <cellStyle name="M_Polibrasil_LP_Consolidado Angola_Outros 4" xfId="1727" xr:uid="{00000000-0005-0000-0000-0000DB0F0000}"/>
    <cellStyle name="M_Polibrasil_LP_Consolidado Angola_Outros_com_2007" xfId="1728" xr:uid="{00000000-0005-0000-0000-0000DC0F0000}"/>
    <cellStyle name="M_Polibrasil_LP_Consolidado Angola_Outros_com_2007 2" xfId="1729" xr:uid="{00000000-0005-0000-0000-0000DD0F0000}"/>
    <cellStyle name="M_Polibrasil_LP_Consolidado Angola_Outros_com_2007 3" xfId="1730" xr:uid="{00000000-0005-0000-0000-0000DE0F0000}"/>
    <cellStyle name="M_Polibrasil_LP_Consolidado Angola_Outros_com_2007 4" xfId="1731" xr:uid="{00000000-0005-0000-0000-0000DF0F0000}"/>
    <cellStyle name="M_Polibrasil_LP_Mascara Relatorio 2008 - Cópia" xfId="1732" xr:uid="{00000000-0005-0000-0000-0000E00F0000}"/>
    <cellStyle name="M_Polibrasil_LP_Mascara Relatorio 2008 - Cópia 2" xfId="1733" xr:uid="{00000000-0005-0000-0000-0000E10F0000}"/>
    <cellStyle name="M_Polibrasil_LP_Mascara Relatorio 2008 - Cópia 3" xfId="1734" xr:uid="{00000000-0005-0000-0000-0000E20F0000}"/>
    <cellStyle name="M_Polibrasil_LP_Mascara Relatorio 2008 - Cópia 4" xfId="1735" xr:uid="{00000000-0005-0000-0000-0000E30F0000}"/>
    <cellStyle name="M_quadros - OEA v3" xfId="1736" xr:uid="{00000000-0005-0000-0000-0000E40F0000}"/>
    <cellStyle name="M_quadros - OEA v3 2" xfId="1737" xr:uid="{00000000-0005-0000-0000-0000E50F0000}"/>
    <cellStyle name="M_quadros - OEA v3 2 2" xfId="1738" xr:uid="{00000000-0005-0000-0000-0000E60F0000}"/>
    <cellStyle name="M_quadros - OEA v3 3" xfId="1739" xr:uid="{00000000-0005-0000-0000-0000E70F0000}"/>
    <cellStyle name="M_quadros - OEA v4" xfId="1740" xr:uid="{00000000-0005-0000-0000-0000E80F0000}"/>
    <cellStyle name="M_quadros - OEA v4 2" xfId="1741" xr:uid="{00000000-0005-0000-0000-0000E90F0000}"/>
    <cellStyle name="M_quadros - OEA v4 2 2" xfId="1742" xr:uid="{00000000-0005-0000-0000-0000EA0F0000}"/>
    <cellStyle name="M_quadros - OEA v4 3" xfId="1743" xr:uid="{00000000-0005-0000-0000-0000EB0F0000}"/>
    <cellStyle name="M_quadros acessórios" xfId="1744" xr:uid="{00000000-0005-0000-0000-0000EC0F0000}"/>
    <cellStyle name="M_quadros acessórios 2" xfId="1745" xr:uid="{00000000-0005-0000-0000-0000ED0F0000}"/>
    <cellStyle name="M_quadros acessórios 2 2" xfId="1746" xr:uid="{00000000-0005-0000-0000-0000EE0F0000}"/>
    <cellStyle name="M_quadros acessórios 3" xfId="1747" xr:uid="{00000000-0005-0000-0000-0000EF0F0000}"/>
    <cellStyle name="M_quadros acessórios 4" xfId="1748" xr:uid="{00000000-0005-0000-0000-0000F00F0000}"/>
    <cellStyle name="M_quadros acessórios_Novos quadros - SBSA" xfId="1749" xr:uid="{00000000-0005-0000-0000-0000F10F0000}"/>
    <cellStyle name="M_quadros acessórios_Novos quadros - SBSA 2" xfId="1750" xr:uid="{00000000-0005-0000-0000-0000F20F0000}"/>
    <cellStyle name="M_quadros acessórios_Novos quadros - SBSA 2 2" xfId="1751" xr:uid="{00000000-0005-0000-0000-0000F30F0000}"/>
    <cellStyle name="M_quadros acessórios_Novos quadros - SBSA 3" xfId="1752" xr:uid="{00000000-0005-0000-0000-0000F40F0000}"/>
    <cellStyle name="M_quadros acessórios_ODB_Quadros_ 8ª versão" xfId="1753" xr:uid="{00000000-0005-0000-0000-0000F50F0000}"/>
    <cellStyle name="M_quadros acessórios_ODB_Quadros_ 8ª versão 2" xfId="1754" xr:uid="{00000000-0005-0000-0000-0000F60F0000}"/>
    <cellStyle name="M_quadros acessórios_ODB_Quadros_ 8ª versão 2 2" xfId="1755" xr:uid="{00000000-0005-0000-0000-0000F70F0000}"/>
    <cellStyle name="M_quadros acessórios_ODB_Quadros_ 8ª versão 3" xfId="1756" xr:uid="{00000000-0005-0000-0000-0000F80F0000}"/>
    <cellStyle name="M_quadros acessórios_Quadros Relat PwC Jaguaribe dez08 e dez07 v1" xfId="1757" xr:uid="{00000000-0005-0000-0000-0000F90F0000}"/>
    <cellStyle name="M_quadros acessórios_Quadros Relat PwC Jaguaribe dez08 e dez07 v1 2" xfId="1758" xr:uid="{00000000-0005-0000-0000-0000FA0F0000}"/>
    <cellStyle name="M_quadros acessórios_Quadros Relat PwC Jaguaribe dez08 e dez07 v1 2 2" xfId="1759" xr:uid="{00000000-0005-0000-0000-0000FB0F0000}"/>
    <cellStyle name="M_quadros acessórios_Quadros Relat PwC Jaguaribe dez08 e dez07 v1 3" xfId="1760" xr:uid="{00000000-0005-0000-0000-0000FC0F0000}"/>
    <cellStyle name="M_quadros OII Consolidado_ dez07_portugues" xfId="1761" xr:uid="{00000000-0005-0000-0000-0000FD0F0000}"/>
    <cellStyle name="M_quadros OII Consolidado_ dez07_portugues 2" xfId="1762" xr:uid="{00000000-0005-0000-0000-0000FE0F0000}"/>
    <cellStyle name="M_quadros OII Consolidado_ dez07_portugues 2 2" xfId="1763" xr:uid="{00000000-0005-0000-0000-0000FF0F0000}"/>
    <cellStyle name="M_quadros OII Consolidado_ dez07_portugues 3" xfId="1764" xr:uid="{00000000-0005-0000-0000-000000100000}"/>
    <cellStyle name="M_quadros OII Consolidado_ dez07_portugues 4" xfId="1765" xr:uid="{00000000-0005-0000-0000-000001100000}"/>
    <cellStyle name="M_quadros OII Consolidado_ dez07_portugues_ATUAL" xfId="1766" xr:uid="{00000000-0005-0000-0000-000002100000}"/>
    <cellStyle name="M_quadros OII Consolidado_ dez07_portugues_ATUAL 2" xfId="1767" xr:uid="{00000000-0005-0000-0000-000003100000}"/>
    <cellStyle name="M_quadros OII Consolidado_ dez07_portugues_ATUAL 2 2" xfId="1768" xr:uid="{00000000-0005-0000-0000-000004100000}"/>
    <cellStyle name="M_quadros OII Consolidado_ dez07_portugues_ATUAL 3" xfId="1769" xr:uid="{00000000-0005-0000-0000-000005100000}"/>
    <cellStyle name="M_quadros OII Consolidado_ dez07_portugues_ATUAL 4" xfId="1770" xr:uid="{00000000-0005-0000-0000-000006100000}"/>
    <cellStyle name="M_quadros OII Consolidado_ jun07_portugues" xfId="1771" xr:uid="{00000000-0005-0000-0000-000007100000}"/>
    <cellStyle name="M_quadros OII Consolidado_ jun07_portugues 2" xfId="1772" xr:uid="{00000000-0005-0000-0000-000008100000}"/>
    <cellStyle name="M_quadros OII Consolidado_ jun07_portugues 2 2" xfId="1773" xr:uid="{00000000-0005-0000-0000-000009100000}"/>
    <cellStyle name="M_quadros OII Consolidado_ jun07_portugues 3" xfId="1774" xr:uid="{00000000-0005-0000-0000-00000A100000}"/>
    <cellStyle name="M_quadros OII Consolidado_ jun07_portugues 4" xfId="1775" xr:uid="{00000000-0005-0000-0000-00000B100000}"/>
    <cellStyle name="M_quadros OII Consolidado_ jun07_portugues_Novos quadros - SBSA" xfId="1776" xr:uid="{00000000-0005-0000-0000-00000C100000}"/>
    <cellStyle name="M_quadros OII Consolidado_ jun07_portugues_Novos quadros - SBSA 2" xfId="1777" xr:uid="{00000000-0005-0000-0000-00000D100000}"/>
    <cellStyle name="M_quadros OII Consolidado_ jun07_portugues_Novos quadros - SBSA 2 2" xfId="1778" xr:uid="{00000000-0005-0000-0000-00000E100000}"/>
    <cellStyle name="M_quadros OII Consolidado_ jun07_portugues_Novos quadros - SBSA 3" xfId="1779" xr:uid="{00000000-0005-0000-0000-00000F100000}"/>
    <cellStyle name="M_quadros OII Consolidado_ jun07_portugues_ODB_Quadros_ 8ª versão" xfId="1780" xr:uid="{00000000-0005-0000-0000-000010100000}"/>
    <cellStyle name="M_quadros OII Consolidado_ jun07_portugues_ODB_Quadros_ 8ª versão 2" xfId="1781" xr:uid="{00000000-0005-0000-0000-000011100000}"/>
    <cellStyle name="M_quadros OII Consolidado_ jun07_portugues_ODB_Quadros_ 8ª versão 2 2" xfId="1782" xr:uid="{00000000-0005-0000-0000-000012100000}"/>
    <cellStyle name="M_quadros OII Consolidado_ jun07_portugues_ODB_Quadros_ 8ª versão 3" xfId="1783" xr:uid="{00000000-0005-0000-0000-000013100000}"/>
    <cellStyle name="M_quadros OII Consolidado_ jun07_portugues_Quadros Relat PwC Jaguaribe dez08 e dez07 v1" xfId="1784" xr:uid="{00000000-0005-0000-0000-000014100000}"/>
    <cellStyle name="M_quadros OII Consolidado_ jun07_portugues_Quadros Relat PwC Jaguaribe dez08 e dez07 v1 2" xfId="1785" xr:uid="{00000000-0005-0000-0000-000015100000}"/>
    <cellStyle name="M_quadros OII Consolidado_ jun07_portugues_Quadros Relat PwC Jaguaribe dez08 e dez07 v1 2 2" xfId="1786" xr:uid="{00000000-0005-0000-0000-000016100000}"/>
    <cellStyle name="M_quadros OII Consolidado_ jun07_portugues_Quadros Relat PwC Jaguaribe dez08 e dez07 v1 3" xfId="1787" xr:uid="{00000000-0005-0000-0000-000017100000}"/>
    <cellStyle name="M_Quadros Relat PwC Jaguaribe dez08 e dez07 v1" xfId="1788" xr:uid="{00000000-0005-0000-0000-000018100000}"/>
    <cellStyle name="M_Quadros Relat PwC Jaguaribe dez08 e dez07 v1 2" xfId="1789" xr:uid="{00000000-0005-0000-0000-000019100000}"/>
    <cellStyle name="M_Quadros Relat PwC Jaguaribe dez08 e dez07 v1 2 2" xfId="1790" xr:uid="{00000000-0005-0000-0000-00001A100000}"/>
    <cellStyle name="M_Quadros Relat PwC Jaguaribe dez08 e dez07 v1 3" xfId="1791" xr:uid="{00000000-0005-0000-0000-00001B100000}"/>
    <cellStyle name="M_Quadros Relat PwC OEA Portugues dez08" xfId="1792" xr:uid="{00000000-0005-0000-0000-00001C100000}"/>
    <cellStyle name="M_Quadros Relat PwC OEA Portugues dez08 2" xfId="1793" xr:uid="{00000000-0005-0000-0000-00001D100000}"/>
    <cellStyle name="M_Quadros Relat PwC OEA Portugues dez08 2 2" xfId="1794" xr:uid="{00000000-0005-0000-0000-00001E100000}"/>
    <cellStyle name="M_Quadros Relat PwC OEA Portugues dez08 3" xfId="1795" xr:uid="{00000000-0005-0000-0000-00001F100000}"/>
    <cellStyle name="M_Quadros Relat PwC OII Portugues dez08 e dez07 v5" xfId="1796" xr:uid="{00000000-0005-0000-0000-000020100000}"/>
    <cellStyle name="M_Quadros Relat PwC OII Portugues dez08 e dez07 v5 2" xfId="1797" xr:uid="{00000000-0005-0000-0000-000021100000}"/>
    <cellStyle name="M_Quadros Relat PwC OII Portugues dez08 e dez07 v5 2 2" xfId="1798" xr:uid="{00000000-0005-0000-0000-000022100000}"/>
    <cellStyle name="M_Quadros Relat PwC OII Portugues dez08 e dez07 v5 3" xfId="1799" xr:uid="{00000000-0005-0000-0000-000023100000}"/>
    <cellStyle name="M_Quadros Relat PWC OII Portugues jun07" xfId="1800" xr:uid="{00000000-0005-0000-0000-000024100000}"/>
    <cellStyle name="M_Quadros Relat PWC OII Portugues jun07 2" xfId="1801" xr:uid="{00000000-0005-0000-0000-000025100000}"/>
    <cellStyle name="M_Quadros Relat PWC OII Portugues jun07 2 2" xfId="1802" xr:uid="{00000000-0005-0000-0000-000026100000}"/>
    <cellStyle name="M_Quadros Relat PWC OII Portugues jun07 3" xfId="1803" xr:uid="{00000000-0005-0000-0000-000027100000}"/>
    <cellStyle name="M_Quadros Relat PWC OII Portugues jun07 4" xfId="1804" xr:uid="{00000000-0005-0000-0000-000028100000}"/>
    <cellStyle name="M_Quadros Relat PWC OII Portugues jun07_Novos quadros - SBSA" xfId="1805" xr:uid="{00000000-0005-0000-0000-000029100000}"/>
    <cellStyle name="M_Quadros Relat PWC OII Portugues jun07_Novos quadros - SBSA 2" xfId="1806" xr:uid="{00000000-0005-0000-0000-00002A100000}"/>
    <cellStyle name="M_Quadros Relat PWC OII Portugues jun07_Novos quadros - SBSA 2 2" xfId="1807" xr:uid="{00000000-0005-0000-0000-00002B100000}"/>
    <cellStyle name="M_Quadros Relat PWC OII Portugues jun07_Novos quadros - SBSA 3" xfId="1808" xr:uid="{00000000-0005-0000-0000-00002C100000}"/>
    <cellStyle name="M_Quadros Relat PWC OII Portugues jun07_ODB_Quadros_ 8ª versão" xfId="1809" xr:uid="{00000000-0005-0000-0000-00002D100000}"/>
    <cellStyle name="M_Quadros Relat PWC OII Portugues jun07_ODB_Quadros_ 8ª versão 2" xfId="1810" xr:uid="{00000000-0005-0000-0000-00002E100000}"/>
    <cellStyle name="M_Quadros Relat PWC OII Portugues jun07_ODB_Quadros_ 8ª versão 2 2" xfId="1811" xr:uid="{00000000-0005-0000-0000-00002F100000}"/>
    <cellStyle name="M_Quadros Relat PWC OII Portugues jun07_ODB_Quadros_ 8ª versão 3" xfId="1812" xr:uid="{00000000-0005-0000-0000-000030100000}"/>
    <cellStyle name="M_Quadros Relat PWC OII Portugues jun07_Quadros Relat PwC Jaguaribe dez08 e dez07 v1" xfId="1813" xr:uid="{00000000-0005-0000-0000-000031100000}"/>
    <cellStyle name="M_Quadros Relat PWC OII Portugues jun07_Quadros Relat PwC Jaguaribe dez08 e dez07 v1 2" xfId="1814" xr:uid="{00000000-0005-0000-0000-000032100000}"/>
    <cellStyle name="M_Quadros Relat PWC OII Portugues jun07_Quadros Relat PwC Jaguaribe dez08 e dez07 v1 2 2" xfId="1815" xr:uid="{00000000-0005-0000-0000-000033100000}"/>
    <cellStyle name="M_Quadros Relat PWC OII Portugues jun07_Quadros Relat PwC Jaguaribe dez08 e dez07 v1 3" xfId="1816" xr:uid="{00000000-0005-0000-0000-000034100000}"/>
    <cellStyle name="M_Quadros Relat PWC OII Portugues jun07-4" xfId="1817" xr:uid="{00000000-0005-0000-0000-000035100000}"/>
    <cellStyle name="M_Quadros Relat PWC OII Portugues jun07-4 2" xfId="1818" xr:uid="{00000000-0005-0000-0000-000036100000}"/>
    <cellStyle name="M_Quadros Relat PWC OII Portugues jun07-4 2 2" xfId="1819" xr:uid="{00000000-0005-0000-0000-000037100000}"/>
    <cellStyle name="M_Quadros Relat PWC OII Portugues jun07-4 3" xfId="1820" xr:uid="{00000000-0005-0000-0000-000038100000}"/>
    <cellStyle name="M_Quadros Relat PWC OII Portugues jun07-4 4" xfId="1821" xr:uid="{00000000-0005-0000-0000-000039100000}"/>
    <cellStyle name="M_Quadros Relat PwC OII Portugues jun08" xfId="1822" xr:uid="{00000000-0005-0000-0000-00003A100000}"/>
    <cellStyle name="M_Quadros Relat PwC OII Portugues jun08 2" xfId="1823" xr:uid="{00000000-0005-0000-0000-00003B100000}"/>
    <cellStyle name="M_Quadros Relat PwC OII Portugues jun08 2 2" xfId="1824" xr:uid="{00000000-0005-0000-0000-00003C100000}"/>
    <cellStyle name="M_Quadros Relat PwC OII Portugues jun08 3" xfId="1825" xr:uid="{00000000-0005-0000-0000-00003D100000}"/>
    <cellStyle name="M_Quadros Relat PwC OII Portugues jun08 e dez07" xfId="1826" xr:uid="{00000000-0005-0000-0000-00003E100000}"/>
    <cellStyle name="M_Quadros Relat PwC OII Portugues jun08 e dez07 2" xfId="1827" xr:uid="{00000000-0005-0000-0000-00003F100000}"/>
    <cellStyle name="M_Quadros Relat PwC OII Portugues jun08 e dez07 2 2" xfId="1828" xr:uid="{00000000-0005-0000-0000-000040100000}"/>
    <cellStyle name="M_Quadros Relat PwC OII Portugues jun08 e dez07 3" xfId="1829" xr:uid="{00000000-0005-0000-0000-000041100000}"/>
    <cellStyle name="M_Quadros Relat PwC OII Portugues jun08 e dez07_Quadros Relat PwC Jaguaribe dez08 e dez07 v1" xfId="1830" xr:uid="{00000000-0005-0000-0000-000042100000}"/>
    <cellStyle name="M_Quadros Relat PwC OII Portugues jun08 e dez07_Quadros Relat PwC Jaguaribe dez08 e dez07 v1 2" xfId="1831" xr:uid="{00000000-0005-0000-0000-000043100000}"/>
    <cellStyle name="M_Quadros Relat PwC OII Portugues jun08 e dez07_Quadros Relat PwC Jaguaribe dez08 e dez07 v1 2 2" xfId="1832" xr:uid="{00000000-0005-0000-0000-000044100000}"/>
    <cellStyle name="M_Quadros Relat PwC OII Portugues jun08 e dez07_Quadros Relat PwC Jaguaribe dez08 e dez07 v1 3" xfId="1833" xr:uid="{00000000-0005-0000-0000-000045100000}"/>
    <cellStyle name="M_Quadros Relat PwC OII Portugues jun08_Quadros Relat PwC Jaguaribe dez08 e dez07 v1" xfId="1834" xr:uid="{00000000-0005-0000-0000-000046100000}"/>
    <cellStyle name="M_Quadros Relat PwC OII Portugues jun08_Quadros Relat PwC Jaguaribe dez08 e dez07 v1 2" xfId="1835" xr:uid="{00000000-0005-0000-0000-000047100000}"/>
    <cellStyle name="M_Quadros Relat PwC OII Portugues jun08_Quadros Relat PwC Jaguaribe dez08 e dez07 v1 2 2" xfId="1836" xr:uid="{00000000-0005-0000-0000-000048100000}"/>
    <cellStyle name="M_Quadros Relat PwC OII Portugues jun08_Quadros Relat PwC Jaguaribe dez08 e dez07 v1 3" xfId="1837" xr:uid="{00000000-0005-0000-0000-000049100000}"/>
    <cellStyle name="M_Quadros Relat PWC OII Portugues out07-3º versão (Odb)" xfId="1838" xr:uid="{00000000-0005-0000-0000-00004A100000}"/>
    <cellStyle name="M_Quadros Relat PWC OII Portugues out07-3º versão (Odb) 2" xfId="1839" xr:uid="{00000000-0005-0000-0000-00004B100000}"/>
    <cellStyle name="M_Quadros Relat PWC OII Portugues out07-3º versão (Odb) 2 2" xfId="1840" xr:uid="{00000000-0005-0000-0000-00004C100000}"/>
    <cellStyle name="M_Quadros Relat PWC OII Portugues out07-3º versão (Odb) 3" xfId="1841" xr:uid="{00000000-0005-0000-0000-00004D100000}"/>
    <cellStyle name="M_Quadros Relat PWC OII Portugues out07-3º versão (Odb) 4" xfId="1842" xr:uid="{00000000-0005-0000-0000-00004E100000}"/>
    <cellStyle name="M_Quadros SB " xfId="1843" xr:uid="{00000000-0005-0000-0000-00004F100000}"/>
    <cellStyle name="M_Quadros SB  2" xfId="1844" xr:uid="{00000000-0005-0000-0000-000050100000}"/>
    <cellStyle name="M_Quadros SB  2 2" xfId="1845" xr:uid="{00000000-0005-0000-0000-000051100000}"/>
    <cellStyle name="M_Quadros SB  3" xfId="1846" xr:uid="{00000000-0005-0000-0000-000052100000}"/>
    <cellStyle name="M_Quadros SB 2v" xfId="1847" xr:uid="{00000000-0005-0000-0000-000053100000}"/>
    <cellStyle name="M_Quadros SB 2v 2" xfId="1848" xr:uid="{00000000-0005-0000-0000-000054100000}"/>
    <cellStyle name="M_Quadros SB 2v 2 2" xfId="1849" xr:uid="{00000000-0005-0000-0000-000055100000}"/>
    <cellStyle name="M_Quadros SB 2v 3" xfId="1850" xr:uid="{00000000-0005-0000-0000-000056100000}"/>
    <cellStyle name="M_Rio Claro_Quadros-dez09" xfId="1851" xr:uid="{00000000-0005-0000-0000-000057100000}"/>
    <cellStyle name="M_Rio Claro_Quadros-dez09 2" xfId="1852" xr:uid="{00000000-0005-0000-0000-000058100000}"/>
    <cellStyle name="M_Venc_Financ" xfId="1853" xr:uid="{00000000-0005-0000-0000-000059100000}"/>
    <cellStyle name="M_Venc_Financ 2" xfId="1854" xr:uid="{00000000-0005-0000-0000-00005A100000}"/>
    <cellStyle name="M_Venc_Financ 2 2" xfId="1855" xr:uid="{00000000-0005-0000-0000-00005B100000}"/>
    <cellStyle name="M_Venc_Financ 3" xfId="1856" xr:uid="{00000000-0005-0000-0000-00005C100000}"/>
    <cellStyle name="M_WACC IPQ e CPS - Jan 05" xfId="1857" xr:uid="{00000000-0005-0000-0000-00005D100000}"/>
    <cellStyle name="M_WACC IPQ e CPS - Jan 05 2" xfId="1858" xr:uid="{00000000-0005-0000-0000-00005E100000}"/>
    <cellStyle name="M_WACC IPQ e CPS - Jan 05 3" xfId="1859" xr:uid="{00000000-0005-0000-0000-00005F100000}"/>
    <cellStyle name="M_WACC IPQ e CPS - Jan 05 4" xfId="1860" xr:uid="{00000000-0005-0000-0000-000060100000}"/>
    <cellStyle name="M_WACC IPQ e CPS - Jan 05_Consolidado Angola_Mineração_Com_2007" xfId="1861" xr:uid="{00000000-0005-0000-0000-000061100000}"/>
    <cellStyle name="M_WACC IPQ e CPS - Jan 05_Consolidado Angola_Mineração_Com_2007 2" xfId="1862" xr:uid="{00000000-0005-0000-0000-000062100000}"/>
    <cellStyle name="M_WACC IPQ e CPS - Jan 05_Consolidado Angola_Mineração_Com_2007 3" xfId="1863" xr:uid="{00000000-0005-0000-0000-000063100000}"/>
    <cellStyle name="M_WACC IPQ e CPS - Jan 05_Consolidado Angola_Mineração_Com_2007 4" xfId="1864" xr:uid="{00000000-0005-0000-0000-000064100000}"/>
    <cellStyle name="M_WACC IPQ e CPS - Jan 05_Consolidado Angola_Outros_com_2007" xfId="1865" xr:uid="{00000000-0005-0000-0000-000065100000}"/>
    <cellStyle name="M_WACC IPQ e CPS - Jan 05_Consolidado Angola_Outros_com_2007 2" xfId="1866" xr:uid="{00000000-0005-0000-0000-000066100000}"/>
    <cellStyle name="M_WACC IPQ e CPS - Jan 05_Consolidado Angola_Outros_com_2007 3" xfId="1867" xr:uid="{00000000-0005-0000-0000-000067100000}"/>
    <cellStyle name="M_WACC IPQ e CPS - Jan 05_Consolidado Angola_Outros_com_2007 4" xfId="1868" xr:uid="{00000000-0005-0000-0000-000068100000}"/>
    <cellStyle name="M_WACC IPQ e CPS - Jan 05_Mascara Relatorio 2008 - Cópia" xfId="1869" xr:uid="{00000000-0005-0000-0000-000069100000}"/>
    <cellStyle name="M_WACC IPQ e CPS - Jan 05_Mascara Relatorio 2008 - Cópia 2" xfId="1870" xr:uid="{00000000-0005-0000-0000-00006A100000}"/>
    <cellStyle name="M_WACC IPQ e CPS - Jan 05_Mascara Relatorio 2008 - Cópia 3" xfId="1871" xr:uid="{00000000-0005-0000-0000-00006B100000}"/>
    <cellStyle name="M_WACC IPQ e CPS - Jan 05_Mascara Relatorio 2008 - Cópia 4" xfId="1872" xr:uid="{00000000-0005-0000-0000-00006C100000}"/>
    <cellStyle name="MACRO" xfId="1873" xr:uid="{00000000-0005-0000-0000-00006D100000}"/>
    <cellStyle name="Millares [0]_DDA FEB" xfId="5080" xr:uid="{00000000-0005-0000-0000-00006E100000}"/>
    <cellStyle name="Millares_DDA FEB" xfId="5081" xr:uid="{00000000-0005-0000-0000-00006F100000}"/>
    <cellStyle name="MLComma0" xfId="1874" xr:uid="{00000000-0005-0000-0000-000070100000}"/>
    <cellStyle name="MLMultiple0" xfId="1875" xr:uid="{00000000-0005-0000-0000-000071100000}"/>
    <cellStyle name="MLPercent0" xfId="1876" xr:uid="{00000000-0005-0000-0000-000072100000}"/>
    <cellStyle name="Moeda" xfId="22623" builtinId="4"/>
    <cellStyle name="Moeda 2" xfId="1877" xr:uid="{00000000-0005-0000-0000-000073100000}"/>
    <cellStyle name="Moeda 2 10" xfId="5568" xr:uid="{00000000-0005-0000-0000-000074100000}"/>
    <cellStyle name="Moeda 2 11" xfId="5527" xr:uid="{00000000-0005-0000-0000-000075100000}"/>
    <cellStyle name="Moeda 2 12" xfId="5570" xr:uid="{00000000-0005-0000-0000-000076100000}"/>
    <cellStyle name="Moeda 2 13" xfId="5525" xr:uid="{00000000-0005-0000-0000-000077100000}"/>
    <cellStyle name="Moeda 2 14" xfId="5573" xr:uid="{00000000-0005-0000-0000-000078100000}"/>
    <cellStyle name="Moeda 2 15" xfId="5729" xr:uid="{00000000-0005-0000-0000-000079100000}"/>
    <cellStyle name="Moeda 2 16" xfId="7417" xr:uid="{00000000-0005-0000-0000-00007A100000}"/>
    <cellStyle name="Moeda 2 16 2" xfId="16178" xr:uid="{00000000-0005-0000-0000-00007B100000}"/>
    <cellStyle name="Moeda 2 2" xfId="1878" xr:uid="{00000000-0005-0000-0000-00007C100000}"/>
    <cellStyle name="Moeda 2 2 2" xfId="5082" xr:uid="{00000000-0005-0000-0000-00007D100000}"/>
    <cellStyle name="Moeda 2 3" xfId="1879" xr:uid="{00000000-0005-0000-0000-00007E100000}"/>
    <cellStyle name="Moeda 2 3 2" xfId="5294" xr:uid="{00000000-0005-0000-0000-00007F100000}"/>
    <cellStyle name="Moeda 2 4" xfId="1880" xr:uid="{00000000-0005-0000-0000-000080100000}"/>
    <cellStyle name="Moeda 2 4 2" xfId="5252" xr:uid="{00000000-0005-0000-0000-000081100000}"/>
    <cellStyle name="Moeda 2 5" xfId="4899" xr:uid="{00000000-0005-0000-0000-000082100000}"/>
    <cellStyle name="Moeda 2 5 2" xfId="5302" xr:uid="{00000000-0005-0000-0000-000083100000}"/>
    <cellStyle name="Moeda 2 5 2 2" xfId="10448" xr:uid="{00000000-0005-0000-0000-000084100000}"/>
    <cellStyle name="Moeda 2 5 2 2 2" xfId="19198" xr:uid="{00000000-0005-0000-0000-000085100000}"/>
    <cellStyle name="Moeda 2 5 3" xfId="9034" xr:uid="{00000000-0005-0000-0000-000086100000}"/>
    <cellStyle name="Moeda 2 5 3 2" xfId="17784" xr:uid="{00000000-0005-0000-0000-000087100000}"/>
    <cellStyle name="Moeda 2 5 4" xfId="12239" xr:uid="{00000000-0005-0000-0000-000088100000}"/>
    <cellStyle name="Moeda 2 5 4 2" xfId="20924" xr:uid="{00000000-0005-0000-0000-000089100000}"/>
    <cellStyle name="Moeda 2 5 5" xfId="13848" xr:uid="{00000000-0005-0000-0000-00008A100000}"/>
    <cellStyle name="Moeda 2 5 5 2" xfId="22525" xr:uid="{00000000-0005-0000-0000-00008B100000}"/>
    <cellStyle name="Moeda 2 5 6" xfId="16041" xr:uid="{00000000-0005-0000-0000-00008C100000}"/>
    <cellStyle name="Moeda 2 6" xfId="5244" xr:uid="{00000000-0005-0000-0000-00008D100000}"/>
    <cellStyle name="Moeda 2 6 2" xfId="7443" xr:uid="{00000000-0005-0000-0000-00008E100000}"/>
    <cellStyle name="Moeda 2 7" xfId="5306" xr:uid="{00000000-0005-0000-0000-00008F100000}"/>
    <cellStyle name="Moeda 2 8" xfId="5241" xr:uid="{00000000-0005-0000-0000-000090100000}"/>
    <cellStyle name="Moeda 2 9" xfId="5309" xr:uid="{00000000-0005-0000-0000-000091100000}"/>
    <cellStyle name="Moeda 3" xfId="1881" xr:uid="{00000000-0005-0000-0000-000092100000}"/>
    <cellStyle name="Moeda Z0]_Módulo1" xfId="1882" xr:uid="{00000000-0005-0000-0000-000093100000}"/>
    <cellStyle name="Moneda [0]_DDA FEB" xfId="5083" xr:uid="{00000000-0005-0000-0000-000094100000}"/>
    <cellStyle name="Moneda_DDA FEB" xfId="5084" xr:uid="{00000000-0005-0000-0000-000095100000}"/>
    <cellStyle name="movimentação" xfId="1883" xr:uid="{00000000-0005-0000-0000-000096100000}"/>
    <cellStyle name="movimentação 2" xfId="7444" xr:uid="{00000000-0005-0000-0000-000097100000}"/>
    <cellStyle name="Multiple" xfId="5085" xr:uid="{00000000-0005-0000-0000-000098100000}"/>
    <cellStyle name="MultipleBelow" xfId="5086" xr:uid="{00000000-0005-0000-0000-000099100000}"/>
    <cellStyle name="NA is zero" xfId="1884" xr:uid="{00000000-0005-0000-0000-00009A100000}"/>
    <cellStyle name="Neutra" xfId="68" xr:uid="{00000000-0005-0000-0000-00009B100000}"/>
    <cellStyle name="Neutra 10" xfId="5569" xr:uid="{00000000-0005-0000-0000-00009C100000}"/>
    <cellStyle name="Neutra 11" xfId="5526" xr:uid="{00000000-0005-0000-0000-00009D100000}"/>
    <cellStyle name="Neutra 12" xfId="5571" xr:uid="{00000000-0005-0000-0000-00009E100000}"/>
    <cellStyle name="Neutra 13" xfId="5524" xr:uid="{00000000-0005-0000-0000-00009F100000}"/>
    <cellStyle name="Neutra 14" xfId="5574" xr:uid="{00000000-0005-0000-0000-0000A0100000}"/>
    <cellStyle name="Neutra 15" xfId="5730" xr:uid="{00000000-0005-0000-0000-0000A1100000}"/>
    <cellStyle name="Neutra 16" xfId="5712" xr:uid="{00000000-0005-0000-0000-0000A2100000}"/>
    <cellStyle name="Neutra 2" xfId="5087" xr:uid="{00000000-0005-0000-0000-0000A3100000}"/>
    <cellStyle name="Neutra 2 2" xfId="6895" xr:uid="{00000000-0005-0000-0000-0000A4100000}"/>
    <cellStyle name="Neutra 2 2 2" xfId="6896" xr:uid="{00000000-0005-0000-0000-0000A5100000}"/>
    <cellStyle name="Neutra 2 2 2 2" xfId="6897" xr:uid="{00000000-0005-0000-0000-0000A6100000}"/>
    <cellStyle name="Neutra 2 2 2 2 2" xfId="6898" xr:uid="{00000000-0005-0000-0000-0000A7100000}"/>
    <cellStyle name="Neutra 2 2 2 2 2 2" xfId="6899" xr:uid="{00000000-0005-0000-0000-0000A8100000}"/>
    <cellStyle name="Neutra 2 2 2 2 2 2 2" xfId="6900" xr:uid="{00000000-0005-0000-0000-0000A9100000}"/>
    <cellStyle name="Neutra 2 2 2 2 2 2 2 2" xfId="6901" xr:uid="{00000000-0005-0000-0000-0000AA100000}"/>
    <cellStyle name="Neutra 2 2 2 2 2 2 3" xfId="6902" xr:uid="{00000000-0005-0000-0000-0000AB100000}"/>
    <cellStyle name="Neutra 2 2 2 2 2 3" xfId="6903" xr:uid="{00000000-0005-0000-0000-0000AC100000}"/>
    <cellStyle name="Neutra 2 2 2 2 2 3 2" xfId="6904" xr:uid="{00000000-0005-0000-0000-0000AD100000}"/>
    <cellStyle name="Neutra 2 2 2 2 3" xfId="6905" xr:uid="{00000000-0005-0000-0000-0000AE100000}"/>
    <cellStyle name="Neutra 2 2 2 2 3 2" xfId="6906" xr:uid="{00000000-0005-0000-0000-0000AF100000}"/>
    <cellStyle name="Neutra 2 2 2 3" xfId="6907" xr:uid="{00000000-0005-0000-0000-0000B0100000}"/>
    <cellStyle name="Neutra 2 2 2 4" xfId="6908" xr:uid="{00000000-0005-0000-0000-0000B1100000}"/>
    <cellStyle name="Neutra 2 2 2 4 2" xfId="6909" xr:uid="{00000000-0005-0000-0000-0000B2100000}"/>
    <cellStyle name="Neutra 2 2 3" xfId="6910" xr:uid="{00000000-0005-0000-0000-0000B3100000}"/>
    <cellStyle name="Neutra 2 2 4" xfId="6911" xr:uid="{00000000-0005-0000-0000-0000B4100000}"/>
    <cellStyle name="Neutra 2 2 4 2" xfId="6912" xr:uid="{00000000-0005-0000-0000-0000B5100000}"/>
    <cellStyle name="Neutra 2 3" xfId="6913" xr:uid="{00000000-0005-0000-0000-0000B6100000}"/>
    <cellStyle name="Neutra 2 4" xfId="6914" xr:uid="{00000000-0005-0000-0000-0000B7100000}"/>
    <cellStyle name="Neutra 2 5" xfId="6915" xr:uid="{00000000-0005-0000-0000-0000B8100000}"/>
    <cellStyle name="Neutra 2 6" xfId="6916" xr:uid="{00000000-0005-0000-0000-0000B9100000}"/>
    <cellStyle name="Neutra 2 6 2" xfId="6917" xr:uid="{00000000-0005-0000-0000-0000BA100000}"/>
    <cellStyle name="Neutra 2 7" xfId="6894" xr:uid="{00000000-0005-0000-0000-0000BB100000}"/>
    <cellStyle name="Neutra 3" xfId="5298" xr:uid="{00000000-0005-0000-0000-0000BC100000}"/>
    <cellStyle name="Neutra 3 2" xfId="6919" xr:uid="{00000000-0005-0000-0000-0000BD100000}"/>
    <cellStyle name="Neutra 3 3" xfId="6920" xr:uid="{00000000-0005-0000-0000-0000BE100000}"/>
    <cellStyle name="Neutra 3 4" xfId="6921" xr:uid="{00000000-0005-0000-0000-0000BF100000}"/>
    <cellStyle name="Neutra 3 5" xfId="6918" xr:uid="{00000000-0005-0000-0000-0000C0100000}"/>
    <cellStyle name="Neutra 4" xfId="5248" xr:uid="{00000000-0005-0000-0000-0000C1100000}"/>
    <cellStyle name="Neutra 4 2" xfId="6923" xr:uid="{00000000-0005-0000-0000-0000C2100000}"/>
    <cellStyle name="Neutra 4 3" xfId="6924" xr:uid="{00000000-0005-0000-0000-0000C3100000}"/>
    <cellStyle name="Neutra 4 4" xfId="6922" xr:uid="{00000000-0005-0000-0000-0000C4100000}"/>
    <cellStyle name="Neutra 5" xfId="5304" xr:uid="{00000000-0005-0000-0000-0000C5100000}"/>
    <cellStyle name="Neutra 5 2" xfId="6926" xr:uid="{00000000-0005-0000-0000-0000C6100000}"/>
    <cellStyle name="Neutra 5 3" xfId="6925" xr:uid="{00000000-0005-0000-0000-0000C7100000}"/>
    <cellStyle name="Neutra 6" xfId="5243" xr:uid="{00000000-0005-0000-0000-0000C8100000}"/>
    <cellStyle name="Neutra 6 2" xfId="6928" xr:uid="{00000000-0005-0000-0000-0000C9100000}"/>
    <cellStyle name="Neutra 6 3" xfId="7368" xr:uid="{00000000-0005-0000-0000-0000CA100000}"/>
    <cellStyle name="Neutra 6 4" xfId="6927" xr:uid="{00000000-0005-0000-0000-0000CB100000}"/>
    <cellStyle name="Neutra 7" xfId="5307" xr:uid="{00000000-0005-0000-0000-0000CC100000}"/>
    <cellStyle name="Neutra 7 2" xfId="7369" xr:uid="{00000000-0005-0000-0000-0000CD100000}"/>
    <cellStyle name="Neutra 7 3" xfId="6929" xr:uid="{00000000-0005-0000-0000-0000CE100000}"/>
    <cellStyle name="Neutra 8" xfId="5240" xr:uid="{00000000-0005-0000-0000-0000CF100000}"/>
    <cellStyle name="Neutra 9" xfId="5310" xr:uid="{00000000-0005-0000-0000-0000D0100000}"/>
    <cellStyle name="Neutral" xfId="69" xr:uid="{00000000-0005-0000-0000-0000D1100000}"/>
    <cellStyle name="Neutro 2" xfId="5778" xr:uid="{00000000-0005-0000-0000-0000D2100000}"/>
    <cellStyle name="no dec" xfId="1885" xr:uid="{00000000-0005-0000-0000-0000D3100000}"/>
    <cellStyle name="Nº Padrão" xfId="1886" xr:uid="{00000000-0005-0000-0000-0000D4100000}"/>
    <cellStyle name="Nº Padrão 10" xfId="1887" xr:uid="{00000000-0005-0000-0000-0000D5100000}"/>
    <cellStyle name="Nº Padrão 11" xfId="1888" xr:uid="{00000000-0005-0000-0000-0000D6100000}"/>
    <cellStyle name="Nº Padrão 12" xfId="1889" xr:uid="{00000000-0005-0000-0000-0000D7100000}"/>
    <cellStyle name="Nº Padrão 13" xfId="1890" xr:uid="{00000000-0005-0000-0000-0000D8100000}"/>
    <cellStyle name="Nº Padrão 14" xfId="1891" xr:uid="{00000000-0005-0000-0000-0000D9100000}"/>
    <cellStyle name="Nº Padrão 15" xfId="1892" xr:uid="{00000000-0005-0000-0000-0000DA100000}"/>
    <cellStyle name="Nº Padrão 16" xfId="1893" xr:uid="{00000000-0005-0000-0000-0000DB100000}"/>
    <cellStyle name="Nº Padrão 17" xfId="1894" xr:uid="{00000000-0005-0000-0000-0000DC100000}"/>
    <cellStyle name="Nº Padrão 18" xfId="1895" xr:uid="{00000000-0005-0000-0000-0000DD100000}"/>
    <cellStyle name="Nº Padrão 19" xfId="1896" xr:uid="{00000000-0005-0000-0000-0000DE100000}"/>
    <cellStyle name="Nº Padrão 2" xfId="1897" xr:uid="{00000000-0005-0000-0000-0000DF100000}"/>
    <cellStyle name="Nº Padrão 20" xfId="1898" xr:uid="{00000000-0005-0000-0000-0000E0100000}"/>
    <cellStyle name="Nº Padrão 21" xfId="1899" xr:uid="{00000000-0005-0000-0000-0000E1100000}"/>
    <cellStyle name="Nº Padrão 22" xfId="1900" xr:uid="{00000000-0005-0000-0000-0000E2100000}"/>
    <cellStyle name="Nº Padrão 23" xfId="1901" xr:uid="{00000000-0005-0000-0000-0000E3100000}"/>
    <cellStyle name="Nº Padrão 24" xfId="1902" xr:uid="{00000000-0005-0000-0000-0000E4100000}"/>
    <cellStyle name="Nº Padrão 25" xfId="1903" xr:uid="{00000000-0005-0000-0000-0000E5100000}"/>
    <cellStyle name="Nº Padrão 26" xfId="1904" xr:uid="{00000000-0005-0000-0000-0000E6100000}"/>
    <cellStyle name="Nº Padrão 27" xfId="1905" xr:uid="{00000000-0005-0000-0000-0000E7100000}"/>
    <cellStyle name="Nº Padrão 28" xfId="1906" xr:uid="{00000000-0005-0000-0000-0000E8100000}"/>
    <cellStyle name="Nº Padrão 29" xfId="1907" xr:uid="{00000000-0005-0000-0000-0000E9100000}"/>
    <cellStyle name="Nº Padrão 3" xfId="1908" xr:uid="{00000000-0005-0000-0000-0000EA100000}"/>
    <cellStyle name="Nº Padrão 30" xfId="1909" xr:uid="{00000000-0005-0000-0000-0000EB100000}"/>
    <cellStyle name="Nº Padrão 31" xfId="1910" xr:uid="{00000000-0005-0000-0000-0000EC100000}"/>
    <cellStyle name="Nº Padrão 32" xfId="1911" xr:uid="{00000000-0005-0000-0000-0000ED100000}"/>
    <cellStyle name="Nº Padrão 33" xfId="1912" xr:uid="{00000000-0005-0000-0000-0000EE100000}"/>
    <cellStyle name="Nº Padrão 34" xfId="1913" xr:uid="{00000000-0005-0000-0000-0000EF100000}"/>
    <cellStyle name="Nº Padrão 35" xfId="1914" xr:uid="{00000000-0005-0000-0000-0000F0100000}"/>
    <cellStyle name="Nº Padrão 36" xfId="1915" xr:uid="{00000000-0005-0000-0000-0000F1100000}"/>
    <cellStyle name="Nº Padrão 37" xfId="1916" xr:uid="{00000000-0005-0000-0000-0000F2100000}"/>
    <cellStyle name="Nº Padrão 38" xfId="1917" xr:uid="{00000000-0005-0000-0000-0000F3100000}"/>
    <cellStyle name="Nº Padrão 39" xfId="1918" xr:uid="{00000000-0005-0000-0000-0000F4100000}"/>
    <cellStyle name="Nº Padrão 4" xfId="1919" xr:uid="{00000000-0005-0000-0000-0000F5100000}"/>
    <cellStyle name="Nº Padrão 40" xfId="1920" xr:uid="{00000000-0005-0000-0000-0000F6100000}"/>
    <cellStyle name="Nº Padrão 5" xfId="1921" xr:uid="{00000000-0005-0000-0000-0000F7100000}"/>
    <cellStyle name="Nº Padrão 6" xfId="1922" xr:uid="{00000000-0005-0000-0000-0000F8100000}"/>
    <cellStyle name="Nº Padrão 7" xfId="1923" xr:uid="{00000000-0005-0000-0000-0000F9100000}"/>
    <cellStyle name="Nº Padrão 8" xfId="1924" xr:uid="{00000000-0005-0000-0000-0000FA100000}"/>
    <cellStyle name="Nº Padrão 9" xfId="1925" xr:uid="{00000000-0005-0000-0000-0000FB100000}"/>
    <cellStyle name="No-definido" xfId="1926" xr:uid="{00000000-0005-0000-0000-0000FC100000}"/>
    <cellStyle name="Nomral" xfId="1927" xr:uid="{00000000-0005-0000-0000-0000FD100000}"/>
    <cellStyle name="Normal" xfId="0" builtinId="0"/>
    <cellStyle name="Normal - Style1" xfId="140" xr:uid="{00000000-0005-0000-0000-0000FF100000}"/>
    <cellStyle name="Normal - Style1 2" xfId="1929" xr:uid="{00000000-0005-0000-0000-000000110000}"/>
    <cellStyle name="Normal - Style1 3" xfId="4907" xr:uid="{00000000-0005-0000-0000-000001110000}"/>
    <cellStyle name="Normal - Style1 4" xfId="1928" xr:uid="{00000000-0005-0000-0000-000002110000}"/>
    <cellStyle name="Normal [0]" xfId="1930" xr:uid="{00000000-0005-0000-0000-000003110000}"/>
    <cellStyle name="Normal [1]" xfId="1931" xr:uid="{00000000-0005-0000-0000-000004110000}"/>
    <cellStyle name="Normal [2]" xfId="1932" xr:uid="{00000000-0005-0000-0000-000005110000}"/>
    <cellStyle name="Normal [3]" xfId="1933" xr:uid="{00000000-0005-0000-0000-000006110000}"/>
    <cellStyle name="Normal 10" xfId="131" xr:uid="{00000000-0005-0000-0000-000007110000}"/>
    <cellStyle name="Normal 10 10" xfId="12266" xr:uid="{00000000-0005-0000-0000-000008110000}"/>
    <cellStyle name="Normal 10 10 2" xfId="20946" xr:uid="{00000000-0005-0000-0000-000009110000}"/>
    <cellStyle name="Normal 10 11" xfId="13910" xr:uid="{00000000-0005-0000-0000-00000A110000}"/>
    <cellStyle name="Normal 10 2" xfId="164" xr:uid="{00000000-0005-0000-0000-00000B110000}"/>
    <cellStyle name="Normal 10 2 2" xfId="1935" xr:uid="{00000000-0005-0000-0000-00000C110000}"/>
    <cellStyle name="Normal 10 2 7" xfId="139" xr:uid="{00000000-0005-0000-0000-00000D110000}"/>
    <cellStyle name="Normal 10 3" xfId="1936" xr:uid="{00000000-0005-0000-0000-00000E110000}"/>
    <cellStyle name="Normal 10 4" xfId="1937" xr:uid="{00000000-0005-0000-0000-00000F110000}"/>
    <cellStyle name="Normal 10 5" xfId="1934" xr:uid="{00000000-0005-0000-0000-000010110000}"/>
    <cellStyle name="Normal 10 5 2" xfId="9049" xr:uid="{00000000-0005-0000-0000-000011110000}"/>
    <cellStyle name="Normal 10 5 2 2" xfId="17799" xr:uid="{00000000-0005-0000-0000-000012110000}"/>
    <cellStyle name="Normal 10 5 3" xfId="10659" xr:uid="{00000000-0005-0000-0000-000013110000}"/>
    <cellStyle name="Normal 10 5 3 2" xfId="19346" xr:uid="{00000000-0005-0000-0000-000014110000}"/>
    <cellStyle name="Normal 10 5 4" xfId="14035" xr:uid="{00000000-0005-0000-0000-000015110000}"/>
    <cellStyle name="Normal 10 6" xfId="5088" xr:uid="{00000000-0005-0000-0000-000016110000}"/>
    <cellStyle name="Normal 10 6 2" xfId="10459" xr:uid="{00000000-0005-0000-0000-000017110000}"/>
    <cellStyle name="Normal 10 6 2 2" xfId="19204" xr:uid="{00000000-0005-0000-0000-000018110000}"/>
    <cellStyle name="Normal 10 6 3" xfId="16071" xr:uid="{00000000-0005-0000-0000-000019110000}"/>
    <cellStyle name="Normal 10 7" xfId="4903" xr:uid="{00000000-0005-0000-0000-00001A110000}"/>
    <cellStyle name="Normal 10 7 2" xfId="10450" xr:uid="{00000000-0005-0000-0000-00001B110000}"/>
    <cellStyle name="Normal 10 7 2 2" xfId="19200" xr:uid="{00000000-0005-0000-0000-00001C110000}"/>
    <cellStyle name="Normal 10 7 3" xfId="9037" xr:uid="{00000000-0005-0000-0000-00001D110000}"/>
    <cellStyle name="Normal 10 7 3 2" xfId="17787" xr:uid="{00000000-0005-0000-0000-00001E110000}"/>
    <cellStyle name="Normal 10 7 4" xfId="12242" xr:uid="{00000000-0005-0000-0000-00001F110000}"/>
    <cellStyle name="Normal 10 7 4 2" xfId="20927" xr:uid="{00000000-0005-0000-0000-000020110000}"/>
    <cellStyle name="Normal 10 7 5" xfId="13851" xr:uid="{00000000-0005-0000-0000-000021110000}"/>
    <cellStyle name="Normal 10 7 5 2" xfId="22528" xr:uid="{00000000-0005-0000-0000-000022110000}"/>
    <cellStyle name="Normal 10 7 6" xfId="16044" xr:uid="{00000000-0005-0000-0000-000023110000}"/>
    <cellStyle name="Normal 10 8" xfId="7446" xr:uid="{00000000-0005-0000-0000-000024110000}"/>
    <cellStyle name="Normal 10 8 2" xfId="16200" xr:uid="{00000000-0005-0000-0000-000025110000}"/>
    <cellStyle name="Normal 10 9" xfId="10619" xr:uid="{00000000-0005-0000-0000-000026110000}"/>
    <cellStyle name="Normal 10 9 2" xfId="19322" xr:uid="{00000000-0005-0000-0000-000027110000}"/>
    <cellStyle name="Normal 100" xfId="1938" xr:uid="{00000000-0005-0000-0000-000028110000}"/>
    <cellStyle name="Normal 100 10" xfId="12267" xr:uid="{00000000-0005-0000-0000-000029110000}"/>
    <cellStyle name="Normal 100 10 2" xfId="20947" xr:uid="{00000000-0005-0000-0000-00002A110000}"/>
    <cellStyle name="Normal 100 11" xfId="13861" xr:uid="{00000000-0005-0000-0000-00002B110000}"/>
    <cellStyle name="Normal 100 2" xfId="1939" xr:uid="{00000000-0005-0000-0000-00002C110000}"/>
    <cellStyle name="Normal 100 2 2" xfId="1940" xr:uid="{00000000-0005-0000-0000-00002D110000}"/>
    <cellStyle name="Normal 100 2 2 2" xfId="9052" xr:uid="{00000000-0005-0000-0000-00002E110000}"/>
    <cellStyle name="Normal 100 2 2 2 2" xfId="17802" xr:uid="{00000000-0005-0000-0000-00002F110000}"/>
    <cellStyle name="Normal 100 2 2 3" xfId="7449" xr:uid="{00000000-0005-0000-0000-000030110000}"/>
    <cellStyle name="Normal 100 2 2 3 2" xfId="16203" xr:uid="{00000000-0005-0000-0000-000031110000}"/>
    <cellStyle name="Normal 100 2 2 4" xfId="10662" xr:uid="{00000000-0005-0000-0000-000032110000}"/>
    <cellStyle name="Normal 100 2 2 4 2" xfId="19349" xr:uid="{00000000-0005-0000-0000-000033110000}"/>
    <cellStyle name="Normal 100 2 2 5" xfId="12269" xr:uid="{00000000-0005-0000-0000-000034110000}"/>
    <cellStyle name="Normal 100 2 2 5 2" xfId="20949" xr:uid="{00000000-0005-0000-0000-000035110000}"/>
    <cellStyle name="Normal 100 2 2 6" xfId="14747" xr:uid="{00000000-0005-0000-0000-000036110000}"/>
    <cellStyle name="Normal 100 2 3" xfId="1941" xr:uid="{00000000-0005-0000-0000-000037110000}"/>
    <cellStyle name="Normal 100 2 3 2" xfId="9053" xr:uid="{00000000-0005-0000-0000-000038110000}"/>
    <cellStyle name="Normal 100 2 3 2 2" xfId="17803" xr:uid="{00000000-0005-0000-0000-000039110000}"/>
    <cellStyle name="Normal 100 2 3 3" xfId="7450" xr:uid="{00000000-0005-0000-0000-00003A110000}"/>
    <cellStyle name="Normal 100 2 3 3 2" xfId="16204" xr:uid="{00000000-0005-0000-0000-00003B110000}"/>
    <cellStyle name="Normal 100 2 3 4" xfId="10663" xr:uid="{00000000-0005-0000-0000-00003C110000}"/>
    <cellStyle name="Normal 100 2 3 4 2" xfId="19350" xr:uid="{00000000-0005-0000-0000-00003D110000}"/>
    <cellStyle name="Normal 100 2 3 5" xfId="12270" xr:uid="{00000000-0005-0000-0000-00003E110000}"/>
    <cellStyle name="Normal 100 2 3 5 2" xfId="20950" xr:uid="{00000000-0005-0000-0000-00003F110000}"/>
    <cellStyle name="Normal 100 2 3 6" xfId="14140" xr:uid="{00000000-0005-0000-0000-000040110000}"/>
    <cellStyle name="Normal 100 2 4" xfId="1942" xr:uid="{00000000-0005-0000-0000-000041110000}"/>
    <cellStyle name="Normal 100 2 4 2" xfId="9054" xr:uid="{00000000-0005-0000-0000-000042110000}"/>
    <cellStyle name="Normal 100 2 4 2 2" xfId="17804" xr:uid="{00000000-0005-0000-0000-000043110000}"/>
    <cellStyle name="Normal 100 2 4 3" xfId="7451" xr:uid="{00000000-0005-0000-0000-000044110000}"/>
    <cellStyle name="Normal 100 2 4 3 2" xfId="16205" xr:uid="{00000000-0005-0000-0000-000045110000}"/>
    <cellStyle name="Normal 100 2 4 4" xfId="10664" xr:uid="{00000000-0005-0000-0000-000046110000}"/>
    <cellStyle name="Normal 100 2 4 4 2" xfId="19351" xr:uid="{00000000-0005-0000-0000-000047110000}"/>
    <cellStyle name="Normal 100 2 4 5" xfId="12271" xr:uid="{00000000-0005-0000-0000-000048110000}"/>
    <cellStyle name="Normal 100 2 4 5 2" xfId="20951" xr:uid="{00000000-0005-0000-0000-000049110000}"/>
    <cellStyle name="Normal 100 2 4 6" xfId="14737" xr:uid="{00000000-0005-0000-0000-00004A110000}"/>
    <cellStyle name="Normal 100 2 5" xfId="9051" xr:uid="{00000000-0005-0000-0000-00004B110000}"/>
    <cellStyle name="Normal 100 2 5 2" xfId="17801" xr:uid="{00000000-0005-0000-0000-00004C110000}"/>
    <cellStyle name="Normal 100 2 6" xfId="7448" xr:uid="{00000000-0005-0000-0000-00004D110000}"/>
    <cellStyle name="Normal 100 2 6 2" xfId="16202" xr:uid="{00000000-0005-0000-0000-00004E110000}"/>
    <cellStyle name="Normal 100 2 7" xfId="10661" xr:uid="{00000000-0005-0000-0000-00004F110000}"/>
    <cellStyle name="Normal 100 2 7 2" xfId="19348" xr:uid="{00000000-0005-0000-0000-000050110000}"/>
    <cellStyle name="Normal 100 2 8" xfId="12268" xr:uid="{00000000-0005-0000-0000-000051110000}"/>
    <cellStyle name="Normal 100 2 8 2" xfId="20948" xr:uid="{00000000-0005-0000-0000-000052110000}"/>
    <cellStyle name="Normal 100 2 9" xfId="14092" xr:uid="{00000000-0005-0000-0000-000053110000}"/>
    <cellStyle name="Normal 100 3" xfId="1943" xr:uid="{00000000-0005-0000-0000-000054110000}"/>
    <cellStyle name="Normal 100 3 2" xfId="9055" xr:uid="{00000000-0005-0000-0000-000055110000}"/>
    <cellStyle name="Normal 100 3 2 2" xfId="17805" xr:uid="{00000000-0005-0000-0000-000056110000}"/>
    <cellStyle name="Normal 100 3 3" xfId="7452" xr:uid="{00000000-0005-0000-0000-000057110000}"/>
    <cellStyle name="Normal 100 3 3 2" xfId="16206" xr:uid="{00000000-0005-0000-0000-000058110000}"/>
    <cellStyle name="Normal 100 3 4" xfId="10665" xr:uid="{00000000-0005-0000-0000-000059110000}"/>
    <cellStyle name="Normal 100 3 4 2" xfId="19352" xr:uid="{00000000-0005-0000-0000-00005A110000}"/>
    <cellStyle name="Normal 100 3 5" xfId="12272" xr:uid="{00000000-0005-0000-0000-00005B110000}"/>
    <cellStyle name="Normal 100 3 5 2" xfId="20952" xr:uid="{00000000-0005-0000-0000-00005C110000}"/>
    <cellStyle name="Normal 100 3 6" xfId="14199" xr:uid="{00000000-0005-0000-0000-00005D110000}"/>
    <cellStyle name="Normal 100 4" xfId="1944" xr:uid="{00000000-0005-0000-0000-00005E110000}"/>
    <cellStyle name="Normal 100 4 2" xfId="9056" xr:uid="{00000000-0005-0000-0000-00005F110000}"/>
    <cellStyle name="Normal 100 4 2 2" xfId="17806" xr:uid="{00000000-0005-0000-0000-000060110000}"/>
    <cellStyle name="Normal 100 4 3" xfId="7453" xr:uid="{00000000-0005-0000-0000-000061110000}"/>
    <cellStyle name="Normal 100 4 3 2" xfId="16207" xr:uid="{00000000-0005-0000-0000-000062110000}"/>
    <cellStyle name="Normal 100 4 4" xfId="10666" xr:uid="{00000000-0005-0000-0000-000063110000}"/>
    <cellStyle name="Normal 100 4 4 2" xfId="19353" xr:uid="{00000000-0005-0000-0000-000064110000}"/>
    <cellStyle name="Normal 100 4 5" xfId="12273" xr:uid="{00000000-0005-0000-0000-000065110000}"/>
    <cellStyle name="Normal 100 4 5 2" xfId="20953" xr:uid="{00000000-0005-0000-0000-000066110000}"/>
    <cellStyle name="Normal 100 4 6" xfId="14517" xr:uid="{00000000-0005-0000-0000-000067110000}"/>
    <cellStyle name="Normal 100 5" xfId="1945" xr:uid="{00000000-0005-0000-0000-000068110000}"/>
    <cellStyle name="Normal 100 5 2" xfId="9057" xr:uid="{00000000-0005-0000-0000-000069110000}"/>
    <cellStyle name="Normal 100 5 2 2" xfId="17807" xr:uid="{00000000-0005-0000-0000-00006A110000}"/>
    <cellStyle name="Normal 100 5 3" xfId="7454" xr:uid="{00000000-0005-0000-0000-00006B110000}"/>
    <cellStyle name="Normal 100 5 3 2" xfId="16208" xr:uid="{00000000-0005-0000-0000-00006C110000}"/>
    <cellStyle name="Normal 100 5 4" xfId="10667" xr:uid="{00000000-0005-0000-0000-00006D110000}"/>
    <cellStyle name="Normal 100 5 4 2" xfId="19354" xr:uid="{00000000-0005-0000-0000-00006E110000}"/>
    <cellStyle name="Normal 100 5 5" xfId="12274" xr:uid="{00000000-0005-0000-0000-00006F110000}"/>
    <cellStyle name="Normal 100 5 5 2" xfId="20954" xr:uid="{00000000-0005-0000-0000-000070110000}"/>
    <cellStyle name="Normal 100 5 6" xfId="14104" xr:uid="{00000000-0005-0000-0000-000071110000}"/>
    <cellStyle name="Normal 100 6" xfId="1946" xr:uid="{00000000-0005-0000-0000-000072110000}"/>
    <cellStyle name="Normal 100 6 2" xfId="9058" xr:uid="{00000000-0005-0000-0000-000073110000}"/>
    <cellStyle name="Normal 100 6 2 2" xfId="17808" xr:uid="{00000000-0005-0000-0000-000074110000}"/>
    <cellStyle name="Normal 100 6 3" xfId="7455" xr:uid="{00000000-0005-0000-0000-000075110000}"/>
    <cellStyle name="Normal 100 6 3 2" xfId="16209" xr:uid="{00000000-0005-0000-0000-000076110000}"/>
    <cellStyle name="Normal 100 6 4" xfId="10668" xr:uid="{00000000-0005-0000-0000-000077110000}"/>
    <cellStyle name="Normal 100 6 4 2" xfId="19355" xr:uid="{00000000-0005-0000-0000-000078110000}"/>
    <cellStyle name="Normal 100 6 5" xfId="12275" xr:uid="{00000000-0005-0000-0000-000079110000}"/>
    <cellStyle name="Normal 100 6 5 2" xfId="20955" xr:uid="{00000000-0005-0000-0000-00007A110000}"/>
    <cellStyle name="Normal 100 6 6" xfId="14026" xr:uid="{00000000-0005-0000-0000-00007B110000}"/>
    <cellStyle name="Normal 100 7" xfId="9050" xr:uid="{00000000-0005-0000-0000-00007C110000}"/>
    <cellStyle name="Normal 100 7 2" xfId="17800" xr:uid="{00000000-0005-0000-0000-00007D110000}"/>
    <cellStyle name="Normal 100 8" xfId="7447" xr:uid="{00000000-0005-0000-0000-00007E110000}"/>
    <cellStyle name="Normal 100 8 2" xfId="16201" xr:uid="{00000000-0005-0000-0000-00007F110000}"/>
    <cellStyle name="Normal 100 9" xfId="10660" xr:uid="{00000000-0005-0000-0000-000080110000}"/>
    <cellStyle name="Normal 100 9 2" xfId="19347" xr:uid="{00000000-0005-0000-0000-000081110000}"/>
    <cellStyle name="Normal 101" xfId="1947" xr:uid="{00000000-0005-0000-0000-000082110000}"/>
    <cellStyle name="Normal 101 2" xfId="1948" xr:uid="{00000000-0005-0000-0000-000083110000}"/>
    <cellStyle name="Normal 101 2 2" xfId="9060" xr:uid="{00000000-0005-0000-0000-000084110000}"/>
    <cellStyle name="Normal 101 2 2 2" xfId="17810" xr:uid="{00000000-0005-0000-0000-000085110000}"/>
    <cellStyle name="Normal 101 2 3" xfId="7457" xr:uid="{00000000-0005-0000-0000-000086110000}"/>
    <cellStyle name="Normal 101 2 3 2" xfId="16211" xr:uid="{00000000-0005-0000-0000-000087110000}"/>
    <cellStyle name="Normal 101 2 4" xfId="10670" xr:uid="{00000000-0005-0000-0000-000088110000}"/>
    <cellStyle name="Normal 101 2 4 2" xfId="19357" xr:uid="{00000000-0005-0000-0000-000089110000}"/>
    <cellStyle name="Normal 101 2 5" xfId="12277" xr:uid="{00000000-0005-0000-0000-00008A110000}"/>
    <cellStyle name="Normal 101 2 5 2" xfId="20957" xr:uid="{00000000-0005-0000-0000-00008B110000}"/>
    <cellStyle name="Normal 101 2 6" xfId="14755" xr:uid="{00000000-0005-0000-0000-00008C110000}"/>
    <cellStyle name="Normal 101 3" xfId="1949" xr:uid="{00000000-0005-0000-0000-00008D110000}"/>
    <cellStyle name="Normal 101 3 2" xfId="9061" xr:uid="{00000000-0005-0000-0000-00008E110000}"/>
    <cellStyle name="Normal 101 3 2 2" xfId="17811" xr:uid="{00000000-0005-0000-0000-00008F110000}"/>
    <cellStyle name="Normal 101 3 3" xfId="7458" xr:uid="{00000000-0005-0000-0000-000090110000}"/>
    <cellStyle name="Normal 101 3 3 2" xfId="16212" xr:uid="{00000000-0005-0000-0000-000091110000}"/>
    <cellStyle name="Normal 101 3 4" xfId="10671" xr:uid="{00000000-0005-0000-0000-000092110000}"/>
    <cellStyle name="Normal 101 3 4 2" xfId="19358" xr:uid="{00000000-0005-0000-0000-000093110000}"/>
    <cellStyle name="Normal 101 3 5" xfId="12278" xr:uid="{00000000-0005-0000-0000-000094110000}"/>
    <cellStyle name="Normal 101 3 5 2" xfId="20958" xr:uid="{00000000-0005-0000-0000-000095110000}"/>
    <cellStyle name="Normal 101 3 6" xfId="14417" xr:uid="{00000000-0005-0000-0000-000096110000}"/>
    <cellStyle name="Normal 101 4" xfId="1950" xr:uid="{00000000-0005-0000-0000-000097110000}"/>
    <cellStyle name="Normal 101 4 2" xfId="9062" xr:uid="{00000000-0005-0000-0000-000098110000}"/>
    <cellStyle name="Normal 101 4 2 2" xfId="17812" xr:uid="{00000000-0005-0000-0000-000099110000}"/>
    <cellStyle name="Normal 101 4 3" xfId="7459" xr:uid="{00000000-0005-0000-0000-00009A110000}"/>
    <cellStyle name="Normal 101 4 3 2" xfId="16213" xr:uid="{00000000-0005-0000-0000-00009B110000}"/>
    <cellStyle name="Normal 101 4 4" xfId="10672" xr:uid="{00000000-0005-0000-0000-00009C110000}"/>
    <cellStyle name="Normal 101 4 4 2" xfId="19359" xr:uid="{00000000-0005-0000-0000-00009D110000}"/>
    <cellStyle name="Normal 101 4 5" xfId="12279" xr:uid="{00000000-0005-0000-0000-00009E110000}"/>
    <cellStyle name="Normal 101 4 5 2" xfId="20959" xr:uid="{00000000-0005-0000-0000-00009F110000}"/>
    <cellStyle name="Normal 101 4 6" xfId="14506" xr:uid="{00000000-0005-0000-0000-0000A0110000}"/>
    <cellStyle name="Normal 101 5" xfId="9059" xr:uid="{00000000-0005-0000-0000-0000A1110000}"/>
    <cellStyle name="Normal 101 5 2" xfId="17809" xr:uid="{00000000-0005-0000-0000-0000A2110000}"/>
    <cellStyle name="Normal 101 6" xfId="7456" xr:uid="{00000000-0005-0000-0000-0000A3110000}"/>
    <cellStyle name="Normal 101 6 2" xfId="16210" xr:uid="{00000000-0005-0000-0000-0000A4110000}"/>
    <cellStyle name="Normal 101 7" xfId="10669" xr:uid="{00000000-0005-0000-0000-0000A5110000}"/>
    <cellStyle name="Normal 101 7 2" xfId="19356" xr:uid="{00000000-0005-0000-0000-0000A6110000}"/>
    <cellStyle name="Normal 101 8" xfId="12276" xr:uid="{00000000-0005-0000-0000-0000A7110000}"/>
    <cellStyle name="Normal 101 8 2" xfId="20956" xr:uid="{00000000-0005-0000-0000-0000A8110000}"/>
    <cellStyle name="Normal 101 9" xfId="14505" xr:uid="{00000000-0005-0000-0000-0000A9110000}"/>
    <cellStyle name="Normal 102" xfId="1951" xr:uid="{00000000-0005-0000-0000-0000AA110000}"/>
    <cellStyle name="Normal 102 2" xfId="1952" xr:uid="{00000000-0005-0000-0000-0000AB110000}"/>
    <cellStyle name="Normal 102 2 2" xfId="9064" xr:uid="{00000000-0005-0000-0000-0000AC110000}"/>
    <cellStyle name="Normal 102 2 2 2" xfId="17814" xr:uid="{00000000-0005-0000-0000-0000AD110000}"/>
    <cellStyle name="Normal 102 2 3" xfId="7461" xr:uid="{00000000-0005-0000-0000-0000AE110000}"/>
    <cellStyle name="Normal 102 2 3 2" xfId="16215" xr:uid="{00000000-0005-0000-0000-0000AF110000}"/>
    <cellStyle name="Normal 102 2 4" xfId="10674" xr:uid="{00000000-0005-0000-0000-0000B0110000}"/>
    <cellStyle name="Normal 102 2 4 2" xfId="19361" xr:uid="{00000000-0005-0000-0000-0000B1110000}"/>
    <cellStyle name="Normal 102 2 5" xfId="12281" xr:uid="{00000000-0005-0000-0000-0000B2110000}"/>
    <cellStyle name="Normal 102 2 5 2" xfId="20961" xr:uid="{00000000-0005-0000-0000-0000B3110000}"/>
    <cellStyle name="Normal 102 2 6" xfId="14083" xr:uid="{00000000-0005-0000-0000-0000B4110000}"/>
    <cellStyle name="Normal 102 3" xfId="1953" xr:uid="{00000000-0005-0000-0000-0000B5110000}"/>
    <cellStyle name="Normal 102 3 2" xfId="9065" xr:uid="{00000000-0005-0000-0000-0000B6110000}"/>
    <cellStyle name="Normal 102 3 2 2" xfId="17815" xr:uid="{00000000-0005-0000-0000-0000B7110000}"/>
    <cellStyle name="Normal 102 3 3" xfId="7462" xr:uid="{00000000-0005-0000-0000-0000B8110000}"/>
    <cellStyle name="Normal 102 3 3 2" xfId="16216" xr:uid="{00000000-0005-0000-0000-0000B9110000}"/>
    <cellStyle name="Normal 102 3 4" xfId="10675" xr:uid="{00000000-0005-0000-0000-0000BA110000}"/>
    <cellStyle name="Normal 102 3 4 2" xfId="19362" xr:uid="{00000000-0005-0000-0000-0000BB110000}"/>
    <cellStyle name="Normal 102 3 5" xfId="12282" xr:uid="{00000000-0005-0000-0000-0000BC110000}"/>
    <cellStyle name="Normal 102 3 5 2" xfId="20962" xr:uid="{00000000-0005-0000-0000-0000BD110000}"/>
    <cellStyle name="Normal 102 3 6" xfId="14010" xr:uid="{00000000-0005-0000-0000-0000BE110000}"/>
    <cellStyle name="Normal 102 4" xfId="1954" xr:uid="{00000000-0005-0000-0000-0000BF110000}"/>
    <cellStyle name="Normal 102 4 2" xfId="9066" xr:uid="{00000000-0005-0000-0000-0000C0110000}"/>
    <cellStyle name="Normal 102 4 2 2" xfId="17816" xr:uid="{00000000-0005-0000-0000-0000C1110000}"/>
    <cellStyle name="Normal 102 4 3" xfId="7463" xr:uid="{00000000-0005-0000-0000-0000C2110000}"/>
    <cellStyle name="Normal 102 4 3 2" xfId="16217" xr:uid="{00000000-0005-0000-0000-0000C3110000}"/>
    <cellStyle name="Normal 102 4 4" xfId="10676" xr:uid="{00000000-0005-0000-0000-0000C4110000}"/>
    <cellStyle name="Normal 102 4 4 2" xfId="19363" xr:uid="{00000000-0005-0000-0000-0000C5110000}"/>
    <cellStyle name="Normal 102 4 5" xfId="12283" xr:uid="{00000000-0005-0000-0000-0000C6110000}"/>
    <cellStyle name="Normal 102 4 5 2" xfId="20963" xr:uid="{00000000-0005-0000-0000-0000C7110000}"/>
    <cellStyle name="Normal 102 4 6" xfId="14799" xr:uid="{00000000-0005-0000-0000-0000C8110000}"/>
    <cellStyle name="Normal 102 5" xfId="9063" xr:uid="{00000000-0005-0000-0000-0000C9110000}"/>
    <cellStyle name="Normal 102 5 2" xfId="17813" xr:uid="{00000000-0005-0000-0000-0000CA110000}"/>
    <cellStyle name="Normal 102 6" xfId="7460" xr:uid="{00000000-0005-0000-0000-0000CB110000}"/>
    <cellStyle name="Normal 102 6 2" xfId="16214" xr:uid="{00000000-0005-0000-0000-0000CC110000}"/>
    <cellStyle name="Normal 102 7" xfId="10673" xr:uid="{00000000-0005-0000-0000-0000CD110000}"/>
    <cellStyle name="Normal 102 7 2" xfId="19360" xr:uid="{00000000-0005-0000-0000-0000CE110000}"/>
    <cellStyle name="Normal 102 8" xfId="12280" xr:uid="{00000000-0005-0000-0000-0000CF110000}"/>
    <cellStyle name="Normal 102 8 2" xfId="20960" xr:uid="{00000000-0005-0000-0000-0000D0110000}"/>
    <cellStyle name="Normal 102 9" xfId="13925" xr:uid="{00000000-0005-0000-0000-0000D1110000}"/>
    <cellStyle name="Normal 103" xfId="1955" xr:uid="{00000000-0005-0000-0000-0000D2110000}"/>
    <cellStyle name="Normal 103 2" xfId="1956" xr:uid="{00000000-0005-0000-0000-0000D3110000}"/>
    <cellStyle name="Normal 103 2 2" xfId="9068" xr:uid="{00000000-0005-0000-0000-0000D4110000}"/>
    <cellStyle name="Normal 103 2 2 2" xfId="17818" xr:uid="{00000000-0005-0000-0000-0000D5110000}"/>
    <cellStyle name="Normal 103 2 3" xfId="7465" xr:uid="{00000000-0005-0000-0000-0000D6110000}"/>
    <cellStyle name="Normal 103 2 3 2" xfId="16219" xr:uid="{00000000-0005-0000-0000-0000D7110000}"/>
    <cellStyle name="Normal 103 2 4" xfId="10678" xr:uid="{00000000-0005-0000-0000-0000D8110000}"/>
    <cellStyle name="Normal 103 2 4 2" xfId="19365" xr:uid="{00000000-0005-0000-0000-0000D9110000}"/>
    <cellStyle name="Normal 103 2 5" xfId="12285" xr:uid="{00000000-0005-0000-0000-0000DA110000}"/>
    <cellStyle name="Normal 103 2 5 2" xfId="20965" xr:uid="{00000000-0005-0000-0000-0000DB110000}"/>
    <cellStyle name="Normal 103 2 6" xfId="14000" xr:uid="{00000000-0005-0000-0000-0000DC110000}"/>
    <cellStyle name="Normal 103 3" xfId="1957" xr:uid="{00000000-0005-0000-0000-0000DD110000}"/>
    <cellStyle name="Normal 103 3 2" xfId="9069" xr:uid="{00000000-0005-0000-0000-0000DE110000}"/>
    <cellStyle name="Normal 103 3 2 2" xfId="17819" xr:uid="{00000000-0005-0000-0000-0000DF110000}"/>
    <cellStyle name="Normal 103 3 3" xfId="7466" xr:uid="{00000000-0005-0000-0000-0000E0110000}"/>
    <cellStyle name="Normal 103 3 3 2" xfId="16220" xr:uid="{00000000-0005-0000-0000-0000E1110000}"/>
    <cellStyle name="Normal 103 3 4" xfId="10679" xr:uid="{00000000-0005-0000-0000-0000E2110000}"/>
    <cellStyle name="Normal 103 3 4 2" xfId="19366" xr:uid="{00000000-0005-0000-0000-0000E3110000}"/>
    <cellStyle name="Normal 103 3 5" xfId="12286" xr:uid="{00000000-0005-0000-0000-0000E4110000}"/>
    <cellStyle name="Normal 103 3 5 2" xfId="20966" xr:uid="{00000000-0005-0000-0000-0000E5110000}"/>
    <cellStyle name="Normal 103 3 6" xfId="14635" xr:uid="{00000000-0005-0000-0000-0000E6110000}"/>
    <cellStyle name="Normal 103 4" xfId="1958" xr:uid="{00000000-0005-0000-0000-0000E7110000}"/>
    <cellStyle name="Normal 103 4 2" xfId="9070" xr:uid="{00000000-0005-0000-0000-0000E8110000}"/>
    <cellStyle name="Normal 103 4 2 2" xfId="17820" xr:uid="{00000000-0005-0000-0000-0000E9110000}"/>
    <cellStyle name="Normal 103 4 3" xfId="7467" xr:uid="{00000000-0005-0000-0000-0000EA110000}"/>
    <cellStyle name="Normal 103 4 3 2" xfId="16221" xr:uid="{00000000-0005-0000-0000-0000EB110000}"/>
    <cellStyle name="Normal 103 4 4" xfId="10680" xr:uid="{00000000-0005-0000-0000-0000EC110000}"/>
    <cellStyle name="Normal 103 4 4 2" xfId="19367" xr:uid="{00000000-0005-0000-0000-0000ED110000}"/>
    <cellStyle name="Normal 103 4 5" xfId="12287" xr:uid="{00000000-0005-0000-0000-0000EE110000}"/>
    <cellStyle name="Normal 103 4 5 2" xfId="20967" xr:uid="{00000000-0005-0000-0000-0000EF110000}"/>
    <cellStyle name="Normal 103 4 6" xfId="14800" xr:uid="{00000000-0005-0000-0000-0000F0110000}"/>
    <cellStyle name="Normal 103 5" xfId="9067" xr:uid="{00000000-0005-0000-0000-0000F1110000}"/>
    <cellStyle name="Normal 103 5 2" xfId="17817" xr:uid="{00000000-0005-0000-0000-0000F2110000}"/>
    <cellStyle name="Normal 103 6" xfId="7464" xr:uid="{00000000-0005-0000-0000-0000F3110000}"/>
    <cellStyle name="Normal 103 6 2" xfId="16218" xr:uid="{00000000-0005-0000-0000-0000F4110000}"/>
    <cellStyle name="Normal 103 7" xfId="10677" xr:uid="{00000000-0005-0000-0000-0000F5110000}"/>
    <cellStyle name="Normal 103 7 2" xfId="19364" xr:uid="{00000000-0005-0000-0000-0000F6110000}"/>
    <cellStyle name="Normal 103 8" xfId="12284" xr:uid="{00000000-0005-0000-0000-0000F7110000}"/>
    <cellStyle name="Normal 103 8 2" xfId="20964" xr:uid="{00000000-0005-0000-0000-0000F8110000}"/>
    <cellStyle name="Normal 103 9" xfId="14768" xr:uid="{00000000-0005-0000-0000-0000F9110000}"/>
    <cellStyle name="Normal 104" xfId="1959" xr:uid="{00000000-0005-0000-0000-0000FA110000}"/>
    <cellStyle name="Normal 104 2" xfId="1960" xr:uid="{00000000-0005-0000-0000-0000FB110000}"/>
    <cellStyle name="Normal 104 2 2" xfId="9072" xr:uid="{00000000-0005-0000-0000-0000FC110000}"/>
    <cellStyle name="Normal 104 2 2 2" xfId="17822" xr:uid="{00000000-0005-0000-0000-0000FD110000}"/>
    <cellStyle name="Normal 104 2 3" xfId="7469" xr:uid="{00000000-0005-0000-0000-0000FE110000}"/>
    <cellStyle name="Normal 104 2 3 2" xfId="16223" xr:uid="{00000000-0005-0000-0000-0000FF110000}"/>
    <cellStyle name="Normal 104 2 4" xfId="10682" xr:uid="{00000000-0005-0000-0000-000000120000}"/>
    <cellStyle name="Normal 104 2 4 2" xfId="19369" xr:uid="{00000000-0005-0000-0000-000001120000}"/>
    <cellStyle name="Normal 104 2 5" xfId="12289" xr:uid="{00000000-0005-0000-0000-000002120000}"/>
    <cellStyle name="Normal 104 2 5 2" xfId="20969" xr:uid="{00000000-0005-0000-0000-000003120000}"/>
    <cellStyle name="Normal 104 2 6" xfId="14547" xr:uid="{00000000-0005-0000-0000-000004120000}"/>
    <cellStyle name="Normal 104 3" xfId="1961" xr:uid="{00000000-0005-0000-0000-000005120000}"/>
    <cellStyle name="Normal 104 3 2" xfId="9073" xr:uid="{00000000-0005-0000-0000-000006120000}"/>
    <cellStyle name="Normal 104 3 2 2" xfId="17823" xr:uid="{00000000-0005-0000-0000-000007120000}"/>
    <cellStyle name="Normal 104 3 3" xfId="7470" xr:uid="{00000000-0005-0000-0000-000008120000}"/>
    <cellStyle name="Normal 104 3 3 2" xfId="16224" xr:uid="{00000000-0005-0000-0000-000009120000}"/>
    <cellStyle name="Normal 104 3 4" xfId="10683" xr:uid="{00000000-0005-0000-0000-00000A120000}"/>
    <cellStyle name="Normal 104 3 4 2" xfId="19370" xr:uid="{00000000-0005-0000-0000-00000B120000}"/>
    <cellStyle name="Normal 104 3 5" xfId="12290" xr:uid="{00000000-0005-0000-0000-00000C120000}"/>
    <cellStyle name="Normal 104 3 5 2" xfId="20970" xr:uid="{00000000-0005-0000-0000-00000D120000}"/>
    <cellStyle name="Normal 104 3 6" xfId="14603" xr:uid="{00000000-0005-0000-0000-00000E120000}"/>
    <cellStyle name="Normal 104 4" xfId="1962" xr:uid="{00000000-0005-0000-0000-00000F120000}"/>
    <cellStyle name="Normal 104 4 2" xfId="9074" xr:uid="{00000000-0005-0000-0000-000010120000}"/>
    <cellStyle name="Normal 104 4 2 2" xfId="17824" xr:uid="{00000000-0005-0000-0000-000011120000}"/>
    <cellStyle name="Normal 104 4 3" xfId="7471" xr:uid="{00000000-0005-0000-0000-000012120000}"/>
    <cellStyle name="Normal 104 4 3 2" xfId="16225" xr:uid="{00000000-0005-0000-0000-000013120000}"/>
    <cellStyle name="Normal 104 4 4" xfId="10684" xr:uid="{00000000-0005-0000-0000-000014120000}"/>
    <cellStyle name="Normal 104 4 4 2" xfId="19371" xr:uid="{00000000-0005-0000-0000-000015120000}"/>
    <cellStyle name="Normal 104 4 5" xfId="12291" xr:uid="{00000000-0005-0000-0000-000016120000}"/>
    <cellStyle name="Normal 104 4 5 2" xfId="20971" xr:uid="{00000000-0005-0000-0000-000017120000}"/>
    <cellStyle name="Normal 104 4 6" xfId="14637" xr:uid="{00000000-0005-0000-0000-000018120000}"/>
    <cellStyle name="Normal 104 5" xfId="9071" xr:uid="{00000000-0005-0000-0000-000019120000}"/>
    <cellStyle name="Normal 104 5 2" xfId="17821" xr:uid="{00000000-0005-0000-0000-00001A120000}"/>
    <cellStyle name="Normal 104 6" xfId="7468" xr:uid="{00000000-0005-0000-0000-00001B120000}"/>
    <cellStyle name="Normal 104 6 2" xfId="16222" xr:uid="{00000000-0005-0000-0000-00001C120000}"/>
    <cellStyle name="Normal 104 7" xfId="10681" xr:uid="{00000000-0005-0000-0000-00001D120000}"/>
    <cellStyle name="Normal 104 7 2" xfId="19368" xr:uid="{00000000-0005-0000-0000-00001E120000}"/>
    <cellStyle name="Normal 104 8" xfId="12288" xr:uid="{00000000-0005-0000-0000-00001F120000}"/>
    <cellStyle name="Normal 104 8 2" xfId="20968" xr:uid="{00000000-0005-0000-0000-000020120000}"/>
    <cellStyle name="Normal 104 9" xfId="14639" xr:uid="{00000000-0005-0000-0000-000021120000}"/>
    <cellStyle name="Normal 105" xfId="1963" xr:uid="{00000000-0005-0000-0000-000022120000}"/>
    <cellStyle name="Normal 105 2" xfId="1964" xr:uid="{00000000-0005-0000-0000-000023120000}"/>
    <cellStyle name="Normal 105 2 2" xfId="9076" xr:uid="{00000000-0005-0000-0000-000024120000}"/>
    <cellStyle name="Normal 105 2 2 2" xfId="17826" xr:uid="{00000000-0005-0000-0000-000025120000}"/>
    <cellStyle name="Normal 105 2 3" xfId="7473" xr:uid="{00000000-0005-0000-0000-000026120000}"/>
    <cellStyle name="Normal 105 2 3 2" xfId="16227" xr:uid="{00000000-0005-0000-0000-000027120000}"/>
    <cellStyle name="Normal 105 2 4" xfId="10686" xr:uid="{00000000-0005-0000-0000-000028120000}"/>
    <cellStyle name="Normal 105 2 4 2" xfId="19373" xr:uid="{00000000-0005-0000-0000-000029120000}"/>
    <cellStyle name="Normal 105 2 5" xfId="12293" xr:uid="{00000000-0005-0000-0000-00002A120000}"/>
    <cellStyle name="Normal 105 2 5 2" xfId="20973" xr:uid="{00000000-0005-0000-0000-00002B120000}"/>
    <cellStyle name="Normal 105 2 6" xfId="14761" xr:uid="{00000000-0005-0000-0000-00002C120000}"/>
    <cellStyle name="Normal 105 3" xfId="1965" xr:uid="{00000000-0005-0000-0000-00002D120000}"/>
    <cellStyle name="Normal 105 3 2" xfId="9077" xr:uid="{00000000-0005-0000-0000-00002E120000}"/>
    <cellStyle name="Normal 105 3 2 2" xfId="17827" xr:uid="{00000000-0005-0000-0000-00002F120000}"/>
    <cellStyle name="Normal 105 3 3" xfId="7474" xr:uid="{00000000-0005-0000-0000-000030120000}"/>
    <cellStyle name="Normal 105 3 3 2" xfId="16228" xr:uid="{00000000-0005-0000-0000-000031120000}"/>
    <cellStyle name="Normal 105 3 4" xfId="10687" xr:uid="{00000000-0005-0000-0000-000032120000}"/>
    <cellStyle name="Normal 105 3 4 2" xfId="19374" xr:uid="{00000000-0005-0000-0000-000033120000}"/>
    <cellStyle name="Normal 105 3 5" xfId="12294" xr:uid="{00000000-0005-0000-0000-000034120000}"/>
    <cellStyle name="Normal 105 3 5 2" xfId="20974" xr:uid="{00000000-0005-0000-0000-000035120000}"/>
    <cellStyle name="Normal 105 3 6" xfId="13877" xr:uid="{00000000-0005-0000-0000-000036120000}"/>
    <cellStyle name="Normal 105 4" xfId="1966" xr:uid="{00000000-0005-0000-0000-000037120000}"/>
    <cellStyle name="Normal 105 4 2" xfId="9078" xr:uid="{00000000-0005-0000-0000-000038120000}"/>
    <cellStyle name="Normal 105 4 2 2" xfId="17828" xr:uid="{00000000-0005-0000-0000-000039120000}"/>
    <cellStyle name="Normal 105 4 3" xfId="7475" xr:uid="{00000000-0005-0000-0000-00003A120000}"/>
    <cellStyle name="Normal 105 4 3 2" xfId="16229" xr:uid="{00000000-0005-0000-0000-00003B120000}"/>
    <cellStyle name="Normal 105 4 4" xfId="10688" xr:uid="{00000000-0005-0000-0000-00003C120000}"/>
    <cellStyle name="Normal 105 4 4 2" xfId="19375" xr:uid="{00000000-0005-0000-0000-00003D120000}"/>
    <cellStyle name="Normal 105 4 5" xfId="12295" xr:uid="{00000000-0005-0000-0000-00003E120000}"/>
    <cellStyle name="Normal 105 4 5 2" xfId="20975" xr:uid="{00000000-0005-0000-0000-00003F120000}"/>
    <cellStyle name="Normal 105 4 6" xfId="13892" xr:uid="{00000000-0005-0000-0000-000040120000}"/>
    <cellStyle name="Normal 105 5" xfId="9075" xr:uid="{00000000-0005-0000-0000-000041120000}"/>
    <cellStyle name="Normal 105 5 2" xfId="17825" xr:uid="{00000000-0005-0000-0000-000042120000}"/>
    <cellStyle name="Normal 105 6" xfId="7472" xr:uid="{00000000-0005-0000-0000-000043120000}"/>
    <cellStyle name="Normal 105 6 2" xfId="16226" xr:uid="{00000000-0005-0000-0000-000044120000}"/>
    <cellStyle name="Normal 105 7" xfId="10685" xr:uid="{00000000-0005-0000-0000-000045120000}"/>
    <cellStyle name="Normal 105 7 2" xfId="19372" xr:uid="{00000000-0005-0000-0000-000046120000}"/>
    <cellStyle name="Normal 105 8" xfId="12292" xr:uid="{00000000-0005-0000-0000-000047120000}"/>
    <cellStyle name="Normal 105 8 2" xfId="20972" xr:uid="{00000000-0005-0000-0000-000048120000}"/>
    <cellStyle name="Normal 105 9" xfId="13965" xr:uid="{00000000-0005-0000-0000-000049120000}"/>
    <cellStyle name="Normal 106" xfId="1967" xr:uid="{00000000-0005-0000-0000-00004A120000}"/>
    <cellStyle name="Normal 106 2" xfId="1968" xr:uid="{00000000-0005-0000-0000-00004B120000}"/>
    <cellStyle name="Normal 106 2 2" xfId="9080" xr:uid="{00000000-0005-0000-0000-00004C120000}"/>
    <cellStyle name="Normal 106 2 2 2" xfId="17830" xr:uid="{00000000-0005-0000-0000-00004D120000}"/>
    <cellStyle name="Normal 106 2 3" xfId="7477" xr:uid="{00000000-0005-0000-0000-00004E120000}"/>
    <cellStyle name="Normal 106 2 3 2" xfId="16231" xr:uid="{00000000-0005-0000-0000-00004F120000}"/>
    <cellStyle name="Normal 106 2 4" xfId="10690" xr:uid="{00000000-0005-0000-0000-000050120000}"/>
    <cellStyle name="Normal 106 2 4 2" xfId="19377" xr:uid="{00000000-0005-0000-0000-000051120000}"/>
    <cellStyle name="Normal 106 2 5" xfId="12297" xr:uid="{00000000-0005-0000-0000-000052120000}"/>
    <cellStyle name="Normal 106 2 5 2" xfId="20977" xr:uid="{00000000-0005-0000-0000-000053120000}"/>
    <cellStyle name="Normal 106 2 6" xfId="14540" xr:uid="{00000000-0005-0000-0000-000054120000}"/>
    <cellStyle name="Normal 106 3" xfId="1969" xr:uid="{00000000-0005-0000-0000-000055120000}"/>
    <cellStyle name="Normal 106 3 2" xfId="9081" xr:uid="{00000000-0005-0000-0000-000056120000}"/>
    <cellStyle name="Normal 106 3 2 2" xfId="17831" xr:uid="{00000000-0005-0000-0000-000057120000}"/>
    <cellStyle name="Normal 106 3 3" xfId="7478" xr:uid="{00000000-0005-0000-0000-000058120000}"/>
    <cellStyle name="Normal 106 3 3 2" xfId="16232" xr:uid="{00000000-0005-0000-0000-000059120000}"/>
    <cellStyle name="Normal 106 3 4" xfId="10691" xr:uid="{00000000-0005-0000-0000-00005A120000}"/>
    <cellStyle name="Normal 106 3 4 2" xfId="19378" xr:uid="{00000000-0005-0000-0000-00005B120000}"/>
    <cellStyle name="Normal 106 3 5" xfId="12298" xr:uid="{00000000-0005-0000-0000-00005C120000}"/>
    <cellStyle name="Normal 106 3 5 2" xfId="20978" xr:uid="{00000000-0005-0000-0000-00005D120000}"/>
    <cellStyle name="Normal 106 3 6" xfId="14550" xr:uid="{00000000-0005-0000-0000-00005E120000}"/>
    <cellStyle name="Normal 106 4" xfId="1970" xr:uid="{00000000-0005-0000-0000-00005F120000}"/>
    <cellStyle name="Normal 106 4 2" xfId="9082" xr:uid="{00000000-0005-0000-0000-000060120000}"/>
    <cellStyle name="Normal 106 4 2 2" xfId="17832" xr:uid="{00000000-0005-0000-0000-000061120000}"/>
    <cellStyle name="Normal 106 4 3" xfId="7479" xr:uid="{00000000-0005-0000-0000-000062120000}"/>
    <cellStyle name="Normal 106 4 3 2" xfId="16233" xr:uid="{00000000-0005-0000-0000-000063120000}"/>
    <cellStyle name="Normal 106 4 4" xfId="10692" xr:uid="{00000000-0005-0000-0000-000064120000}"/>
    <cellStyle name="Normal 106 4 4 2" xfId="19379" xr:uid="{00000000-0005-0000-0000-000065120000}"/>
    <cellStyle name="Normal 106 4 5" xfId="12299" xr:uid="{00000000-0005-0000-0000-000066120000}"/>
    <cellStyle name="Normal 106 4 5 2" xfId="20979" xr:uid="{00000000-0005-0000-0000-000067120000}"/>
    <cellStyle name="Normal 106 4 6" xfId="14064" xr:uid="{00000000-0005-0000-0000-000068120000}"/>
    <cellStyle name="Normal 106 5" xfId="9079" xr:uid="{00000000-0005-0000-0000-000069120000}"/>
    <cellStyle name="Normal 106 5 2" xfId="17829" xr:uid="{00000000-0005-0000-0000-00006A120000}"/>
    <cellStyle name="Normal 106 6" xfId="7476" xr:uid="{00000000-0005-0000-0000-00006B120000}"/>
    <cellStyle name="Normal 106 6 2" xfId="16230" xr:uid="{00000000-0005-0000-0000-00006C120000}"/>
    <cellStyle name="Normal 106 7" xfId="10689" xr:uid="{00000000-0005-0000-0000-00006D120000}"/>
    <cellStyle name="Normal 106 7 2" xfId="19376" xr:uid="{00000000-0005-0000-0000-00006E120000}"/>
    <cellStyle name="Normal 106 8" xfId="12296" xr:uid="{00000000-0005-0000-0000-00006F120000}"/>
    <cellStyle name="Normal 106 8 2" xfId="20976" xr:uid="{00000000-0005-0000-0000-000070120000}"/>
    <cellStyle name="Normal 106 9" xfId="14549" xr:uid="{00000000-0005-0000-0000-000071120000}"/>
    <cellStyle name="Normal 107" xfId="1971" xr:uid="{00000000-0005-0000-0000-000072120000}"/>
    <cellStyle name="Normal 107 2" xfId="1972" xr:uid="{00000000-0005-0000-0000-000073120000}"/>
    <cellStyle name="Normal 107 2 2" xfId="9084" xr:uid="{00000000-0005-0000-0000-000074120000}"/>
    <cellStyle name="Normal 107 2 2 2" xfId="17834" xr:uid="{00000000-0005-0000-0000-000075120000}"/>
    <cellStyle name="Normal 107 2 3" xfId="7481" xr:uid="{00000000-0005-0000-0000-000076120000}"/>
    <cellStyle name="Normal 107 2 3 2" xfId="16235" xr:uid="{00000000-0005-0000-0000-000077120000}"/>
    <cellStyle name="Normal 107 2 4" xfId="10694" xr:uid="{00000000-0005-0000-0000-000078120000}"/>
    <cellStyle name="Normal 107 2 4 2" xfId="19381" xr:uid="{00000000-0005-0000-0000-000079120000}"/>
    <cellStyle name="Normal 107 2 5" xfId="12301" xr:uid="{00000000-0005-0000-0000-00007A120000}"/>
    <cellStyle name="Normal 107 2 5 2" xfId="20981" xr:uid="{00000000-0005-0000-0000-00007B120000}"/>
    <cellStyle name="Normal 107 2 6" xfId="14691" xr:uid="{00000000-0005-0000-0000-00007C120000}"/>
    <cellStyle name="Normal 107 3" xfId="1973" xr:uid="{00000000-0005-0000-0000-00007D120000}"/>
    <cellStyle name="Normal 107 3 2" xfId="9085" xr:uid="{00000000-0005-0000-0000-00007E120000}"/>
    <cellStyle name="Normal 107 3 2 2" xfId="17835" xr:uid="{00000000-0005-0000-0000-00007F120000}"/>
    <cellStyle name="Normal 107 3 3" xfId="7482" xr:uid="{00000000-0005-0000-0000-000080120000}"/>
    <cellStyle name="Normal 107 3 3 2" xfId="16236" xr:uid="{00000000-0005-0000-0000-000081120000}"/>
    <cellStyle name="Normal 107 3 4" xfId="10695" xr:uid="{00000000-0005-0000-0000-000082120000}"/>
    <cellStyle name="Normal 107 3 4 2" xfId="19382" xr:uid="{00000000-0005-0000-0000-000083120000}"/>
    <cellStyle name="Normal 107 3 5" xfId="12302" xr:uid="{00000000-0005-0000-0000-000084120000}"/>
    <cellStyle name="Normal 107 3 5 2" xfId="20982" xr:uid="{00000000-0005-0000-0000-000085120000}"/>
    <cellStyle name="Normal 107 3 6" xfId="13989" xr:uid="{00000000-0005-0000-0000-000086120000}"/>
    <cellStyle name="Normal 107 4" xfId="1974" xr:uid="{00000000-0005-0000-0000-000087120000}"/>
    <cellStyle name="Normal 107 4 2" xfId="9086" xr:uid="{00000000-0005-0000-0000-000088120000}"/>
    <cellStyle name="Normal 107 4 2 2" xfId="17836" xr:uid="{00000000-0005-0000-0000-000089120000}"/>
    <cellStyle name="Normal 107 4 3" xfId="7483" xr:uid="{00000000-0005-0000-0000-00008A120000}"/>
    <cellStyle name="Normal 107 4 3 2" xfId="16237" xr:uid="{00000000-0005-0000-0000-00008B120000}"/>
    <cellStyle name="Normal 107 4 4" xfId="10696" xr:uid="{00000000-0005-0000-0000-00008C120000}"/>
    <cellStyle name="Normal 107 4 4 2" xfId="19383" xr:uid="{00000000-0005-0000-0000-00008D120000}"/>
    <cellStyle name="Normal 107 4 5" xfId="12303" xr:uid="{00000000-0005-0000-0000-00008E120000}"/>
    <cellStyle name="Normal 107 4 5 2" xfId="20983" xr:uid="{00000000-0005-0000-0000-00008F120000}"/>
    <cellStyle name="Normal 107 4 6" xfId="13957" xr:uid="{00000000-0005-0000-0000-000090120000}"/>
    <cellStyle name="Normal 107 5" xfId="9083" xr:uid="{00000000-0005-0000-0000-000091120000}"/>
    <cellStyle name="Normal 107 5 2" xfId="17833" xr:uid="{00000000-0005-0000-0000-000092120000}"/>
    <cellStyle name="Normal 107 6" xfId="7480" xr:uid="{00000000-0005-0000-0000-000093120000}"/>
    <cellStyle name="Normal 107 6 2" xfId="16234" xr:uid="{00000000-0005-0000-0000-000094120000}"/>
    <cellStyle name="Normal 107 7" xfId="10693" xr:uid="{00000000-0005-0000-0000-000095120000}"/>
    <cellStyle name="Normal 107 7 2" xfId="19380" xr:uid="{00000000-0005-0000-0000-000096120000}"/>
    <cellStyle name="Normal 107 8" xfId="12300" xr:uid="{00000000-0005-0000-0000-000097120000}"/>
    <cellStyle name="Normal 107 8 2" xfId="20980" xr:uid="{00000000-0005-0000-0000-000098120000}"/>
    <cellStyle name="Normal 107 9" xfId="13966" xr:uid="{00000000-0005-0000-0000-000099120000}"/>
    <cellStyle name="Normal 108" xfId="1975" xr:uid="{00000000-0005-0000-0000-00009A120000}"/>
    <cellStyle name="Normal 108 2" xfId="1976" xr:uid="{00000000-0005-0000-0000-00009B120000}"/>
    <cellStyle name="Normal 108 2 2" xfId="9088" xr:uid="{00000000-0005-0000-0000-00009C120000}"/>
    <cellStyle name="Normal 108 2 2 2" xfId="17838" xr:uid="{00000000-0005-0000-0000-00009D120000}"/>
    <cellStyle name="Normal 108 2 3" xfId="7485" xr:uid="{00000000-0005-0000-0000-00009E120000}"/>
    <cellStyle name="Normal 108 2 3 2" xfId="16239" xr:uid="{00000000-0005-0000-0000-00009F120000}"/>
    <cellStyle name="Normal 108 2 4" xfId="10698" xr:uid="{00000000-0005-0000-0000-0000A0120000}"/>
    <cellStyle name="Normal 108 2 4 2" xfId="19385" xr:uid="{00000000-0005-0000-0000-0000A1120000}"/>
    <cellStyle name="Normal 108 2 5" xfId="12305" xr:uid="{00000000-0005-0000-0000-0000A2120000}"/>
    <cellStyle name="Normal 108 2 5 2" xfId="20985" xr:uid="{00000000-0005-0000-0000-0000A3120000}"/>
    <cellStyle name="Normal 108 2 6" xfId="14404" xr:uid="{00000000-0005-0000-0000-0000A4120000}"/>
    <cellStyle name="Normal 108 3" xfId="1977" xr:uid="{00000000-0005-0000-0000-0000A5120000}"/>
    <cellStyle name="Normal 108 3 2" xfId="9089" xr:uid="{00000000-0005-0000-0000-0000A6120000}"/>
    <cellStyle name="Normal 108 3 2 2" xfId="17839" xr:uid="{00000000-0005-0000-0000-0000A7120000}"/>
    <cellStyle name="Normal 108 3 3" xfId="7486" xr:uid="{00000000-0005-0000-0000-0000A8120000}"/>
    <cellStyle name="Normal 108 3 3 2" xfId="16240" xr:uid="{00000000-0005-0000-0000-0000A9120000}"/>
    <cellStyle name="Normal 108 3 4" xfId="10699" xr:uid="{00000000-0005-0000-0000-0000AA120000}"/>
    <cellStyle name="Normal 108 3 4 2" xfId="19386" xr:uid="{00000000-0005-0000-0000-0000AB120000}"/>
    <cellStyle name="Normal 108 3 5" xfId="12306" xr:uid="{00000000-0005-0000-0000-0000AC120000}"/>
    <cellStyle name="Normal 108 3 5 2" xfId="20986" xr:uid="{00000000-0005-0000-0000-0000AD120000}"/>
    <cellStyle name="Normal 108 3 6" xfId="14403" xr:uid="{00000000-0005-0000-0000-0000AE120000}"/>
    <cellStyle name="Normal 108 4" xfId="1978" xr:uid="{00000000-0005-0000-0000-0000AF120000}"/>
    <cellStyle name="Normal 108 4 2" xfId="9090" xr:uid="{00000000-0005-0000-0000-0000B0120000}"/>
    <cellStyle name="Normal 108 4 2 2" xfId="17840" xr:uid="{00000000-0005-0000-0000-0000B1120000}"/>
    <cellStyle name="Normal 108 4 3" xfId="7487" xr:uid="{00000000-0005-0000-0000-0000B2120000}"/>
    <cellStyle name="Normal 108 4 3 2" xfId="16241" xr:uid="{00000000-0005-0000-0000-0000B3120000}"/>
    <cellStyle name="Normal 108 4 4" xfId="10700" xr:uid="{00000000-0005-0000-0000-0000B4120000}"/>
    <cellStyle name="Normal 108 4 4 2" xfId="19387" xr:uid="{00000000-0005-0000-0000-0000B5120000}"/>
    <cellStyle name="Normal 108 4 5" xfId="12307" xr:uid="{00000000-0005-0000-0000-0000B6120000}"/>
    <cellStyle name="Normal 108 4 5 2" xfId="20987" xr:uid="{00000000-0005-0000-0000-0000B7120000}"/>
    <cellStyle name="Normal 108 4 6" xfId="14402" xr:uid="{00000000-0005-0000-0000-0000B8120000}"/>
    <cellStyle name="Normal 108 5" xfId="9087" xr:uid="{00000000-0005-0000-0000-0000B9120000}"/>
    <cellStyle name="Normal 108 5 2" xfId="17837" xr:uid="{00000000-0005-0000-0000-0000BA120000}"/>
    <cellStyle name="Normal 108 6" xfId="7484" xr:uid="{00000000-0005-0000-0000-0000BB120000}"/>
    <cellStyle name="Normal 108 6 2" xfId="16238" xr:uid="{00000000-0005-0000-0000-0000BC120000}"/>
    <cellStyle name="Normal 108 7" xfId="10697" xr:uid="{00000000-0005-0000-0000-0000BD120000}"/>
    <cellStyle name="Normal 108 7 2" xfId="19384" xr:uid="{00000000-0005-0000-0000-0000BE120000}"/>
    <cellStyle name="Normal 108 8" xfId="12304" xr:uid="{00000000-0005-0000-0000-0000BF120000}"/>
    <cellStyle name="Normal 108 8 2" xfId="20984" xr:uid="{00000000-0005-0000-0000-0000C0120000}"/>
    <cellStyle name="Normal 108 9" xfId="14405" xr:uid="{00000000-0005-0000-0000-0000C1120000}"/>
    <cellStyle name="Normal 109" xfId="1979" xr:uid="{00000000-0005-0000-0000-0000C2120000}"/>
    <cellStyle name="Normal 109 2" xfId="1980" xr:uid="{00000000-0005-0000-0000-0000C3120000}"/>
    <cellStyle name="Normal 109 2 2" xfId="9092" xr:uid="{00000000-0005-0000-0000-0000C4120000}"/>
    <cellStyle name="Normal 109 2 2 2" xfId="17842" xr:uid="{00000000-0005-0000-0000-0000C5120000}"/>
    <cellStyle name="Normal 109 2 3" xfId="7489" xr:uid="{00000000-0005-0000-0000-0000C6120000}"/>
    <cellStyle name="Normal 109 2 3 2" xfId="16243" xr:uid="{00000000-0005-0000-0000-0000C7120000}"/>
    <cellStyle name="Normal 109 2 4" xfId="10702" xr:uid="{00000000-0005-0000-0000-0000C8120000}"/>
    <cellStyle name="Normal 109 2 4 2" xfId="19389" xr:uid="{00000000-0005-0000-0000-0000C9120000}"/>
    <cellStyle name="Normal 109 2 5" xfId="12309" xr:uid="{00000000-0005-0000-0000-0000CA120000}"/>
    <cellStyle name="Normal 109 2 5 2" xfId="20989" xr:uid="{00000000-0005-0000-0000-0000CB120000}"/>
    <cellStyle name="Normal 109 2 6" xfId="14397" xr:uid="{00000000-0005-0000-0000-0000CC120000}"/>
    <cellStyle name="Normal 109 3" xfId="1981" xr:uid="{00000000-0005-0000-0000-0000CD120000}"/>
    <cellStyle name="Normal 109 3 2" xfId="9093" xr:uid="{00000000-0005-0000-0000-0000CE120000}"/>
    <cellStyle name="Normal 109 3 2 2" xfId="17843" xr:uid="{00000000-0005-0000-0000-0000CF120000}"/>
    <cellStyle name="Normal 109 3 3" xfId="7490" xr:uid="{00000000-0005-0000-0000-0000D0120000}"/>
    <cellStyle name="Normal 109 3 3 2" xfId="16244" xr:uid="{00000000-0005-0000-0000-0000D1120000}"/>
    <cellStyle name="Normal 109 3 4" xfId="10703" xr:uid="{00000000-0005-0000-0000-0000D2120000}"/>
    <cellStyle name="Normal 109 3 4 2" xfId="19390" xr:uid="{00000000-0005-0000-0000-0000D3120000}"/>
    <cellStyle name="Normal 109 3 5" xfId="12310" xr:uid="{00000000-0005-0000-0000-0000D4120000}"/>
    <cellStyle name="Normal 109 3 5 2" xfId="20990" xr:uid="{00000000-0005-0000-0000-0000D5120000}"/>
    <cellStyle name="Normal 109 3 6" xfId="14396" xr:uid="{00000000-0005-0000-0000-0000D6120000}"/>
    <cellStyle name="Normal 109 4" xfId="1982" xr:uid="{00000000-0005-0000-0000-0000D7120000}"/>
    <cellStyle name="Normal 109 4 2" xfId="9094" xr:uid="{00000000-0005-0000-0000-0000D8120000}"/>
    <cellStyle name="Normal 109 4 2 2" xfId="17844" xr:uid="{00000000-0005-0000-0000-0000D9120000}"/>
    <cellStyle name="Normal 109 4 3" xfId="7491" xr:uid="{00000000-0005-0000-0000-0000DA120000}"/>
    <cellStyle name="Normal 109 4 3 2" xfId="16245" xr:uid="{00000000-0005-0000-0000-0000DB120000}"/>
    <cellStyle name="Normal 109 4 4" xfId="10704" xr:uid="{00000000-0005-0000-0000-0000DC120000}"/>
    <cellStyle name="Normal 109 4 4 2" xfId="19391" xr:uid="{00000000-0005-0000-0000-0000DD120000}"/>
    <cellStyle name="Normal 109 4 5" xfId="12311" xr:uid="{00000000-0005-0000-0000-0000DE120000}"/>
    <cellStyle name="Normal 109 4 5 2" xfId="20991" xr:uid="{00000000-0005-0000-0000-0000DF120000}"/>
    <cellStyle name="Normal 109 4 6" xfId="14395" xr:uid="{00000000-0005-0000-0000-0000E0120000}"/>
    <cellStyle name="Normal 109 5" xfId="9091" xr:uid="{00000000-0005-0000-0000-0000E1120000}"/>
    <cellStyle name="Normal 109 5 2" xfId="17841" xr:uid="{00000000-0005-0000-0000-0000E2120000}"/>
    <cellStyle name="Normal 109 6" xfId="7488" xr:uid="{00000000-0005-0000-0000-0000E3120000}"/>
    <cellStyle name="Normal 109 6 2" xfId="16242" xr:uid="{00000000-0005-0000-0000-0000E4120000}"/>
    <cellStyle name="Normal 109 7" xfId="10701" xr:uid="{00000000-0005-0000-0000-0000E5120000}"/>
    <cellStyle name="Normal 109 7 2" xfId="19388" xr:uid="{00000000-0005-0000-0000-0000E6120000}"/>
    <cellStyle name="Normal 109 8" xfId="12308" xr:uid="{00000000-0005-0000-0000-0000E7120000}"/>
    <cellStyle name="Normal 109 8 2" xfId="20988" xr:uid="{00000000-0005-0000-0000-0000E8120000}"/>
    <cellStyle name="Normal 109 9" xfId="14401" xr:uid="{00000000-0005-0000-0000-0000E9120000}"/>
    <cellStyle name="Normal 11" xfId="124" xr:uid="{00000000-0005-0000-0000-0000EA120000}"/>
    <cellStyle name="Normal 11 2" xfId="1984" xr:uid="{00000000-0005-0000-0000-0000EB120000}"/>
    <cellStyle name="Normal 11 2 10" xfId="1985" xr:uid="{00000000-0005-0000-0000-0000EC120000}"/>
    <cellStyle name="Normal 11 2 10 2" xfId="9096" xr:uid="{00000000-0005-0000-0000-0000ED120000}"/>
    <cellStyle name="Normal 11 2 10 2 2" xfId="17846" xr:uid="{00000000-0005-0000-0000-0000EE120000}"/>
    <cellStyle name="Normal 11 2 10 3" xfId="7493" xr:uid="{00000000-0005-0000-0000-0000EF120000}"/>
    <cellStyle name="Normal 11 2 10 3 2" xfId="16247" xr:uid="{00000000-0005-0000-0000-0000F0120000}"/>
    <cellStyle name="Normal 11 2 10 4" xfId="10706" xr:uid="{00000000-0005-0000-0000-0000F1120000}"/>
    <cellStyle name="Normal 11 2 10 4 2" xfId="19393" xr:uid="{00000000-0005-0000-0000-0000F2120000}"/>
    <cellStyle name="Normal 11 2 10 5" xfId="12313" xr:uid="{00000000-0005-0000-0000-0000F3120000}"/>
    <cellStyle name="Normal 11 2 10 5 2" xfId="20993" xr:uid="{00000000-0005-0000-0000-0000F4120000}"/>
    <cellStyle name="Normal 11 2 10 6" xfId="14391" xr:uid="{00000000-0005-0000-0000-0000F5120000}"/>
    <cellStyle name="Normal 11 2 11" xfId="6930" xr:uid="{00000000-0005-0000-0000-0000F6120000}"/>
    <cellStyle name="Normal 11 2 11 2" xfId="16140" xr:uid="{00000000-0005-0000-0000-0000F7120000}"/>
    <cellStyle name="Normal 11 2 12" xfId="14555" xr:uid="{00000000-0005-0000-0000-0000F8120000}"/>
    <cellStyle name="Normal 11 2 2" xfId="1986" xr:uid="{00000000-0005-0000-0000-0000F9120000}"/>
    <cellStyle name="Normal 11 2 2 2" xfId="1987" xr:uid="{00000000-0005-0000-0000-0000FA120000}"/>
    <cellStyle name="Normal 11 2 2 2 2" xfId="9097" xr:uid="{00000000-0005-0000-0000-0000FB120000}"/>
    <cellStyle name="Normal 11 2 2 2 2 2" xfId="17847" xr:uid="{00000000-0005-0000-0000-0000FC120000}"/>
    <cellStyle name="Normal 11 2 2 2 3" xfId="7494" xr:uid="{00000000-0005-0000-0000-0000FD120000}"/>
    <cellStyle name="Normal 11 2 2 2 3 2" xfId="16248" xr:uid="{00000000-0005-0000-0000-0000FE120000}"/>
    <cellStyle name="Normal 11 2 2 2 4" xfId="10707" xr:uid="{00000000-0005-0000-0000-0000FF120000}"/>
    <cellStyle name="Normal 11 2 2 2 4 2" xfId="19394" xr:uid="{00000000-0005-0000-0000-000000130000}"/>
    <cellStyle name="Normal 11 2 2 2 5" xfId="12314" xr:uid="{00000000-0005-0000-0000-000001130000}"/>
    <cellStyle name="Normal 11 2 2 2 5 2" xfId="20994" xr:uid="{00000000-0005-0000-0000-000002130000}"/>
    <cellStyle name="Normal 11 2 2 2 6" xfId="14388" xr:uid="{00000000-0005-0000-0000-000003130000}"/>
    <cellStyle name="Normal 11 2 2 3" xfId="1988" xr:uid="{00000000-0005-0000-0000-000004130000}"/>
    <cellStyle name="Normal 11 2 2 3 2" xfId="9098" xr:uid="{00000000-0005-0000-0000-000005130000}"/>
    <cellStyle name="Normal 11 2 2 3 2 2" xfId="17848" xr:uid="{00000000-0005-0000-0000-000006130000}"/>
    <cellStyle name="Normal 11 2 2 3 3" xfId="7495" xr:uid="{00000000-0005-0000-0000-000007130000}"/>
    <cellStyle name="Normal 11 2 2 3 3 2" xfId="16249" xr:uid="{00000000-0005-0000-0000-000008130000}"/>
    <cellStyle name="Normal 11 2 2 3 4" xfId="10708" xr:uid="{00000000-0005-0000-0000-000009130000}"/>
    <cellStyle name="Normal 11 2 2 3 4 2" xfId="19395" xr:uid="{00000000-0005-0000-0000-00000A130000}"/>
    <cellStyle name="Normal 11 2 2 3 5" xfId="12315" xr:uid="{00000000-0005-0000-0000-00000B130000}"/>
    <cellStyle name="Normal 11 2 2 3 5 2" xfId="20995" xr:uid="{00000000-0005-0000-0000-00000C130000}"/>
    <cellStyle name="Normal 11 2 2 3 6" xfId="14386" xr:uid="{00000000-0005-0000-0000-00000D130000}"/>
    <cellStyle name="Normal 11 2 2 4" xfId="1989" xr:uid="{00000000-0005-0000-0000-00000E130000}"/>
    <cellStyle name="Normal 11 2 2 4 2" xfId="9099" xr:uid="{00000000-0005-0000-0000-00000F130000}"/>
    <cellStyle name="Normal 11 2 2 4 2 2" xfId="17849" xr:uid="{00000000-0005-0000-0000-000010130000}"/>
    <cellStyle name="Normal 11 2 2 4 3" xfId="7496" xr:uid="{00000000-0005-0000-0000-000011130000}"/>
    <cellStyle name="Normal 11 2 2 4 3 2" xfId="16250" xr:uid="{00000000-0005-0000-0000-000012130000}"/>
    <cellStyle name="Normal 11 2 2 4 4" xfId="10709" xr:uid="{00000000-0005-0000-0000-000013130000}"/>
    <cellStyle name="Normal 11 2 2 4 4 2" xfId="19396" xr:uid="{00000000-0005-0000-0000-000014130000}"/>
    <cellStyle name="Normal 11 2 2 4 5" xfId="12316" xr:uid="{00000000-0005-0000-0000-000015130000}"/>
    <cellStyle name="Normal 11 2 2 4 5 2" xfId="20996" xr:uid="{00000000-0005-0000-0000-000016130000}"/>
    <cellStyle name="Normal 11 2 2 4 6" xfId="14776" xr:uid="{00000000-0005-0000-0000-000017130000}"/>
    <cellStyle name="Normal 11 2 2 5" xfId="1990" xr:uid="{00000000-0005-0000-0000-000018130000}"/>
    <cellStyle name="Normal 11 2 2 5 2" xfId="9100" xr:uid="{00000000-0005-0000-0000-000019130000}"/>
    <cellStyle name="Normal 11 2 2 5 2 2" xfId="17850" xr:uid="{00000000-0005-0000-0000-00001A130000}"/>
    <cellStyle name="Normal 11 2 2 5 3" xfId="7497" xr:uid="{00000000-0005-0000-0000-00001B130000}"/>
    <cellStyle name="Normal 11 2 2 5 3 2" xfId="16251" xr:uid="{00000000-0005-0000-0000-00001C130000}"/>
    <cellStyle name="Normal 11 2 2 5 4" xfId="10710" xr:uid="{00000000-0005-0000-0000-00001D130000}"/>
    <cellStyle name="Normal 11 2 2 5 4 2" xfId="19397" xr:uid="{00000000-0005-0000-0000-00001E130000}"/>
    <cellStyle name="Normal 11 2 2 5 5" xfId="12317" xr:uid="{00000000-0005-0000-0000-00001F130000}"/>
    <cellStyle name="Normal 11 2 2 5 5 2" xfId="20997" xr:uid="{00000000-0005-0000-0000-000020130000}"/>
    <cellStyle name="Normal 11 2 2 5 6" xfId="14034" xr:uid="{00000000-0005-0000-0000-000021130000}"/>
    <cellStyle name="Normal 11 2 3" xfId="1991" xr:uid="{00000000-0005-0000-0000-000022130000}"/>
    <cellStyle name="Normal 11 2 3 2" xfId="1992" xr:uid="{00000000-0005-0000-0000-000023130000}"/>
    <cellStyle name="Normal 11 2 3 2 2" xfId="9102" xr:uid="{00000000-0005-0000-0000-000024130000}"/>
    <cellStyle name="Normal 11 2 3 2 2 2" xfId="17852" xr:uid="{00000000-0005-0000-0000-000025130000}"/>
    <cellStyle name="Normal 11 2 3 2 3" xfId="7499" xr:uid="{00000000-0005-0000-0000-000026130000}"/>
    <cellStyle name="Normal 11 2 3 2 3 2" xfId="16253" xr:uid="{00000000-0005-0000-0000-000027130000}"/>
    <cellStyle name="Normal 11 2 3 2 4" xfId="10712" xr:uid="{00000000-0005-0000-0000-000028130000}"/>
    <cellStyle name="Normal 11 2 3 2 4 2" xfId="19399" xr:uid="{00000000-0005-0000-0000-000029130000}"/>
    <cellStyle name="Normal 11 2 3 2 5" xfId="12319" xr:uid="{00000000-0005-0000-0000-00002A130000}"/>
    <cellStyle name="Normal 11 2 3 2 5 2" xfId="20999" xr:uid="{00000000-0005-0000-0000-00002B130000}"/>
    <cellStyle name="Normal 11 2 3 2 6" xfId="13862" xr:uid="{00000000-0005-0000-0000-00002C130000}"/>
    <cellStyle name="Normal 11 2 3 3" xfId="1993" xr:uid="{00000000-0005-0000-0000-00002D130000}"/>
    <cellStyle name="Normal 11 2 3 3 2" xfId="9103" xr:uid="{00000000-0005-0000-0000-00002E130000}"/>
    <cellStyle name="Normal 11 2 3 3 2 2" xfId="17853" xr:uid="{00000000-0005-0000-0000-00002F130000}"/>
    <cellStyle name="Normal 11 2 3 3 3" xfId="7500" xr:uid="{00000000-0005-0000-0000-000030130000}"/>
    <cellStyle name="Normal 11 2 3 3 3 2" xfId="16254" xr:uid="{00000000-0005-0000-0000-000031130000}"/>
    <cellStyle name="Normal 11 2 3 3 4" xfId="10713" xr:uid="{00000000-0005-0000-0000-000032130000}"/>
    <cellStyle name="Normal 11 2 3 3 4 2" xfId="19400" xr:uid="{00000000-0005-0000-0000-000033130000}"/>
    <cellStyle name="Normal 11 2 3 3 5" xfId="12320" xr:uid="{00000000-0005-0000-0000-000034130000}"/>
    <cellStyle name="Normal 11 2 3 3 5 2" xfId="21000" xr:uid="{00000000-0005-0000-0000-000035130000}"/>
    <cellStyle name="Normal 11 2 3 3 6" xfId="14098" xr:uid="{00000000-0005-0000-0000-000036130000}"/>
    <cellStyle name="Normal 11 2 3 4" xfId="1994" xr:uid="{00000000-0005-0000-0000-000037130000}"/>
    <cellStyle name="Normal 11 2 3 4 2" xfId="9104" xr:uid="{00000000-0005-0000-0000-000038130000}"/>
    <cellStyle name="Normal 11 2 3 4 2 2" xfId="17854" xr:uid="{00000000-0005-0000-0000-000039130000}"/>
    <cellStyle name="Normal 11 2 3 4 3" xfId="7501" xr:uid="{00000000-0005-0000-0000-00003A130000}"/>
    <cellStyle name="Normal 11 2 3 4 3 2" xfId="16255" xr:uid="{00000000-0005-0000-0000-00003B130000}"/>
    <cellStyle name="Normal 11 2 3 4 4" xfId="10714" xr:uid="{00000000-0005-0000-0000-00003C130000}"/>
    <cellStyle name="Normal 11 2 3 4 4 2" xfId="19401" xr:uid="{00000000-0005-0000-0000-00003D130000}"/>
    <cellStyle name="Normal 11 2 3 4 5" xfId="12321" xr:uid="{00000000-0005-0000-0000-00003E130000}"/>
    <cellStyle name="Normal 11 2 3 4 5 2" xfId="21001" xr:uid="{00000000-0005-0000-0000-00003F130000}"/>
    <cellStyle name="Normal 11 2 3 4 6" xfId="14748" xr:uid="{00000000-0005-0000-0000-000040130000}"/>
    <cellStyle name="Normal 11 2 3 5" xfId="9101" xr:uid="{00000000-0005-0000-0000-000041130000}"/>
    <cellStyle name="Normal 11 2 3 5 2" xfId="17851" xr:uid="{00000000-0005-0000-0000-000042130000}"/>
    <cellStyle name="Normal 11 2 3 6" xfId="7498" xr:uid="{00000000-0005-0000-0000-000043130000}"/>
    <cellStyle name="Normal 11 2 3 6 2" xfId="16252" xr:uid="{00000000-0005-0000-0000-000044130000}"/>
    <cellStyle name="Normal 11 2 3 7" xfId="10711" xr:uid="{00000000-0005-0000-0000-000045130000}"/>
    <cellStyle name="Normal 11 2 3 7 2" xfId="19398" xr:uid="{00000000-0005-0000-0000-000046130000}"/>
    <cellStyle name="Normal 11 2 3 8" xfId="12318" xr:uid="{00000000-0005-0000-0000-000047130000}"/>
    <cellStyle name="Normal 11 2 3 8 2" xfId="20998" xr:uid="{00000000-0005-0000-0000-000048130000}"/>
    <cellStyle name="Normal 11 2 3 9" xfId="14658" xr:uid="{00000000-0005-0000-0000-000049130000}"/>
    <cellStyle name="Normal 11 2 4" xfId="1995" xr:uid="{00000000-0005-0000-0000-00004A130000}"/>
    <cellStyle name="Normal 11 2 4 2" xfId="1996" xr:uid="{00000000-0005-0000-0000-00004B130000}"/>
    <cellStyle name="Normal 11 2 4 2 2" xfId="1997" xr:uid="{00000000-0005-0000-0000-00004C130000}"/>
    <cellStyle name="Normal 11 2 4 2 2 2" xfId="1998" xr:uid="{00000000-0005-0000-0000-00004D130000}"/>
    <cellStyle name="Normal 11 2 4 2 2 2 2" xfId="9106" xr:uid="{00000000-0005-0000-0000-00004E130000}"/>
    <cellStyle name="Normal 11 2 4 2 2 2 2 2" xfId="17856" xr:uid="{00000000-0005-0000-0000-00004F130000}"/>
    <cellStyle name="Normal 11 2 4 2 2 2 3" xfId="7503" xr:uid="{00000000-0005-0000-0000-000050130000}"/>
    <cellStyle name="Normal 11 2 4 2 2 2 3 2" xfId="16257" xr:uid="{00000000-0005-0000-0000-000051130000}"/>
    <cellStyle name="Normal 11 2 4 2 2 2 4" xfId="10716" xr:uid="{00000000-0005-0000-0000-000052130000}"/>
    <cellStyle name="Normal 11 2 4 2 2 2 4 2" xfId="19403" xr:uid="{00000000-0005-0000-0000-000053130000}"/>
    <cellStyle name="Normal 11 2 4 2 2 2 5" xfId="12323" xr:uid="{00000000-0005-0000-0000-000054130000}"/>
    <cellStyle name="Normal 11 2 4 2 2 2 5 2" xfId="21003" xr:uid="{00000000-0005-0000-0000-000055130000}"/>
    <cellStyle name="Normal 11 2 4 2 2 2 6" xfId="14539" xr:uid="{00000000-0005-0000-0000-000056130000}"/>
    <cellStyle name="Normal 11 2 4 2 2 3" xfId="1999" xr:uid="{00000000-0005-0000-0000-000057130000}"/>
    <cellStyle name="Normal 11 2 4 2 2 3 2" xfId="9107" xr:uid="{00000000-0005-0000-0000-000058130000}"/>
    <cellStyle name="Normal 11 2 4 2 2 3 2 2" xfId="17857" xr:uid="{00000000-0005-0000-0000-000059130000}"/>
    <cellStyle name="Normal 11 2 4 2 2 3 3" xfId="7504" xr:uid="{00000000-0005-0000-0000-00005A130000}"/>
    <cellStyle name="Normal 11 2 4 2 2 3 3 2" xfId="16258" xr:uid="{00000000-0005-0000-0000-00005B130000}"/>
    <cellStyle name="Normal 11 2 4 2 2 3 4" xfId="10717" xr:uid="{00000000-0005-0000-0000-00005C130000}"/>
    <cellStyle name="Normal 11 2 4 2 2 3 4 2" xfId="19404" xr:uid="{00000000-0005-0000-0000-00005D130000}"/>
    <cellStyle name="Normal 11 2 4 2 2 3 5" xfId="12324" xr:uid="{00000000-0005-0000-0000-00005E130000}"/>
    <cellStyle name="Normal 11 2 4 2 2 3 5 2" xfId="21004" xr:uid="{00000000-0005-0000-0000-00005F130000}"/>
    <cellStyle name="Normal 11 2 4 2 2 3 6" xfId="14126" xr:uid="{00000000-0005-0000-0000-000060130000}"/>
    <cellStyle name="Normal 11 2 4 2 2 4" xfId="2000" xr:uid="{00000000-0005-0000-0000-000061130000}"/>
    <cellStyle name="Normal 11 2 4 2 2 4 2" xfId="9108" xr:uid="{00000000-0005-0000-0000-000062130000}"/>
    <cellStyle name="Normal 11 2 4 2 2 4 2 2" xfId="17858" xr:uid="{00000000-0005-0000-0000-000063130000}"/>
    <cellStyle name="Normal 11 2 4 2 2 4 3" xfId="7505" xr:uid="{00000000-0005-0000-0000-000064130000}"/>
    <cellStyle name="Normal 11 2 4 2 2 4 3 2" xfId="16259" xr:uid="{00000000-0005-0000-0000-000065130000}"/>
    <cellStyle name="Normal 11 2 4 2 2 4 4" xfId="10718" xr:uid="{00000000-0005-0000-0000-000066130000}"/>
    <cellStyle name="Normal 11 2 4 2 2 4 4 2" xfId="19405" xr:uid="{00000000-0005-0000-0000-000067130000}"/>
    <cellStyle name="Normal 11 2 4 2 2 4 5" xfId="12325" xr:uid="{00000000-0005-0000-0000-000068130000}"/>
    <cellStyle name="Normal 11 2 4 2 2 4 5 2" xfId="21005" xr:uid="{00000000-0005-0000-0000-000069130000}"/>
    <cellStyle name="Normal 11 2 4 2 2 4 6" xfId="14121" xr:uid="{00000000-0005-0000-0000-00006A130000}"/>
    <cellStyle name="Normal 11 2 4 2 3" xfId="2001" xr:uid="{00000000-0005-0000-0000-00006B130000}"/>
    <cellStyle name="Normal 11 2 4 2 4" xfId="2002" xr:uid="{00000000-0005-0000-0000-00006C130000}"/>
    <cellStyle name="Normal 11 2 4 2 5" xfId="9105" xr:uid="{00000000-0005-0000-0000-00006D130000}"/>
    <cellStyle name="Normal 11 2 4 2 5 2" xfId="17855" xr:uid="{00000000-0005-0000-0000-00006E130000}"/>
    <cellStyle name="Normal 11 2 4 2 6" xfId="7502" xr:uid="{00000000-0005-0000-0000-00006F130000}"/>
    <cellStyle name="Normal 11 2 4 2 6 2" xfId="16256" xr:uid="{00000000-0005-0000-0000-000070130000}"/>
    <cellStyle name="Normal 11 2 4 2 7" xfId="10715" xr:uid="{00000000-0005-0000-0000-000071130000}"/>
    <cellStyle name="Normal 11 2 4 2 7 2" xfId="19402" xr:uid="{00000000-0005-0000-0000-000072130000}"/>
    <cellStyle name="Normal 11 2 4 2 8" xfId="12322" xr:uid="{00000000-0005-0000-0000-000073130000}"/>
    <cellStyle name="Normal 11 2 4 2 8 2" xfId="21002" xr:uid="{00000000-0005-0000-0000-000074130000}"/>
    <cellStyle name="Normal 11 2 4 2 9" xfId="14738" xr:uid="{00000000-0005-0000-0000-000075130000}"/>
    <cellStyle name="Normal 11 2 4 3" xfId="2003" xr:uid="{00000000-0005-0000-0000-000076130000}"/>
    <cellStyle name="Normal 11 2 4 3 2" xfId="2004" xr:uid="{00000000-0005-0000-0000-000077130000}"/>
    <cellStyle name="Normal 11 2 4 3 2 2" xfId="9110" xr:uid="{00000000-0005-0000-0000-000078130000}"/>
    <cellStyle name="Normal 11 2 4 3 2 2 2" xfId="17860" xr:uid="{00000000-0005-0000-0000-000079130000}"/>
    <cellStyle name="Normal 11 2 4 3 2 3" xfId="7507" xr:uid="{00000000-0005-0000-0000-00007A130000}"/>
    <cellStyle name="Normal 11 2 4 3 2 3 2" xfId="16261" xr:uid="{00000000-0005-0000-0000-00007B130000}"/>
    <cellStyle name="Normal 11 2 4 3 2 4" xfId="10720" xr:uid="{00000000-0005-0000-0000-00007C130000}"/>
    <cellStyle name="Normal 11 2 4 3 2 4 2" xfId="19407" xr:uid="{00000000-0005-0000-0000-00007D130000}"/>
    <cellStyle name="Normal 11 2 4 3 2 5" xfId="12327" xr:uid="{00000000-0005-0000-0000-00007E130000}"/>
    <cellStyle name="Normal 11 2 4 3 2 5 2" xfId="21007" xr:uid="{00000000-0005-0000-0000-00007F130000}"/>
    <cellStyle name="Normal 11 2 4 3 2 6" xfId="14503" xr:uid="{00000000-0005-0000-0000-000080130000}"/>
    <cellStyle name="Normal 11 2 4 3 3" xfId="2005" xr:uid="{00000000-0005-0000-0000-000081130000}"/>
    <cellStyle name="Normal 11 2 4 3 3 2" xfId="9111" xr:uid="{00000000-0005-0000-0000-000082130000}"/>
    <cellStyle name="Normal 11 2 4 3 3 2 2" xfId="17861" xr:uid="{00000000-0005-0000-0000-000083130000}"/>
    <cellStyle name="Normal 11 2 4 3 3 3" xfId="7508" xr:uid="{00000000-0005-0000-0000-000084130000}"/>
    <cellStyle name="Normal 11 2 4 3 3 3 2" xfId="16262" xr:uid="{00000000-0005-0000-0000-000085130000}"/>
    <cellStyle name="Normal 11 2 4 3 3 4" xfId="10721" xr:uid="{00000000-0005-0000-0000-000086130000}"/>
    <cellStyle name="Normal 11 2 4 3 3 4 2" xfId="19408" xr:uid="{00000000-0005-0000-0000-000087130000}"/>
    <cellStyle name="Normal 11 2 4 3 3 5" xfId="12328" xr:uid="{00000000-0005-0000-0000-000088130000}"/>
    <cellStyle name="Normal 11 2 4 3 3 5 2" xfId="21008" xr:uid="{00000000-0005-0000-0000-000089130000}"/>
    <cellStyle name="Normal 11 2 4 3 3 6" xfId="14110" xr:uid="{00000000-0005-0000-0000-00008A130000}"/>
    <cellStyle name="Normal 11 2 4 3 4" xfId="2006" xr:uid="{00000000-0005-0000-0000-00008B130000}"/>
    <cellStyle name="Normal 11 2 4 3 4 2" xfId="9112" xr:uid="{00000000-0005-0000-0000-00008C130000}"/>
    <cellStyle name="Normal 11 2 4 3 4 2 2" xfId="17862" xr:uid="{00000000-0005-0000-0000-00008D130000}"/>
    <cellStyle name="Normal 11 2 4 3 4 3" xfId="7509" xr:uid="{00000000-0005-0000-0000-00008E130000}"/>
    <cellStyle name="Normal 11 2 4 3 4 3 2" xfId="16263" xr:uid="{00000000-0005-0000-0000-00008F130000}"/>
    <cellStyle name="Normal 11 2 4 3 4 4" xfId="10722" xr:uid="{00000000-0005-0000-0000-000090130000}"/>
    <cellStyle name="Normal 11 2 4 3 4 4 2" xfId="19409" xr:uid="{00000000-0005-0000-0000-000091130000}"/>
    <cellStyle name="Normal 11 2 4 3 4 5" xfId="12329" xr:uid="{00000000-0005-0000-0000-000092130000}"/>
    <cellStyle name="Normal 11 2 4 3 4 5 2" xfId="21009" xr:uid="{00000000-0005-0000-0000-000093130000}"/>
    <cellStyle name="Normal 11 2 4 3 4 6" xfId="14554" xr:uid="{00000000-0005-0000-0000-000094130000}"/>
    <cellStyle name="Normal 11 2 4 3 5" xfId="9109" xr:uid="{00000000-0005-0000-0000-000095130000}"/>
    <cellStyle name="Normal 11 2 4 3 5 2" xfId="17859" xr:uid="{00000000-0005-0000-0000-000096130000}"/>
    <cellStyle name="Normal 11 2 4 3 6" xfId="7506" xr:uid="{00000000-0005-0000-0000-000097130000}"/>
    <cellStyle name="Normal 11 2 4 3 6 2" xfId="16260" xr:uid="{00000000-0005-0000-0000-000098130000}"/>
    <cellStyle name="Normal 11 2 4 3 7" xfId="10719" xr:uid="{00000000-0005-0000-0000-000099130000}"/>
    <cellStyle name="Normal 11 2 4 3 7 2" xfId="19406" xr:uid="{00000000-0005-0000-0000-00009A130000}"/>
    <cellStyle name="Normal 11 2 4 3 8" xfId="12326" xr:uid="{00000000-0005-0000-0000-00009B130000}"/>
    <cellStyle name="Normal 11 2 4 3 8 2" xfId="21006" xr:uid="{00000000-0005-0000-0000-00009C130000}"/>
    <cellStyle name="Normal 11 2 4 3 9" xfId="14093" xr:uid="{00000000-0005-0000-0000-00009D130000}"/>
    <cellStyle name="Normal 11 2 4 4" xfId="2007" xr:uid="{00000000-0005-0000-0000-00009E130000}"/>
    <cellStyle name="Normal 11 2 4 4 2" xfId="2008" xr:uid="{00000000-0005-0000-0000-00009F130000}"/>
    <cellStyle name="Normal 11 2 4 4 2 2" xfId="9114" xr:uid="{00000000-0005-0000-0000-0000A0130000}"/>
    <cellStyle name="Normal 11 2 4 4 2 2 2" xfId="17864" xr:uid="{00000000-0005-0000-0000-0000A1130000}"/>
    <cellStyle name="Normal 11 2 4 4 2 3" xfId="7511" xr:uid="{00000000-0005-0000-0000-0000A2130000}"/>
    <cellStyle name="Normal 11 2 4 4 2 3 2" xfId="16265" xr:uid="{00000000-0005-0000-0000-0000A3130000}"/>
    <cellStyle name="Normal 11 2 4 4 2 4" xfId="10724" xr:uid="{00000000-0005-0000-0000-0000A4130000}"/>
    <cellStyle name="Normal 11 2 4 4 2 4 2" xfId="19411" xr:uid="{00000000-0005-0000-0000-0000A5130000}"/>
    <cellStyle name="Normal 11 2 4 4 2 5" xfId="12331" xr:uid="{00000000-0005-0000-0000-0000A6130000}"/>
    <cellStyle name="Normal 11 2 4 4 2 5 2" xfId="21011" xr:uid="{00000000-0005-0000-0000-0000A7130000}"/>
    <cellStyle name="Normal 11 2 4 4 2 6" xfId="14085" xr:uid="{00000000-0005-0000-0000-0000A8130000}"/>
    <cellStyle name="Normal 11 2 4 4 3" xfId="2009" xr:uid="{00000000-0005-0000-0000-0000A9130000}"/>
    <cellStyle name="Normal 11 2 4 4 3 2" xfId="9115" xr:uid="{00000000-0005-0000-0000-0000AA130000}"/>
    <cellStyle name="Normal 11 2 4 4 3 2 2" xfId="17865" xr:uid="{00000000-0005-0000-0000-0000AB130000}"/>
    <cellStyle name="Normal 11 2 4 4 3 3" xfId="7512" xr:uid="{00000000-0005-0000-0000-0000AC130000}"/>
    <cellStyle name="Normal 11 2 4 4 3 3 2" xfId="16266" xr:uid="{00000000-0005-0000-0000-0000AD130000}"/>
    <cellStyle name="Normal 11 2 4 4 3 4" xfId="10725" xr:uid="{00000000-0005-0000-0000-0000AE130000}"/>
    <cellStyle name="Normal 11 2 4 4 3 4 2" xfId="19412" xr:uid="{00000000-0005-0000-0000-0000AF130000}"/>
    <cellStyle name="Normal 11 2 4 4 3 5" xfId="12332" xr:uid="{00000000-0005-0000-0000-0000B0130000}"/>
    <cellStyle name="Normal 11 2 4 4 3 5 2" xfId="21012" xr:uid="{00000000-0005-0000-0000-0000B1130000}"/>
    <cellStyle name="Normal 11 2 4 4 3 6" xfId="14767" xr:uid="{00000000-0005-0000-0000-0000B2130000}"/>
    <cellStyle name="Normal 11 2 4 4 4" xfId="2010" xr:uid="{00000000-0005-0000-0000-0000B3130000}"/>
    <cellStyle name="Normal 11 2 4 4 4 2" xfId="9116" xr:uid="{00000000-0005-0000-0000-0000B4130000}"/>
    <cellStyle name="Normal 11 2 4 4 4 2 2" xfId="17866" xr:uid="{00000000-0005-0000-0000-0000B5130000}"/>
    <cellStyle name="Normal 11 2 4 4 4 3" xfId="7513" xr:uid="{00000000-0005-0000-0000-0000B6130000}"/>
    <cellStyle name="Normal 11 2 4 4 4 3 2" xfId="16267" xr:uid="{00000000-0005-0000-0000-0000B7130000}"/>
    <cellStyle name="Normal 11 2 4 4 4 4" xfId="10726" xr:uid="{00000000-0005-0000-0000-0000B8130000}"/>
    <cellStyle name="Normal 11 2 4 4 4 4 2" xfId="19413" xr:uid="{00000000-0005-0000-0000-0000B9130000}"/>
    <cellStyle name="Normal 11 2 4 4 4 5" xfId="12333" xr:uid="{00000000-0005-0000-0000-0000BA130000}"/>
    <cellStyle name="Normal 11 2 4 4 4 5 2" xfId="21013" xr:uid="{00000000-0005-0000-0000-0000BB130000}"/>
    <cellStyle name="Normal 11 2 4 4 4 6" xfId="14025" xr:uid="{00000000-0005-0000-0000-0000BC130000}"/>
    <cellStyle name="Normal 11 2 4 4 5" xfId="9113" xr:uid="{00000000-0005-0000-0000-0000BD130000}"/>
    <cellStyle name="Normal 11 2 4 4 5 2" xfId="17863" xr:uid="{00000000-0005-0000-0000-0000BE130000}"/>
    <cellStyle name="Normal 11 2 4 4 6" xfId="7510" xr:uid="{00000000-0005-0000-0000-0000BF130000}"/>
    <cellStyle name="Normal 11 2 4 4 6 2" xfId="16264" xr:uid="{00000000-0005-0000-0000-0000C0130000}"/>
    <cellStyle name="Normal 11 2 4 4 7" xfId="10723" xr:uid="{00000000-0005-0000-0000-0000C1130000}"/>
    <cellStyle name="Normal 11 2 4 4 7 2" xfId="19410" xr:uid="{00000000-0005-0000-0000-0000C2130000}"/>
    <cellStyle name="Normal 11 2 4 4 8" xfId="12330" xr:uid="{00000000-0005-0000-0000-0000C3130000}"/>
    <cellStyle name="Normal 11 2 4 4 8 2" xfId="21010" xr:uid="{00000000-0005-0000-0000-0000C4130000}"/>
    <cellStyle name="Normal 11 2 4 4 9" xfId="14041" xr:uid="{00000000-0005-0000-0000-0000C5130000}"/>
    <cellStyle name="Normal 11 2 4 5" xfId="2011" xr:uid="{00000000-0005-0000-0000-0000C6130000}"/>
    <cellStyle name="Normal 11 2 4 5 2" xfId="9117" xr:uid="{00000000-0005-0000-0000-0000C7130000}"/>
    <cellStyle name="Normal 11 2 4 5 2 2" xfId="17867" xr:uid="{00000000-0005-0000-0000-0000C8130000}"/>
    <cellStyle name="Normal 11 2 4 5 3" xfId="7514" xr:uid="{00000000-0005-0000-0000-0000C9130000}"/>
    <cellStyle name="Normal 11 2 4 5 3 2" xfId="16268" xr:uid="{00000000-0005-0000-0000-0000CA130000}"/>
    <cellStyle name="Normal 11 2 4 5 4" xfId="10727" xr:uid="{00000000-0005-0000-0000-0000CB130000}"/>
    <cellStyle name="Normal 11 2 4 5 4 2" xfId="19414" xr:uid="{00000000-0005-0000-0000-0000CC130000}"/>
    <cellStyle name="Normal 11 2 4 5 5" xfId="12334" xr:uid="{00000000-0005-0000-0000-0000CD130000}"/>
    <cellStyle name="Normal 11 2 4 5 5 2" xfId="21014" xr:uid="{00000000-0005-0000-0000-0000CE130000}"/>
    <cellStyle name="Normal 11 2 4 5 6" xfId="14076" xr:uid="{00000000-0005-0000-0000-0000CF130000}"/>
    <cellStyle name="Normal 11 2 4 6" xfId="2012" xr:uid="{00000000-0005-0000-0000-0000D0130000}"/>
    <cellStyle name="Normal 11 2 4 6 2" xfId="9118" xr:uid="{00000000-0005-0000-0000-0000D1130000}"/>
    <cellStyle name="Normal 11 2 4 6 2 2" xfId="17868" xr:uid="{00000000-0005-0000-0000-0000D2130000}"/>
    <cellStyle name="Normal 11 2 4 6 3" xfId="7515" xr:uid="{00000000-0005-0000-0000-0000D3130000}"/>
    <cellStyle name="Normal 11 2 4 6 3 2" xfId="16269" xr:uid="{00000000-0005-0000-0000-0000D4130000}"/>
    <cellStyle name="Normal 11 2 4 6 4" xfId="10728" xr:uid="{00000000-0005-0000-0000-0000D5130000}"/>
    <cellStyle name="Normal 11 2 4 6 4 2" xfId="19415" xr:uid="{00000000-0005-0000-0000-0000D6130000}"/>
    <cellStyle name="Normal 11 2 4 6 5" xfId="12335" xr:uid="{00000000-0005-0000-0000-0000D7130000}"/>
    <cellStyle name="Normal 11 2 4 6 5 2" xfId="21015" xr:uid="{00000000-0005-0000-0000-0000D8130000}"/>
    <cellStyle name="Normal 11 2 4 6 6" xfId="13950" xr:uid="{00000000-0005-0000-0000-0000D9130000}"/>
    <cellStyle name="Normal 11 2 4 7" xfId="2013" xr:uid="{00000000-0005-0000-0000-0000DA130000}"/>
    <cellStyle name="Normal 11 2 4 7 2" xfId="9119" xr:uid="{00000000-0005-0000-0000-0000DB130000}"/>
    <cellStyle name="Normal 11 2 4 7 2 2" xfId="17869" xr:uid="{00000000-0005-0000-0000-0000DC130000}"/>
    <cellStyle name="Normal 11 2 4 7 3" xfId="7516" xr:uid="{00000000-0005-0000-0000-0000DD130000}"/>
    <cellStyle name="Normal 11 2 4 7 3 2" xfId="16270" xr:uid="{00000000-0005-0000-0000-0000DE130000}"/>
    <cellStyle name="Normal 11 2 4 7 4" xfId="10729" xr:uid="{00000000-0005-0000-0000-0000DF130000}"/>
    <cellStyle name="Normal 11 2 4 7 4 2" xfId="19416" xr:uid="{00000000-0005-0000-0000-0000E0130000}"/>
    <cellStyle name="Normal 11 2 4 7 5" xfId="12336" xr:uid="{00000000-0005-0000-0000-0000E1130000}"/>
    <cellStyle name="Normal 11 2 4 7 5 2" xfId="21016" xr:uid="{00000000-0005-0000-0000-0000E2130000}"/>
    <cellStyle name="Normal 11 2 4 7 6" xfId="14036" xr:uid="{00000000-0005-0000-0000-0000E3130000}"/>
    <cellStyle name="Normal 11 2 5" xfId="2014" xr:uid="{00000000-0005-0000-0000-0000E4130000}"/>
    <cellStyle name="Normal 11 2 6" xfId="2015" xr:uid="{00000000-0005-0000-0000-0000E5130000}"/>
    <cellStyle name="Normal 11 2 7" xfId="2016" xr:uid="{00000000-0005-0000-0000-0000E6130000}"/>
    <cellStyle name="Normal 11 2 7 2" xfId="9120" xr:uid="{00000000-0005-0000-0000-0000E7130000}"/>
    <cellStyle name="Normal 11 2 7 2 2" xfId="17870" xr:uid="{00000000-0005-0000-0000-0000E8130000}"/>
    <cellStyle name="Normal 11 2 7 3" xfId="7517" xr:uid="{00000000-0005-0000-0000-0000E9130000}"/>
    <cellStyle name="Normal 11 2 7 3 2" xfId="16271" xr:uid="{00000000-0005-0000-0000-0000EA130000}"/>
    <cellStyle name="Normal 11 2 7 4" xfId="10730" xr:uid="{00000000-0005-0000-0000-0000EB130000}"/>
    <cellStyle name="Normal 11 2 7 4 2" xfId="19417" xr:uid="{00000000-0005-0000-0000-0000EC130000}"/>
    <cellStyle name="Normal 11 2 7 5" xfId="12337" xr:uid="{00000000-0005-0000-0000-0000ED130000}"/>
    <cellStyle name="Normal 11 2 7 5 2" xfId="21017" xr:uid="{00000000-0005-0000-0000-0000EE130000}"/>
    <cellStyle name="Normal 11 2 7 6" xfId="14019" xr:uid="{00000000-0005-0000-0000-0000EF130000}"/>
    <cellStyle name="Normal 11 2 8" xfId="2017" xr:uid="{00000000-0005-0000-0000-0000F0130000}"/>
    <cellStyle name="Normal 11 2 8 2" xfId="9121" xr:uid="{00000000-0005-0000-0000-0000F1130000}"/>
    <cellStyle name="Normal 11 2 8 2 2" xfId="17871" xr:uid="{00000000-0005-0000-0000-0000F2130000}"/>
    <cellStyle name="Normal 11 2 8 3" xfId="7518" xr:uid="{00000000-0005-0000-0000-0000F3130000}"/>
    <cellStyle name="Normal 11 2 8 3 2" xfId="16272" xr:uid="{00000000-0005-0000-0000-0000F4130000}"/>
    <cellStyle name="Normal 11 2 8 4" xfId="10731" xr:uid="{00000000-0005-0000-0000-0000F5130000}"/>
    <cellStyle name="Normal 11 2 8 4 2" xfId="19418" xr:uid="{00000000-0005-0000-0000-0000F6130000}"/>
    <cellStyle name="Normal 11 2 8 5" xfId="12338" xr:uid="{00000000-0005-0000-0000-0000F7130000}"/>
    <cellStyle name="Normal 11 2 8 5 2" xfId="21018" xr:uid="{00000000-0005-0000-0000-0000F8130000}"/>
    <cellStyle name="Normal 11 2 8 6" xfId="14011" xr:uid="{00000000-0005-0000-0000-0000F9130000}"/>
    <cellStyle name="Normal 11 2 9" xfId="2018" xr:uid="{00000000-0005-0000-0000-0000FA130000}"/>
    <cellStyle name="Normal 11 2 9 2" xfId="9122" xr:uid="{00000000-0005-0000-0000-0000FB130000}"/>
    <cellStyle name="Normal 11 2 9 2 2" xfId="17872" xr:uid="{00000000-0005-0000-0000-0000FC130000}"/>
    <cellStyle name="Normal 11 2 9 3" xfId="7519" xr:uid="{00000000-0005-0000-0000-0000FD130000}"/>
    <cellStyle name="Normal 11 2 9 3 2" xfId="16273" xr:uid="{00000000-0005-0000-0000-0000FE130000}"/>
    <cellStyle name="Normal 11 2 9 4" xfId="10732" xr:uid="{00000000-0005-0000-0000-0000FF130000}"/>
    <cellStyle name="Normal 11 2 9 4 2" xfId="19419" xr:uid="{00000000-0005-0000-0000-000000140000}"/>
    <cellStyle name="Normal 11 2 9 5" xfId="12339" xr:uid="{00000000-0005-0000-0000-000001140000}"/>
    <cellStyle name="Normal 11 2 9 5 2" xfId="21019" xr:uid="{00000000-0005-0000-0000-000002140000}"/>
    <cellStyle name="Normal 11 2 9 6" xfId="14762" xr:uid="{00000000-0005-0000-0000-000003140000}"/>
    <cellStyle name="Normal 11 3" xfId="2019" xr:uid="{00000000-0005-0000-0000-000004140000}"/>
    <cellStyle name="Normal 11 3 2" xfId="2020" xr:uid="{00000000-0005-0000-0000-000005140000}"/>
    <cellStyle name="Normal 11 4" xfId="1983" xr:uid="{00000000-0005-0000-0000-000006140000}"/>
    <cellStyle name="Normal 11 4 2" xfId="9095" xr:uid="{00000000-0005-0000-0000-000007140000}"/>
    <cellStyle name="Normal 11 4 2 2" xfId="17845" xr:uid="{00000000-0005-0000-0000-000008140000}"/>
    <cellStyle name="Normal 11 4 3" xfId="10705" xr:uid="{00000000-0005-0000-0000-000009140000}"/>
    <cellStyle name="Normal 11 4 3 2" xfId="19392" xr:uid="{00000000-0005-0000-0000-00000A140000}"/>
    <cellStyle name="Normal 11 4 4" xfId="14392" xr:uid="{00000000-0005-0000-0000-00000B140000}"/>
    <cellStyle name="Normal 11 5" xfId="7492" xr:uid="{00000000-0005-0000-0000-00000C140000}"/>
    <cellStyle name="Normal 11 5 2" xfId="16246" xr:uid="{00000000-0005-0000-0000-00000D140000}"/>
    <cellStyle name="Normal 11 6" xfId="12312" xr:uid="{00000000-0005-0000-0000-00000E140000}"/>
    <cellStyle name="Normal 11 6 2" xfId="20992" xr:uid="{00000000-0005-0000-0000-00000F140000}"/>
    <cellStyle name="Normal 110" xfId="2021" xr:uid="{00000000-0005-0000-0000-000010140000}"/>
    <cellStyle name="Normal 110 2" xfId="2022" xr:uid="{00000000-0005-0000-0000-000011140000}"/>
    <cellStyle name="Normal 110 2 2" xfId="9124" xr:uid="{00000000-0005-0000-0000-000012140000}"/>
    <cellStyle name="Normal 110 2 2 2" xfId="17874" xr:uid="{00000000-0005-0000-0000-000013140000}"/>
    <cellStyle name="Normal 110 2 3" xfId="7521" xr:uid="{00000000-0005-0000-0000-000014140000}"/>
    <cellStyle name="Normal 110 2 3 2" xfId="16275" xr:uid="{00000000-0005-0000-0000-000015140000}"/>
    <cellStyle name="Normal 110 2 4" xfId="10734" xr:uid="{00000000-0005-0000-0000-000016140000}"/>
    <cellStyle name="Normal 110 2 4 2" xfId="19421" xr:uid="{00000000-0005-0000-0000-000017140000}"/>
    <cellStyle name="Normal 110 2 5" xfId="12341" xr:uid="{00000000-0005-0000-0000-000018140000}"/>
    <cellStyle name="Normal 110 2 5 2" xfId="21021" xr:uid="{00000000-0005-0000-0000-000019140000}"/>
    <cellStyle name="Normal 110 2 6" xfId="13949" xr:uid="{00000000-0005-0000-0000-00001A140000}"/>
    <cellStyle name="Normal 110 3" xfId="2023" xr:uid="{00000000-0005-0000-0000-00001B140000}"/>
    <cellStyle name="Normal 110 3 2" xfId="9125" xr:uid="{00000000-0005-0000-0000-00001C140000}"/>
    <cellStyle name="Normal 110 3 2 2" xfId="17875" xr:uid="{00000000-0005-0000-0000-00001D140000}"/>
    <cellStyle name="Normal 110 3 3" xfId="7522" xr:uid="{00000000-0005-0000-0000-00001E140000}"/>
    <cellStyle name="Normal 110 3 3 2" xfId="16276" xr:uid="{00000000-0005-0000-0000-00001F140000}"/>
    <cellStyle name="Normal 110 3 4" xfId="10735" xr:uid="{00000000-0005-0000-0000-000020140000}"/>
    <cellStyle name="Normal 110 3 4 2" xfId="19422" xr:uid="{00000000-0005-0000-0000-000021140000}"/>
    <cellStyle name="Normal 110 3 5" xfId="12342" xr:uid="{00000000-0005-0000-0000-000022140000}"/>
    <cellStyle name="Normal 110 3 5 2" xfId="21022" xr:uid="{00000000-0005-0000-0000-000023140000}"/>
    <cellStyle name="Normal 110 3 6" xfId="14383" xr:uid="{00000000-0005-0000-0000-000024140000}"/>
    <cellStyle name="Normal 110 4" xfId="2024" xr:uid="{00000000-0005-0000-0000-000025140000}"/>
    <cellStyle name="Normal 110 4 2" xfId="9126" xr:uid="{00000000-0005-0000-0000-000026140000}"/>
    <cellStyle name="Normal 110 4 2 2" xfId="17876" xr:uid="{00000000-0005-0000-0000-000027140000}"/>
    <cellStyle name="Normal 110 4 3" xfId="7523" xr:uid="{00000000-0005-0000-0000-000028140000}"/>
    <cellStyle name="Normal 110 4 3 2" xfId="16277" xr:uid="{00000000-0005-0000-0000-000029140000}"/>
    <cellStyle name="Normal 110 4 4" xfId="10736" xr:uid="{00000000-0005-0000-0000-00002A140000}"/>
    <cellStyle name="Normal 110 4 4 2" xfId="19423" xr:uid="{00000000-0005-0000-0000-00002B140000}"/>
    <cellStyle name="Normal 110 4 5" xfId="12343" xr:uid="{00000000-0005-0000-0000-00002C140000}"/>
    <cellStyle name="Normal 110 4 5 2" xfId="21023" xr:uid="{00000000-0005-0000-0000-00002D140000}"/>
    <cellStyle name="Normal 110 4 6" xfId="14633" xr:uid="{00000000-0005-0000-0000-00002E140000}"/>
    <cellStyle name="Normal 110 5" xfId="9123" xr:uid="{00000000-0005-0000-0000-00002F140000}"/>
    <cellStyle name="Normal 110 5 2" xfId="17873" xr:uid="{00000000-0005-0000-0000-000030140000}"/>
    <cellStyle name="Normal 110 6" xfId="7520" xr:uid="{00000000-0005-0000-0000-000031140000}"/>
    <cellStyle name="Normal 110 6 2" xfId="16274" xr:uid="{00000000-0005-0000-0000-000032140000}"/>
    <cellStyle name="Normal 110 7" xfId="10733" xr:uid="{00000000-0005-0000-0000-000033140000}"/>
    <cellStyle name="Normal 110 7 2" xfId="19420" xr:uid="{00000000-0005-0000-0000-000034140000}"/>
    <cellStyle name="Normal 110 8" xfId="12340" xr:uid="{00000000-0005-0000-0000-000035140000}"/>
    <cellStyle name="Normal 110 8 2" xfId="21020" xr:uid="{00000000-0005-0000-0000-000036140000}"/>
    <cellStyle name="Normal 110 9" xfId="14001" xr:uid="{00000000-0005-0000-0000-000037140000}"/>
    <cellStyle name="Normal 111" xfId="2025" xr:uid="{00000000-0005-0000-0000-000038140000}"/>
    <cellStyle name="Normal 111 2" xfId="2026" xr:uid="{00000000-0005-0000-0000-000039140000}"/>
    <cellStyle name="Normal 111 2 2" xfId="9128" xr:uid="{00000000-0005-0000-0000-00003A140000}"/>
    <cellStyle name="Normal 111 2 2 2" xfId="17878" xr:uid="{00000000-0005-0000-0000-00003B140000}"/>
    <cellStyle name="Normal 111 2 3" xfId="7525" xr:uid="{00000000-0005-0000-0000-00003C140000}"/>
    <cellStyle name="Normal 111 2 3 2" xfId="16279" xr:uid="{00000000-0005-0000-0000-00003D140000}"/>
    <cellStyle name="Normal 111 2 4" xfId="10738" xr:uid="{00000000-0005-0000-0000-00003E140000}"/>
    <cellStyle name="Normal 111 2 4 2" xfId="19425" xr:uid="{00000000-0005-0000-0000-00003F140000}"/>
    <cellStyle name="Normal 111 2 5" xfId="12345" xr:uid="{00000000-0005-0000-0000-000040140000}"/>
    <cellStyle name="Normal 111 2 5 2" xfId="21025" xr:uid="{00000000-0005-0000-0000-000041140000}"/>
    <cellStyle name="Normal 111 2 6" xfId="13990" xr:uid="{00000000-0005-0000-0000-000042140000}"/>
    <cellStyle name="Normal 111 3" xfId="2027" xr:uid="{00000000-0005-0000-0000-000043140000}"/>
    <cellStyle name="Normal 111 3 2" xfId="9129" xr:uid="{00000000-0005-0000-0000-000044140000}"/>
    <cellStyle name="Normal 111 3 2 2" xfId="17879" xr:uid="{00000000-0005-0000-0000-000045140000}"/>
    <cellStyle name="Normal 111 3 3" xfId="7526" xr:uid="{00000000-0005-0000-0000-000046140000}"/>
    <cellStyle name="Normal 111 3 3 2" xfId="16280" xr:uid="{00000000-0005-0000-0000-000047140000}"/>
    <cellStyle name="Normal 111 3 4" xfId="10739" xr:uid="{00000000-0005-0000-0000-000048140000}"/>
    <cellStyle name="Normal 111 3 4 2" xfId="19426" xr:uid="{00000000-0005-0000-0000-000049140000}"/>
    <cellStyle name="Normal 111 3 5" xfId="12346" xr:uid="{00000000-0005-0000-0000-00004A140000}"/>
    <cellStyle name="Normal 111 3 5 2" xfId="21026" xr:uid="{00000000-0005-0000-0000-00004B140000}"/>
    <cellStyle name="Normal 111 3 6" xfId="13926" xr:uid="{00000000-0005-0000-0000-00004C140000}"/>
    <cellStyle name="Normal 111 4" xfId="2028" xr:uid="{00000000-0005-0000-0000-00004D140000}"/>
    <cellStyle name="Normal 111 4 2" xfId="9130" xr:uid="{00000000-0005-0000-0000-00004E140000}"/>
    <cellStyle name="Normal 111 4 2 2" xfId="17880" xr:uid="{00000000-0005-0000-0000-00004F140000}"/>
    <cellStyle name="Normal 111 4 3" xfId="7527" xr:uid="{00000000-0005-0000-0000-000050140000}"/>
    <cellStyle name="Normal 111 4 3 2" xfId="16281" xr:uid="{00000000-0005-0000-0000-000051140000}"/>
    <cellStyle name="Normal 111 4 4" xfId="10740" xr:uid="{00000000-0005-0000-0000-000052140000}"/>
    <cellStyle name="Normal 111 4 4 2" xfId="19427" xr:uid="{00000000-0005-0000-0000-000053140000}"/>
    <cellStyle name="Normal 111 4 5" xfId="12347" xr:uid="{00000000-0005-0000-0000-000054140000}"/>
    <cellStyle name="Normal 111 4 5 2" xfId="21027" xr:uid="{00000000-0005-0000-0000-000055140000}"/>
    <cellStyle name="Normal 111 4 6" xfId="14370" xr:uid="{00000000-0005-0000-0000-000056140000}"/>
    <cellStyle name="Normal 111 5" xfId="9127" xr:uid="{00000000-0005-0000-0000-000057140000}"/>
    <cellStyle name="Normal 111 5 2" xfId="17877" xr:uid="{00000000-0005-0000-0000-000058140000}"/>
    <cellStyle name="Normal 111 6" xfId="7524" xr:uid="{00000000-0005-0000-0000-000059140000}"/>
    <cellStyle name="Normal 111 6 2" xfId="16278" xr:uid="{00000000-0005-0000-0000-00005A140000}"/>
    <cellStyle name="Normal 111 7" xfId="10737" xr:uid="{00000000-0005-0000-0000-00005B140000}"/>
    <cellStyle name="Normal 111 7 2" xfId="19424" xr:uid="{00000000-0005-0000-0000-00005C140000}"/>
    <cellStyle name="Normal 111 8" xfId="12344" xr:uid="{00000000-0005-0000-0000-00005D140000}"/>
    <cellStyle name="Normal 111 8 2" xfId="21024" xr:uid="{00000000-0005-0000-0000-00005E140000}"/>
    <cellStyle name="Normal 111 9" xfId="13956" xr:uid="{00000000-0005-0000-0000-00005F140000}"/>
    <cellStyle name="Normal 112" xfId="2029" xr:uid="{00000000-0005-0000-0000-000060140000}"/>
    <cellStyle name="Normal 112 10" xfId="14801" xr:uid="{00000000-0005-0000-0000-000061140000}"/>
    <cellStyle name="Normal 112 2" xfId="2030" xr:uid="{00000000-0005-0000-0000-000062140000}"/>
    <cellStyle name="Normal 112 2 2" xfId="9132" xr:uid="{00000000-0005-0000-0000-000063140000}"/>
    <cellStyle name="Normal 112 2 2 2" xfId="17882" xr:uid="{00000000-0005-0000-0000-000064140000}"/>
    <cellStyle name="Normal 112 2 3" xfId="7529" xr:uid="{00000000-0005-0000-0000-000065140000}"/>
    <cellStyle name="Normal 112 2 3 2" xfId="16283" xr:uid="{00000000-0005-0000-0000-000066140000}"/>
    <cellStyle name="Normal 112 2 4" xfId="10742" xr:uid="{00000000-0005-0000-0000-000067140000}"/>
    <cellStyle name="Normal 112 2 4 2" xfId="19429" xr:uid="{00000000-0005-0000-0000-000068140000}"/>
    <cellStyle name="Normal 112 2 5" xfId="12349" xr:uid="{00000000-0005-0000-0000-000069140000}"/>
    <cellStyle name="Normal 112 2 5 2" xfId="21029" xr:uid="{00000000-0005-0000-0000-00006A140000}"/>
    <cellStyle name="Normal 112 2 6" xfId="14371" xr:uid="{00000000-0005-0000-0000-00006B140000}"/>
    <cellStyle name="Normal 112 3" xfId="2031" xr:uid="{00000000-0005-0000-0000-00006C140000}"/>
    <cellStyle name="Normal 112 3 2" xfId="9133" xr:uid="{00000000-0005-0000-0000-00006D140000}"/>
    <cellStyle name="Normal 112 3 2 2" xfId="17883" xr:uid="{00000000-0005-0000-0000-00006E140000}"/>
    <cellStyle name="Normal 112 3 3" xfId="7530" xr:uid="{00000000-0005-0000-0000-00006F140000}"/>
    <cellStyle name="Normal 112 3 3 2" xfId="16284" xr:uid="{00000000-0005-0000-0000-000070140000}"/>
    <cellStyle name="Normal 112 3 4" xfId="10743" xr:uid="{00000000-0005-0000-0000-000071140000}"/>
    <cellStyle name="Normal 112 3 4 2" xfId="19430" xr:uid="{00000000-0005-0000-0000-000072140000}"/>
    <cellStyle name="Normal 112 3 5" xfId="12350" xr:uid="{00000000-0005-0000-0000-000073140000}"/>
    <cellStyle name="Normal 112 3 5 2" xfId="21030" xr:uid="{00000000-0005-0000-0000-000074140000}"/>
    <cellStyle name="Normal 112 3 6" xfId="14634" xr:uid="{00000000-0005-0000-0000-000075140000}"/>
    <cellStyle name="Normal 112 4" xfId="2032" xr:uid="{00000000-0005-0000-0000-000076140000}"/>
    <cellStyle name="Normal 112 4 2" xfId="9134" xr:uid="{00000000-0005-0000-0000-000077140000}"/>
    <cellStyle name="Normal 112 4 2 2" xfId="17884" xr:uid="{00000000-0005-0000-0000-000078140000}"/>
    <cellStyle name="Normal 112 4 3" xfId="7531" xr:uid="{00000000-0005-0000-0000-000079140000}"/>
    <cellStyle name="Normal 112 4 3 2" xfId="16285" xr:uid="{00000000-0005-0000-0000-00007A140000}"/>
    <cellStyle name="Normal 112 4 4" xfId="10744" xr:uid="{00000000-0005-0000-0000-00007B140000}"/>
    <cellStyle name="Normal 112 4 4 2" xfId="19431" xr:uid="{00000000-0005-0000-0000-00007C140000}"/>
    <cellStyle name="Normal 112 4 5" xfId="12351" xr:uid="{00000000-0005-0000-0000-00007D140000}"/>
    <cellStyle name="Normal 112 4 5 2" xfId="21031" xr:uid="{00000000-0005-0000-0000-00007E140000}"/>
    <cellStyle name="Normal 112 4 6" xfId="14802" xr:uid="{00000000-0005-0000-0000-00007F140000}"/>
    <cellStyle name="Normal 112 5" xfId="4905" xr:uid="{00000000-0005-0000-0000-000080140000}"/>
    <cellStyle name="Normal 112 6" xfId="9131" xr:uid="{00000000-0005-0000-0000-000081140000}"/>
    <cellStyle name="Normal 112 6 2" xfId="17881" xr:uid="{00000000-0005-0000-0000-000082140000}"/>
    <cellStyle name="Normal 112 7" xfId="7528" xr:uid="{00000000-0005-0000-0000-000083140000}"/>
    <cellStyle name="Normal 112 7 2" xfId="16282" xr:uid="{00000000-0005-0000-0000-000084140000}"/>
    <cellStyle name="Normal 112 8" xfId="10741" xr:uid="{00000000-0005-0000-0000-000085140000}"/>
    <cellStyle name="Normal 112 8 2" xfId="19428" xr:uid="{00000000-0005-0000-0000-000086140000}"/>
    <cellStyle name="Normal 112 9" xfId="12348" xr:uid="{00000000-0005-0000-0000-000087140000}"/>
    <cellStyle name="Normal 112 9 2" xfId="21028" xr:uid="{00000000-0005-0000-0000-000088140000}"/>
    <cellStyle name="Normal 113" xfId="2033" xr:uid="{00000000-0005-0000-0000-000089140000}"/>
    <cellStyle name="Normal 113 2" xfId="2034" xr:uid="{00000000-0005-0000-0000-00008A140000}"/>
    <cellStyle name="Normal 113 2 2" xfId="9136" xr:uid="{00000000-0005-0000-0000-00008B140000}"/>
    <cellStyle name="Normal 113 2 2 2" xfId="17886" xr:uid="{00000000-0005-0000-0000-00008C140000}"/>
    <cellStyle name="Normal 113 2 3" xfId="7533" xr:uid="{00000000-0005-0000-0000-00008D140000}"/>
    <cellStyle name="Normal 113 2 3 2" xfId="16287" xr:uid="{00000000-0005-0000-0000-00008E140000}"/>
    <cellStyle name="Normal 113 2 4" xfId="10746" xr:uid="{00000000-0005-0000-0000-00008F140000}"/>
    <cellStyle name="Normal 113 2 4 2" xfId="19433" xr:uid="{00000000-0005-0000-0000-000090140000}"/>
    <cellStyle name="Normal 113 2 5" xfId="12353" xr:uid="{00000000-0005-0000-0000-000091140000}"/>
    <cellStyle name="Normal 113 2 5 2" xfId="21033" xr:uid="{00000000-0005-0000-0000-000092140000}"/>
    <cellStyle name="Normal 113 2 6" xfId="14620" xr:uid="{00000000-0005-0000-0000-000093140000}"/>
    <cellStyle name="Normal 113 3" xfId="2035" xr:uid="{00000000-0005-0000-0000-000094140000}"/>
    <cellStyle name="Normal 113 3 2" xfId="9137" xr:uid="{00000000-0005-0000-0000-000095140000}"/>
    <cellStyle name="Normal 113 3 2 2" xfId="17887" xr:uid="{00000000-0005-0000-0000-000096140000}"/>
    <cellStyle name="Normal 113 3 3" xfId="7534" xr:uid="{00000000-0005-0000-0000-000097140000}"/>
    <cellStyle name="Normal 113 3 3 2" xfId="16288" xr:uid="{00000000-0005-0000-0000-000098140000}"/>
    <cellStyle name="Normal 113 3 4" xfId="10747" xr:uid="{00000000-0005-0000-0000-000099140000}"/>
    <cellStyle name="Normal 113 3 4 2" xfId="19434" xr:uid="{00000000-0005-0000-0000-00009A140000}"/>
    <cellStyle name="Normal 113 3 5" xfId="12354" xr:uid="{00000000-0005-0000-0000-00009B140000}"/>
    <cellStyle name="Normal 113 3 5 2" xfId="21034" xr:uid="{00000000-0005-0000-0000-00009C140000}"/>
    <cellStyle name="Normal 113 3 6" xfId="14636" xr:uid="{00000000-0005-0000-0000-00009D140000}"/>
    <cellStyle name="Normal 113 4" xfId="2036" xr:uid="{00000000-0005-0000-0000-00009E140000}"/>
    <cellStyle name="Normal 113 4 2" xfId="9138" xr:uid="{00000000-0005-0000-0000-00009F140000}"/>
    <cellStyle name="Normal 113 4 2 2" xfId="17888" xr:uid="{00000000-0005-0000-0000-0000A0140000}"/>
    <cellStyle name="Normal 113 4 3" xfId="7535" xr:uid="{00000000-0005-0000-0000-0000A1140000}"/>
    <cellStyle name="Normal 113 4 3 2" xfId="16289" xr:uid="{00000000-0005-0000-0000-0000A2140000}"/>
    <cellStyle name="Normal 113 4 4" xfId="10748" xr:uid="{00000000-0005-0000-0000-0000A3140000}"/>
    <cellStyle name="Normal 113 4 4 2" xfId="19435" xr:uid="{00000000-0005-0000-0000-0000A4140000}"/>
    <cellStyle name="Normal 113 4 5" xfId="12355" xr:uid="{00000000-0005-0000-0000-0000A5140000}"/>
    <cellStyle name="Normal 113 4 5 2" xfId="21035" xr:uid="{00000000-0005-0000-0000-0000A6140000}"/>
    <cellStyle name="Normal 113 4 6" xfId="14690" xr:uid="{00000000-0005-0000-0000-0000A7140000}"/>
    <cellStyle name="Normal 113 5" xfId="9135" xr:uid="{00000000-0005-0000-0000-0000A8140000}"/>
    <cellStyle name="Normal 113 5 2" xfId="17885" xr:uid="{00000000-0005-0000-0000-0000A9140000}"/>
    <cellStyle name="Normal 113 6" xfId="7532" xr:uid="{00000000-0005-0000-0000-0000AA140000}"/>
    <cellStyle name="Normal 113 6 2" xfId="16286" xr:uid="{00000000-0005-0000-0000-0000AB140000}"/>
    <cellStyle name="Normal 113 7" xfId="10745" xr:uid="{00000000-0005-0000-0000-0000AC140000}"/>
    <cellStyle name="Normal 113 7 2" xfId="19432" xr:uid="{00000000-0005-0000-0000-0000AD140000}"/>
    <cellStyle name="Normal 113 8" xfId="12352" xr:uid="{00000000-0005-0000-0000-0000AE140000}"/>
    <cellStyle name="Normal 113 8 2" xfId="21032" xr:uid="{00000000-0005-0000-0000-0000AF140000}"/>
    <cellStyle name="Normal 113 9" xfId="14369" xr:uid="{00000000-0005-0000-0000-0000B0140000}"/>
    <cellStyle name="Normal 114" xfId="2037" xr:uid="{00000000-0005-0000-0000-0000B1140000}"/>
    <cellStyle name="Normal 114 2" xfId="2038" xr:uid="{00000000-0005-0000-0000-0000B2140000}"/>
    <cellStyle name="Normal 114 2 2" xfId="9140" xr:uid="{00000000-0005-0000-0000-0000B3140000}"/>
    <cellStyle name="Normal 114 2 2 2" xfId="17890" xr:uid="{00000000-0005-0000-0000-0000B4140000}"/>
    <cellStyle name="Normal 114 2 3" xfId="7537" xr:uid="{00000000-0005-0000-0000-0000B5140000}"/>
    <cellStyle name="Normal 114 2 3 2" xfId="16291" xr:uid="{00000000-0005-0000-0000-0000B6140000}"/>
    <cellStyle name="Normal 114 2 4" xfId="10750" xr:uid="{00000000-0005-0000-0000-0000B7140000}"/>
    <cellStyle name="Normal 114 2 4 2" xfId="19437" xr:uid="{00000000-0005-0000-0000-0000B8140000}"/>
    <cellStyle name="Normal 114 2 5" xfId="12357" xr:uid="{00000000-0005-0000-0000-0000B9140000}"/>
    <cellStyle name="Normal 114 2 5 2" xfId="21037" xr:uid="{00000000-0005-0000-0000-0000BA140000}"/>
    <cellStyle name="Normal 114 2 6" xfId="14688" xr:uid="{00000000-0005-0000-0000-0000BB140000}"/>
    <cellStyle name="Normal 114 3" xfId="2039" xr:uid="{00000000-0005-0000-0000-0000BC140000}"/>
    <cellStyle name="Normal 114 3 2" xfId="9141" xr:uid="{00000000-0005-0000-0000-0000BD140000}"/>
    <cellStyle name="Normal 114 3 2 2" xfId="17891" xr:uid="{00000000-0005-0000-0000-0000BE140000}"/>
    <cellStyle name="Normal 114 3 3" xfId="7538" xr:uid="{00000000-0005-0000-0000-0000BF140000}"/>
    <cellStyle name="Normal 114 3 3 2" xfId="16292" xr:uid="{00000000-0005-0000-0000-0000C0140000}"/>
    <cellStyle name="Normal 114 3 4" xfId="10751" xr:uid="{00000000-0005-0000-0000-0000C1140000}"/>
    <cellStyle name="Normal 114 3 4 2" xfId="19438" xr:uid="{00000000-0005-0000-0000-0000C2140000}"/>
    <cellStyle name="Normal 114 3 5" xfId="12358" xr:uid="{00000000-0005-0000-0000-0000C3140000}"/>
    <cellStyle name="Normal 114 3 5 2" xfId="21038" xr:uid="{00000000-0005-0000-0000-0000C4140000}"/>
    <cellStyle name="Normal 114 3 6" xfId="14687" xr:uid="{00000000-0005-0000-0000-0000C5140000}"/>
    <cellStyle name="Normal 114 4" xfId="2040" xr:uid="{00000000-0005-0000-0000-0000C6140000}"/>
    <cellStyle name="Normal 114 4 2" xfId="9142" xr:uid="{00000000-0005-0000-0000-0000C7140000}"/>
    <cellStyle name="Normal 114 4 2 2" xfId="17892" xr:uid="{00000000-0005-0000-0000-0000C8140000}"/>
    <cellStyle name="Normal 114 4 3" xfId="7539" xr:uid="{00000000-0005-0000-0000-0000C9140000}"/>
    <cellStyle name="Normal 114 4 3 2" xfId="16293" xr:uid="{00000000-0005-0000-0000-0000CA140000}"/>
    <cellStyle name="Normal 114 4 4" xfId="10752" xr:uid="{00000000-0005-0000-0000-0000CB140000}"/>
    <cellStyle name="Normal 114 4 4 2" xfId="19439" xr:uid="{00000000-0005-0000-0000-0000CC140000}"/>
    <cellStyle name="Normal 114 4 5" xfId="12359" xr:uid="{00000000-0005-0000-0000-0000CD140000}"/>
    <cellStyle name="Normal 114 4 5 2" xfId="21039" xr:uid="{00000000-0005-0000-0000-0000CE140000}"/>
    <cellStyle name="Normal 114 4 6" xfId="14686" xr:uid="{00000000-0005-0000-0000-0000CF140000}"/>
    <cellStyle name="Normal 114 5" xfId="9139" xr:uid="{00000000-0005-0000-0000-0000D0140000}"/>
    <cellStyle name="Normal 114 5 2" xfId="17889" xr:uid="{00000000-0005-0000-0000-0000D1140000}"/>
    <cellStyle name="Normal 114 6" xfId="7536" xr:uid="{00000000-0005-0000-0000-0000D2140000}"/>
    <cellStyle name="Normal 114 6 2" xfId="16290" xr:uid="{00000000-0005-0000-0000-0000D3140000}"/>
    <cellStyle name="Normal 114 7" xfId="10749" xr:uid="{00000000-0005-0000-0000-0000D4140000}"/>
    <cellStyle name="Normal 114 7 2" xfId="19436" xr:uid="{00000000-0005-0000-0000-0000D5140000}"/>
    <cellStyle name="Normal 114 8" xfId="12356" xr:uid="{00000000-0005-0000-0000-0000D6140000}"/>
    <cellStyle name="Normal 114 8 2" xfId="21036" xr:uid="{00000000-0005-0000-0000-0000D7140000}"/>
    <cellStyle name="Normal 114 9" xfId="14689" xr:uid="{00000000-0005-0000-0000-0000D8140000}"/>
    <cellStyle name="Normal 115" xfId="2041" xr:uid="{00000000-0005-0000-0000-0000D9140000}"/>
    <cellStyle name="Normal 115 2" xfId="2042" xr:uid="{00000000-0005-0000-0000-0000DA140000}"/>
    <cellStyle name="Normal 115 2 2" xfId="9144" xr:uid="{00000000-0005-0000-0000-0000DB140000}"/>
    <cellStyle name="Normal 115 2 2 2" xfId="17894" xr:uid="{00000000-0005-0000-0000-0000DC140000}"/>
    <cellStyle name="Normal 115 2 3" xfId="7541" xr:uid="{00000000-0005-0000-0000-0000DD140000}"/>
    <cellStyle name="Normal 115 2 3 2" xfId="16295" xr:uid="{00000000-0005-0000-0000-0000DE140000}"/>
    <cellStyle name="Normal 115 2 4" xfId="10754" xr:uid="{00000000-0005-0000-0000-0000DF140000}"/>
    <cellStyle name="Normal 115 2 4 2" xfId="19441" xr:uid="{00000000-0005-0000-0000-0000E0140000}"/>
    <cellStyle name="Normal 115 2 5" xfId="12361" xr:uid="{00000000-0005-0000-0000-0000E1140000}"/>
    <cellStyle name="Normal 115 2 5 2" xfId="21041" xr:uid="{00000000-0005-0000-0000-0000E2140000}"/>
    <cellStyle name="Normal 115 2 6" xfId="13940" xr:uid="{00000000-0005-0000-0000-0000E3140000}"/>
    <cellStyle name="Normal 115 3" xfId="2043" xr:uid="{00000000-0005-0000-0000-0000E4140000}"/>
    <cellStyle name="Normal 115 3 2" xfId="9145" xr:uid="{00000000-0005-0000-0000-0000E5140000}"/>
    <cellStyle name="Normal 115 3 2 2" xfId="17895" xr:uid="{00000000-0005-0000-0000-0000E6140000}"/>
    <cellStyle name="Normal 115 3 3" xfId="7542" xr:uid="{00000000-0005-0000-0000-0000E7140000}"/>
    <cellStyle name="Normal 115 3 3 2" xfId="16296" xr:uid="{00000000-0005-0000-0000-0000E8140000}"/>
    <cellStyle name="Normal 115 3 4" xfId="10755" xr:uid="{00000000-0005-0000-0000-0000E9140000}"/>
    <cellStyle name="Normal 115 3 4 2" xfId="19442" xr:uid="{00000000-0005-0000-0000-0000EA140000}"/>
    <cellStyle name="Normal 115 3 5" xfId="12362" xr:uid="{00000000-0005-0000-0000-0000EB140000}"/>
    <cellStyle name="Normal 115 3 5 2" xfId="21042" xr:uid="{00000000-0005-0000-0000-0000EC140000}"/>
    <cellStyle name="Normal 115 3 6" xfId="14777" xr:uid="{00000000-0005-0000-0000-0000ED140000}"/>
    <cellStyle name="Normal 115 4" xfId="2044" xr:uid="{00000000-0005-0000-0000-0000EE140000}"/>
    <cellStyle name="Normal 115 4 2" xfId="9146" xr:uid="{00000000-0005-0000-0000-0000EF140000}"/>
    <cellStyle name="Normal 115 4 2 2" xfId="17896" xr:uid="{00000000-0005-0000-0000-0000F0140000}"/>
    <cellStyle name="Normal 115 4 3" xfId="7543" xr:uid="{00000000-0005-0000-0000-0000F1140000}"/>
    <cellStyle name="Normal 115 4 3 2" xfId="16297" xr:uid="{00000000-0005-0000-0000-0000F2140000}"/>
    <cellStyle name="Normal 115 4 4" xfId="10756" xr:uid="{00000000-0005-0000-0000-0000F3140000}"/>
    <cellStyle name="Normal 115 4 4 2" xfId="19443" xr:uid="{00000000-0005-0000-0000-0000F4140000}"/>
    <cellStyle name="Normal 115 4 5" xfId="12363" xr:uid="{00000000-0005-0000-0000-0000F5140000}"/>
    <cellStyle name="Normal 115 4 5 2" xfId="21043" xr:uid="{00000000-0005-0000-0000-0000F6140000}"/>
    <cellStyle name="Normal 115 4 6" xfId="14043" xr:uid="{00000000-0005-0000-0000-0000F7140000}"/>
    <cellStyle name="Normal 115 5" xfId="9143" xr:uid="{00000000-0005-0000-0000-0000F8140000}"/>
    <cellStyle name="Normal 115 5 2" xfId="17893" xr:uid="{00000000-0005-0000-0000-0000F9140000}"/>
    <cellStyle name="Normal 115 6" xfId="7540" xr:uid="{00000000-0005-0000-0000-0000FA140000}"/>
    <cellStyle name="Normal 115 6 2" xfId="16294" xr:uid="{00000000-0005-0000-0000-0000FB140000}"/>
    <cellStyle name="Normal 115 7" xfId="10753" xr:uid="{00000000-0005-0000-0000-0000FC140000}"/>
    <cellStyle name="Normal 115 7 2" xfId="19440" xr:uid="{00000000-0005-0000-0000-0000FD140000}"/>
    <cellStyle name="Normal 115 8" xfId="12360" xr:uid="{00000000-0005-0000-0000-0000FE140000}"/>
    <cellStyle name="Normal 115 8 2" xfId="21040" xr:uid="{00000000-0005-0000-0000-0000FF140000}"/>
    <cellStyle name="Normal 115 9" xfId="14685" xr:uid="{00000000-0005-0000-0000-000000150000}"/>
    <cellStyle name="Normal 116" xfId="2045" xr:uid="{00000000-0005-0000-0000-000001150000}"/>
    <cellStyle name="Normal 116 2" xfId="2046" xr:uid="{00000000-0005-0000-0000-000002150000}"/>
    <cellStyle name="Normal 116 2 2" xfId="9148" xr:uid="{00000000-0005-0000-0000-000003150000}"/>
    <cellStyle name="Normal 116 2 2 2" xfId="17898" xr:uid="{00000000-0005-0000-0000-000004150000}"/>
    <cellStyle name="Normal 116 2 3" xfId="7545" xr:uid="{00000000-0005-0000-0000-000005150000}"/>
    <cellStyle name="Normal 116 2 3 2" xfId="16299" xr:uid="{00000000-0005-0000-0000-000006150000}"/>
    <cellStyle name="Normal 116 2 4" xfId="10758" xr:uid="{00000000-0005-0000-0000-000007150000}"/>
    <cellStyle name="Normal 116 2 4 2" xfId="19445" xr:uid="{00000000-0005-0000-0000-000008150000}"/>
    <cellStyle name="Normal 116 2 5" xfId="12365" xr:uid="{00000000-0005-0000-0000-000009150000}"/>
    <cellStyle name="Normal 116 2 5 2" xfId="21045" xr:uid="{00000000-0005-0000-0000-00000A150000}"/>
    <cellStyle name="Normal 116 2 6" xfId="13863" xr:uid="{00000000-0005-0000-0000-00000B150000}"/>
    <cellStyle name="Normal 116 3" xfId="2047" xr:uid="{00000000-0005-0000-0000-00000C150000}"/>
    <cellStyle name="Normal 116 3 2" xfId="9149" xr:uid="{00000000-0005-0000-0000-00000D150000}"/>
    <cellStyle name="Normal 116 3 2 2" xfId="17899" xr:uid="{00000000-0005-0000-0000-00000E150000}"/>
    <cellStyle name="Normal 116 3 3" xfId="7546" xr:uid="{00000000-0005-0000-0000-00000F150000}"/>
    <cellStyle name="Normal 116 3 3 2" xfId="16300" xr:uid="{00000000-0005-0000-0000-000010150000}"/>
    <cellStyle name="Normal 116 3 4" xfId="10759" xr:uid="{00000000-0005-0000-0000-000011150000}"/>
    <cellStyle name="Normal 116 3 4 2" xfId="19446" xr:uid="{00000000-0005-0000-0000-000012150000}"/>
    <cellStyle name="Normal 116 3 5" xfId="12366" xr:uid="{00000000-0005-0000-0000-000013150000}"/>
    <cellStyle name="Normal 116 3 5 2" xfId="21046" xr:uid="{00000000-0005-0000-0000-000014150000}"/>
    <cellStyle name="Normal 116 3 6" xfId="14102" xr:uid="{00000000-0005-0000-0000-000015150000}"/>
    <cellStyle name="Normal 116 4" xfId="2048" xr:uid="{00000000-0005-0000-0000-000016150000}"/>
    <cellStyle name="Normal 116 4 2" xfId="9150" xr:uid="{00000000-0005-0000-0000-000017150000}"/>
    <cellStyle name="Normal 116 4 2 2" xfId="17900" xr:uid="{00000000-0005-0000-0000-000018150000}"/>
    <cellStyle name="Normal 116 4 3" xfId="7547" xr:uid="{00000000-0005-0000-0000-000019150000}"/>
    <cellStyle name="Normal 116 4 3 2" xfId="16301" xr:uid="{00000000-0005-0000-0000-00001A150000}"/>
    <cellStyle name="Normal 116 4 4" xfId="10760" xr:uid="{00000000-0005-0000-0000-00001B150000}"/>
    <cellStyle name="Normal 116 4 4 2" xfId="19447" xr:uid="{00000000-0005-0000-0000-00001C150000}"/>
    <cellStyle name="Normal 116 4 5" xfId="12367" xr:uid="{00000000-0005-0000-0000-00001D150000}"/>
    <cellStyle name="Normal 116 4 5 2" xfId="21047" xr:uid="{00000000-0005-0000-0000-00001E150000}"/>
    <cellStyle name="Normal 116 4 6" xfId="14746" xr:uid="{00000000-0005-0000-0000-00001F150000}"/>
    <cellStyle name="Normal 116 5" xfId="9147" xr:uid="{00000000-0005-0000-0000-000020150000}"/>
    <cellStyle name="Normal 116 5 2" xfId="17897" xr:uid="{00000000-0005-0000-0000-000021150000}"/>
    <cellStyle name="Normal 116 6" xfId="7544" xr:uid="{00000000-0005-0000-0000-000022150000}"/>
    <cellStyle name="Normal 116 6 2" xfId="16298" xr:uid="{00000000-0005-0000-0000-000023150000}"/>
    <cellStyle name="Normal 116 7" xfId="10757" xr:uid="{00000000-0005-0000-0000-000024150000}"/>
    <cellStyle name="Normal 116 7 2" xfId="19444" xr:uid="{00000000-0005-0000-0000-000025150000}"/>
    <cellStyle name="Normal 116 8" xfId="12364" xr:uid="{00000000-0005-0000-0000-000026150000}"/>
    <cellStyle name="Normal 116 8 2" xfId="21044" xr:uid="{00000000-0005-0000-0000-000027150000}"/>
    <cellStyle name="Normal 116 9" xfId="14657" xr:uid="{00000000-0005-0000-0000-000028150000}"/>
    <cellStyle name="Normal 117" xfId="2049" xr:uid="{00000000-0005-0000-0000-000029150000}"/>
    <cellStyle name="Normal 117 2" xfId="2050" xr:uid="{00000000-0005-0000-0000-00002A150000}"/>
    <cellStyle name="Normal 117 2 2" xfId="2051" xr:uid="{00000000-0005-0000-0000-00002B150000}"/>
    <cellStyle name="Normal 117 2 3" xfId="2052" xr:uid="{00000000-0005-0000-0000-00002C150000}"/>
    <cellStyle name="Normal 117 2 4" xfId="2053" xr:uid="{00000000-0005-0000-0000-00002D150000}"/>
    <cellStyle name="Normal 117 2 5" xfId="9151" xr:uid="{00000000-0005-0000-0000-00002E150000}"/>
    <cellStyle name="Normal 117 2 5 2" xfId="17901" xr:uid="{00000000-0005-0000-0000-00002F150000}"/>
    <cellStyle name="Normal 117 2 6" xfId="7548" xr:uid="{00000000-0005-0000-0000-000030150000}"/>
    <cellStyle name="Normal 117 2 6 2" xfId="16302" xr:uid="{00000000-0005-0000-0000-000031150000}"/>
    <cellStyle name="Normal 117 2 7" xfId="10761" xr:uid="{00000000-0005-0000-0000-000032150000}"/>
    <cellStyle name="Normal 117 2 7 2" xfId="19448" xr:uid="{00000000-0005-0000-0000-000033150000}"/>
    <cellStyle name="Normal 117 2 8" xfId="12368" xr:uid="{00000000-0005-0000-0000-000034150000}"/>
    <cellStyle name="Normal 117 2 8 2" xfId="21048" xr:uid="{00000000-0005-0000-0000-000035150000}"/>
    <cellStyle name="Normal 117 2 9" xfId="14739" xr:uid="{00000000-0005-0000-0000-000036150000}"/>
    <cellStyle name="Normal 117 3" xfId="2054" xr:uid="{00000000-0005-0000-0000-000037150000}"/>
    <cellStyle name="Normal 117 3 2" xfId="9152" xr:uid="{00000000-0005-0000-0000-000038150000}"/>
    <cellStyle name="Normal 117 3 2 2" xfId="17902" xr:uid="{00000000-0005-0000-0000-000039150000}"/>
    <cellStyle name="Normal 117 3 3" xfId="7549" xr:uid="{00000000-0005-0000-0000-00003A150000}"/>
    <cellStyle name="Normal 117 3 3 2" xfId="16303" xr:uid="{00000000-0005-0000-0000-00003B150000}"/>
    <cellStyle name="Normal 117 3 4" xfId="10762" xr:uid="{00000000-0005-0000-0000-00003C150000}"/>
    <cellStyle name="Normal 117 3 4 2" xfId="19449" xr:uid="{00000000-0005-0000-0000-00003D150000}"/>
    <cellStyle name="Normal 117 3 5" xfId="12369" xr:uid="{00000000-0005-0000-0000-00003E150000}"/>
    <cellStyle name="Normal 117 3 5 2" xfId="21049" xr:uid="{00000000-0005-0000-0000-00003F150000}"/>
    <cellStyle name="Normal 117 3 6" xfId="14037" xr:uid="{00000000-0005-0000-0000-000040150000}"/>
    <cellStyle name="Normal 117 4" xfId="2055" xr:uid="{00000000-0005-0000-0000-000041150000}"/>
    <cellStyle name="Normal 117 4 2" xfId="9153" xr:uid="{00000000-0005-0000-0000-000042150000}"/>
    <cellStyle name="Normal 117 4 2 2" xfId="17903" xr:uid="{00000000-0005-0000-0000-000043150000}"/>
    <cellStyle name="Normal 117 4 3" xfId="7550" xr:uid="{00000000-0005-0000-0000-000044150000}"/>
    <cellStyle name="Normal 117 4 3 2" xfId="16304" xr:uid="{00000000-0005-0000-0000-000045150000}"/>
    <cellStyle name="Normal 117 4 4" xfId="10763" xr:uid="{00000000-0005-0000-0000-000046150000}"/>
    <cellStyle name="Normal 117 4 4 2" xfId="19450" xr:uid="{00000000-0005-0000-0000-000047150000}"/>
    <cellStyle name="Normal 117 4 5" xfId="12370" xr:uid="{00000000-0005-0000-0000-000048150000}"/>
    <cellStyle name="Normal 117 4 5 2" xfId="21050" xr:uid="{00000000-0005-0000-0000-000049150000}"/>
    <cellStyle name="Normal 117 4 6" xfId="14794" xr:uid="{00000000-0005-0000-0000-00004A150000}"/>
    <cellStyle name="Normal 118" xfId="2056" xr:uid="{00000000-0005-0000-0000-00004B150000}"/>
    <cellStyle name="Normal 118 2" xfId="2057" xr:uid="{00000000-0005-0000-0000-00004C150000}"/>
    <cellStyle name="Normal 118 2 2" xfId="9155" xr:uid="{00000000-0005-0000-0000-00004D150000}"/>
    <cellStyle name="Normal 118 2 2 2" xfId="17905" xr:uid="{00000000-0005-0000-0000-00004E150000}"/>
    <cellStyle name="Normal 118 2 3" xfId="7552" xr:uid="{00000000-0005-0000-0000-00004F150000}"/>
    <cellStyle name="Normal 118 2 3 2" xfId="16306" xr:uid="{00000000-0005-0000-0000-000050150000}"/>
    <cellStyle name="Normal 118 2 4" xfId="10765" xr:uid="{00000000-0005-0000-0000-000051150000}"/>
    <cellStyle name="Normal 118 2 4 2" xfId="19452" xr:uid="{00000000-0005-0000-0000-000052150000}"/>
    <cellStyle name="Normal 118 2 5" xfId="12372" xr:uid="{00000000-0005-0000-0000-000053150000}"/>
    <cellStyle name="Normal 118 2 5 2" xfId="21052" xr:uid="{00000000-0005-0000-0000-000054150000}"/>
    <cellStyle name="Normal 118 2 6" xfId="14731" xr:uid="{00000000-0005-0000-0000-000055150000}"/>
    <cellStyle name="Normal 118 3" xfId="2058" xr:uid="{00000000-0005-0000-0000-000056150000}"/>
    <cellStyle name="Normal 118 3 2" xfId="9156" xr:uid="{00000000-0005-0000-0000-000057150000}"/>
    <cellStyle name="Normal 118 3 2 2" xfId="17906" xr:uid="{00000000-0005-0000-0000-000058150000}"/>
    <cellStyle name="Normal 118 3 3" xfId="7553" xr:uid="{00000000-0005-0000-0000-000059150000}"/>
    <cellStyle name="Normal 118 3 3 2" xfId="16307" xr:uid="{00000000-0005-0000-0000-00005A150000}"/>
    <cellStyle name="Normal 118 3 4" xfId="10766" xr:uid="{00000000-0005-0000-0000-00005B150000}"/>
    <cellStyle name="Normal 118 3 4 2" xfId="19453" xr:uid="{00000000-0005-0000-0000-00005C150000}"/>
    <cellStyle name="Normal 118 3 5" xfId="12373" xr:uid="{00000000-0005-0000-0000-00005D150000}"/>
    <cellStyle name="Normal 118 3 5 2" xfId="21053" xr:uid="{00000000-0005-0000-0000-00005E150000}"/>
    <cellStyle name="Normal 118 3 6" xfId="14504" xr:uid="{00000000-0005-0000-0000-00005F150000}"/>
    <cellStyle name="Normal 118 4" xfId="2059" xr:uid="{00000000-0005-0000-0000-000060150000}"/>
    <cellStyle name="Normal 118 4 2" xfId="9157" xr:uid="{00000000-0005-0000-0000-000061150000}"/>
    <cellStyle name="Normal 118 4 2 2" xfId="17907" xr:uid="{00000000-0005-0000-0000-000062150000}"/>
    <cellStyle name="Normal 118 4 3" xfId="7554" xr:uid="{00000000-0005-0000-0000-000063150000}"/>
    <cellStyle name="Normal 118 4 3 2" xfId="16308" xr:uid="{00000000-0005-0000-0000-000064150000}"/>
    <cellStyle name="Normal 118 4 4" xfId="10767" xr:uid="{00000000-0005-0000-0000-000065150000}"/>
    <cellStyle name="Normal 118 4 4 2" xfId="19454" xr:uid="{00000000-0005-0000-0000-000066150000}"/>
    <cellStyle name="Normal 118 4 5" xfId="12374" xr:uid="{00000000-0005-0000-0000-000067150000}"/>
    <cellStyle name="Normal 118 4 5 2" xfId="21054" xr:uid="{00000000-0005-0000-0000-000068150000}"/>
    <cellStyle name="Normal 118 4 6" xfId="14684" xr:uid="{00000000-0005-0000-0000-000069150000}"/>
    <cellStyle name="Normal 118 5" xfId="9154" xr:uid="{00000000-0005-0000-0000-00006A150000}"/>
    <cellStyle name="Normal 118 5 2" xfId="17904" xr:uid="{00000000-0005-0000-0000-00006B150000}"/>
    <cellStyle name="Normal 118 6" xfId="7551" xr:uid="{00000000-0005-0000-0000-00006C150000}"/>
    <cellStyle name="Normal 118 6 2" xfId="16305" xr:uid="{00000000-0005-0000-0000-00006D150000}"/>
    <cellStyle name="Normal 118 7" xfId="10764" xr:uid="{00000000-0005-0000-0000-00006E150000}"/>
    <cellStyle name="Normal 118 7 2" xfId="19451" xr:uid="{00000000-0005-0000-0000-00006F150000}"/>
    <cellStyle name="Normal 118 8" xfId="12371" xr:uid="{00000000-0005-0000-0000-000070150000}"/>
    <cellStyle name="Normal 118 8 2" xfId="21051" xr:uid="{00000000-0005-0000-0000-000071150000}"/>
    <cellStyle name="Normal 118 9" xfId="14754" xr:uid="{00000000-0005-0000-0000-000072150000}"/>
    <cellStyle name="Normal 119" xfId="2060" xr:uid="{00000000-0005-0000-0000-000073150000}"/>
    <cellStyle name="Normal 119 2" xfId="2061" xr:uid="{00000000-0005-0000-0000-000074150000}"/>
    <cellStyle name="Normal 12" xfId="150" xr:uid="{00000000-0005-0000-0000-000075150000}"/>
    <cellStyle name="Normal 12 2" xfId="2063" xr:uid="{00000000-0005-0000-0000-000076150000}"/>
    <cellStyle name="Normal 12 2 10" xfId="7556" xr:uid="{00000000-0005-0000-0000-000077150000}"/>
    <cellStyle name="Normal 12 2 10 2" xfId="16310" xr:uid="{00000000-0005-0000-0000-000078150000}"/>
    <cellStyle name="Normal 12 2 11" xfId="10769" xr:uid="{00000000-0005-0000-0000-000079150000}"/>
    <cellStyle name="Normal 12 2 11 2" xfId="19456" xr:uid="{00000000-0005-0000-0000-00007A150000}"/>
    <cellStyle name="Normal 12 2 12" xfId="12376" xr:uid="{00000000-0005-0000-0000-00007B150000}"/>
    <cellStyle name="Normal 12 2 12 2" xfId="21056" xr:uid="{00000000-0005-0000-0000-00007C150000}"/>
    <cellStyle name="Normal 12 2 13" xfId="14556" xr:uid="{00000000-0005-0000-0000-00007D150000}"/>
    <cellStyle name="Normal 12 2 2" xfId="2064" xr:uid="{00000000-0005-0000-0000-00007E150000}"/>
    <cellStyle name="Normal 12 2 2 2" xfId="2065" xr:uid="{00000000-0005-0000-0000-00007F150000}"/>
    <cellStyle name="Normal 12 2 2 2 2" xfId="2066" xr:uid="{00000000-0005-0000-0000-000080150000}"/>
    <cellStyle name="Normal 12 2 2 2 2 2" xfId="2067" xr:uid="{00000000-0005-0000-0000-000081150000}"/>
    <cellStyle name="Normal 12 2 2 2 2 2 2" xfId="9161" xr:uid="{00000000-0005-0000-0000-000082150000}"/>
    <cellStyle name="Normal 12 2 2 2 2 2 2 2" xfId="17911" xr:uid="{00000000-0005-0000-0000-000083150000}"/>
    <cellStyle name="Normal 12 2 2 2 2 2 3" xfId="7558" xr:uid="{00000000-0005-0000-0000-000084150000}"/>
    <cellStyle name="Normal 12 2 2 2 2 2 3 2" xfId="16312" xr:uid="{00000000-0005-0000-0000-000085150000}"/>
    <cellStyle name="Normal 12 2 2 2 2 2 4" xfId="10771" xr:uid="{00000000-0005-0000-0000-000086150000}"/>
    <cellStyle name="Normal 12 2 2 2 2 2 4 2" xfId="19458" xr:uid="{00000000-0005-0000-0000-000087150000}"/>
    <cellStyle name="Normal 12 2 2 2 2 2 5" xfId="12378" xr:uid="{00000000-0005-0000-0000-000088150000}"/>
    <cellStyle name="Normal 12 2 2 2 2 2 5 2" xfId="21058" xr:uid="{00000000-0005-0000-0000-000089150000}"/>
    <cellStyle name="Normal 12 2 2 2 2 2 6" xfId="14039" xr:uid="{00000000-0005-0000-0000-00008A150000}"/>
    <cellStyle name="Normal 12 2 2 2 2 3" xfId="2068" xr:uid="{00000000-0005-0000-0000-00008B150000}"/>
    <cellStyle name="Normal 12 2 2 2 2 3 2" xfId="9162" xr:uid="{00000000-0005-0000-0000-00008C150000}"/>
    <cellStyle name="Normal 12 2 2 2 2 3 2 2" xfId="17912" xr:uid="{00000000-0005-0000-0000-00008D150000}"/>
    <cellStyle name="Normal 12 2 2 2 2 3 3" xfId="7559" xr:uid="{00000000-0005-0000-0000-00008E150000}"/>
    <cellStyle name="Normal 12 2 2 2 2 3 3 2" xfId="16313" xr:uid="{00000000-0005-0000-0000-00008F150000}"/>
    <cellStyle name="Normal 12 2 2 2 2 3 4" xfId="10772" xr:uid="{00000000-0005-0000-0000-000090150000}"/>
    <cellStyle name="Normal 12 2 2 2 2 3 4 2" xfId="19459" xr:uid="{00000000-0005-0000-0000-000091150000}"/>
    <cellStyle name="Normal 12 2 2 2 2 3 5" xfId="12379" xr:uid="{00000000-0005-0000-0000-000092150000}"/>
    <cellStyle name="Normal 12 2 2 2 2 3 5 2" xfId="21059" xr:uid="{00000000-0005-0000-0000-000093150000}"/>
    <cellStyle name="Normal 12 2 2 2 2 3 6" xfId="14680" xr:uid="{00000000-0005-0000-0000-000094150000}"/>
    <cellStyle name="Normal 12 2 2 2 2 4" xfId="2069" xr:uid="{00000000-0005-0000-0000-000095150000}"/>
    <cellStyle name="Normal 12 2 2 2 2 4 2" xfId="9163" xr:uid="{00000000-0005-0000-0000-000096150000}"/>
    <cellStyle name="Normal 12 2 2 2 2 4 2 2" xfId="17913" xr:uid="{00000000-0005-0000-0000-000097150000}"/>
    <cellStyle name="Normal 12 2 2 2 2 4 3" xfId="7560" xr:uid="{00000000-0005-0000-0000-000098150000}"/>
    <cellStyle name="Normal 12 2 2 2 2 4 3 2" xfId="16314" xr:uid="{00000000-0005-0000-0000-000099150000}"/>
    <cellStyle name="Normal 12 2 2 2 2 4 4" xfId="10773" xr:uid="{00000000-0005-0000-0000-00009A150000}"/>
    <cellStyle name="Normal 12 2 2 2 2 4 4 2" xfId="19460" xr:uid="{00000000-0005-0000-0000-00009B150000}"/>
    <cellStyle name="Normal 12 2 2 2 2 4 5" xfId="12380" xr:uid="{00000000-0005-0000-0000-00009C150000}"/>
    <cellStyle name="Normal 12 2 2 2 2 4 5 2" xfId="21060" xr:uid="{00000000-0005-0000-0000-00009D150000}"/>
    <cellStyle name="Normal 12 2 2 2 2 4 6" xfId="14683" xr:uid="{00000000-0005-0000-0000-00009E150000}"/>
    <cellStyle name="Normal 12 2 2 2 3" xfId="2070" xr:uid="{00000000-0005-0000-0000-00009F150000}"/>
    <cellStyle name="Normal 12 2 2 2 4" xfId="2071" xr:uid="{00000000-0005-0000-0000-0000A0150000}"/>
    <cellStyle name="Normal 12 2 2 2 5" xfId="9160" xr:uid="{00000000-0005-0000-0000-0000A1150000}"/>
    <cellStyle name="Normal 12 2 2 2 5 2" xfId="17910" xr:uid="{00000000-0005-0000-0000-0000A2150000}"/>
    <cellStyle name="Normal 12 2 2 2 6" xfId="7557" xr:uid="{00000000-0005-0000-0000-0000A3150000}"/>
    <cellStyle name="Normal 12 2 2 2 6 2" xfId="16311" xr:uid="{00000000-0005-0000-0000-0000A4150000}"/>
    <cellStyle name="Normal 12 2 2 2 7" xfId="10770" xr:uid="{00000000-0005-0000-0000-0000A5150000}"/>
    <cellStyle name="Normal 12 2 2 2 7 2" xfId="19457" xr:uid="{00000000-0005-0000-0000-0000A6150000}"/>
    <cellStyle name="Normal 12 2 2 2 8" xfId="12377" xr:uid="{00000000-0005-0000-0000-0000A7150000}"/>
    <cellStyle name="Normal 12 2 2 2 8 2" xfId="21057" xr:uid="{00000000-0005-0000-0000-0000A8150000}"/>
    <cellStyle name="Normal 12 2 2 2 9" xfId="14730" xr:uid="{00000000-0005-0000-0000-0000A9150000}"/>
    <cellStyle name="Normal 12 2 2 3" xfId="2072" xr:uid="{00000000-0005-0000-0000-0000AA150000}"/>
    <cellStyle name="Normal 12 2 2 3 2" xfId="2073" xr:uid="{00000000-0005-0000-0000-0000AB150000}"/>
    <cellStyle name="Normal 12 2 2 3 2 2" xfId="9165" xr:uid="{00000000-0005-0000-0000-0000AC150000}"/>
    <cellStyle name="Normal 12 2 2 3 2 2 2" xfId="17915" xr:uid="{00000000-0005-0000-0000-0000AD150000}"/>
    <cellStyle name="Normal 12 2 2 3 2 3" xfId="7562" xr:uid="{00000000-0005-0000-0000-0000AE150000}"/>
    <cellStyle name="Normal 12 2 2 3 2 3 2" xfId="16316" xr:uid="{00000000-0005-0000-0000-0000AF150000}"/>
    <cellStyle name="Normal 12 2 2 3 2 4" xfId="10775" xr:uid="{00000000-0005-0000-0000-0000B0150000}"/>
    <cellStyle name="Normal 12 2 2 3 2 4 2" xfId="19462" xr:uid="{00000000-0005-0000-0000-0000B1150000}"/>
    <cellStyle name="Normal 12 2 2 3 2 5" xfId="12382" xr:uid="{00000000-0005-0000-0000-0000B2150000}"/>
    <cellStyle name="Normal 12 2 2 3 2 5 2" xfId="21062" xr:uid="{00000000-0005-0000-0000-0000B3150000}"/>
    <cellStyle name="Normal 12 2 2 3 2 6" xfId="14664" xr:uid="{00000000-0005-0000-0000-0000B4150000}"/>
    <cellStyle name="Normal 12 2 2 3 3" xfId="2074" xr:uid="{00000000-0005-0000-0000-0000B5150000}"/>
    <cellStyle name="Normal 12 2 2 3 3 2" xfId="9166" xr:uid="{00000000-0005-0000-0000-0000B6150000}"/>
    <cellStyle name="Normal 12 2 2 3 3 2 2" xfId="17916" xr:uid="{00000000-0005-0000-0000-0000B7150000}"/>
    <cellStyle name="Normal 12 2 2 3 3 3" xfId="7563" xr:uid="{00000000-0005-0000-0000-0000B8150000}"/>
    <cellStyle name="Normal 12 2 2 3 3 3 2" xfId="16317" xr:uid="{00000000-0005-0000-0000-0000B9150000}"/>
    <cellStyle name="Normal 12 2 2 3 3 4" xfId="10776" xr:uid="{00000000-0005-0000-0000-0000BA150000}"/>
    <cellStyle name="Normal 12 2 2 3 3 4 2" xfId="19463" xr:uid="{00000000-0005-0000-0000-0000BB150000}"/>
    <cellStyle name="Normal 12 2 2 3 3 5" xfId="12383" xr:uid="{00000000-0005-0000-0000-0000BC150000}"/>
    <cellStyle name="Normal 12 2 2 3 3 5 2" xfId="21063" xr:uid="{00000000-0005-0000-0000-0000BD150000}"/>
    <cellStyle name="Normal 12 2 2 3 3 6" xfId="14682" xr:uid="{00000000-0005-0000-0000-0000BE150000}"/>
    <cellStyle name="Normal 12 2 2 3 4" xfId="2075" xr:uid="{00000000-0005-0000-0000-0000BF150000}"/>
    <cellStyle name="Normal 12 2 2 3 4 2" xfId="9167" xr:uid="{00000000-0005-0000-0000-0000C0150000}"/>
    <cellStyle name="Normal 12 2 2 3 4 2 2" xfId="17917" xr:uid="{00000000-0005-0000-0000-0000C1150000}"/>
    <cellStyle name="Normal 12 2 2 3 4 3" xfId="7564" xr:uid="{00000000-0005-0000-0000-0000C2150000}"/>
    <cellStyle name="Normal 12 2 2 3 4 3 2" xfId="16318" xr:uid="{00000000-0005-0000-0000-0000C3150000}"/>
    <cellStyle name="Normal 12 2 2 3 4 4" xfId="10777" xr:uid="{00000000-0005-0000-0000-0000C4150000}"/>
    <cellStyle name="Normal 12 2 2 3 4 4 2" xfId="19464" xr:uid="{00000000-0005-0000-0000-0000C5150000}"/>
    <cellStyle name="Normal 12 2 2 3 4 5" xfId="12384" xr:uid="{00000000-0005-0000-0000-0000C6150000}"/>
    <cellStyle name="Normal 12 2 2 3 4 5 2" xfId="21064" xr:uid="{00000000-0005-0000-0000-0000C7150000}"/>
    <cellStyle name="Normal 12 2 2 3 4 6" xfId="14681" xr:uid="{00000000-0005-0000-0000-0000C8150000}"/>
    <cellStyle name="Normal 12 2 2 3 5" xfId="9164" xr:uid="{00000000-0005-0000-0000-0000C9150000}"/>
    <cellStyle name="Normal 12 2 2 3 5 2" xfId="17914" xr:uid="{00000000-0005-0000-0000-0000CA150000}"/>
    <cellStyle name="Normal 12 2 2 3 6" xfId="7561" xr:uid="{00000000-0005-0000-0000-0000CB150000}"/>
    <cellStyle name="Normal 12 2 2 3 6 2" xfId="16315" xr:uid="{00000000-0005-0000-0000-0000CC150000}"/>
    <cellStyle name="Normal 12 2 2 3 7" xfId="10774" xr:uid="{00000000-0005-0000-0000-0000CD150000}"/>
    <cellStyle name="Normal 12 2 2 3 7 2" xfId="19461" xr:uid="{00000000-0005-0000-0000-0000CE150000}"/>
    <cellStyle name="Normal 12 2 2 3 8" xfId="12381" xr:uid="{00000000-0005-0000-0000-0000CF150000}"/>
    <cellStyle name="Normal 12 2 2 3 8 2" xfId="21061" xr:uid="{00000000-0005-0000-0000-0000D0150000}"/>
    <cellStyle name="Normal 12 2 2 3 9" xfId="14763" xr:uid="{00000000-0005-0000-0000-0000D1150000}"/>
    <cellStyle name="Normal 12 2 2 4" xfId="2076" xr:uid="{00000000-0005-0000-0000-0000D2150000}"/>
    <cellStyle name="Normal 12 2 2 4 2" xfId="2077" xr:uid="{00000000-0005-0000-0000-0000D3150000}"/>
    <cellStyle name="Normal 12 2 2 4 2 2" xfId="9169" xr:uid="{00000000-0005-0000-0000-0000D4150000}"/>
    <cellStyle name="Normal 12 2 2 4 2 2 2" xfId="17919" xr:uid="{00000000-0005-0000-0000-0000D5150000}"/>
    <cellStyle name="Normal 12 2 2 4 2 3" xfId="7566" xr:uid="{00000000-0005-0000-0000-0000D6150000}"/>
    <cellStyle name="Normal 12 2 2 4 2 3 2" xfId="16320" xr:uid="{00000000-0005-0000-0000-0000D7150000}"/>
    <cellStyle name="Normal 12 2 2 4 2 4" xfId="10779" xr:uid="{00000000-0005-0000-0000-0000D8150000}"/>
    <cellStyle name="Normal 12 2 2 4 2 4 2" xfId="19466" xr:uid="{00000000-0005-0000-0000-0000D9150000}"/>
    <cellStyle name="Normal 12 2 2 4 2 5" xfId="12386" xr:uid="{00000000-0005-0000-0000-0000DA150000}"/>
    <cellStyle name="Normal 12 2 2 4 2 5 2" xfId="21066" xr:uid="{00000000-0005-0000-0000-0000DB150000}"/>
    <cellStyle name="Normal 12 2 2 4 2 6" xfId="14676" xr:uid="{00000000-0005-0000-0000-0000DC150000}"/>
    <cellStyle name="Normal 12 2 2 4 3" xfId="2078" xr:uid="{00000000-0005-0000-0000-0000DD150000}"/>
    <cellStyle name="Normal 12 2 2 4 3 2" xfId="9170" xr:uid="{00000000-0005-0000-0000-0000DE150000}"/>
    <cellStyle name="Normal 12 2 2 4 3 2 2" xfId="17920" xr:uid="{00000000-0005-0000-0000-0000DF150000}"/>
    <cellStyle name="Normal 12 2 2 4 3 3" xfId="7567" xr:uid="{00000000-0005-0000-0000-0000E0150000}"/>
    <cellStyle name="Normal 12 2 2 4 3 3 2" xfId="16321" xr:uid="{00000000-0005-0000-0000-0000E1150000}"/>
    <cellStyle name="Normal 12 2 2 4 3 4" xfId="10780" xr:uid="{00000000-0005-0000-0000-0000E2150000}"/>
    <cellStyle name="Normal 12 2 2 4 3 4 2" xfId="19467" xr:uid="{00000000-0005-0000-0000-0000E3150000}"/>
    <cellStyle name="Normal 12 2 2 4 3 5" xfId="12387" xr:uid="{00000000-0005-0000-0000-0000E4150000}"/>
    <cellStyle name="Normal 12 2 2 4 3 5 2" xfId="21067" xr:uid="{00000000-0005-0000-0000-0000E5150000}"/>
    <cellStyle name="Normal 12 2 2 4 3 6" xfId="14679" xr:uid="{00000000-0005-0000-0000-0000E6150000}"/>
    <cellStyle name="Normal 12 2 2 4 4" xfId="2079" xr:uid="{00000000-0005-0000-0000-0000E7150000}"/>
    <cellStyle name="Normal 12 2 2 4 4 2" xfId="9171" xr:uid="{00000000-0005-0000-0000-0000E8150000}"/>
    <cellStyle name="Normal 12 2 2 4 4 2 2" xfId="17921" xr:uid="{00000000-0005-0000-0000-0000E9150000}"/>
    <cellStyle name="Normal 12 2 2 4 4 3" xfId="7568" xr:uid="{00000000-0005-0000-0000-0000EA150000}"/>
    <cellStyle name="Normal 12 2 2 4 4 3 2" xfId="16322" xr:uid="{00000000-0005-0000-0000-0000EB150000}"/>
    <cellStyle name="Normal 12 2 2 4 4 4" xfId="10781" xr:uid="{00000000-0005-0000-0000-0000EC150000}"/>
    <cellStyle name="Normal 12 2 2 4 4 4 2" xfId="19468" xr:uid="{00000000-0005-0000-0000-0000ED150000}"/>
    <cellStyle name="Normal 12 2 2 4 4 5" xfId="12388" xr:uid="{00000000-0005-0000-0000-0000EE150000}"/>
    <cellStyle name="Normal 12 2 2 4 4 5 2" xfId="21068" xr:uid="{00000000-0005-0000-0000-0000EF150000}"/>
    <cellStyle name="Normal 12 2 2 4 4 6" xfId="14678" xr:uid="{00000000-0005-0000-0000-0000F0150000}"/>
    <cellStyle name="Normal 12 2 2 4 5" xfId="9168" xr:uid="{00000000-0005-0000-0000-0000F1150000}"/>
    <cellStyle name="Normal 12 2 2 4 5 2" xfId="17918" xr:uid="{00000000-0005-0000-0000-0000F2150000}"/>
    <cellStyle name="Normal 12 2 2 4 6" xfId="7565" xr:uid="{00000000-0005-0000-0000-0000F3150000}"/>
    <cellStyle name="Normal 12 2 2 4 6 2" xfId="16319" xr:uid="{00000000-0005-0000-0000-0000F4150000}"/>
    <cellStyle name="Normal 12 2 2 4 7" xfId="10778" xr:uid="{00000000-0005-0000-0000-0000F5150000}"/>
    <cellStyle name="Normal 12 2 2 4 7 2" xfId="19465" xr:uid="{00000000-0005-0000-0000-0000F6150000}"/>
    <cellStyle name="Normal 12 2 2 4 8" xfId="12385" xr:uid="{00000000-0005-0000-0000-0000F7150000}"/>
    <cellStyle name="Normal 12 2 2 4 8 2" xfId="21065" xr:uid="{00000000-0005-0000-0000-0000F8150000}"/>
    <cellStyle name="Normal 12 2 2 4 9" xfId="14008" xr:uid="{00000000-0005-0000-0000-0000F9150000}"/>
    <cellStyle name="Normal 12 2 2 5" xfId="2080" xr:uid="{00000000-0005-0000-0000-0000FA150000}"/>
    <cellStyle name="Normal 12 2 2 5 2" xfId="9172" xr:uid="{00000000-0005-0000-0000-0000FB150000}"/>
    <cellStyle name="Normal 12 2 2 5 2 2" xfId="17922" xr:uid="{00000000-0005-0000-0000-0000FC150000}"/>
    <cellStyle name="Normal 12 2 2 5 3" xfId="7569" xr:uid="{00000000-0005-0000-0000-0000FD150000}"/>
    <cellStyle name="Normal 12 2 2 5 3 2" xfId="16323" xr:uid="{00000000-0005-0000-0000-0000FE150000}"/>
    <cellStyle name="Normal 12 2 2 5 4" xfId="10782" xr:uid="{00000000-0005-0000-0000-0000FF150000}"/>
    <cellStyle name="Normal 12 2 2 5 4 2" xfId="19469" xr:uid="{00000000-0005-0000-0000-000000160000}"/>
    <cellStyle name="Normal 12 2 2 5 5" xfId="12389" xr:uid="{00000000-0005-0000-0000-000001160000}"/>
    <cellStyle name="Normal 12 2 2 5 5 2" xfId="21069" xr:uid="{00000000-0005-0000-0000-000002160000}"/>
    <cellStyle name="Normal 12 2 2 5 6" xfId="14677" xr:uid="{00000000-0005-0000-0000-000003160000}"/>
    <cellStyle name="Normal 12 2 2 6" xfId="2081" xr:uid="{00000000-0005-0000-0000-000004160000}"/>
    <cellStyle name="Normal 12 2 2 6 2" xfId="9173" xr:uid="{00000000-0005-0000-0000-000005160000}"/>
    <cellStyle name="Normal 12 2 2 6 2 2" xfId="17923" xr:uid="{00000000-0005-0000-0000-000006160000}"/>
    <cellStyle name="Normal 12 2 2 6 3" xfId="7570" xr:uid="{00000000-0005-0000-0000-000007160000}"/>
    <cellStyle name="Normal 12 2 2 6 3 2" xfId="16324" xr:uid="{00000000-0005-0000-0000-000008160000}"/>
    <cellStyle name="Normal 12 2 2 6 4" xfId="10783" xr:uid="{00000000-0005-0000-0000-000009160000}"/>
    <cellStyle name="Normal 12 2 2 6 4 2" xfId="19470" xr:uid="{00000000-0005-0000-0000-00000A160000}"/>
    <cellStyle name="Normal 12 2 2 6 5" xfId="12390" xr:uid="{00000000-0005-0000-0000-00000B160000}"/>
    <cellStyle name="Normal 12 2 2 6 5 2" xfId="21070" xr:uid="{00000000-0005-0000-0000-00000C160000}"/>
    <cellStyle name="Normal 12 2 2 6 6" xfId="13998" xr:uid="{00000000-0005-0000-0000-00000D160000}"/>
    <cellStyle name="Normal 12 2 2 7" xfId="2082" xr:uid="{00000000-0005-0000-0000-00000E160000}"/>
    <cellStyle name="Normal 12 2 2 7 2" xfId="9174" xr:uid="{00000000-0005-0000-0000-00000F160000}"/>
    <cellStyle name="Normal 12 2 2 7 2 2" xfId="17924" xr:uid="{00000000-0005-0000-0000-000010160000}"/>
    <cellStyle name="Normal 12 2 2 7 3" xfId="7571" xr:uid="{00000000-0005-0000-0000-000011160000}"/>
    <cellStyle name="Normal 12 2 2 7 3 2" xfId="16325" xr:uid="{00000000-0005-0000-0000-000012160000}"/>
    <cellStyle name="Normal 12 2 2 7 4" xfId="10784" xr:uid="{00000000-0005-0000-0000-000013160000}"/>
    <cellStyle name="Normal 12 2 2 7 4 2" xfId="19471" xr:uid="{00000000-0005-0000-0000-000014160000}"/>
    <cellStyle name="Normal 12 2 2 7 5" xfId="12391" xr:uid="{00000000-0005-0000-0000-000015160000}"/>
    <cellStyle name="Normal 12 2 2 7 5 2" xfId="21071" xr:uid="{00000000-0005-0000-0000-000016160000}"/>
    <cellStyle name="Normal 12 2 2 7 6" xfId="14660" xr:uid="{00000000-0005-0000-0000-000017160000}"/>
    <cellStyle name="Normal 12 2 3" xfId="2083" xr:uid="{00000000-0005-0000-0000-000018160000}"/>
    <cellStyle name="Normal 12 2 3 2" xfId="2084" xr:uid="{00000000-0005-0000-0000-000019160000}"/>
    <cellStyle name="Normal 12 2 3 2 2" xfId="9176" xr:uid="{00000000-0005-0000-0000-00001A160000}"/>
    <cellStyle name="Normal 12 2 3 2 2 2" xfId="17926" xr:uid="{00000000-0005-0000-0000-00001B160000}"/>
    <cellStyle name="Normal 12 2 3 2 3" xfId="7573" xr:uid="{00000000-0005-0000-0000-00001C160000}"/>
    <cellStyle name="Normal 12 2 3 2 3 2" xfId="16327" xr:uid="{00000000-0005-0000-0000-00001D160000}"/>
    <cellStyle name="Normal 12 2 3 2 4" xfId="10786" xr:uid="{00000000-0005-0000-0000-00001E160000}"/>
    <cellStyle name="Normal 12 2 3 2 4 2" xfId="19473" xr:uid="{00000000-0005-0000-0000-00001F160000}"/>
    <cellStyle name="Normal 12 2 3 2 5" xfId="12393" xr:uid="{00000000-0005-0000-0000-000020160000}"/>
    <cellStyle name="Normal 12 2 3 2 5 2" xfId="21073" xr:uid="{00000000-0005-0000-0000-000021160000}"/>
    <cellStyle name="Normal 12 2 3 2 6" xfId="14674" xr:uid="{00000000-0005-0000-0000-000022160000}"/>
    <cellStyle name="Normal 12 2 3 3" xfId="2085" xr:uid="{00000000-0005-0000-0000-000023160000}"/>
    <cellStyle name="Normal 12 2 3 3 2" xfId="9177" xr:uid="{00000000-0005-0000-0000-000024160000}"/>
    <cellStyle name="Normal 12 2 3 3 2 2" xfId="17927" xr:uid="{00000000-0005-0000-0000-000025160000}"/>
    <cellStyle name="Normal 12 2 3 3 3" xfId="7574" xr:uid="{00000000-0005-0000-0000-000026160000}"/>
    <cellStyle name="Normal 12 2 3 3 3 2" xfId="16328" xr:uid="{00000000-0005-0000-0000-000027160000}"/>
    <cellStyle name="Normal 12 2 3 3 4" xfId="10787" xr:uid="{00000000-0005-0000-0000-000028160000}"/>
    <cellStyle name="Normal 12 2 3 3 4 2" xfId="19474" xr:uid="{00000000-0005-0000-0000-000029160000}"/>
    <cellStyle name="Normal 12 2 3 3 5" xfId="12394" xr:uid="{00000000-0005-0000-0000-00002A160000}"/>
    <cellStyle name="Normal 12 2 3 3 5 2" xfId="21074" xr:uid="{00000000-0005-0000-0000-00002B160000}"/>
    <cellStyle name="Normal 12 2 3 3 6" xfId="14673" xr:uid="{00000000-0005-0000-0000-00002C160000}"/>
    <cellStyle name="Normal 12 2 3 4" xfId="2086" xr:uid="{00000000-0005-0000-0000-00002D160000}"/>
    <cellStyle name="Normal 12 2 3 4 2" xfId="9178" xr:uid="{00000000-0005-0000-0000-00002E160000}"/>
    <cellStyle name="Normal 12 2 3 4 2 2" xfId="17928" xr:uid="{00000000-0005-0000-0000-00002F160000}"/>
    <cellStyle name="Normal 12 2 3 4 3" xfId="7575" xr:uid="{00000000-0005-0000-0000-000030160000}"/>
    <cellStyle name="Normal 12 2 3 4 3 2" xfId="16329" xr:uid="{00000000-0005-0000-0000-000031160000}"/>
    <cellStyle name="Normal 12 2 3 4 4" xfId="10788" xr:uid="{00000000-0005-0000-0000-000032160000}"/>
    <cellStyle name="Normal 12 2 3 4 4 2" xfId="19475" xr:uid="{00000000-0005-0000-0000-000033160000}"/>
    <cellStyle name="Normal 12 2 3 4 5" xfId="12395" xr:uid="{00000000-0005-0000-0000-000034160000}"/>
    <cellStyle name="Normal 12 2 3 4 5 2" xfId="21075" xr:uid="{00000000-0005-0000-0000-000035160000}"/>
    <cellStyle name="Normal 12 2 3 4 6" xfId="14672" xr:uid="{00000000-0005-0000-0000-000036160000}"/>
    <cellStyle name="Normal 12 2 3 5" xfId="9175" xr:uid="{00000000-0005-0000-0000-000037160000}"/>
    <cellStyle name="Normal 12 2 3 5 2" xfId="17925" xr:uid="{00000000-0005-0000-0000-000038160000}"/>
    <cellStyle name="Normal 12 2 3 6" xfId="7572" xr:uid="{00000000-0005-0000-0000-000039160000}"/>
    <cellStyle name="Normal 12 2 3 6 2" xfId="16326" xr:uid="{00000000-0005-0000-0000-00003A160000}"/>
    <cellStyle name="Normal 12 2 3 7" xfId="10785" xr:uid="{00000000-0005-0000-0000-00003B160000}"/>
    <cellStyle name="Normal 12 2 3 7 2" xfId="19472" xr:uid="{00000000-0005-0000-0000-00003C160000}"/>
    <cellStyle name="Normal 12 2 3 8" xfId="12392" xr:uid="{00000000-0005-0000-0000-00003D160000}"/>
    <cellStyle name="Normal 12 2 3 8 2" xfId="21072" xr:uid="{00000000-0005-0000-0000-00003E160000}"/>
    <cellStyle name="Normal 12 2 3 9" xfId="14675" xr:uid="{00000000-0005-0000-0000-00003F160000}"/>
    <cellStyle name="Normal 12 2 4" xfId="2087" xr:uid="{00000000-0005-0000-0000-000040160000}"/>
    <cellStyle name="Normal 12 2 5" xfId="2088" xr:uid="{00000000-0005-0000-0000-000041160000}"/>
    <cellStyle name="Normal 12 2 6" xfId="2089" xr:uid="{00000000-0005-0000-0000-000042160000}"/>
    <cellStyle name="Normal 12 2 6 2" xfId="9179" xr:uid="{00000000-0005-0000-0000-000043160000}"/>
    <cellStyle name="Normal 12 2 6 2 2" xfId="17929" xr:uid="{00000000-0005-0000-0000-000044160000}"/>
    <cellStyle name="Normal 12 2 6 3" xfId="7576" xr:uid="{00000000-0005-0000-0000-000045160000}"/>
    <cellStyle name="Normal 12 2 6 3 2" xfId="16330" xr:uid="{00000000-0005-0000-0000-000046160000}"/>
    <cellStyle name="Normal 12 2 6 4" xfId="10789" xr:uid="{00000000-0005-0000-0000-000047160000}"/>
    <cellStyle name="Normal 12 2 6 4 2" xfId="19476" xr:uid="{00000000-0005-0000-0000-000048160000}"/>
    <cellStyle name="Normal 12 2 6 5" xfId="12396" xr:uid="{00000000-0005-0000-0000-000049160000}"/>
    <cellStyle name="Normal 12 2 6 5 2" xfId="21076" xr:uid="{00000000-0005-0000-0000-00004A160000}"/>
    <cellStyle name="Normal 12 2 6 6" xfId="14671" xr:uid="{00000000-0005-0000-0000-00004B160000}"/>
    <cellStyle name="Normal 12 2 7" xfId="2090" xr:uid="{00000000-0005-0000-0000-00004C160000}"/>
    <cellStyle name="Normal 12 2 7 2" xfId="9180" xr:uid="{00000000-0005-0000-0000-00004D160000}"/>
    <cellStyle name="Normal 12 2 7 2 2" xfId="17930" xr:uid="{00000000-0005-0000-0000-00004E160000}"/>
    <cellStyle name="Normal 12 2 7 3" xfId="7577" xr:uid="{00000000-0005-0000-0000-00004F160000}"/>
    <cellStyle name="Normal 12 2 7 3 2" xfId="16331" xr:uid="{00000000-0005-0000-0000-000050160000}"/>
    <cellStyle name="Normal 12 2 7 4" xfId="10790" xr:uid="{00000000-0005-0000-0000-000051160000}"/>
    <cellStyle name="Normal 12 2 7 4 2" xfId="19477" xr:uid="{00000000-0005-0000-0000-000052160000}"/>
    <cellStyle name="Normal 12 2 7 5" xfId="12397" xr:uid="{00000000-0005-0000-0000-000053160000}"/>
    <cellStyle name="Normal 12 2 7 5 2" xfId="21077" xr:uid="{00000000-0005-0000-0000-000054160000}"/>
    <cellStyle name="Normal 12 2 7 6" xfId="14670" xr:uid="{00000000-0005-0000-0000-000055160000}"/>
    <cellStyle name="Normal 12 2 8" xfId="2091" xr:uid="{00000000-0005-0000-0000-000056160000}"/>
    <cellStyle name="Normal 12 2 8 2" xfId="9181" xr:uid="{00000000-0005-0000-0000-000057160000}"/>
    <cellStyle name="Normal 12 2 8 2 2" xfId="17931" xr:uid="{00000000-0005-0000-0000-000058160000}"/>
    <cellStyle name="Normal 12 2 8 3" xfId="7578" xr:uid="{00000000-0005-0000-0000-000059160000}"/>
    <cellStyle name="Normal 12 2 8 3 2" xfId="16332" xr:uid="{00000000-0005-0000-0000-00005A160000}"/>
    <cellStyle name="Normal 12 2 8 4" xfId="10791" xr:uid="{00000000-0005-0000-0000-00005B160000}"/>
    <cellStyle name="Normal 12 2 8 4 2" xfId="19478" xr:uid="{00000000-0005-0000-0000-00005C160000}"/>
    <cellStyle name="Normal 12 2 8 5" xfId="12398" xr:uid="{00000000-0005-0000-0000-00005D160000}"/>
    <cellStyle name="Normal 12 2 8 5 2" xfId="21078" xr:uid="{00000000-0005-0000-0000-00005E160000}"/>
    <cellStyle name="Normal 12 2 8 6" xfId="14669" xr:uid="{00000000-0005-0000-0000-00005F160000}"/>
    <cellStyle name="Normal 12 2 9" xfId="6931" xr:uid="{00000000-0005-0000-0000-000060160000}"/>
    <cellStyle name="Normal 12 2 9 2" xfId="9159" xr:uid="{00000000-0005-0000-0000-000061160000}"/>
    <cellStyle name="Normal 12 2 9 2 2" xfId="17909" xr:uid="{00000000-0005-0000-0000-000062160000}"/>
    <cellStyle name="Normal 12 2 9 3" xfId="16141" xr:uid="{00000000-0005-0000-0000-000063160000}"/>
    <cellStyle name="Normal 12 3" xfId="2092" xr:uid="{00000000-0005-0000-0000-000064160000}"/>
    <cellStyle name="Normal 12 4" xfId="2093" xr:uid="{00000000-0005-0000-0000-000065160000}"/>
    <cellStyle name="Normal 12 5" xfId="4906" xr:uid="{00000000-0005-0000-0000-000066160000}"/>
    <cellStyle name="Normal 12 6" xfId="2062" xr:uid="{00000000-0005-0000-0000-000067160000}"/>
    <cellStyle name="Normal 12 6 2" xfId="9158" xr:uid="{00000000-0005-0000-0000-000068160000}"/>
    <cellStyle name="Normal 12 6 2 2" xfId="17908" xr:uid="{00000000-0005-0000-0000-000069160000}"/>
    <cellStyle name="Normal 12 6 3" xfId="10768" xr:uid="{00000000-0005-0000-0000-00006A160000}"/>
    <cellStyle name="Normal 12 6 3 2" xfId="19455" xr:uid="{00000000-0005-0000-0000-00006B160000}"/>
    <cellStyle name="Normal 12 6 4" xfId="14032" xr:uid="{00000000-0005-0000-0000-00006C160000}"/>
    <cellStyle name="Normal 12 7" xfId="7555" xr:uid="{00000000-0005-0000-0000-00006D160000}"/>
    <cellStyle name="Normal 12 7 2" xfId="16309" xr:uid="{00000000-0005-0000-0000-00006E160000}"/>
    <cellStyle name="Normal 12 8" xfId="10632" xr:uid="{00000000-0005-0000-0000-00006F160000}"/>
    <cellStyle name="Normal 12 9" xfId="12375" xr:uid="{00000000-0005-0000-0000-000070160000}"/>
    <cellStyle name="Normal 12 9 2" xfId="21055" xr:uid="{00000000-0005-0000-0000-000071160000}"/>
    <cellStyle name="Normal 120" xfId="2094" xr:uid="{00000000-0005-0000-0000-000072160000}"/>
    <cellStyle name="Normal 120 2" xfId="2095" xr:uid="{00000000-0005-0000-0000-000073160000}"/>
    <cellStyle name="Normal 120 2 2" xfId="9183" xr:uid="{00000000-0005-0000-0000-000074160000}"/>
    <cellStyle name="Normal 120 2 2 2" xfId="17933" xr:uid="{00000000-0005-0000-0000-000075160000}"/>
    <cellStyle name="Normal 120 2 3" xfId="7580" xr:uid="{00000000-0005-0000-0000-000076160000}"/>
    <cellStyle name="Normal 120 2 3 2" xfId="16334" xr:uid="{00000000-0005-0000-0000-000077160000}"/>
    <cellStyle name="Normal 120 2 4" xfId="10793" xr:uid="{00000000-0005-0000-0000-000078160000}"/>
    <cellStyle name="Normal 120 2 4 2" xfId="19480" xr:uid="{00000000-0005-0000-0000-000079160000}"/>
    <cellStyle name="Normal 120 2 5" xfId="12400" xr:uid="{00000000-0005-0000-0000-00007A160000}"/>
    <cellStyle name="Normal 120 2 5 2" xfId="21080" xr:uid="{00000000-0005-0000-0000-00007B160000}"/>
    <cellStyle name="Normal 120 2 6" xfId="14666" xr:uid="{00000000-0005-0000-0000-00007C160000}"/>
    <cellStyle name="Normal 120 3" xfId="2096" xr:uid="{00000000-0005-0000-0000-00007D160000}"/>
    <cellStyle name="Normal 120 3 2" xfId="9184" xr:uid="{00000000-0005-0000-0000-00007E160000}"/>
    <cellStyle name="Normal 120 3 2 2" xfId="17934" xr:uid="{00000000-0005-0000-0000-00007F160000}"/>
    <cellStyle name="Normal 120 3 3" xfId="7581" xr:uid="{00000000-0005-0000-0000-000080160000}"/>
    <cellStyle name="Normal 120 3 3 2" xfId="16335" xr:uid="{00000000-0005-0000-0000-000081160000}"/>
    <cellStyle name="Normal 120 3 4" xfId="10794" xr:uid="{00000000-0005-0000-0000-000082160000}"/>
    <cellStyle name="Normal 120 3 4 2" xfId="19481" xr:uid="{00000000-0005-0000-0000-000083160000}"/>
    <cellStyle name="Normal 120 3 5" xfId="12401" xr:uid="{00000000-0005-0000-0000-000084160000}"/>
    <cellStyle name="Normal 120 3 5 2" xfId="21081" xr:uid="{00000000-0005-0000-0000-000085160000}"/>
    <cellStyle name="Normal 120 3 6" xfId="14665" xr:uid="{00000000-0005-0000-0000-000086160000}"/>
    <cellStyle name="Normal 120 4" xfId="2097" xr:uid="{00000000-0005-0000-0000-000087160000}"/>
    <cellStyle name="Normal 120 4 2" xfId="9185" xr:uid="{00000000-0005-0000-0000-000088160000}"/>
    <cellStyle name="Normal 120 4 2 2" xfId="17935" xr:uid="{00000000-0005-0000-0000-000089160000}"/>
    <cellStyle name="Normal 120 4 3" xfId="7582" xr:uid="{00000000-0005-0000-0000-00008A160000}"/>
    <cellStyle name="Normal 120 4 3 2" xfId="16336" xr:uid="{00000000-0005-0000-0000-00008B160000}"/>
    <cellStyle name="Normal 120 4 4" xfId="10795" xr:uid="{00000000-0005-0000-0000-00008C160000}"/>
    <cellStyle name="Normal 120 4 4 2" xfId="19482" xr:uid="{00000000-0005-0000-0000-00008D160000}"/>
    <cellStyle name="Normal 120 4 5" xfId="12402" xr:uid="{00000000-0005-0000-0000-00008E160000}"/>
    <cellStyle name="Normal 120 4 5 2" xfId="21082" xr:uid="{00000000-0005-0000-0000-00008F160000}"/>
    <cellStyle name="Normal 120 4 6" xfId="14778" xr:uid="{00000000-0005-0000-0000-000090160000}"/>
    <cellStyle name="Normal 120 5" xfId="9182" xr:uid="{00000000-0005-0000-0000-000091160000}"/>
    <cellStyle name="Normal 120 5 2" xfId="17932" xr:uid="{00000000-0005-0000-0000-000092160000}"/>
    <cellStyle name="Normal 120 6" xfId="7579" xr:uid="{00000000-0005-0000-0000-000093160000}"/>
    <cellStyle name="Normal 120 6 2" xfId="16333" xr:uid="{00000000-0005-0000-0000-000094160000}"/>
    <cellStyle name="Normal 120 7" xfId="10792" xr:uid="{00000000-0005-0000-0000-000095160000}"/>
    <cellStyle name="Normal 120 7 2" xfId="19479" xr:uid="{00000000-0005-0000-0000-000096160000}"/>
    <cellStyle name="Normal 120 8" xfId="12399" xr:uid="{00000000-0005-0000-0000-000097160000}"/>
    <cellStyle name="Normal 120 8 2" xfId="21079" xr:uid="{00000000-0005-0000-0000-000098160000}"/>
    <cellStyle name="Normal 120 9" xfId="14667" xr:uid="{00000000-0005-0000-0000-000099160000}"/>
    <cellStyle name="Normal 121" xfId="2098" xr:uid="{00000000-0005-0000-0000-00009A160000}"/>
    <cellStyle name="Normal 121 2" xfId="2099" xr:uid="{00000000-0005-0000-0000-00009B160000}"/>
    <cellStyle name="Normal 121 2 2" xfId="9187" xr:uid="{00000000-0005-0000-0000-00009C160000}"/>
    <cellStyle name="Normal 121 2 2 2" xfId="17937" xr:uid="{00000000-0005-0000-0000-00009D160000}"/>
    <cellStyle name="Normal 121 2 3" xfId="7584" xr:uid="{00000000-0005-0000-0000-00009E160000}"/>
    <cellStyle name="Normal 121 2 3 2" xfId="16338" xr:uid="{00000000-0005-0000-0000-00009F160000}"/>
    <cellStyle name="Normal 121 2 4" xfId="10797" xr:uid="{00000000-0005-0000-0000-0000A0160000}"/>
    <cellStyle name="Normal 121 2 4 2" xfId="19484" xr:uid="{00000000-0005-0000-0000-0000A1160000}"/>
    <cellStyle name="Normal 121 2 5" xfId="12404" xr:uid="{00000000-0005-0000-0000-0000A2160000}"/>
    <cellStyle name="Normal 121 2 5 2" xfId="21084" xr:uid="{00000000-0005-0000-0000-0000A3160000}"/>
    <cellStyle name="Normal 121 2 6" xfId="14656" xr:uid="{00000000-0005-0000-0000-0000A4160000}"/>
    <cellStyle name="Normal 121 3" xfId="2100" xr:uid="{00000000-0005-0000-0000-0000A5160000}"/>
    <cellStyle name="Normal 121 3 2" xfId="9188" xr:uid="{00000000-0005-0000-0000-0000A6160000}"/>
    <cellStyle name="Normal 121 3 2 2" xfId="17938" xr:uid="{00000000-0005-0000-0000-0000A7160000}"/>
    <cellStyle name="Normal 121 3 3" xfId="7585" xr:uid="{00000000-0005-0000-0000-0000A8160000}"/>
    <cellStyle name="Normal 121 3 3 2" xfId="16339" xr:uid="{00000000-0005-0000-0000-0000A9160000}"/>
    <cellStyle name="Normal 121 3 4" xfId="10798" xr:uid="{00000000-0005-0000-0000-0000AA160000}"/>
    <cellStyle name="Normal 121 3 4 2" xfId="19485" xr:uid="{00000000-0005-0000-0000-0000AB160000}"/>
    <cellStyle name="Normal 121 3 5" xfId="12405" xr:uid="{00000000-0005-0000-0000-0000AC160000}"/>
    <cellStyle name="Normal 121 3 5 2" xfId="21085" xr:uid="{00000000-0005-0000-0000-0000AD160000}"/>
    <cellStyle name="Normal 121 3 6" xfId="14100" xr:uid="{00000000-0005-0000-0000-0000AE160000}"/>
    <cellStyle name="Normal 121 4" xfId="2101" xr:uid="{00000000-0005-0000-0000-0000AF160000}"/>
    <cellStyle name="Normal 121 4 2" xfId="9189" xr:uid="{00000000-0005-0000-0000-0000B0160000}"/>
    <cellStyle name="Normal 121 4 2 2" xfId="17939" xr:uid="{00000000-0005-0000-0000-0000B1160000}"/>
    <cellStyle name="Normal 121 4 3" xfId="7586" xr:uid="{00000000-0005-0000-0000-0000B2160000}"/>
    <cellStyle name="Normal 121 4 3 2" xfId="16340" xr:uid="{00000000-0005-0000-0000-0000B3160000}"/>
    <cellStyle name="Normal 121 4 4" xfId="10799" xr:uid="{00000000-0005-0000-0000-0000B4160000}"/>
    <cellStyle name="Normal 121 4 4 2" xfId="19486" xr:uid="{00000000-0005-0000-0000-0000B5160000}"/>
    <cellStyle name="Normal 121 4 5" xfId="12406" xr:uid="{00000000-0005-0000-0000-0000B6160000}"/>
    <cellStyle name="Normal 121 4 5 2" xfId="21086" xr:uid="{00000000-0005-0000-0000-0000B7160000}"/>
    <cellStyle name="Normal 121 4 6" xfId="14105" xr:uid="{00000000-0005-0000-0000-0000B8160000}"/>
    <cellStyle name="Normal 121 5" xfId="9186" xr:uid="{00000000-0005-0000-0000-0000B9160000}"/>
    <cellStyle name="Normal 121 5 2" xfId="17936" xr:uid="{00000000-0005-0000-0000-0000BA160000}"/>
    <cellStyle name="Normal 121 6" xfId="7583" xr:uid="{00000000-0005-0000-0000-0000BB160000}"/>
    <cellStyle name="Normal 121 6 2" xfId="16337" xr:uid="{00000000-0005-0000-0000-0000BC160000}"/>
    <cellStyle name="Normal 121 7" xfId="10796" xr:uid="{00000000-0005-0000-0000-0000BD160000}"/>
    <cellStyle name="Normal 121 7 2" xfId="19483" xr:uid="{00000000-0005-0000-0000-0000BE160000}"/>
    <cellStyle name="Normal 121 8" xfId="12403" xr:uid="{00000000-0005-0000-0000-0000BF160000}"/>
    <cellStyle name="Normal 121 8 2" xfId="21083" xr:uid="{00000000-0005-0000-0000-0000C0160000}"/>
    <cellStyle name="Normal 121 9" xfId="14081" xr:uid="{00000000-0005-0000-0000-0000C1160000}"/>
    <cellStyle name="Normal 122" xfId="2102" xr:uid="{00000000-0005-0000-0000-0000C2160000}"/>
    <cellStyle name="Normal 122 2" xfId="2103" xr:uid="{00000000-0005-0000-0000-0000C3160000}"/>
    <cellStyle name="Normal 122 2 2" xfId="9191" xr:uid="{00000000-0005-0000-0000-0000C4160000}"/>
    <cellStyle name="Normal 122 2 2 2" xfId="17941" xr:uid="{00000000-0005-0000-0000-0000C5160000}"/>
    <cellStyle name="Normal 122 2 3" xfId="7588" xr:uid="{00000000-0005-0000-0000-0000C6160000}"/>
    <cellStyle name="Normal 122 2 3 2" xfId="16342" xr:uid="{00000000-0005-0000-0000-0000C7160000}"/>
    <cellStyle name="Normal 122 2 4" xfId="10801" xr:uid="{00000000-0005-0000-0000-0000C8160000}"/>
    <cellStyle name="Normal 122 2 4 2" xfId="19488" xr:uid="{00000000-0005-0000-0000-0000C9160000}"/>
    <cellStyle name="Normal 122 2 5" xfId="12408" xr:uid="{00000000-0005-0000-0000-0000CA160000}"/>
    <cellStyle name="Normal 122 2 5 2" xfId="21088" xr:uid="{00000000-0005-0000-0000-0000CB160000}"/>
    <cellStyle name="Normal 122 2 6" xfId="14546" xr:uid="{00000000-0005-0000-0000-0000CC160000}"/>
    <cellStyle name="Normal 122 3" xfId="2104" xr:uid="{00000000-0005-0000-0000-0000CD160000}"/>
    <cellStyle name="Normal 122 3 2" xfId="9192" xr:uid="{00000000-0005-0000-0000-0000CE160000}"/>
    <cellStyle name="Normal 122 3 2 2" xfId="17942" xr:uid="{00000000-0005-0000-0000-0000CF160000}"/>
    <cellStyle name="Normal 122 3 3" xfId="7589" xr:uid="{00000000-0005-0000-0000-0000D0160000}"/>
    <cellStyle name="Normal 122 3 3 2" xfId="16343" xr:uid="{00000000-0005-0000-0000-0000D1160000}"/>
    <cellStyle name="Normal 122 3 4" xfId="10802" xr:uid="{00000000-0005-0000-0000-0000D2160000}"/>
    <cellStyle name="Normal 122 3 4 2" xfId="19489" xr:uid="{00000000-0005-0000-0000-0000D3160000}"/>
    <cellStyle name="Normal 122 3 5" xfId="12409" xr:uid="{00000000-0005-0000-0000-0000D4160000}"/>
    <cellStyle name="Normal 122 3 5 2" xfId="21089" xr:uid="{00000000-0005-0000-0000-0000D5160000}"/>
    <cellStyle name="Normal 122 3 6" xfId="14740" xr:uid="{00000000-0005-0000-0000-0000D6160000}"/>
    <cellStyle name="Normal 122 4" xfId="2105" xr:uid="{00000000-0005-0000-0000-0000D7160000}"/>
    <cellStyle name="Normal 122 4 2" xfId="9193" xr:uid="{00000000-0005-0000-0000-0000D8160000}"/>
    <cellStyle name="Normal 122 4 2 2" xfId="17943" xr:uid="{00000000-0005-0000-0000-0000D9160000}"/>
    <cellStyle name="Normal 122 4 3" xfId="7590" xr:uid="{00000000-0005-0000-0000-0000DA160000}"/>
    <cellStyle name="Normal 122 4 3 2" xfId="16344" xr:uid="{00000000-0005-0000-0000-0000DB160000}"/>
    <cellStyle name="Normal 122 4 4" xfId="10803" xr:uid="{00000000-0005-0000-0000-0000DC160000}"/>
    <cellStyle name="Normal 122 4 4 2" xfId="19490" xr:uid="{00000000-0005-0000-0000-0000DD160000}"/>
    <cellStyle name="Normal 122 4 5" xfId="12410" xr:uid="{00000000-0005-0000-0000-0000DE160000}"/>
    <cellStyle name="Normal 122 4 5 2" xfId="21090" xr:uid="{00000000-0005-0000-0000-0000DF160000}"/>
    <cellStyle name="Normal 122 4 6" xfId="14090" xr:uid="{00000000-0005-0000-0000-0000E0160000}"/>
    <cellStyle name="Normal 122 5" xfId="9190" xr:uid="{00000000-0005-0000-0000-0000E1160000}"/>
    <cellStyle name="Normal 122 5 2" xfId="17940" xr:uid="{00000000-0005-0000-0000-0000E2160000}"/>
    <cellStyle name="Normal 122 6" xfId="7587" xr:uid="{00000000-0005-0000-0000-0000E3160000}"/>
    <cellStyle name="Normal 122 6 2" xfId="16341" xr:uid="{00000000-0005-0000-0000-0000E4160000}"/>
    <cellStyle name="Normal 122 7" xfId="10800" xr:uid="{00000000-0005-0000-0000-0000E5160000}"/>
    <cellStyle name="Normal 122 7 2" xfId="19487" xr:uid="{00000000-0005-0000-0000-0000E6160000}"/>
    <cellStyle name="Normal 122 8" xfId="12407" xr:uid="{00000000-0005-0000-0000-0000E7160000}"/>
    <cellStyle name="Normal 122 8 2" xfId="21087" xr:uid="{00000000-0005-0000-0000-0000E8160000}"/>
    <cellStyle name="Normal 122 9" xfId="13928" xr:uid="{00000000-0005-0000-0000-0000E9160000}"/>
    <cellStyle name="Normal 123" xfId="2106" xr:uid="{00000000-0005-0000-0000-0000EA160000}"/>
    <cellStyle name="Normal 123 2" xfId="2107" xr:uid="{00000000-0005-0000-0000-0000EB160000}"/>
    <cellStyle name="Normal 123 2 2" xfId="9195" xr:uid="{00000000-0005-0000-0000-0000EC160000}"/>
    <cellStyle name="Normal 123 2 2 2" xfId="17945" xr:uid="{00000000-0005-0000-0000-0000ED160000}"/>
    <cellStyle name="Normal 123 2 3" xfId="7592" xr:uid="{00000000-0005-0000-0000-0000EE160000}"/>
    <cellStyle name="Normal 123 2 3 2" xfId="16346" xr:uid="{00000000-0005-0000-0000-0000EF160000}"/>
    <cellStyle name="Normal 123 2 4" xfId="10805" xr:uid="{00000000-0005-0000-0000-0000F0160000}"/>
    <cellStyle name="Normal 123 2 4 2" xfId="19492" xr:uid="{00000000-0005-0000-0000-0000F1160000}"/>
    <cellStyle name="Normal 123 2 5" xfId="12412" xr:uid="{00000000-0005-0000-0000-0000F2160000}"/>
    <cellStyle name="Normal 123 2 5 2" xfId="21092" xr:uid="{00000000-0005-0000-0000-0000F3160000}"/>
    <cellStyle name="Normal 123 2 6" xfId="13941" xr:uid="{00000000-0005-0000-0000-0000F4160000}"/>
    <cellStyle name="Normal 123 3" xfId="2108" xr:uid="{00000000-0005-0000-0000-0000F5160000}"/>
    <cellStyle name="Normal 123 3 2" xfId="9196" xr:uid="{00000000-0005-0000-0000-0000F6160000}"/>
    <cellStyle name="Normal 123 3 2 2" xfId="17946" xr:uid="{00000000-0005-0000-0000-0000F7160000}"/>
    <cellStyle name="Normal 123 3 3" xfId="7593" xr:uid="{00000000-0005-0000-0000-0000F8160000}"/>
    <cellStyle name="Normal 123 3 3 2" xfId="16347" xr:uid="{00000000-0005-0000-0000-0000F9160000}"/>
    <cellStyle name="Normal 123 3 4" xfId="10806" xr:uid="{00000000-0005-0000-0000-0000FA160000}"/>
    <cellStyle name="Normal 123 3 4 2" xfId="19493" xr:uid="{00000000-0005-0000-0000-0000FB160000}"/>
    <cellStyle name="Normal 123 3 5" xfId="12413" xr:uid="{00000000-0005-0000-0000-0000FC160000}"/>
    <cellStyle name="Normal 123 3 5 2" xfId="21093" xr:uid="{00000000-0005-0000-0000-0000FD160000}"/>
    <cellStyle name="Normal 123 3 6" xfId="14663" xr:uid="{00000000-0005-0000-0000-0000FE160000}"/>
    <cellStyle name="Normal 123 4" xfId="2109" xr:uid="{00000000-0005-0000-0000-0000FF160000}"/>
    <cellStyle name="Normal 123 4 2" xfId="9197" xr:uid="{00000000-0005-0000-0000-000000170000}"/>
    <cellStyle name="Normal 123 4 2 2" xfId="17947" xr:uid="{00000000-0005-0000-0000-000001170000}"/>
    <cellStyle name="Normal 123 4 3" xfId="7594" xr:uid="{00000000-0005-0000-0000-000002170000}"/>
    <cellStyle name="Normal 123 4 3 2" xfId="16348" xr:uid="{00000000-0005-0000-0000-000003170000}"/>
    <cellStyle name="Normal 123 4 4" xfId="10807" xr:uid="{00000000-0005-0000-0000-000004170000}"/>
    <cellStyle name="Normal 123 4 4 2" xfId="19494" xr:uid="{00000000-0005-0000-0000-000005170000}"/>
    <cellStyle name="Normal 123 4 5" xfId="12414" xr:uid="{00000000-0005-0000-0000-000006170000}"/>
    <cellStyle name="Normal 123 4 5 2" xfId="21094" xr:uid="{00000000-0005-0000-0000-000007170000}"/>
    <cellStyle name="Normal 123 4 6" xfId="14553" xr:uid="{00000000-0005-0000-0000-000008170000}"/>
    <cellStyle name="Normal 123 5" xfId="9194" xr:uid="{00000000-0005-0000-0000-000009170000}"/>
    <cellStyle name="Normal 123 5 2" xfId="17944" xr:uid="{00000000-0005-0000-0000-00000A170000}"/>
    <cellStyle name="Normal 123 6" xfId="7591" xr:uid="{00000000-0005-0000-0000-00000B170000}"/>
    <cellStyle name="Normal 123 6 2" xfId="16345" xr:uid="{00000000-0005-0000-0000-00000C170000}"/>
    <cellStyle name="Normal 123 7" xfId="10804" xr:uid="{00000000-0005-0000-0000-00000D170000}"/>
    <cellStyle name="Normal 123 7 2" xfId="19491" xr:uid="{00000000-0005-0000-0000-00000E170000}"/>
    <cellStyle name="Normal 123 8" xfId="12411" xr:uid="{00000000-0005-0000-0000-00000F170000}"/>
    <cellStyle name="Normal 123 8 2" xfId="21091" xr:uid="{00000000-0005-0000-0000-000010170000}"/>
    <cellStyle name="Normal 123 9" xfId="14722" xr:uid="{00000000-0005-0000-0000-000011170000}"/>
    <cellStyle name="Normal 124" xfId="2110" xr:uid="{00000000-0005-0000-0000-000012170000}"/>
    <cellStyle name="Normal 124 2" xfId="2111" xr:uid="{00000000-0005-0000-0000-000013170000}"/>
    <cellStyle name="Normal 124 2 2" xfId="9199" xr:uid="{00000000-0005-0000-0000-000014170000}"/>
    <cellStyle name="Normal 124 2 2 2" xfId="17949" xr:uid="{00000000-0005-0000-0000-000015170000}"/>
    <cellStyle name="Normal 124 2 3" xfId="7596" xr:uid="{00000000-0005-0000-0000-000016170000}"/>
    <cellStyle name="Normal 124 2 3 2" xfId="16350" xr:uid="{00000000-0005-0000-0000-000017170000}"/>
    <cellStyle name="Normal 124 2 4" xfId="10809" xr:uid="{00000000-0005-0000-0000-000018170000}"/>
    <cellStyle name="Normal 124 2 4 2" xfId="19496" xr:uid="{00000000-0005-0000-0000-000019170000}"/>
    <cellStyle name="Normal 124 2 5" xfId="12416" xr:uid="{00000000-0005-0000-0000-00001A170000}"/>
    <cellStyle name="Normal 124 2 5 2" xfId="21096" xr:uid="{00000000-0005-0000-0000-00001B170000}"/>
    <cellStyle name="Normal 124 2 6" xfId="13905" xr:uid="{00000000-0005-0000-0000-00001C170000}"/>
    <cellStyle name="Normal 124 3" xfId="2112" xr:uid="{00000000-0005-0000-0000-00001D170000}"/>
    <cellStyle name="Normal 124 3 2" xfId="9200" xr:uid="{00000000-0005-0000-0000-00001E170000}"/>
    <cellStyle name="Normal 124 3 2 2" xfId="17950" xr:uid="{00000000-0005-0000-0000-00001F170000}"/>
    <cellStyle name="Normal 124 3 3" xfId="7597" xr:uid="{00000000-0005-0000-0000-000020170000}"/>
    <cellStyle name="Normal 124 3 3 2" xfId="16351" xr:uid="{00000000-0005-0000-0000-000021170000}"/>
    <cellStyle name="Normal 124 3 4" xfId="10810" xr:uid="{00000000-0005-0000-0000-000022170000}"/>
    <cellStyle name="Normal 124 3 4 2" xfId="19497" xr:uid="{00000000-0005-0000-0000-000023170000}"/>
    <cellStyle name="Normal 124 3 5" xfId="12417" xr:uid="{00000000-0005-0000-0000-000024170000}"/>
    <cellStyle name="Normal 124 3 5 2" xfId="21097" xr:uid="{00000000-0005-0000-0000-000025170000}"/>
    <cellStyle name="Normal 124 3 6" xfId="14795" xr:uid="{00000000-0005-0000-0000-000026170000}"/>
    <cellStyle name="Normal 124 4" xfId="2113" xr:uid="{00000000-0005-0000-0000-000027170000}"/>
    <cellStyle name="Normal 124 4 2" xfId="9201" xr:uid="{00000000-0005-0000-0000-000028170000}"/>
    <cellStyle name="Normal 124 4 2 2" xfId="17951" xr:uid="{00000000-0005-0000-0000-000029170000}"/>
    <cellStyle name="Normal 124 4 3" xfId="7598" xr:uid="{00000000-0005-0000-0000-00002A170000}"/>
    <cellStyle name="Normal 124 4 3 2" xfId="16352" xr:uid="{00000000-0005-0000-0000-00002B170000}"/>
    <cellStyle name="Normal 124 4 4" xfId="10811" xr:uid="{00000000-0005-0000-0000-00002C170000}"/>
    <cellStyle name="Normal 124 4 4 2" xfId="19498" xr:uid="{00000000-0005-0000-0000-00002D170000}"/>
    <cellStyle name="Normal 124 4 5" xfId="12418" xr:uid="{00000000-0005-0000-0000-00002E170000}"/>
    <cellStyle name="Normal 124 4 5 2" xfId="21098" xr:uid="{00000000-0005-0000-0000-00002F170000}"/>
    <cellStyle name="Normal 124 4 6" xfId="14513" xr:uid="{00000000-0005-0000-0000-000030170000}"/>
    <cellStyle name="Normal 124 5" xfId="9198" xr:uid="{00000000-0005-0000-0000-000031170000}"/>
    <cellStyle name="Normal 124 5 2" xfId="17948" xr:uid="{00000000-0005-0000-0000-000032170000}"/>
    <cellStyle name="Normal 124 6" xfId="7595" xr:uid="{00000000-0005-0000-0000-000033170000}"/>
    <cellStyle name="Normal 124 6 2" xfId="16349" xr:uid="{00000000-0005-0000-0000-000034170000}"/>
    <cellStyle name="Normal 124 7" xfId="10808" xr:uid="{00000000-0005-0000-0000-000035170000}"/>
    <cellStyle name="Normal 124 7 2" xfId="19495" xr:uid="{00000000-0005-0000-0000-000036170000}"/>
    <cellStyle name="Normal 124 8" xfId="12415" xr:uid="{00000000-0005-0000-0000-000037170000}"/>
    <cellStyle name="Normal 124 8 2" xfId="21095" xr:uid="{00000000-0005-0000-0000-000038170000}"/>
    <cellStyle name="Normal 124 9" xfId="14753" xr:uid="{00000000-0005-0000-0000-000039170000}"/>
    <cellStyle name="Normal 125" xfId="2114" xr:uid="{00000000-0005-0000-0000-00003A170000}"/>
    <cellStyle name="Normal 125 2" xfId="2115" xr:uid="{00000000-0005-0000-0000-00003B170000}"/>
    <cellStyle name="Normal 125 2 2" xfId="9203" xr:uid="{00000000-0005-0000-0000-00003C170000}"/>
    <cellStyle name="Normal 125 2 2 2" xfId="17953" xr:uid="{00000000-0005-0000-0000-00003D170000}"/>
    <cellStyle name="Normal 125 2 3" xfId="7600" xr:uid="{00000000-0005-0000-0000-00003E170000}"/>
    <cellStyle name="Normal 125 2 3 2" xfId="16354" xr:uid="{00000000-0005-0000-0000-00003F170000}"/>
    <cellStyle name="Normal 125 2 4" xfId="10813" xr:uid="{00000000-0005-0000-0000-000040170000}"/>
    <cellStyle name="Normal 125 2 4 2" xfId="19500" xr:uid="{00000000-0005-0000-0000-000041170000}"/>
    <cellStyle name="Normal 125 2 5" xfId="12420" xr:uid="{00000000-0005-0000-0000-000042170000}"/>
    <cellStyle name="Normal 125 2 5 2" xfId="21100" xr:uid="{00000000-0005-0000-0000-000043170000}"/>
    <cellStyle name="Normal 125 2 6" xfId="14054" xr:uid="{00000000-0005-0000-0000-000044170000}"/>
    <cellStyle name="Normal 125 3" xfId="2116" xr:uid="{00000000-0005-0000-0000-000045170000}"/>
    <cellStyle name="Normal 125 3 2" xfId="9204" xr:uid="{00000000-0005-0000-0000-000046170000}"/>
    <cellStyle name="Normal 125 3 2 2" xfId="17954" xr:uid="{00000000-0005-0000-0000-000047170000}"/>
    <cellStyle name="Normal 125 3 3" xfId="7601" xr:uid="{00000000-0005-0000-0000-000048170000}"/>
    <cellStyle name="Normal 125 3 3 2" xfId="16355" xr:uid="{00000000-0005-0000-0000-000049170000}"/>
    <cellStyle name="Normal 125 3 4" xfId="10814" xr:uid="{00000000-0005-0000-0000-00004A170000}"/>
    <cellStyle name="Normal 125 3 4 2" xfId="19501" xr:uid="{00000000-0005-0000-0000-00004B170000}"/>
    <cellStyle name="Normal 125 3 5" xfId="12421" xr:uid="{00000000-0005-0000-0000-00004C170000}"/>
    <cellStyle name="Normal 125 3 5 2" xfId="21101" xr:uid="{00000000-0005-0000-0000-00004D170000}"/>
    <cellStyle name="Normal 125 3 6" xfId="13899" xr:uid="{00000000-0005-0000-0000-00004E170000}"/>
    <cellStyle name="Normal 125 4" xfId="2117" xr:uid="{00000000-0005-0000-0000-00004F170000}"/>
    <cellStyle name="Normal 125 4 2" xfId="9205" xr:uid="{00000000-0005-0000-0000-000050170000}"/>
    <cellStyle name="Normal 125 4 2 2" xfId="17955" xr:uid="{00000000-0005-0000-0000-000051170000}"/>
    <cellStyle name="Normal 125 4 3" xfId="7602" xr:uid="{00000000-0005-0000-0000-000052170000}"/>
    <cellStyle name="Normal 125 4 3 2" xfId="16356" xr:uid="{00000000-0005-0000-0000-000053170000}"/>
    <cellStyle name="Normal 125 4 4" xfId="10815" xr:uid="{00000000-0005-0000-0000-000054170000}"/>
    <cellStyle name="Normal 125 4 4 2" xfId="19502" xr:uid="{00000000-0005-0000-0000-000055170000}"/>
    <cellStyle name="Normal 125 4 5" xfId="12422" xr:uid="{00000000-0005-0000-0000-000056170000}"/>
    <cellStyle name="Normal 125 4 5 2" xfId="21102" xr:uid="{00000000-0005-0000-0000-000057170000}"/>
    <cellStyle name="Normal 125 4 6" xfId="14769" xr:uid="{00000000-0005-0000-0000-000058170000}"/>
    <cellStyle name="Normal 125 5" xfId="9202" xr:uid="{00000000-0005-0000-0000-000059170000}"/>
    <cellStyle name="Normal 125 5 2" xfId="17952" xr:uid="{00000000-0005-0000-0000-00005A170000}"/>
    <cellStyle name="Normal 125 6" xfId="7599" xr:uid="{00000000-0005-0000-0000-00005B170000}"/>
    <cellStyle name="Normal 125 6 2" xfId="16353" xr:uid="{00000000-0005-0000-0000-00005C170000}"/>
    <cellStyle name="Normal 125 7" xfId="10812" xr:uid="{00000000-0005-0000-0000-00005D170000}"/>
    <cellStyle name="Normal 125 7 2" xfId="19499" xr:uid="{00000000-0005-0000-0000-00005E170000}"/>
    <cellStyle name="Normal 125 8" xfId="12419" xr:uid="{00000000-0005-0000-0000-00005F170000}"/>
    <cellStyle name="Normal 125 8 2" xfId="21099" xr:uid="{00000000-0005-0000-0000-000060170000}"/>
    <cellStyle name="Normal 125 9" xfId="14758" xr:uid="{00000000-0005-0000-0000-000061170000}"/>
    <cellStyle name="Normal 126" xfId="2118" xr:uid="{00000000-0005-0000-0000-000062170000}"/>
    <cellStyle name="Normal 126 2" xfId="2119" xr:uid="{00000000-0005-0000-0000-000063170000}"/>
    <cellStyle name="Normal 126 2 2" xfId="9207" xr:uid="{00000000-0005-0000-0000-000064170000}"/>
    <cellStyle name="Normal 126 2 2 2" xfId="17957" xr:uid="{00000000-0005-0000-0000-000065170000}"/>
    <cellStyle name="Normal 126 2 3" xfId="7604" xr:uid="{00000000-0005-0000-0000-000066170000}"/>
    <cellStyle name="Normal 126 2 3 2" xfId="16358" xr:uid="{00000000-0005-0000-0000-000067170000}"/>
    <cellStyle name="Normal 126 2 4" xfId="10817" xr:uid="{00000000-0005-0000-0000-000068170000}"/>
    <cellStyle name="Normal 126 2 4 2" xfId="19504" xr:uid="{00000000-0005-0000-0000-000069170000}"/>
    <cellStyle name="Normal 126 2 5" xfId="12424" xr:uid="{00000000-0005-0000-0000-00006A170000}"/>
    <cellStyle name="Normal 126 2 5 2" xfId="21104" xr:uid="{00000000-0005-0000-0000-00006B170000}"/>
    <cellStyle name="Normal 126 2 6" xfId="13895" xr:uid="{00000000-0005-0000-0000-00006C170000}"/>
    <cellStyle name="Normal 126 3" xfId="2120" xr:uid="{00000000-0005-0000-0000-00006D170000}"/>
    <cellStyle name="Normal 126 3 2" xfId="9208" xr:uid="{00000000-0005-0000-0000-00006E170000}"/>
    <cellStyle name="Normal 126 3 2 2" xfId="17958" xr:uid="{00000000-0005-0000-0000-00006F170000}"/>
    <cellStyle name="Normal 126 3 3" xfId="7605" xr:uid="{00000000-0005-0000-0000-000070170000}"/>
    <cellStyle name="Normal 126 3 3 2" xfId="16359" xr:uid="{00000000-0005-0000-0000-000071170000}"/>
    <cellStyle name="Normal 126 3 4" xfId="10818" xr:uid="{00000000-0005-0000-0000-000072170000}"/>
    <cellStyle name="Normal 126 3 4 2" xfId="19505" xr:uid="{00000000-0005-0000-0000-000073170000}"/>
    <cellStyle name="Normal 126 3 5" xfId="12425" xr:uid="{00000000-0005-0000-0000-000074170000}"/>
    <cellStyle name="Normal 126 3 5 2" xfId="21105" xr:uid="{00000000-0005-0000-0000-000075170000}"/>
    <cellStyle name="Normal 126 3 6" xfId="14544" xr:uid="{00000000-0005-0000-0000-000076170000}"/>
    <cellStyle name="Normal 126 4" xfId="2121" xr:uid="{00000000-0005-0000-0000-000077170000}"/>
    <cellStyle name="Normal 126 4 2" xfId="9209" xr:uid="{00000000-0005-0000-0000-000078170000}"/>
    <cellStyle name="Normal 126 4 2 2" xfId="17959" xr:uid="{00000000-0005-0000-0000-000079170000}"/>
    <cellStyle name="Normal 126 4 3" xfId="7606" xr:uid="{00000000-0005-0000-0000-00007A170000}"/>
    <cellStyle name="Normal 126 4 3 2" xfId="16360" xr:uid="{00000000-0005-0000-0000-00007B170000}"/>
    <cellStyle name="Normal 126 4 4" xfId="10819" xr:uid="{00000000-0005-0000-0000-00007C170000}"/>
    <cellStyle name="Normal 126 4 4 2" xfId="19506" xr:uid="{00000000-0005-0000-0000-00007D170000}"/>
    <cellStyle name="Normal 126 4 5" xfId="12426" xr:uid="{00000000-0005-0000-0000-00007E170000}"/>
    <cellStyle name="Normal 126 4 5 2" xfId="21106" xr:uid="{00000000-0005-0000-0000-00007F170000}"/>
    <cellStyle name="Normal 126 4 6" xfId="14082" xr:uid="{00000000-0005-0000-0000-000080170000}"/>
    <cellStyle name="Normal 126 5" xfId="9206" xr:uid="{00000000-0005-0000-0000-000081170000}"/>
    <cellStyle name="Normal 126 5 2" xfId="17956" xr:uid="{00000000-0005-0000-0000-000082170000}"/>
    <cellStyle name="Normal 126 6" xfId="7603" xr:uid="{00000000-0005-0000-0000-000083170000}"/>
    <cellStyle name="Normal 126 6 2" xfId="16357" xr:uid="{00000000-0005-0000-0000-000084170000}"/>
    <cellStyle name="Normal 126 7" xfId="10816" xr:uid="{00000000-0005-0000-0000-000085170000}"/>
    <cellStyle name="Normal 126 7 2" xfId="19503" xr:uid="{00000000-0005-0000-0000-000086170000}"/>
    <cellStyle name="Normal 126 8" xfId="12423" xr:uid="{00000000-0005-0000-0000-000087170000}"/>
    <cellStyle name="Normal 126 8 2" xfId="21103" xr:uid="{00000000-0005-0000-0000-000088170000}"/>
    <cellStyle name="Normal 126 9" xfId="13977" xr:uid="{00000000-0005-0000-0000-000089170000}"/>
    <cellStyle name="Normal 127" xfId="2122" xr:uid="{00000000-0005-0000-0000-00008A170000}"/>
    <cellStyle name="Normal 127 2" xfId="2123" xr:uid="{00000000-0005-0000-0000-00008B170000}"/>
    <cellStyle name="Normal 127 2 2" xfId="9211" xr:uid="{00000000-0005-0000-0000-00008C170000}"/>
    <cellStyle name="Normal 127 2 2 2" xfId="17961" xr:uid="{00000000-0005-0000-0000-00008D170000}"/>
    <cellStyle name="Normal 127 2 3" xfId="7608" xr:uid="{00000000-0005-0000-0000-00008E170000}"/>
    <cellStyle name="Normal 127 2 3 2" xfId="16362" xr:uid="{00000000-0005-0000-0000-00008F170000}"/>
    <cellStyle name="Normal 127 2 4" xfId="10821" xr:uid="{00000000-0005-0000-0000-000090170000}"/>
    <cellStyle name="Normal 127 2 4 2" xfId="19508" xr:uid="{00000000-0005-0000-0000-000091170000}"/>
    <cellStyle name="Normal 127 2 5" xfId="12428" xr:uid="{00000000-0005-0000-0000-000092170000}"/>
    <cellStyle name="Normal 127 2 5 2" xfId="21108" xr:uid="{00000000-0005-0000-0000-000093170000}"/>
    <cellStyle name="Normal 127 2 6" xfId="13974" xr:uid="{00000000-0005-0000-0000-000094170000}"/>
    <cellStyle name="Normal 127 3" xfId="2124" xr:uid="{00000000-0005-0000-0000-000095170000}"/>
    <cellStyle name="Normal 127 3 2" xfId="9212" xr:uid="{00000000-0005-0000-0000-000096170000}"/>
    <cellStyle name="Normal 127 3 2 2" xfId="17962" xr:uid="{00000000-0005-0000-0000-000097170000}"/>
    <cellStyle name="Normal 127 3 3" xfId="7609" xr:uid="{00000000-0005-0000-0000-000098170000}"/>
    <cellStyle name="Normal 127 3 3 2" xfId="16363" xr:uid="{00000000-0005-0000-0000-000099170000}"/>
    <cellStyle name="Normal 127 3 4" xfId="10822" xr:uid="{00000000-0005-0000-0000-00009A170000}"/>
    <cellStyle name="Normal 127 3 4 2" xfId="19509" xr:uid="{00000000-0005-0000-0000-00009B170000}"/>
    <cellStyle name="Normal 127 3 5" xfId="12429" xr:uid="{00000000-0005-0000-0000-00009C170000}"/>
    <cellStyle name="Normal 127 3 5 2" xfId="21109" xr:uid="{00000000-0005-0000-0000-00009D170000}"/>
    <cellStyle name="Normal 127 3 6" xfId="14662" xr:uid="{00000000-0005-0000-0000-00009E170000}"/>
    <cellStyle name="Normal 127 4" xfId="2125" xr:uid="{00000000-0005-0000-0000-00009F170000}"/>
    <cellStyle name="Normal 127 4 2" xfId="9213" xr:uid="{00000000-0005-0000-0000-0000A0170000}"/>
    <cellStyle name="Normal 127 4 2 2" xfId="17963" xr:uid="{00000000-0005-0000-0000-0000A1170000}"/>
    <cellStyle name="Normal 127 4 3" xfId="7610" xr:uid="{00000000-0005-0000-0000-0000A2170000}"/>
    <cellStyle name="Normal 127 4 3 2" xfId="16364" xr:uid="{00000000-0005-0000-0000-0000A3170000}"/>
    <cellStyle name="Normal 127 4 4" xfId="10823" xr:uid="{00000000-0005-0000-0000-0000A4170000}"/>
    <cellStyle name="Normal 127 4 4 2" xfId="19510" xr:uid="{00000000-0005-0000-0000-0000A5170000}"/>
    <cellStyle name="Normal 127 4 5" xfId="12430" xr:uid="{00000000-0005-0000-0000-0000A6170000}"/>
    <cellStyle name="Normal 127 4 5 2" xfId="21110" xr:uid="{00000000-0005-0000-0000-0000A7170000}"/>
    <cellStyle name="Normal 127 4 6" xfId="14367" xr:uid="{00000000-0005-0000-0000-0000A8170000}"/>
    <cellStyle name="Normal 127 5" xfId="9210" xr:uid="{00000000-0005-0000-0000-0000A9170000}"/>
    <cellStyle name="Normal 127 5 2" xfId="17960" xr:uid="{00000000-0005-0000-0000-0000AA170000}"/>
    <cellStyle name="Normal 127 6" xfId="7607" xr:uid="{00000000-0005-0000-0000-0000AB170000}"/>
    <cellStyle name="Normal 127 6 2" xfId="16361" xr:uid="{00000000-0005-0000-0000-0000AC170000}"/>
    <cellStyle name="Normal 127 7" xfId="10820" xr:uid="{00000000-0005-0000-0000-0000AD170000}"/>
    <cellStyle name="Normal 127 7 2" xfId="19507" xr:uid="{00000000-0005-0000-0000-0000AE170000}"/>
    <cellStyle name="Normal 127 8" xfId="12427" xr:uid="{00000000-0005-0000-0000-0000AF170000}"/>
    <cellStyle name="Normal 127 8 2" xfId="21107" xr:uid="{00000000-0005-0000-0000-0000B0170000}"/>
    <cellStyle name="Normal 127 9" xfId="14363" xr:uid="{00000000-0005-0000-0000-0000B1170000}"/>
    <cellStyle name="Normal 128" xfId="2126" xr:uid="{00000000-0005-0000-0000-0000B2170000}"/>
    <cellStyle name="Normal 129" xfId="2127" xr:uid="{00000000-0005-0000-0000-0000B3170000}"/>
    <cellStyle name="Normal 129 2" xfId="2128" xr:uid="{00000000-0005-0000-0000-0000B4170000}"/>
    <cellStyle name="Normal 129 2 2" xfId="9215" xr:uid="{00000000-0005-0000-0000-0000B5170000}"/>
    <cellStyle name="Normal 129 2 2 2" xfId="17965" xr:uid="{00000000-0005-0000-0000-0000B6170000}"/>
    <cellStyle name="Normal 129 2 3" xfId="7612" xr:uid="{00000000-0005-0000-0000-0000B7170000}"/>
    <cellStyle name="Normal 129 2 3 2" xfId="16366" xr:uid="{00000000-0005-0000-0000-0000B8170000}"/>
    <cellStyle name="Normal 129 2 4" xfId="10825" xr:uid="{00000000-0005-0000-0000-0000B9170000}"/>
    <cellStyle name="Normal 129 2 4 2" xfId="19512" xr:uid="{00000000-0005-0000-0000-0000BA170000}"/>
    <cellStyle name="Normal 129 2 5" xfId="12432" xr:uid="{00000000-0005-0000-0000-0000BB170000}"/>
    <cellStyle name="Normal 129 2 5 2" xfId="21112" xr:uid="{00000000-0005-0000-0000-0000BC170000}"/>
    <cellStyle name="Normal 129 2 6" xfId="14362" xr:uid="{00000000-0005-0000-0000-0000BD170000}"/>
    <cellStyle name="Normal 129 3" xfId="2129" xr:uid="{00000000-0005-0000-0000-0000BE170000}"/>
    <cellStyle name="Normal 129 3 2" xfId="9216" xr:uid="{00000000-0005-0000-0000-0000BF170000}"/>
    <cellStyle name="Normal 129 3 2 2" xfId="17966" xr:uid="{00000000-0005-0000-0000-0000C0170000}"/>
    <cellStyle name="Normal 129 3 3" xfId="7613" xr:uid="{00000000-0005-0000-0000-0000C1170000}"/>
    <cellStyle name="Normal 129 3 3 2" xfId="16367" xr:uid="{00000000-0005-0000-0000-0000C2170000}"/>
    <cellStyle name="Normal 129 3 4" xfId="10826" xr:uid="{00000000-0005-0000-0000-0000C3170000}"/>
    <cellStyle name="Normal 129 3 4 2" xfId="19513" xr:uid="{00000000-0005-0000-0000-0000C4170000}"/>
    <cellStyle name="Normal 129 3 5" xfId="12433" xr:uid="{00000000-0005-0000-0000-0000C5170000}"/>
    <cellStyle name="Normal 129 3 5 2" xfId="21113" xr:uid="{00000000-0005-0000-0000-0000C6170000}"/>
    <cellStyle name="Normal 129 3 6" xfId="14361" xr:uid="{00000000-0005-0000-0000-0000C7170000}"/>
    <cellStyle name="Normal 129 4" xfId="2130" xr:uid="{00000000-0005-0000-0000-0000C8170000}"/>
    <cellStyle name="Normal 129 4 2" xfId="9217" xr:uid="{00000000-0005-0000-0000-0000C9170000}"/>
    <cellStyle name="Normal 129 4 2 2" xfId="17967" xr:uid="{00000000-0005-0000-0000-0000CA170000}"/>
    <cellStyle name="Normal 129 4 3" xfId="7614" xr:uid="{00000000-0005-0000-0000-0000CB170000}"/>
    <cellStyle name="Normal 129 4 3 2" xfId="16368" xr:uid="{00000000-0005-0000-0000-0000CC170000}"/>
    <cellStyle name="Normal 129 4 4" xfId="10827" xr:uid="{00000000-0005-0000-0000-0000CD170000}"/>
    <cellStyle name="Normal 129 4 4 2" xfId="19514" xr:uid="{00000000-0005-0000-0000-0000CE170000}"/>
    <cellStyle name="Normal 129 4 5" xfId="12434" xr:uid="{00000000-0005-0000-0000-0000CF170000}"/>
    <cellStyle name="Normal 129 4 5 2" xfId="21114" xr:uid="{00000000-0005-0000-0000-0000D0170000}"/>
    <cellStyle name="Normal 129 4 6" xfId="14358" xr:uid="{00000000-0005-0000-0000-0000D1170000}"/>
    <cellStyle name="Normal 129 5" xfId="9214" xr:uid="{00000000-0005-0000-0000-0000D2170000}"/>
    <cellStyle name="Normal 129 5 2" xfId="17964" xr:uid="{00000000-0005-0000-0000-0000D3170000}"/>
    <cellStyle name="Normal 129 6" xfId="7611" xr:uid="{00000000-0005-0000-0000-0000D4170000}"/>
    <cellStyle name="Normal 129 6 2" xfId="16365" xr:uid="{00000000-0005-0000-0000-0000D5170000}"/>
    <cellStyle name="Normal 129 7" xfId="10824" xr:uid="{00000000-0005-0000-0000-0000D6170000}"/>
    <cellStyle name="Normal 129 7 2" xfId="19511" xr:uid="{00000000-0005-0000-0000-0000D7170000}"/>
    <cellStyle name="Normal 129 8" xfId="12431" xr:uid="{00000000-0005-0000-0000-0000D8170000}"/>
    <cellStyle name="Normal 129 8 2" xfId="21111" xr:uid="{00000000-0005-0000-0000-0000D9170000}"/>
    <cellStyle name="Normal 129 9" xfId="13991" xr:uid="{00000000-0005-0000-0000-0000DA170000}"/>
    <cellStyle name="Normal 13" xfId="147" xr:uid="{00000000-0005-0000-0000-0000DB170000}"/>
    <cellStyle name="Normal 13 2" xfId="2132" xr:uid="{00000000-0005-0000-0000-0000DC170000}"/>
    <cellStyle name="Normal 13 2 10" xfId="7616" xr:uid="{00000000-0005-0000-0000-0000DD170000}"/>
    <cellStyle name="Normal 13 2 10 2" xfId="16370" xr:uid="{00000000-0005-0000-0000-0000DE170000}"/>
    <cellStyle name="Normal 13 2 11" xfId="10829" xr:uid="{00000000-0005-0000-0000-0000DF170000}"/>
    <cellStyle name="Normal 13 2 11 2" xfId="19516" xr:uid="{00000000-0005-0000-0000-0000E0170000}"/>
    <cellStyle name="Normal 13 2 12" xfId="12436" xr:uid="{00000000-0005-0000-0000-0000E1170000}"/>
    <cellStyle name="Normal 13 2 12 2" xfId="21116" xr:uid="{00000000-0005-0000-0000-0000E2170000}"/>
    <cellStyle name="Normal 13 2 13" xfId="14557" xr:uid="{00000000-0005-0000-0000-0000E3170000}"/>
    <cellStyle name="Normal 13 2 2" xfId="2133" xr:uid="{00000000-0005-0000-0000-0000E4170000}"/>
    <cellStyle name="Normal 13 2 2 2" xfId="2134" xr:uid="{00000000-0005-0000-0000-0000E5170000}"/>
    <cellStyle name="Normal 13 2 2 2 2" xfId="2135" xr:uid="{00000000-0005-0000-0000-0000E6170000}"/>
    <cellStyle name="Normal 13 2 2 2 2 2" xfId="2136" xr:uid="{00000000-0005-0000-0000-0000E7170000}"/>
    <cellStyle name="Normal 13 2 2 2 2 2 2" xfId="9221" xr:uid="{00000000-0005-0000-0000-0000E8170000}"/>
    <cellStyle name="Normal 13 2 2 2 2 2 2 2" xfId="17971" xr:uid="{00000000-0005-0000-0000-0000E9170000}"/>
    <cellStyle name="Normal 13 2 2 2 2 2 3" xfId="7618" xr:uid="{00000000-0005-0000-0000-0000EA170000}"/>
    <cellStyle name="Normal 13 2 2 2 2 2 3 2" xfId="16372" xr:uid="{00000000-0005-0000-0000-0000EB170000}"/>
    <cellStyle name="Normal 13 2 2 2 2 2 4" xfId="10831" xr:uid="{00000000-0005-0000-0000-0000EC170000}"/>
    <cellStyle name="Normal 13 2 2 2 2 2 4 2" xfId="19518" xr:uid="{00000000-0005-0000-0000-0000ED170000}"/>
    <cellStyle name="Normal 13 2 2 2 2 2 5" xfId="12438" xr:uid="{00000000-0005-0000-0000-0000EE170000}"/>
    <cellStyle name="Normal 13 2 2 2 2 2 5 2" xfId="21118" xr:uid="{00000000-0005-0000-0000-0000EF170000}"/>
    <cellStyle name="Normal 13 2 2 2 2 2 6" xfId="13876" xr:uid="{00000000-0005-0000-0000-0000F0170000}"/>
    <cellStyle name="Normal 13 2 2 2 2 3" xfId="2137" xr:uid="{00000000-0005-0000-0000-0000F1170000}"/>
    <cellStyle name="Normal 13 2 2 2 2 3 2" xfId="9222" xr:uid="{00000000-0005-0000-0000-0000F2170000}"/>
    <cellStyle name="Normal 13 2 2 2 2 3 2 2" xfId="17972" xr:uid="{00000000-0005-0000-0000-0000F3170000}"/>
    <cellStyle name="Normal 13 2 2 2 2 3 3" xfId="7619" xr:uid="{00000000-0005-0000-0000-0000F4170000}"/>
    <cellStyle name="Normal 13 2 2 2 2 3 3 2" xfId="16373" xr:uid="{00000000-0005-0000-0000-0000F5170000}"/>
    <cellStyle name="Normal 13 2 2 2 2 3 4" xfId="10832" xr:uid="{00000000-0005-0000-0000-0000F6170000}"/>
    <cellStyle name="Normal 13 2 2 2 2 3 4 2" xfId="19519" xr:uid="{00000000-0005-0000-0000-0000F7170000}"/>
    <cellStyle name="Normal 13 2 2 2 2 3 5" xfId="12439" xr:uid="{00000000-0005-0000-0000-0000F8170000}"/>
    <cellStyle name="Normal 13 2 2 2 2 3 5 2" xfId="21119" xr:uid="{00000000-0005-0000-0000-0000F9170000}"/>
    <cellStyle name="Normal 13 2 2 2 2 3 6" xfId="14122" xr:uid="{00000000-0005-0000-0000-0000FA170000}"/>
    <cellStyle name="Normal 13 2 2 2 2 4" xfId="2138" xr:uid="{00000000-0005-0000-0000-0000FB170000}"/>
    <cellStyle name="Normal 13 2 2 2 2 4 2" xfId="9223" xr:uid="{00000000-0005-0000-0000-0000FC170000}"/>
    <cellStyle name="Normal 13 2 2 2 2 4 2 2" xfId="17973" xr:uid="{00000000-0005-0000-0000-0000FD170000}"/>
    <cellStyle name="Normal 13 2 2 2 2 4 3" xfId="7620" xr:uid="{00000000-0005-0000-0000-0000FE170000}"/>
    <cellStyle name="Normal 13 2 2 2 2 4 3 2" xfId="16374" xr:uid="{00000000-0005-0000-0000-0000FF170000}"/>
    <cellStyle name="Normal 13 2 2 2 2 4 4" xfId="10833" xr:uid="{00000000-0005-0000-0000-000000180000}"/>
    <cellStyle name="Normal 13 2 2 2 2 4 4 2" xfId="19520" xr:uid="{00000000-0005-0000-0000-000001180000}"/>
    <cellStyle name="Normal 13 2 2 2 2 4 5" xfId="12440" xr:uid="{00000000-0005-0000-0000-000002180000}"/>
    <cellStyle name="Normal 13 2 2 2 2 4 5 2" xfId="21120" xr:uid="{00000000-0005-0000-0000-000003180000}"/>
    <cellStyle name="Normal 13 2 2 2 2 4 6" xfId="14109" xr:uid="{00000000-0005-0000-0000-000004180000}"/>
    <cellStyle name="Normal 13 2 2 2 3" xfId="2139" xr:uid="{00000000-0005-0000-0000-000005180000}"/>
    <cellStyle name="Normal 13 2 2 2 4" xfId="2140" xr:uid="{00000000-0005-0000-0000-000006180000}"/>
    <cellStyle name="Normal 13 2 2 2 5" xfId="9220" xr:uid="{00000000-0005-0000-0000-000007180000}"/>
    <cellStyle name="Normal 13 2 2 2 5 2" xfId="17970" xr:uid="{00000000-0005-0000-0000-000008180000}"/>
    <cellStyle name="Normal 13 2 2 2 6" xfId="7617" xr:uid="{00000000-0005-0000-0000-000009180000}"/>
    <cellStyle name="Normal 13 2 2 2 6 2" xfId="16371" xr:uid="{00000000-0005-0000-0000-00000A180000}"/>
    <cellStyle name="Normal 13 2 2 2 7" xfId="10830" xr:uid="{00000000-0005-0000-0000-00000B180000}"/>
    <cellStyle name="Normal 13 2 2 2 7 2" xfId="19517" xr:uid="{00000000-0005-0000-0000-00000C180000}"/>
    <cellStyle name="Normal 13 2 2 2 8" xfId="12437" xr:uid="{00000000-0005-0000-0000-00000D180000}"/>
    <cellStyle name="Normal 13 2 2 2 8 2" xfId="21117" xr:uid="{00000000-0005-0000-0000-00000E180000}"/>
    <cellStyle name="Normal 13 2 2 2 9" xfId="14354" xr:uid="{00000000-0005-0000-0000-00000F180000}"/>
    <cellStyle name="Normal 13 2 2 3" xfId="2141" xr:uid="{00000000-0005-0000-0000-000010180000}"/>
    <cellStyle name="Normal 13 2 2 3 2" xfId="2142" xr:uid="{00000000-0005-0000-0000-000011180000}"/>
    <cellStyle name="Normal 13 2 2 3 2 2" xfId="9225" xr:uid="{00000000-0005-0000-0000-000012180000}"/>
    <cellStyle name="Normal 13 2 2 3 2 2 2" xfId="17975" xr:uid="{00000000-0005-0000-0000-000013180000}"/>
    <cellStyle name="Normal 13 2 2 3 2 3" xfId="7622" xr:uid="{00000000-0005-0000-0000-000014180000}"/>
    <cellStyle name="Normal 13 2 2 3 2 3 2" xfId="16376" xr:uid="{00000000-0005-0000-0000-000015180000}"/>
    <cellStyle name="Normal 13 2 2 3 2 4" xfId="10835" xr:uid="{00000000-0005-0000-0000-000016180000}"/>
    <cellStyle name="Normal 13 2 2 3 2 4 2" xfId="19522" xr:uid="{00000000-0005-0000-0000-000017180000}"/>
    <cellStyle name="Normal 13 2 2 3 2 5" xfId="12442" xr:uid="{00000000-0005-0000-0000-000018180000}"/>
    <cellStyle name="Normal 13 2 2 3 2 5 2" xfId="21122" xr:uid="{00000000-0005-0000-0000-000019180000}"/>
    <cellStyle name="Normal 13 2 2 3 2 6" xfId="14077" xr:uid="{00000000-0005-0000-0000-00001A180000}"/>
    <cellStyle name="Normal 13 2 2 3 3" xfId="2143" xr:uid="{00000000-0005-0000-0000-00001B180000}"/>
    <cellStyle name="Normal 13 2 2 3 3 2" xfId="9226" xr:uid="{00000000-0005-0000-0000-00001C180000}"/>
    <cellStyle name="Normal 13 2 2 3 3 2 2" xfId="17976" xr:uid="{00000000-0005-0000-0000-00001D180000}"/>
    <cellStyle name="Normal 13 2 2 3 3 3" xfId="7623" xr:uid="{00000000-0005-0000-0000-00001E180000}"/>
    <cellStyle name="Normal 13 2 2 3 3 3 2" xfId="16377" xr:uid="{00000000-0005-0000-0000-00001F180000}"/>
    <cellStyle name="Normal 13 2 2 3 3 4" xfId="10836" xr:uid="{00000000-0005-0000-0000-000020180000}"/>
    <cellStyle name="Normal 13 2 2 3 3 4 2" xfId="19523" xr:uid="{00000000-0005-0000-0000-000021180000}"/>
    <cellStyle name="Normal 13 2 2 3 3 5" xfId="12443" xr:uid="{00000000-0005-0000-0000-000022180000}"/>
    <cellStyle name="Normal 13 2 2 3 3 5 2" xfId="21123" xr:uid="{00000000-0005-0000-0000-000023180000}"/>
    <cellStyle name="Normal 13 2 2 3 3 6" xfId="14048" xr:uid="{00000000-0005-0000-0000-000024180000}"/>
    <cellStyle name="Normal 13 2 2 3 4" xfId="2144" xr:uid="{00000000-0005-0000-0000-000025180000}"/>
    <cellStyle name="Normal 13 2 2 3 4 2" xfId="9227" xr:uid="{00000000-0005-0000-0000-000026180000}"/>
    <cellStyle name="Normal 13 2 2 3 4 2 2" xfId="17977" xr:uid="{00000000-0005-0000-0000-000027180000}"/>
    <cellStyle name="Normal 13 2 2 3 4 3" xfId="7624" xr:uid="{00000000-0005-0000-0000-000028180000}"/>
    <cellStyle name="Normal 13 2 2 3 4 3 2" xfId="16378" xr:uid="{00000000-0005-0000-0000-000029180000}"/>
    <cellStyle name="Normal 13 2 2 3 4 4" xfId="10837" xr:uid="{00000000-0005-0000-0000-00002A180000}"/>
    <cellStyle name="Normal 13 2 2 3 4 4 2" xfId="19524" xr:uid="{00000000-0005-0000-0000-00002B180000}"/>
    <cellStyle name="Normal 13 2 2 3 4 5" xfId="12444" xr:uid="{00000000-0005-0000-0000-00002C180000}"/>
    <cellStyle name="Normal 13 2 2 3 4 5 2" xfId="21124" xr:uid="{00000000-0005-0000-0000-00002D180000}"/>
    <cellStyle name="Normal 13 2 2 3 4 6" xfId="14027" xr:uid="{00000000-0005-0000-0000-00002E180000}"/>
    <cellStyle name="Normal 13 2 2 3 5" xfId="9224" xr:uid="{00000000-0005-0000-0000-00002F180000}"/>
    <cellStyle name="Normal 13 2 2 3 5 2" xfId="17974" xr:uid="{00000000-0005-0000-0000-000030180000}"/>
    <cellStyle name="Normal 13 2 2 3 6" xfId="7621" xr:uid="{00000000-0005-0000-0000-000031180000}"/>
    <cellStyle name="Normal 13 2 2 3 6 2" xfId="16375" xr:uid="{00000000-0005-0000-0000-000032180000}"/>
    <cellStyle name="Normal 13 2 2 3 7" xfId="10834" xr:uid="{00000000-0005-0000-0000-000033180000}"/>
    <cellStyle name="Normal 13 2 2 3 7 2" xfId="19521" xr:uid="{00000000-0005-0000-0000-000034180000}"/>
    <cellStyle name="Normal 13 2 2 3 8" xfId="12441" xr:uid="{00000000-0005-0000-0000-000035180000}"/>
    <cellStyle name="Normal 13 2 2 3 8 2" xfId="21121" xr:uid="{00000000-0005-0000-0000-000036180000}"/>
    <cellStyle name="Normal 13 2 2 3 9" xfId="14040" xr:uid="{00000000-0005-0000-0000-000037180000}"/>
    <cellStyle name="Normal 13 2 2 4" xfId="2145" xr:uid="{00000000-0005-0000-0000-000038180000}"/>
    <cellStyle name="Normal 13 2 2 4 2" xfId="2146" xr:uid="{00000000-0005-0000-0000-000039180000}"/>
    <cellStyle name="Normal 13 2 2 4 2 2" xfId="9229" xr:uid="{00000000-0005-0000-0000-00003A180000}"/>
    <cellStyle name="Normal 13 2 2 4 2 2 2" xfId="17979" xr:uid="{00000000-0005-0000-0000-00003B180000}"/>
    <cellStyle name="Normal 13 2 2 4 2 3" xfId="7626" xr:uid="{00000000-0005-0000-0000-00003C180000}"/>
    <cellStyle name="Normal 13 2 2 4 2 3 2" xfId="16380" xr:uid="{00000000-0005-0000-0000-00003D180000}"/>
    <cellStyle name="Normal 13 2 2 4 2 4" xfId="10839" xr:uid="{00000000-0005-0000-0000-00003E180000}"/>
    <cellStyle name="Normal 13 2 2 4 2 4 2" xfId="19526" xr:uid="{00000000-0005-0000-0000-00003F180000}"/>
    <cellStyle name="Normal 13 2 2 4 2 5" xfId="12446" xr:uid="{00000000-0005-0000-0000-000040180000}"/>
    <cellStyle name="Normal 13 2 2 4 2 5 2" xfId="21126" xr:uid="{00000000-0005-0000-0000-000041180000}"/>
    <cellStyle name="Normal 13 2 2 4 2 6" xfId="14012" xr:uid="{00000000-0005-0000-0000-000042180000}"/>
    <cellStyle name="Normal 13 2 2 4 3" xfId="2147" xr:uid="{00000000-0005-0000-0000-000043180000}"/>
    <cellStyle name="Normal 13 2 2 4 3 2" xfId="9230" xr:uid="{00000000-0005-0000-0000-000044180000}"/>
    <cellStyle name="Normal 13 2 2 4 3 2 2" xfId="17980" xr:uid="{00000000-0005-0000-0000-000045180000}"/>
    <cellStyle name="Normal 13 2 2 4 3 3" xfId="7627" xr:uid="{00000000-0005-0000-0000-000046180000}"/>
    <cellStyle name="Normal 13 2 2 4 3 3 2" xfId="16381" xr:uid="{00000000-0005-0000-0000-000047180000}"/>
    <cellStyle name="Normal 13 2 2 4 3 4" xfId="10840" xr:uid="{00000000-0005-0000-0000-000048180000}"/>
    <cellStyle name="Normal 13 2 2 4 3 4 2" xfId="19527" xr:uid="{00000000-0005-0000-0000-000049180000}"/>
    <cellStyle name="Normal 13 2 2 4 3 5" xfId="12447" xr:uid="{00000000-0005-0000-0000-00004A180000}"/>
    <cellStyle name="Normal 13 2 2 4 3 5 2" xfId="21127" xr:uid="{00000000-0005-0000-0000-00004B180000}"/>
    <cellStyle name="Normal 13 2 2 4 3 6" xfId="14350" xr:uid="{00000000-0005-0000-0000-00004C180000}"/>
    <cellStyle name="Normal 13 2 2 4 4" xfId="2148" xr:uid="{00000000-0005-0000-0000-00004D180000}"/>
    <cellStyle name="Normal 13 2 2 4 4 2" xfId="9231" xr:uid="{00000000-0005-0000-0000-00004E180000}"/>
    <cellStyle name="Normal 13 2 2 4 4 2 2" xfId="17981" xr:uid="{00000000-0005-0000-0000-00004F180000}"/>
    <cellStyle name="Normal 13 2 2 4 4 3" xfId="7628" xr:uid="{00000000-0005-0000-0000-000050180000}"/>
    <cellStyle name="Normal 13 2 2 4 4 3 2" xfId="16382" xr:uid="{00000000-0005-0000-0000-000051180000}"/>
    <cellStyle name="Normal 13 2 2 4 4 4" xfId="10841" xr:uid="{00000000-0005-0000-0000-000052180000}"/>
    <cellStyle name="Normal 13 2 2 4 4 4 2" xfId="19528" xr:uid="{00000000-0005-0000-0000-000053180000}"/>
    <cellStyle name="Normal 13 2 2 4 4 5" xfId="12448" xr:uid="{00000000-0005-0000-0000-000054180000}"/>
    <cellStyle name="Normal 13 2 2 4 4 5 2" xfId="21128" xr:uid="{00000000-0005-0000-0000-000055180000}"/>
    <cellStyle name="Normal 13 2 2 4 4 6" xfId="14002" xr:uid="{00000000-0005-0000-0000-000056180000}"/>
    <cellStyle name="Normal 13 2 2 4 5" xfId="9228" xr:uid="{00000000-0005-0000-0000-000057180000}"/>
    <cellStyle name="Normal 13 2 2 4 5 2" xfId="17978" xr:uid="{00000000-0005-0000-0000-000058180000}"/>
    <cellStyle name="Normal 13 2 2 4 6" xfId="7625" xr:uid="{00000000-0005-0000-0000-000059180000}"/>
    <cellStyle name="Normal 13 2 2 4 6 2" xfId="16379" xr:uid="{00000000-0005-0000-0000-00005A180000}"/>
    <cellStyle name="Normal 13 2 2 4 7" xfId="10838" xr:uid="{00000000-0005-0000-0000-00005B180000}"/>
    <cellStyle name="Normal 13 2 2 4 7 2" xfId="19525" xr:uid="{00000000-0005-0000-0000-00005C180000}"/>
    <cellStyle name="Normal 13 2 2 4 8" xfId="12445" xr:uid="{00000000-0005-0000-0000-00005D180000}"/>
    <cellStyle name="Normal 13 2 2 4 8 2" xfId="21125" xr:uid="{00000000-0005-0000-0000-00005E180000}"/>
    <cellStyle name="Normal 13 2 2 4 9" xfId="14020" xr:uid="{00000000-0005-0000-0000-00005F180000}"/>
    <cellStyle name="Normal 13 2 2 5" xfId="2149" xr:uid="{00000000-0005-0000-0000-000060180000}"/>
    <cellStyle name="Normal 13 2 2 5 2" xfId="9232" xr:uid="{00000000-0005-0000-0000-000061180000}"/>
    <cellStyle name="Normal 13 2 2 5 2 2" xfId="17982" xr:uid="{00000000-0005-0000-0000-000062180000}"/>
    <cellStyle name="Normal 13 2 2 5 3" xfId="7629" xr:uid="{00000000-0005-0000-0000-000063180000}"/>
    <cellStyle name="Normal 13 2 2 5 3 2" xfId="16383" xr:uid="{00000000-0005-0000-0000-000064180000}"/>
    <cellStyle name="Normal 13 2 2 5 4" xfId="10842" xr:uid="{00000000-0005-0000-0000-000065180000}"/>
    <cellStyle name="Normal 13 2 2 5 4 2" xfId="19529" xr:uid="{00000000-0005-0000-0000-000066180000}"/>
    <cellStyle name="Normal 13 2 2 5 5" xfId="12449" xr:uid="{00000000-0005-0000-0000-000067180000}"/>
    <cellStyle name="Normal 13 2 2 5 5 2" xfId="21129" xr:uid="{00000000-0005-0000-0000-000068180000}"/>
    <cellStyle name="Normal 13 2 2 5 6" xfId="14368" xr:uid="{00000000-0005-0000-0000-000069180000}"/>
    <cellStyle name="Normal 13 2 2 6" xfId="2150" xr:uid="{00000000-0005-0000-0000-00006A180000}"/>
    <cellStyle name="Normal 13 2 2 6 2" xfId="9233" xr:uid="{00000000-0005-0000-0000-00006B180000}"/>
    <cellStyle name="Normal 13 2 2 6 2 2" xfId="17983" xr:uid="{00000000-0005-0000-0000-00006C180000}"/>
    <cellStyle name="Normal 13 2 2 6 3" xfId="7630" xr:uid="{00000000-0005-0000-0000-00006D180000}"/>
    <cellStyle name="Normal 13 2 2 6 3 2" xfId="16384" xr:uid="{00000000-0005-0000-0000-00006E180000}"/>
    <cellStyle name="Normal 13 2 2 6 4" xfId="10843" xr:uid="{00000000-0005-0000-0000-00006F180000}"/>
    <cellStyle name="Normal 13 2 2 6 4 2" xfId="19530" xr:uid="{00000000-0005-0000-0000-000070180000}"/>
    <cellStyle name="Normal 13 2 2 6 5" xfId="12450" xr:uid="{00000000-0005-0000-0000-000071180000}"/>
    <cellStyle name="Normal 13 2 2 6 5 2" xfId="21130" xr:uid="{00000000-0005-0000-0000-000072180000}"/>
    <cellStyle name="Normal 13 2 2 6 6" xfId="14627" xr:uid="{00000000-0005-0000-0000-000073180000}"/>
    <cellStyle name="Normal 13 2 2 7" xfId="2151" xr:uid="{00000000-0005-0000-0000-000074180000}"/>
    <cellStyle name="Normal 13 2 2 7 2" xfId="9234" xr:uid="{00000000-0005-0000-0000-000075180000}"/>
    <cellStyle name="Normal 13 2 2 7 2 2" xfId="17984" xr:uid="{00000000-0005-0000-0000-000076180000}"/>
    <cellStyle name="Normal 13 2 2 7 3" xfId="7631" xr:uid="{00000000-0005-0000-0000-000077180000}"/>
    <cellStyle name="Normal 13 2 2 7 3 2" xfId="16385" xr:uid="{00000000-0005-0000-0000-000078180000}"/>
    <cellStyle name="Normal 13 2 2 7 4" xfId="10844" xr:uid="{00000000-0005-0000-0000-000079180000}"/>
    <cellStyle name="Normal 13 2 2 7 4 2" xfId="19531" xr:uid="{00000000-0005-0000-0000-00007A180000}"/>
    <cellStyle name="Normal 13 2 2 7 5" xfId="12451" xr:uid="{00000000-0005-0000-0000-00007B180000}"/>
    <cellStyle name="Normal 13 2 2 7 5 2" xfId="21131" xr:uid="{00000000-0005-0000-0000-00007C180000}"/>
    <cellStyle name="Normal 13 2 2 7 6" xfId="14779" xr:uid="{00000000-0005-0000-0000-00007D180000}"/>
    <cellStyle name="Normal 13 2 3" xfId="2152" xr:uid="{00000000-0005-0000-0000-00007E180000}"/>
    <cellStyle name="Normal 13 2 3 2" xfId="2153" xr:uid="{00000000-0005-0000-0000-00007F180000}"/>
    <cellStyle name="Normal 13 2 3 2 2" xfId="9236" xr:uid="{00000000-0005-0000-0000-000080180000}"/>
    <cellStyle name="Normal 13 2 3 2 2 2" xfId="17986" xr:uid="{00000000-0005-0000-0000-000081180000}"/>
    <cellStyle name="Normal 13 2 3 2 3" xfId="7633" xr:uid="{00000000-0005-0000-0000-000082180000}"/>
    <cellStyle name="Normal 13 2 3 2 3 2" xfId="16387" xr:uid="{00000000-0005-0000-0000-000083180000}"/>
    <cellStyle name="Normal 13 2 3 2 4" xfId="10846" xr:uid="{00000000-0005-0000-0000-000084180000}"/>
    <cellStyle name="Normal 13 2 3 2 4 2" xfId="19533" xr:uid="{00000000-0005-0000-0000-000085180000}"/>
    <cellStyle name="Normal 13 2 3 2 5" xfId="12453" xr:uid="{00000000-0005-0000-0000-000086180000}"/>
    <cellStyle name="Normal 13 2 3 2 5 2" xfId="21133" xr:uid="{00000000-0005-0000-0000-000087180000}"/>
    <cellStyle name="Normal 13 2 3 2 6" xfId="14655" xr:uid="{00000000-0005-0000-0000-000088180000}"/>
    <cellStyle name="Normal 13 2 3 3" xfId="2154" xr:uid="{00000000-0005-0000-0000-000089180000}"/>
    <cellStyle name="Normal 13 2 3 3 2" xfId="9237" xr:uid="{00000000-0005-0000-0000-00008A180000}"/>
    <cellStyle name="Normal 13 2 3 3 2 2" xfId="17987" xr:uid="{00000000-0005-0000-0000-00008B180000}"/>
    <cellStyle name="Normal 13 2 3 3 3" xfId="7634" xr:uid="{00000000-0005-0000-0000-00008C180000}"/>
    <cellStyle name="Normal 13 2 3 3 3 2" xfId="16388" xr:uid="{00000000-0005-0000-0000-00008D180000}"/>
    <cellStyle name="Normal 13 2 3 3 4" xfId="10847" xr:uid="{00000000-0005-0000-0000-00008E180000}"/>
    <cellStyle name="Normal 13 2 3 3 4 2" xfId="19534" xr:uid="{00000000-0005-0000-0000-00008F180000}"/>
    <cellStyle name="Normal 13 2 3 3 5" xfId="12454" xr:uid="{00000000-0005-0000-0000-000090180000}"/>
    <cellStyle name="Normal 13 2 3 3 5 2" xfId="21134" xr:uid="{00000000-0005-0000-0000-000091180000}"/>
    <cellStyle name="Normal 13 2 3 3 6" xfId="14155" xr:uid="{00000000-0005-0000-0000-000092180000}"/>
    <cellStyle name="Normal 13 2 3 4" xfId="2155" xr:uid="{00000000-0005-0000-0000-000093180000}"/>
    <cellStyle name="Normal 13 2 3 4 2" xfId="9238" xr:uid="{00000000-0005-0000-0000-000094180000}"/>
    <cellStyle name="Normal 13 2 3 4 2 2" xfId="17988" xr:uid="{00000000-0005-0000-0000-000095180000}"/>
    <cellStyle name="Normal 13 2 3 4 3" xfId="7635" xr:uid="{00000000-0005-0000-0000-000096180000}"/>
    <cellStyle name="Normal 13 2 3 4 3 2" xfId="16389" xr:uid="{00000000-0005-0000-0000-000097180000}"/>
    <cellStyle name="Normal 13 2 3 4 4" xfId="10848" xr:uid="{00000000-0005-0000-0000-000098180000}"/>
    <cellStyle name="Normal 13 2 3 4 4 2" xfId="19535" xr:uid="{00000000-0005-0000-0000-000099180000}"/>
    <cellStyle name="Normal 13 2 3 4 5" xfId="12455" xr:uid="{00000000-0005-0000-0000-00009A180000}"/>
    <cellStyle name="Normal 13 2 3 4 5 2" xfId="21135" xr:uid="{00000000-0005-0000-0000-00009B180000}"/>
    <cellStyle name="Normal 13 2 3 4 6" xfId="14127" xr:uid="{00000000-0005-0000-0000-00009C180000}"/>
    <cellStyle name="Normal 13 2 3 5" xfId="9235" xr:uid="{00000000-0005-0000-0000-00009D180000}"/>
    <cellStyle name="Normal 13 2 3 5 2" xfId="17985" xr:uid="{00000000-0005-0000-0000-00009E180000}"/>
    <cellStyle name="Normal 13 2 3 6" xfId="7632" xr:uid="{00000000-0005-0000-0000-00009F180000}"/>
    <cellStyle name="Normal 13 2 3 6 2" xfId="16386" xr:uid="{00000000-0005-0000-0000-0000A0180000}"/>
    <cellStyle name="Normal 13 2 3 7" xfId="10845" xr:uid="{00000000-0005-0000-0000-0000A1180000}"/>
    <cellStyle name="Normal 13 2 3 7 2" xfId="19532" xr:uid="{00000000-0005-0000-0000-0000A2180000}"/>
    <cellStyle name="Normal 13 2 3 8" xfId="12452" xr:uid="{00000000-0005-0000-0000-0000A3180000}"/>
    <cellStyle name="Normal 13 2 3 8 2" xfId="21132" xr:uid="{00000000-0005-0000-0000-0000A4180000}"/>
    <cellStyle name="Normal 13 2 3 9" xfId="14091" xr:uid="{00000000-0005-0000-0000-0000A5180000}"/>
    <cellStyle name="Normal 13 2 4" xfId="2156" xr:uid="{00000000-0005-0000-0000-0000A6180000}"/>
    <cellStyle name="Normal 13 2 5" xfId="2157" xr:uid="{00000000-0005-0000-0000-0000A7180000}"/>
    <cellStyle name="Normal 13 2 6" xfId="2158" xr:uid="{00000000-0005-0000-0000-0000A8180000}"/>
    <cellStyle name="Normal 13 2 6 2" xfId="9239" xr:uid="{00000000-0005-0000-0000-0000A9180000}"/>
    <cellStyle name="Normal 13 2 6 2 2" xfId="17989" xr:uid="{00000000-0005-0000-0000-0000AA180000}"/>
    <cellStyle name="Normal 13 2 6 3" xfId="7636" xr:uid="{00000000-0005-0000-0000-0000AB180000}"/>
    <cellStyle name="Normal 13 2 6 3 2" xfId="16390" xr:uid="{00000000-0005-0000-0000-0000AC180000}"/>
    <cellStyle name="Normal 13 2 6 4" xfId="10849" xr:uid="{00000000-0005-0000-0000-0000AD180000}"/>
    <cellStyle name="Normal 13 2 6 4 2" xfId="19536" xr:uid="{00000000-0005-0000-0000-0000AE180000}"/>
    <cellStyle name="Normal 13 2 6 5" xfId="12456" xr:uid="{00000000-0005-0000-0000-0000AF180000}"/>
    <cellStyle name="Normal 13 2 6 5 2" xfId="21136" xr:uid="{00000000-0005-0000-0000-0000B0180000}"/>
    <cellStyle name="Normal 13 2 6 6" xfId="14741" xr:uid="{00000000-0005-0000-0000-0000B1180000}"/>
    <cellStyle name="Normal 13 2 7" xfId="2159" xr:uid="{00000000-0005-0000-0000-0000B2180000}"/>
    <cellStyle name="Normal 13 2 7 2" xfId="9240" xr:uid="{00000000-0005-0000-0000-0000B3180000}"/>
    <cellStyle name="Normal 13 2 7 2 2" xfId="17990" xr:uid="{00000000-0005-0000-0000-0000B4180000}"/>
    <cellStyle name="Normal 13 2 7 3" xfId="7637" xr:uid="{00000000-0005-0000-0000-0000B5180000}"/>
    <cellStyle name="Normal 13 2 7 3 2" xfId="16391" xr:uid="{00000000-0005-0000-0000-0000B6180000}"/>
    <cellStyle name="Normal 13 2 7 4" xfId="10850" xr:uid="{00000000-0005-0000-0000-0000B7180000}"/>
    <cellStyle name="Normal 13 2 7 4 2" xfId="19537" xr:uid="{00000000-0005-0000-0000-0000B8180000}"/>
    <cellStyle name="Normal 13 2 7 5" xfId="12457" xr:uid="{00000000-0005-0000-0000-0000B9180000}"/>
    <cellStyle name="Normal 13 2 7 5 2" xfId="21137" xr:uid="{00000000-0005-0000-0000-0000BA180000}"/>
    <cellStyle name="Normal 13 2 7 6" xfId="14097" xr:uid="{00000000-0005-0000-0000-0000BB180000}"/>
    <cellStyle name="Normal 13 2 8" xfId="2160" xr:uid="{00000000-0005-0000-0000-0000BC180000}"/>
    <cellStyle name="Normal 13 2 8 2" xfId="9241" xr:uid="{00000000-0005-0000-0000-0000BD180000}"/>
    <cellStyle name="Normal 13 2 8 2 2" xfId="17991" xr:uid="{00000000-0005-0000-0000-0000BE180000}"/>
    <cellStyle name="Normal 13 2 8 3" xfId="7638" xr:uid="{00000000-0005-0000-0000-0000BF180000}"/>
    <cellStyle name="Normal 13 2 8 3 2" xfId="16392" xr:uid="{00000000-0005-0000-0000-0000C0180000}"/>
    <cellStyle name="Normal 13 2 8 4" xfId="10851" xr:uid="{00000000-0005-0000-0000-0000C1180000}"/>
    <cellStyle name="Normal 13 2 8 4 2" xfId="19538" xr:uid="{00000000-0005-0000-0000-0000C2180000}"/>
    <cellStyle name="Normal 13 2 8 5" xfId="12458" xr:uid="{00000000-0005-0000-0000-0000C3180000}"/>
    <cellStyle name="Normal 13 2 8 5 2" xfId="21138" xr:uid="{00000000-0005-0000-0000-0000C4180000}"/>
    <cellStyle name="Normal 13 2 8 6" xfId="14548" xr:uid="{00000000-0005-0000-0000-0000C5180000}"/>
    <cellStyle name="Normal 13 2 9" xfId="6932" xr:uid="{00000000-0005-0000-0000-0000C6180000}"/>
    <cellStyle name="Normal 13 2 9 2" xfId="9219" xr:uid="{00000000-0005-0000-0000-0000C7180000}"/>
    <cellStyle name="Normal 13 2 9 2 2" xfId="17969" xr:uid="{00000000-0005-0000-0000-0000C8180000}"/>
    <cellStyle name="Normal 13 2 9 3" xfId="16142" xr:uid="{00000000-0005-0000-0000-0000C9180000}"/>
    <cellStyle name="Normal 13 3" xfId="2161" xr:uid="{00000000-0005-0000-0000-0000CA180000}"/>
    <cellStyle name="Normal 13 4" xfId="2162" xr:uid="{00000000-0005-0000-0000-0000CB180000}"/>
    <cellStyle name="Normal 13 5" xfId="2131" xr:uid="{00000000-0005-0000-0000-0000CC180000}"/>
    <cellStyle name="Normal 13 5 2" xfId="9218" xr:uid="{00000000-0005-0000-0000-0000CD180000}"/>
    <cellStyle name="Normal 13 5 2 2" xfId="17968" xr:uid="{00000000-0005-0000-0000-0000CE180000}"/>
    <cellStyle name="Normal 13 5 3" xfId="10828" xr:uid="{00000000-0005-0000-0000-0000CF180000}"/>
    <cellStyle name="Normal 13 5 3 2" xfId="19515" xr:uid="{00000000-0005-0000-0000-0000D0180000}"/>
    <cellStyle name="Normal 13 5 4" xfId="14357" xr:uid="{00000000-0005-0000-0000-0000D1180000}"/>
    <cellStyle name="Normal 13 6" xfId="7615" xr:uid="{00000000-0005-0000-0000-0000D2180000}"/>
    <cellStyle name="Normal 13 6 2" xfId="16369" xr:uid="{00000000-0005-0000-0000-0000D3180000}"/>
    <cellStyle name="Normal 13 7" xfId="10629" xr:uid="{00000000-0005-0000-0000-0000D4180000}"/>
    <cellStyle name="Normal 13 8" xfId="12435" xr:uid="{00000000-0005-0000-0000-0000D5180000}"/>
    <cellStyle name="Normal 13 8 2" xfId="21115" xr:uid="{00000000-0005-0000-0000-0000D6180000}"/>
    <cellStyle name="Normal 130" xfId="2163" xr:uid="{00000000-0005-0000-0000-0000D7180000}"/>
    <cellStyle name="Normal 130 2" xfId="2164" xr:uid="{00000000-0005-0000-0000-0000D8180000}"/>
    <cellStyle name="Normal 130 2 2" xfId="9243" xr:uid="{00000000-0005-0000-0000-0000D9180000}"/>
    <cellStyle name="Normal 130 2 2 2" xfId="17993" xr:uid="{00000000-0005-0000-0000-0000DA180000}"/>
    <cellStyle name="Normal 130 2 3" xfId="7640" xr:uid="{00000000-0005-0000-0000-0000DB180000}"/>
    <cellStyle name="Normal 130 2 3 2" xfId="16394" xr:uid="{00000000-0005-0000-0000-0000DC180000}"/>
    <cellStyle name="Normal 130 2 4" xfId="10853" xr:uid="{00000000-0005-0000-0000-0000DD180000}"/>
    <cellStyle name="Normal 130 2 4 2" xfId="19540" xr:uid="{00000000-0005-0000-0000-0000DE180000}"/>
    <cellStyle name="Normal 130 2 5" xfId="12460" xr:uid="{00000000-0005-0000-0000-0000DF180000}"/>
    <cellStyle name="Normal 130 2 5 2" xfId="21140" xr:uid="{00000000-0005-0000-0000-0000E0180000}"/>
    <cellStyle name="Normal 130 2 6" xfId="14752" xr:uid="{00000000-0005-0000-0000-0000E1180000}"/>
    <cellStyle name="Normal 130 3" xfId="2165" xr:uid="{00000000-0005-0000-0000-0000E2180000}"/>
    <cellStyle name="Normal 130 3 2" xfId="9244" xr:uid="{00000000-0005-0000-0000-0000E3180000}"/>
    <cellStyle name="Normal 130 3 2 2" xfId="17994" xr:uid="{00000000-0005-0000-0000-0000E4180000}"/>
    <cellStyle name="Normal 130 3 3" xfId="7641" xr:uid="{00000000-0005-0000-0000-0000E5180000}"/>
    <cellStyle name="Normal 130 3 3 2" xfId="16395" xr:uid="{00000000-0005-0000-0000-0000E6180000}"/>
    <cellStyle name="Normal 130 3 4" xfId="10854" xr:uid="{00000000-0005-0000-0000-0000E7180000}"/>
    <cellStyle name="Normal 130 3 4 2" xfId="19541" xr:uid="{00000000-0005-0000-0000-0000E8180000}"/>
    <cellStyle name="Normal 130 3 5" xfId="12461" xr:uid="{00000000-0005-0000-0000-0000E9180000}"/>
    <cellStyle name="Normal 130 3 5 2" xfId="21141" xr:uid="{00000000-0005-0000-0000-0000EA180000}"/>
    <cellStyle name="Normal 130 3 6" xfId="13948" xr:uid="{00000000-0005-0000-0000-0000EB180000}"/>
    <cellStyle name="Normal 130 4" xfId="2166" xr:uid="{00000000-0005-0000-0000-0000EC180000}"/>
    <cellStyle name="Normal 130 4 2" xfId="9245" xr:uid="{00000000-0005-0000-0000-0000ED180000}"/>
    <cellStyle name="Normal 130 4 2 2" xfId="17995" xr:uid="{00000000-0005-0000-0000-0000EE180000}"/>
    <cellStyle name="Normal 130 4 3" xfId="7642" xr:uid="{00000000-0005-0000-0000-0000EF180000}"/>
    <cellStyle name="Normal 130 4 3 2" xfId="16396" xr:uid="{00000000-0005-0000-0000-0000F0180000}"/>
    <cellStyle name="Normal 130 4 4" xfId="10855" xr:uid="{00000000-0005-0000-0000-0000F1180000}"/>
    <cellStyle name="Normal 130 4 4 2" xfId="19542" xr:uid="{00000000-0005-0000-0000-0000F2180000}"/>
    <cellStyle name="Normal 130 4 5" xfId="12462" xr:uid="{00000000-0005-0000-0000-0000F3180000}"/>
    <cellStyle name="Normal 130 4 5 2" xfId="21142" xr:uid="{00000000-0005-0000-0000-0000F4180000}"/>
    <cellStyle name="Normal 130 4 6" xfId="14551" xr:uid="{00000000-0005-0000-0000-0000F5180000}"/>
    <cellStyle name="Normal 130 5" xfId="9242" xr:uid="{00000000-0005-0000-0000-0000F6180000}"/>
    <cellStyle name="Normal 130 5 2" xfId="17992" xr:uid="{00000000-0005-0000-0000-0000F7180000}"/>
    <cellStyle name="Normal 130 6" xfId="7639" xr:uid="{00000000-0005-0000-0000-0000F8180000}"/>
    <cellStyle name="Normal 130 6 2" xfId="16393" xr:uid="{00000000-0005-0000-0000-0000F9180000}"/>
    <cellStyle name="Normal 130 7" xfId="10852" xr:uid="{00000000-0005-0000-0000-0000FA180000}"/>
    <cellStyle name="Normal 130 7 2" xfId="19539" xr:uid="{00000000-0005-0000-0000-0000FB180000}"/>
    <cellStyle name="Normal 130 8" xfId="12459" xr:uid="{00000000-0005-0000-0000-0000FC180000}"/>
    <cellStyle name="Normal 130 8 2" xfId="21139" xr:uid="{00000000-0005-0000-0000-0000FD180000}"/>
    <cellStyle name="Normal 130 9" xfId="14502" xr:uid="{00000000-0005-0000-0000-0000FE180000}"/>
    <cellStyle name="Normal 131" xfId="2167" xr:uid="{00000000-0005-0000-0000-0000FF180000}"/>
    <cellStyle name="Normal 131 2" xfId="2168" xr:uid="{00000000-0005-0000-0000-000000190000}"/>
    <cellStyle name="Normal 131 2 2" xfId="9247" xr:uid="{00000000-0005-0000-0000-000001190000}"/>
    <cellStyle name="Normal 131 2 2 2" xfId="17997" xr:uid="{00000000-0005-0000-0000-000002190000}"/>
    <cellStyle name="Normal 131 2 3" xfId="7644" xr:uid="{00000000-0005-0000-0000-000003190000}"/>
    <cellStyle name="Normal 131 2 3 2" xfId="16398" xr:uid="{00000000-0005-0000-0000-000004190000}"/>
    <cellStyle name="Normal 131 2 4" xfId="10857" xr:uid="{00000000-0005-0000-0000-000005190000}"/>
    <cellStyle name="Normal 131 2 4 2" xfId="19544" xr:uid="{00000000-0005-0000-0000-000006190000}"/>
    <cellStyle name="Normal 131 2 5" xfId="12464" xr:uid="{00000000-0005-0000-0000-000007190000}"/>
    <cellStyle name="Normal 131 2 5 2" xfId="21144" xr:uid="{00000000-0005-0000-0000-000008190000}"/>
    <cellStyle name="Normal 131 2 6" xfId="14809" xr:uid="{00000000-0005-0000-0000-000009190000}"/>
    <cellStyle name="Normal 131 3" xfId="2169" xr:uid="{00000000-0005-0000-0000-00000A190000}"/>
    <cellStyle name="Normal 131 3 2" xfId="9248" xr:uid="{00000000-0005-0000-0000-00000B190000}"/>
    <cellStyle name="Normal 131 3 2 2" xfId="17998" xr:uid="{00000000-0005-0000-0000-00000C190000}"/>
    <cellStyle name="Normal 131 3 3" xfId="7645" xr:uid="{00000000-0005-0000-0000-00000D190000}"/>
    <cellStyle name="Normal 131 3 3 2" xfId="16399" xr:uid="{00000000-0005-0000-0000-00000E190000}"/>
    <cellStyle name="Normal 131 3 4" xfId="10858" xr:uid="{00000000-0005-0000-0000-00000F190000}"/>
    <cellStyle name="Normal 131 3 4 2" xfId="19545" xr:uid="{00000000-0005-0000-0000-000010190000}"/>
    <cellStyle name="Normal 131 3 5" xfId="12465" xr:uid="{00000000-0005-0000-0000-000011190000}"/>
    <cellStyle name="Normal 131 3 5 2" xfId="21145" xr:uid="{00000000-0005-0000-0000-000012190000}"/>
    <cellStyle name="Normal 131 3 6" xfId="14337" xr:uid="{00000000-0005-0000-0000-000013190000}"/>
    <cellStyle name="Normal 131 4" xfId="2170" xr:uid="{00000000-0005-0000-0000-000014190000}"/>
    <cellStyle name="Normal 131 4 2" xfId="9249" xr:uid="{00000000-0005-0000-0000-000015190000}"/>
    <cellStyle name="Normal 131 4 2 2" xfId="17999" xr:uid="{00000000-0005-0000-0000-000016190000}"/>
    <cellStyle name="Normal 131 4 3" xfId="7646" xr:uid="{00000000-0005-0000-0000-000017190000}"/>
    <cellStyle name="Normal 131 4 3 2" xfId="16400" xr:uid="{00000000-0005-0000-0000-000018190000}"/>
    <cellStyle name="Normal 131 4 4" xfId="10859" xr:uid="{00000000-0005-0000-0000-000019190000}"/>
    <cellStyle name="Normal 131 4 4 2" xfId="19546" xr:uid="{00000000-0005-0000-0000-00001A190000}"/>
    <cellStyle name="Normal 131 4 5" xfId="12466" xr:uid="{00000000-0005-0000-0000-00001B190000}"/>
    <cellStyle name="Normal 131 4 5 2" xfId="21146" xr:uid="{00000000-0005-0000-0000-00001C190000}"/>
    <cellStyle name="Normal 131 4 6" xfId="13938" xr:uid="{00000000-0005-0000-0000-00001D190000}"/>
    <cellStyle name="Normal 131 5" xfId="9246" xr:uid="{00000000-0005-0000-0000-00001E190000}"/>
    <cellStyle name="Normal 131 5 2" xfId="17996" xr:uid="{00000000-0005-0000-0000-00001F190000}"/>
    <cellStyle name="Normal 131 6" xfId="7643" xr:uid="{00000000-0005-0000-0000-000020190000}"/>
    <cellStyle name="Normal 131 6 2" xfId="16397" xr:uid="{00000000-0005-0000-0000-000021190000}"/>
    <cellStyle name="Normal 131 7" xfId="10856" xr:uid="{00000000-0005-0000-0000-000022190000}"/>
    <cellStyle name="Normal 131 7 2" xfId="19543" xr:uid="{00000000-0005-0000-0000-000023190000}"/>
    <cellStyle name="Normal 131 8" xfId="12463" xr:uid="{00000000-0005-0000-0000-000024190000}"/>
    <cellStyle name="Normal 131 8 2" xfId="21143" xr:uid="{00000000-0005-0000-0000-000025190000}"/>
    <cellStyle name="Normal 131 9" xfId="14338" xr:uid="{00000000-0005-0000-0000-000026190000}"/>
    <cellStyle name="Normal 132" xfId="2171" xr:uid="{00000000-0005-0000-0000-000027190000}"/>
    <cellStyle name="Normal 133" xfId="2172" xr:uid="{00000000-0005-0000-0000-000028190000}"/>
    <cellStyle name="Normal 134" xfId="2173" xr:uid="{00000000-0005-0000-0000-000029190000}"/>
    <cellStyle name="Normal 134 2" xfId="9250" xr:uid="{00000000-0005-0000-0000-00002A190000}"/>
    <cellStyle name="Normal 134 2 2" xfId="18000" xr:uid="{00000000-0005-0000-0000-00002B190000}"/>
    <cellStyle name="Normal 134 3" xfId="7647" xr:uid="{00000000-0005-0000-0000-00002C190000}"/>
    <cellStyle name="Normal 134 3 2" xfId="16401" xr:uid="{00000000-0005-0000-0000-00002D190000}"/>
    <cellStyle name="Normal 134 4" xfId="10860" xr:uid="{00000000-0005-0000-0000-00002E190000}"/>
    <cellStyle name="Normal 134 4 2" xfId="19547" xr:uid="{00000000-0005-0000-0000-00002F190000}"/>
    <cellStyle name="Normal 134 5" xfId="12467" xr:uid="{00000000-0005-0000-0000-000030190000}"/>
    <cellStyle name="Normal 134 5 2" xfId="21147" xr:uid="{00000000-0005-0000-0000-000031190000}"/>
    <cellStyle name="Normal 134 6" xfId="14336" xr:uid="{00000000-0005-0000-0000-000032190000}"/>
    <cellStyle name="Normal 135" xfId="2174" xr:uid="{00000000-0005-0000-0000-000033190000}"/>
    <cellStyle name="Normal 136" xfId="2175" xr:uid="{00000000-0005-0000-0000-000034190000}"/>
    <cellStyle name="Normal 137" xfId="2176" xr:uid="{00000000-0005-0000-0000-000035190000}"/>
    <cellStyle name="Normal 138" xfId="2177" xr:uid="{00000000-0005-0000-0000-000036190000}"/>
    <cellStyle name="Normal 139" xfId="2178" xr:uid="{00000000-0005-0000-0000-000037190000}"/>
    <cellStyle name="Normal 14" xfId="149" xr:uid="{00000000-0005-0000-0000-000038190000}"/>
    <cellStyle name="Normal 14 10" xfId="14558" xr:uid="{00000000-0005-0000-0000-000039190000}"/>
    <cellStyle name="Normal 14 2" xfId="2180" xr:uid="{00000000-0005-0000-0000-00003A190000}"/>
    <cellStyle name="Normal 14 2 10" xfId="7649" xr:uid="{00000000-0005-0000-0000-00003B190000}"/>
    <cellStyle name="Normal 14 2 10 2" xfId="16403" xr:uid="{00000000-0005-0000-0000-00003C190000}"/>
    <cellStyle name="Normal 14 2 11" xfId="10862" xr:uid="{00000000-0005-0000-0000-00003D190000}"/>
    <cellStyle name="Normal 14 2 11 2" xfId="19549" xr:uid="{00000000-0005-0000-0000-00003E190000}"/>
    <cellStyle name="Normal 14 2 12" xfId="12469" xr:uid="{00000000-0005-0000-0000-00003F190000}"/>
    <cellStyle name="Normal 14 2 12 2" xfId="21149" xr:uid="{00000000-0005-0000-0000-000040190000}"/>
    <cellStyle name="Normal 14 2 13" xfId="14724" xr:uid="{00000000-0005-0000-0000-000041190000}"/>
    <cellStyle name="Normal 14 2 2" xfId="2181" xr:uid="{00000000-0005-0000-0000-000042190000}"/>
    <cellStyle name="Normal 14 2 2 2" xfId="2182" xr:uid="{00000000-0005-0000-0000-000043190000}"/>
    <cellStyle name="Normal 14 2 2 2 2" xfId="2183" xr:uid="{00000000-0005-0000-0000-000044190000}"/>
    <cellStyle name="Normal 14 2 2 2 2 2" xfId="2184" xr:uid="{00000000-0005-0000-0000-000045190000}"/>
    <cellStyle name="Normal 14 2 2 2 2 2 2" xfId="9254" xr:uid="{00000000-0005-0000-0000-000046190000}"/>
    <cellStyle name="Normal 14 2 2 2 2 2 2 2" xfId="18004" xr:uid="{00000000-0005-0000-0000-000047190000}"/>
    <cellStyle name="Normal 14 2 2 2 2 2 3" xfId="7651" xr:uid="{00000000-0005-0000-0000-000048190000}"/>
    <cellStyle name="Normal 14 2 2 2 2 2 3 2" xfId="16405" xr:uid="{00000000-0005-0000-0000-000049190000}"/>
    <cellStyle name="Normal 14 2 2 2 2 2 4" xfId="10864" xr:uid="{00000000-0005-0000-0000-00004A190000}"/>
    <cellStyle name="Normal 14 2 2 2 2 2 4 2" xfId="19551" xr:uid="{00000000-0005-0000-0000-00004B190000}"/>
    <cellStyle name="Normal 14 2 2 2 2 2 5" xfId="12471" xr:uid="{00000000-0005-0000-0000-00004C190000}"/>
    <cellStyle name="Normal 14 2 2 2 2 2 5 2" xfId="21151" xr:uid="{00000000-0005-0000-0000-00004D190000}"/>
    <cellStyle name="Normal 14 2 2 2 2 2 6" xfId="14632" xr:uid="{00000000-0005-0000-0000-00004E190000}"/>
    <cellStyle name="Normal 14 2 2 2 2 3" xfId="2185" xr:uid="{00000000-0005-0000-0000-00004F190000}"/>
    <cellStyle name="Normal 14 2 2 2 2 3 2" xfId="9255" xr:uid="{00000000-0005-0000-0000-000050190000}"/>
    <cellStyle name="Normal 14 2 2 2 2 3 2 2" xfId="18005" xr:uid="{00000000-0005-0000-0000-000051190000}"/>
    <cellStyle name="Normal 14 2 2 2 2 3 3" xfId="7652" xr:uid="{00000000-0005-0000-0000-000052190000}"/>
    <cellStyle name="Normal 14 2 2 2 2 3 3 2" xfId="16406" xr:uid="{00000000-0005-0000-0000-000053190000}"/>
    <cellStyle name="Normal 14 2 2 2 2 3 4" xfId="10865" xr:uid="{00000000-0005-0000-0000-000054190000}"/>
    <cellStyle name="Normal 14 2 2 2 2 3 4 2" xfId="19552" xr:uid="{00000000-0005-0000-0000-000055190000}"/>
    <cellStyle name="Normal 14 2 2 2 2 3 5" xfId="12472" xr:uid="{00000000-0005-0000-0000-000056190000}"/>
    <cellStyle name="Normal 14 2 2 2 2 3 5 2" xfId="21152" xr:uid="{00000000-0005-0000-0000-000057190000}"/>
    <cellStyle name="Normal 14 2 2 2 2 3 6" xfId="14804" xr:uid="{00000000-0005-0000-0000-000058190000}"/>
    <cellStyle name="Normal 14 2 2 2 2 4" xfId="2186" xr:uid="{00000000-0005-0000-0000-000059190000}"/>
    <cellStyle name="Normal 14 2 2 2 2 4 2" xfId="9256" xr:uid="{00000000-0005-0000-0000-00005A190000}"/>
    <cellStyle name="Normal 14 2 2 2 2 4 2 2" xfId="18006" xr:uid="{00000000-0005-0000-0000-00005B190000}"/>
    <cellStyle name="Normal 14 2 2 2 2 4 3" xfId="7653" xr:uid="{00000000-0005-0000-0000-00005C190000}"/>
    <cellStyle name="Normal 14 2 2 2 2 4 3 2" xfId="16407" xr:uid="{00000000-0005-0000-0000-00005D190000}"/>
    <cellStyle name="Normal 14 2 2 2 2 4 4" xfId="10866" xr:uid="{00000000-0005-0000-0000-00005E190000}"/>
    <cellStyle name="Normal 14 2 2 2 2 4 4 2" xfId="19553" xr:uid="{00000000-0005-0000-0000-00005F190000}"/>
    <cellStyle name="Normal 14 2 2 2 2 4 5" xfId="12473" xr:uid="{00000000-0005-0000-0000-000060190000}"/>
    <cellStyle name="Normal 14 2 2 2 2 4 5 2" xfId="21153" xr:uid="{00000000-0005-0000-0000-000061190000}"/>
    <cellStyle name="Normal 14 2 2 2 2 4 6" xfId="14330" xr:uid="{00000000-0005-0000-0000-000062190000}"/>
    <cellStyle name="Normal 14 2 2 2 3" xfId="2187" xr:uid="{00000000-0005-0000-0000-000063190000}"/>
    <cellStyle name="Normal 14 2 2 2 4" xfId="2188" xr:uid="{00000000-0005-0000-0000-000064190000}"/>
    <cellStyle name="Normal 14 2 2 2 5" xfId="9253" xr:uid="{00000000-0005-0000-0000-000065190000}"/>
    <cellStyle name="Normal 14 2 2 2 5 2" xfId="18003" xr:uid="{00000000-0005-0000-0000-000066190000}"/>
    <cellStyle name="Normal 14 2 2 2 6" xfId="7650" xr:uid="{00000000-0005-0000-0000-000067190000}"/>
    <cellStyle name="Normal 14 2 2 2 6 2" xfId="16404" xr:uid="{00000000-0005-0000-0000-000068190000}"/>
    <cellStyle name="Normal 14 2 2 2 7" xfId="10863" xr:uid="{00000000-0005-0000-0000-000069190000}"/>
    <cellStyle name="Normal 14 2 2 2 7 2" xfId="19550" xr:uid="{00000000-0005-0000-0000-00006A190000}"/>
    <cellStyle name="Normal 14 2 2 2 8" xfId="12470" xr:uid="{00000000-0005-0000-0000-00006B190000}"/>
    <cellStyle name="Normal 14 2 2 2 8 2" xfId="21150" xr:uid="{00000000-0005-0000-0000-00006C190000}"/>
    <cellStyle name="Normal 14 2 2 2 9" xfId="14803" xr:uid="{00000000-0005-0000-0000-00006D190000}"/>
    <cellStyle name="Normal 14 2 2 3" xfId="2189" xr:uid="{00000000-0005-0000-0000-00006E190000}"/>
    <cellStyle name="Normal 14 2 2 3 2" xfId="2190" xr:uid="{00000000-0005-0000-0000-00006F190000}"/>
    <cellStyle name="Normal 14 2 2 3 2 2" xfId="9258" xr:uid="{00000000-0005-0000-0000-000070190000}"/>
    <cellStyle name="Normal 14 2 2 3 2 2 2" xfId="18008" xr:uid="{00000000-0005-0000-0000-000071190000}"/>
    <cellStyle name="Normal 14 2 2 3 2 3" xfId="7655" xr:uid="{00000000-0005-0000-0000-000072190000}"/>
    <cellStyle name="Normal 14 2 2 3 2 3 2" xfId="16409" xr:uid="{00000000-0005-0000-0000-000073190000}"/>
    <cellStyle name="Normal 14 2 2 3 2 4" xfId="10868" xr:uid="{00000000-0005-0000-0000-000074190000}"/>
    <cellStyle name="Normal 14 2 2 3 2 4 2" xfId="19555" xr:uid="{00000000-0005-0000-0000-000075190000}"/>
    <cellStyle name="Normal 14 2 2 3 2 5" xfId="12475" xr:uid="{00000000-0005-0000-0000-000076190000}"/>
    <cellStyle name="Normal 14 2 2 3 2 5 2" xfId="21155" xr:uid="{00000000-0005-0000-0000-000077190000}"/>
    <cellStyle name="Normal 14 2 2 3 2 6" xfId="13904" xr:uid="{00000000-0005-0000-0000-000078190000}"/>
    <cellStyle name="Normal 14 2 2 3 3" xfId="2191" xr:uid="{00000000-0005-0000-0000-000079190000}"/>
    <cellStyle name="Normal 14 2 2 3 3 2" xfId="9259" xr:uid="{00000000-0005-0000-0000-00007A190000}"/>
    <cellStyle name="Normal 14 2 2 3 3 2 2" xfId="18009" xr:uid="{00000000-0005-0000-0000-00007B190000}"/>
    <cellStyle name="Normal 14 2 2 3 3 3" xfId="7656" xr:uid="{00000000-0005-0000-0000-00007C190000}"/>
    <cellStyle name="Normal 14 2 2 3 3 3 2" xfId="16410" xr:uid="{00000000-0005-0000-0000-00007D190000}"/>
    <cellStyle name="Normal 14 2 2 3 3 4" xfId="10869" xr:uid="{00000000-0005-0000-0000-00007E190000}"/>
    <cellStyle name="Normal 14 2 2 3 3 4 2" xfId="19556" xr:uid="{00000000-0005-0000-0000-00007F190000}"/>
    <cellStyle name="Normal 14 2 2 3 3 5" xfId="12476" xr:uid="{00000000-0005-0000-0000-000080190000}"/>
    <cellStyle name="Normal 14 2 2 3 3 5 2" xfId="21156" xr:uid="{00000000-0005-0000-0000-000081190000}"/>
    <cellStyle name="Normal 14 2 2 3 3 6" xfId="13900" xr:uid="{00000000-0005-0000-0000-000082190000}"/>
    <cellStyle name="Normal 14 2 2 3 4" xfId="2192" xr:uid="{00000000-0005-0000-0000-000083190000}"/>
    <cellStyle name="Normal 14 2 2 3 4 2" xfId="9260" xr:uid="{00000000-0005-0000-0000-000084190000}"/>
    <cellStyle name="Normal 14 2 2 3 4 2 2" xfId="18010" xr:uid="{00000000-0005-0000-0000-000085190000}"/>
    <cellStyle name="Normal 14 2 2 3 4 3" xfId="7657" xr:uid="{00000000-0005-0000-0000-000086190000}"/>
    <cellStyle name="Normal 14 2 2 3 4 3 2" xfId="16411" xr:uid="{00000000-0005-0000-0000-000087190000}"/>
    <cellStyle name="Normal 14 2 2 3 4 4" xfId="10870" xr:uid="{00000000-0005-0000-0000-000088190000}"/>
    <cellStyle name="Normal 14 2 2 3 4 4 2" xfId="19557" xr:uid="{00000000-0005-0000-0000-000089190000}"/>
    <cellStyle name="Normal 14 2 2 3 4 5" xfId="12477" xr:uid="{00000000-0005-0000-0000-00008A190000}"/>
    <cellStyle name="Normal 14 2 2 3 4 5 2" xfId="21157" xr:uid="{00000000-0005-0000-0000-00008B190000}"/>
    <cellStyle name="Normal 14 2 2 3 4 6" xfId="14066" xr:uid="{00000000-0005-0000-0000-00008C190000}"/>
    <cellStyle name="Normal 14 2 2 3 5" xfId="9257" xr:uid="{00000000-0005-0000-0000-00008D190000}"/>
    <cellStyle name="Normal 14 2 2 3 5 2" xfId="18007" xr:uid="{00000000-0005-0000-0000-00008E190000}"/>
    <cellStyle name="Normal 14 2 2 3 6" xfId="7654" xr:uid="{00000000-0005-0000-0000-00008F190000}"/>
    <cellStyle name="Normal 14 2 2 3 6 2" xfId="16408" xr:uid="{00000000-0005-0000-0000-000090190000}"/>
    <cellStyle name="Normal 14 2 2 3 7" xfId="10867" xr:uid="{00000000-0005-0000-0000-000091190000}"/>
    <cellStyle name="Normal 14 2 2 3 7 2" xfId="19554" xr:uid="{00000000-0005-0000-0000-000092190000}"/>
    <cellStyle name="Normal 14 2 2 3 8" xfId="12474" xr:uid="{00000000-0005-0000-0000-000093190000}"/>
    <cellStyle name="Normal 14 2 2 3 8 2" xfId="21154" xr:uid="{00000000-0005-0000-0000-000094190000}"/>
    <cellStyle name="Normal 14 2 2 3 9" xfId="14512" xr:uid="{00000000-0005-0000-0000-000095190000}"/>
    <cellStyle name="Normal 14 2 2 4" xfId="2193" xr:uid="{00000000-0005-0000-0000-000096190000}"/>
    <cellStyle name="Normal 14 2 2 4 2" xfId="2194" xr:uid="{00000000-0005-0000-0000-000097190000}"/>
    <cellStyle name="Normal 14 2 2 4 2 2" xfId="9262" xr:uid="{00000000-0005-0000-0000-000098190000}"/>
    <cellStyle name="Normal 14 2 2 4 2 2 2" xfId="18012" xr:uid="{00000000-0005-0000-0000-000099190000}"/>
    <cellStyle name="Normal 14 2 2 4 2 3" xfId="7659" xr:uid="{00000000-0005-0000-0000-00009A190000}"/>
    <cellStyle name="Normal 14 2 2 4 2 3 2" xfId="16413" xr:uid="{00000000-0005-0000-0000-00009B190000}"/>
    <cellStyle name="Normal 14 2 2 4 2 4" xfId="10872" xr:uid="{00000000-0005-0000-0000-00009C190000}"/>
    <cellStyle name="Normal 14 2 2 4 2 4 2" xfId="19559" xr:uid="{00000000-0005-0000-0000-00009D190000}"/>
    <cellStyle name="Normal 14 2 2 4 2 5" xfId="12479" xr:uid="{00000000-0005-0000-0000-00009E190000}"/>
    <cellStyle name="Normal 14 2 2 4 2 5 2" xfId="21159" xr:uid="{00000000-0005-0000-0000-00009F190000}"/>
    <cellStyle name="Normal 14 2 2 4 2 6" xfId="14543" xr:uid="{00000000-0005-0000-0000-0000A0190000}"/>
    <cellStyle name="Normal 14 2 2 4 3" xfId="2195" xr:uid="{00000000-0005-0000-0000-0000A1190000}"/>
    <cellStyle name="Normal 14 2 2 4 3 2" xfId="9263" xr:uid="{00000000-0005-0000-0000-0000A2190000}"/>
    <cellStyle name="Normal 14 2 2 4 3 2 2" xfId="18013" xr:uid="{00000000-0005-0000-0000-0000A3190000}"/>
    <cellStyle name="Normal 14 2 2 4 3 3" xfId="7660" xr:uid="{00000000-0005-0000-0000-0000A4190000}"/>
    <cellStyle name="Normal 14 2 2 4 3 3 2" xfId="16414" xr:uid="{00000000-0005-0000-0000-0000A5190000}"/>
    <cellStyle name="Normal 14 2 2 4 3 4" xfId="10873" xr:uid="{00000000-0005-0000-0000-0000A6190000}"/>
    <cellStyle name="Normal 14 2 2 4 3 4 2" xfId="19560" xr:uid="{00000000-0005-0000-0000-0000A7190000}"/>
    <cellStyle name="Normal 14 2 2 4 3 5" xfId="12480" xr:uid="{00000000-0005-0000-0000-0000A8190000}"/>
    <cellStyle name="Normal 14 2 2 4 3 5 2" xfId="21160" xr:uid="{00000000-0005-0000-0000-0000A9190000}"/>
    <cellStyle name="Normal 14 2 2 4 3 6" xfId="14520" xr:uid="{00000000-0005-0000-0000-0000AA190000}"/>
    <cellStyle name="Normal 14 2 2 4 4" xfId="2196" xr:uid="{00000000-0005-0000-0000-0000AB190000}"/>
    <cellStyle name="Normal 14 2 2 4 4 2" xfId="9264" xr:uid="{00000000-0005-0000-0000-0000AC190000}"/>
    <cellStyle name="Normal 14 2 2 4 4 2 2" xfId="18014" xr:uid="{00000000-0005-0000-0000-0000AD190000}"/>
    <cellStyle name="Normal 14 2 2 4 4 3" xfId="7661" xr:uid="{00000000-0005-0000-0000-0000AE190000}"/>
    <cellStyle name="Normal 14 2 2 4 4 3 2" xfId="16415" xr:uid="{00000000-0005-0000-0000-0000AF190000}"/>
    <cellStyle name="Normal 14 2 2 4 4 4" xfId="10874" xr:uid="{00000000-0005-0000-0000-0000B0190000}"/>
    <cellStyle name="Normal 14 2 2 4 4 4 2" xfId="19561" xr:uid="{00000000-0005-0000-0000-0000B1190000}"/>
    <cellStyle name="Normal 14 2 2 4 4 5" xfId="12481" xr:uid="{00000000-0005-0000-0000-0000B2190000}"/>
    <cellStyle name="Normal 14 2 2 4 4 5 2" xfId="21161" xr:uid="{00000000-0005-0000-0000-0000B3190000}"/>
    <cellStyle name="Normal 14 2 2 4 4 6" xfId="14519" xr:uid="{00000000-0005-0000-0000-0000B4190000}"/>
    <cellStyle name="Normal 14 2 2 4 5" xfId="9261" xr:uid="{00000000-0005-0000-0000-0000B5190000}"/>
    <cellStyle name="Normal 14 2 2 4 5 2" xfId="18011" xr:uid="{00000000-0005-0000-0000-0000B6190000}"/>
    <cellStyle name="Normal 14 2 2 4 6" xfId="7658" xr:uid="{00000000-0005-0000-0000-0000B7190000}"/>
    <cellStyle name="Normal 14 2 2 4 6 2" xfId="16412" xr:uid="{00000000-0005-0000-0000-0000B8190000}"/>
    <cellStyle name="Normal 14 2 2 4 7" xfId="10871" xr:uid="{00000000-0005-0000-0000-0000B9190000}"/>
    <cellStyle name="Normal 14 2 2 4 7 2" xfId="19558" xr:uid="{00000000-0005-0000-0000-0000BA190000}"/>
    <cellStyle name="Normal 14 2 2 4 8" xfId="12478" xr:uid="{00000000-0005-0000-0000-0000BB190000}"/>
    <cellStyle name="Normal 14 2 2 4 8 2" xfId="21158" xr:uid="{00000000-0005-0000-0000-0000BC190000}"/>
    <cellStyle name="Normal 14 2 2 4 9" xfId="13896" xr:uid="{00000000-0005-0000-0000-0000BD190000}"/>
    <cellStyle name="Normal 14 2 2 5" xfId="2197" xr:uid="{00000000-0005-0000-0000-0000BE190000}"/>
    <cellStyle name="Normal 14 2 2 5 2" xfId="9265" xr:uid="{00000000-0005-0000-0000-0000BF190000}"/>
    <cellStyle name="Normal 14 2 2 5 2 2" xfId="18015" xr:uid="{00000000-0005-0000-0000-0000C0190000}"/>
    <cellStyle name="Normal 14 2 2 5 3" xfId="7662" xr:uid="{00000000-0005-0000-0000-0000C1190000}"/>
    <cellStyle name="Normal 14 2 2 5 3 2" xfId="16416" xr:uid="{00000000-0005-0000-0000-0000C2190000}"/>
    <cellStyle name="Normal 14 2 2 5 4" xfId="10875" xr:uid="{00000000-0005-0000-0000-0000C3190000}"/>
    <cellStyle name="Normal 14 2 2 5 4 2" xfId="19562" xr:uid="{00000000-0005-0000-0000-0000C4190000}"/>
    <cellStyle name="Normal 14 2 2 5 5" xfId="12482" xr:uid="{00000000-0005-0000-0000-0000C5190000}"/>
    <cellStyle name="Normal 14 2 2 5 5 2" xfId="21162" xr:uid="{00000000-0005-0000-0000-0000C6190000}"/>
    <cellStyle name="Normal 14 2 2 5 6" xfId="14661" xr:uid="{00000000-0005-0000-0000-0000C7190000}"/>
    <cellStyle name="Normal 14 2 2 6" xfId="2198" xr:uid="{00000000-0005-0000-0000-0000C8190000}"/>
    <cellStyle name="Normal 14 2 2 6 2" xfId="9266" xr:uid="{00000000-0005-0000-0000-0000C9190000}"/>
    <cellStyle name="Normal 14 2 2 6 2 2" xfId="18016" xr:uid="{00000000-0005-0000-0000-0000CA190000}"/>
    <cellStyle name="Normal 14 2 2 6 3" xfId="7663" xr:uid="{00000000-0005-0000-0000-0000CB190000}"/>
    <cellStyle name="Normal 14 2 2 6 3 2" xfId="16417" xr:uid="{00000000-0005-0000-0000-0000CC190000}"/>
    <cellStyle name="Normal 14 2 2 6 4" xfId="10876" xr:uid="{00000000-0005-0000-0000-0000CD190000}"/>
    <cellStyle name="Normal 14 2 2 6 4 2" xfId="19563" xr:uid="{00000000-0005-0000-0000-0000CE190000}"/>
    <cellStyle name="Normal 14 2 2 6 5" xfId="12483" xr:uid="{00000000-0005-0000-0000-0000CF190000}"/>
    <cellStyle name="Normal 14 2 2 6 5 2" xfId="21163" xr:uid="{00000000-0005-0000-0000-0000D0190000}"/>
    <cellStyle name="Normal 14 2 2 6 6" xfId="14328" xr:uid="{00000000-0005-0000-0000-0000D1190000}"/>
    <cellStyle name="Normal 14 2 2 7" xfId="2199" xr:uid="{00000000-0005-0000-0000-0000D2190000}"/>
    <cellStyle name="Normal 14 2 2 7 2" xfId="9267" xr:uid="{00000000-0005-0000-0000-0000D3190000}"/>
    <cellStyle name="Normal 14 2 2 7 2 2" xfId="18017" xr:uid="{00000000-0005-0000-0000-0000D4190000}"/>
    <cellStyle name="Normal 14 2 2 7 3" xfId="7664" xr:uid="{00000000-0005-0000-0000-0000D5190000}"/>
    <cellStyle name="Normal 14 2 2 7 3 2" xfId="16418" xr:uid="{00000000-0005-0000-0000-0000D6190000}"/>
    <cellStyle name="Normal 14 2 2 7 4" xfId="10877" xr:uid="{00000000-0005-0000-0000-0000D7190000}"/>
    <cellStyle name="Normal 14 2 2 7 4 2" xfId="19564" xr:uid="{00000000-0005-0000-0000-0000D8190000}"/>
    <cellStyle name="Normal 14 2 2 7 5" xfId="12484" xr:uid="{00000000-0005-0000-0000-0000D9190000}"/>
    <cellStyle name="Normal 14 2 2 7 5 2" xfId="21164" xr:uid="{00000000-0005-0000-0000-0000DA190000}"/>
    <cellStyle name="Normal 14 2 2 7 6" xfId="14326" xr:uid="{00000000-0005-0000-0000-0000DB190000}"/>
    <cellStyle name="Normal 14 2 3" xfId="2200" xr:uid="{00000000-0005-0000-0000-0000DC190000}"/>
    <cellStyle name="Normal 14 2 3 2" xfId="2201" xr:uid="{00000000-0005-0000-0000-0000DD190000}"/>
    <cellStyle name="Normal 14 2 3 2 2" xfId="9269" xr:uid="{00000000-0005-0000-0000-0000DE190000}"/>
    <cellStyle name="Normal 14 2 3 2 2 2" xfId="18019" xr:uid="{00000000-0005-0000-0000-0000DF190000}"/>
    <cellStyle name="Normal 14 2 3 2 3" xfId="7666" xr:uid="{00000000-0005-0000-0000-0000E0190000}"/>
    <cellStyle name="Normal 14 2 3 2 3 2" xfId="16420" xr:uid="{00000000-0005-0000-0000-0000E1190000}"/>
    <cellStyle name="Normal 14 2 3 2 4" xfId="10879" xr:uid="{00000000-0005-0000-0000-0000E2190000}"/>
    <cellStyle name="Normal 14 2 3 2 4 2" xfId="19566" xr:uid="{00000000-0005-0000-0000-0000E3190000}"/>
    <cellStyle name="Normal 14 2 3 2 5" xfId="12486" xr:uid="{00000000-0005-0000-0000-0000E4190000}"/>
    <cellStyle name="Normal 14 2 3 2 5 2" xfId="21166" xr:uid="{00000000-0005-0000-0000-0000E5190000}"/>
    <cellStyle name="Normal 14 2 3 2 6" xfId="14322" xr:uid="{00000000-0005-0000-0000-0000E6190000}"/>
    <cellStyle name="Normal 14 2 3 3" xfId="2202" xr:uid="{00000000-0005-0000-0000-0000E7190000}"/>
    <cellStyle name="Normal 14 2 3 3 2" xfId="9270" xr:uid="{00000000-0005-0000-0000-0000E8190000}"/>
    <cellStyle name="Normal 14 2 3 3 2 2" xfId="18020" xr:uid="{00000000-0005-0000-0000-0000E9190000}"/>
    <cellStyle name="Normal 14 2 3 3 3" xfId="7667" xr:uid="{00000000-0005-0000-0000-0000EA190000}"/>
    <cellStyle name="Normal 14 2 3 3 3 2" xfId="16421" xr:uid="{00000000-0005-0000-0000-0000EB190000}"/>
    <cellStyle name="Normal 14 2 3 3 4" xfId="10880" xr:uid="{00000000-0005-0000-0000-0000EC190000}"/>
    <cellStyle name="Normal 14 2 3 3 4 2" xfId="19567" xr:uid="{00000000-0005-0000-0000-0000ED190000}"/>
    <cellStyle name="Normal 14 2 3 3 5" xfId="12487" xr:uid="{00000000-0005-0000-0000-0000EE190000}"/>
    <cellStyle name="Normal 14 2 3 3 5 2" xfId="21167" xr:uid="{00000000-0005-0000-0000-0000EF190000}"/>
    <cellStyle name="Normal 14 2 3 3 6" xfId="13875" xr:uid="{00000000-0005-0000-0000-0000F0190000}"/>
    <cellStyle name="Normal 14 2 3 4" xfId="2203" xr:uid="{00000000-0005-0000-0000-0000F1190000}"/>
    <cellStyle name="Normal 14 2 3 4 2" xfId="9271" xr:uid="{00000000-0005-0000-0000-0000F2190000}"/>
    <cellStyle name="Normal 14 2 3 4 2 2" xfId="18021" xr:uid="{00000000-0005-0000-0000-0000F3190000}"/>
    <cellStyle name="Normal 14 2 3 4 3" xfId="7668" xr:uid="{00000000-0005-0000-0000-0000F4190000}"/>
    <cellStyle name="Normal 14 2 3 4 3 2" xfId="16422" xr:uid="{00000000-0005-0000-0000-0000F5190000}"/>
    <cellStyle name="Normal 14 2 3 4 4" xfId="10881" xr:uid="{00000000-0005-0000-0000-0000F6190000}"/>
    <cellStyle name="Normal 14 2 3 4 4 2" xfId="19568" xr:uid="{00000000-0005-0000-0000-0000F7190000}"/>
    <cellStyle name="Normal 14 2 3 4 5" xfId="12488" xr:uid="{00000000-0005-0000-0000-0000F8190000}"/>
    <cellStyle name="Normal 14 2 3 4 5 2" xfId="21168" xr:uid="{00000000-0005-0000-0000-0000F9190000}"/>
    <cellStyle name="Normal 14 2 3 4 6" xfId="14123" xr:uid="{00000000-0005-0000-0000-0000FA190000}"/>
    <cellStyle name="Normal 14 2 3 5" xfId="9268" xr:uid="{00000000-0005-0000-0000-0000FB190000}"/>
    <cellStyle name="Normal 14 2 3 5 2" xfId="18018" xr:uid="{00000000-0005-0000-0000-0000FC190000}"/>
    <cellStyle name="Normal 14 2 3 6" xfId="7665" xr:uid="{00000000-0005-0000-0000-0000FD190000}"/>
    <cellStyle name="Normal 14 2 3 6 2" xfId="16419" xr:uid="{00000000-0005-0000-0000-0000FE190000}"/>
    <cellStyle name="Normal 14 2 3 7" xfId="10878" xr:uid="{00000000-0005-0000-0000-0000FF190000}"/>
    <cellStyle name="Normal 14 2 3 7 2" xfId="19565" xr:uid="{00000000-0005-0000-0000-0000001A0000}"/>
    <cellStyle name="Normal 14 2 3 8" xfId="12485" xr:uid="{00000000-0005-0000-0000-0000011A0000}"/>
    <cellStyle name="Normal 14 2 3 8 2" xfId="21165" xr:uid="{00000000-0005-0000-0000-0000021A0000}"/>
    <cellStyle name="Normal 14 2 3 9" xfId="14324" xr:uid="{00000000-0005-0000-0000-0000031A0000}"/>
    <cellStyle name="Normal 14 2 4" xfId="2204" xr:uid="{00000000-0005-0000-0000-0000041A0000}"/>
    <cellStyle name="Normal 14 2 5" xfId="2205" xr:uid="{00000000-0005-0000-0000-0000051A0000}"/>
    <cellStyle name="Normal 14 2 6" xfId="2206" xr:uid="{00000000-0005-0000-0000-0000061A0000}"/>
    <cellStyle name="Normal 14 2 6 2" xfId="9272" xr:uid="{00000000-0005-0000-0000-0000071A0000}"/>
    <cellStyle name="Normal 14 2 6 2 2" xfId="18022" xr:uid="{00000000-0005-0000-0000-0000081A0000}"/>
    <cellStyle name="Normal 14 2 6 3" xfId="7669" xr:uid="{00000000-0005-0000-0000-0000091A0000}"/>
    <cellStyle name="Normal 14 2 6 3 2" xfId="16423" xr:uid="{00000000-0005-0000-0000-00000A1A0000}"/>
    <cellStyle name="Normal 14 2 6 4" xfId="10882" xr:uid="{00000000-0005-0000-0000-00000B1A0000}"/>
    <cellStyle name="Normal 14 2 6 4 2" xfId="19569" xr:uid="{00000000-0005-0000-0000-00000C1A0000}"/>
    <cellStyle name="Normal 14 2 6 5" xfId="12489" xr:uid="{00000000-0005-0000-0000-00000D1A0000}"/>
    <cellStyle name="Normal 14 2 6 5 2" xfId="21169" xr:uid="{00000000-0005-0000-0000-00000E1A0000}"/>
    <cellStyle name="Normal 14 2 6 6" xfId="14096" xr:uid="{00000000-0005-0000-0000-00000F1A0000}"/>
    <cellStyle name="Normal 14 2 7" xfId="2207" xr:uid="{00000000-0005-0000-0000-0000101A0000}"/>
    <cellStyle name="Normal 14 2 7 2" xfId="9273" xr:uid="{00000000-0005-0000-0000-0000111A0000}"/>
    <cellStyle name="Normal 14 2 7 2 2" xfId="18023" xr:uid="{00000000-0005-0000-0000-0000121A0000}"/>
    <cellStyle name="Normal 14 2 7 3" xfId="7670" xr:uid="{00000000-0005-0000-0000-0000131A0000}"/>
    <cellStyle name="Normal 14 2 7 3 2" xfId="16424" xr:uid="{00000000-0005-0000-0000-0000141A0000}"/>
    <cellStyle name="Normal 14 2 7 4" xfId="10883" xr:uid="{00000000-0005-0000-0000-0000151A0000}"/>
    <cellStyle name="Normal 14 2 7 4 2" xfId="19570" xr:uid="{00000000-0005-0000-0000-0000161A0000}"/>
    <cellStyle name="Normal 14 2 7 5" xfId="12490" xr:uid="{00000000-0005-0000-0000-0000171A0000}"/>
    <cellStyle name="Normal 14 2 7 5 2" xfId="21170" xr:uid="{00000000-0005-0000-0000-0000181A0000}"/>
    <cellStyle name="Normal 14 2 7 6" xfId="14654" xr:uid="{00000000-0005-0000-0000-0000191A0000}"/>
    <cellStyle name="Normal 14 2 8" xfId="2208" xr:uid="{00000000-0005-0000-0000-00001A1A0000}"/>
    <cellStyle name="Normal 14 2 8 2" xfId="9274" xr:uid="{00000000-0005-0000-0000-00001B1A0000}"/>
    <cellStyle name="Normal 14 2 8 2 2" xfId="18024" xr:uid="{00000000-0005-0000-0000-00001C1A0000}"/>
    <cellStyle name="Normal 14 2 8 3" xfId="7671" xr:uid="{00000000-0005-0000-0000-00001D1A0000}"/>
    <cellStyle name="Normal 14 2 8 3 2" xfId="16425" xr:uid="{00000000-0005-0000-0000-00001E1A0000}"/>
    <cellStyle name="Normal 14 2 8 4" xfId="10884" xr:uid="{00000000-0005-0000-0000-00001F1A0000}"/>
    <cellStyle name="Normal 14 2 8 4 2" xfId="19571" xr:uid="{00000000-0005-0000-0000-0000201A0000}"/>
    <cellStyle name="Normal 14 2 8 5" xfId="12491" xr:uid="{00000000-0005-0000-0000-0000211A0000}"/>
    <cellStyle name="Normal 14 2 8 5 2" xfId="21171" xr:uid="{00000000-0005-0000-0000-0000221A0000}"/>
    <cellStyle name="Normal 14 2 8 6" xfId="13864" xr:uid="{00000000-0005-0000-0000-0000231A0000}"/>
    <cellStyle name="Normal 14 2 9" xfId="7370" xr:uid="{00000000-0005-0000-0000-0000241A0000}"/>
    <cellStyle name="Normal 14 2 9 2" xfId="9252" xr:uid="{00000000-0005-0000-0000-0000251A0000}"/>
    <cellStyle name="Normal 14 2 9 2 2" xfId="18002" xr:uid="{00000000-0005-0000-0000-0000261A0000}"/>
    <cellStyle name="Normal 14 2 9 3" xfId="16165" xr:uid="{00000000-0005-0000-0000-0000271A0000}"/>
    <cellStyle name="Normal 14 3" xfId="2209" xr:uid="{00000000-0005-0000-0000-0000281A0000}"/>
    <cellStyle name="Normal 14 4" xfId="2210" xr:uid="{00000000-0005-0000-0000-0000291A0000}"/>
    <cellStyle name="Normal 14 5" xfId="2179" xr:uid="{00000000-0005-0000-0000-00002A1A0000}"/>
    <cellStyle name="Normal 14 5 2" xfId="9251" xr:uid="{00000000-0005-0000-0000-00002B1A0000}"/>
    <cellStyle name="Normal 14 5 2 2" xfId="18001" xr:uid="{00000000-0005-0000-0000-00002C1A0000}"/>
    <cellStyle name="Normal 14 5 3" xfId="10861" xr:uid="{00000000-0005-0000-0000-00002D1A0000}"/>
    <cellStyle name="Normal 14 5 3 2" xfId="19548" xr:uid="{00000000-0005-0000-0000-00002E1A0000}"/>
    <cellStyle name="Normal 14 5 4" xfId="13935" xr:uid="{00000000-0005-0000-0000-00002F1A0000}"/>
    <cellStyle name="Normal 14 6" xfId="6933" xr:uid="{00000000-0005-0000-0000-0000301A0000}"/>
    <cellStyle name="Normal 14 6 2" xfId="16143" xr:uid="{00000000-0005-0000-0000-0000311A0000}"/>
    <cellStyle name="Normal 14 7" xfId="7648" xr:uid="{00000000-0005-0000-0000-0000321A0000}"/>
    <cellStyle name="Normal 14 7 2" xfId="16402" xr:uid="{00000000-0005-0000-0000-0000331A0000}"/>
    <cellStyle name="Normal 14 8" xfId="10631" xr:uid="{00000000-0005-0000-0000-0000341A0000}"/>
    <cellStyle name="Normal 14 9" xfId="12468" xr:uid="{00000000-0005-0000-0000-0000351A0000}"/>
    <cellStyle name="Normal 14 9 2" xfId="21148" xr:uid="{00000000-0005-0000-0000-0000361A0000}"/>
    <cellStyle name="Normal 140" xfId="2211" xr:uid="{00000000-0005-0000-0000-0000371A0000}"/>
    <cellStyle name="Normal 141" xfId="2212" xr:uid="{00000000-0005-0000-0000-0000381A0000}"/>
    <cellStyle name="Normal 142" xfId="2213" xr:uid="{00000000-0005-0000-0000-0000391A0000}"/>
    <cellStyle name="Normal 143" xfId="2214" xr:uid="{00000000-0005-0000-0000-00003A1A0000}"/>
    <cellStyle name="Normal 144" xfId="2215" xr:uid="{00000000-0005-0000-0000-00003B1A0000}"/>
    <cellStyle name="Normal 145" xfId="2216" xr:uid="{00000000-0005-0000-0000-00003C1A0000}"/>
    <cellStyle name="Normal 146" xfId="2217" xr:uid="{00000000-0005-0000-0000-00003D1A0000}"/>
    <cellStyle name="Normal 147" xfId="2218" xr:uid="{00000000-0005-0000-0000-00003E1A0000}"/>
    <cellStyle name="Normal 148" xfId="2219" xr:uid="{00000000-0005-0000-0000-00003F1A0000}"/>
    <cellStyle name="Normal 149" xfId="2220" xr:uid="{00000000-0005-0000-0000-0000401A0000}"/>
    <cellStyle name="Normal 15" xfId="148" xr:uid="{00000000-0005-0000-0000-0000411A0000}"/>
    <cellStyle name="Normal 15 10" xfId="14559" xr:uid="{00000000-0005-0000-0000-0000421A0000}"/>
    <cellStyle name="Normal 15 2" xfId="2222" xr:uid="{00000000-0005-0000-0000-0000431A0000}"/>
    <cellStyle name="Normal 15 2 10" xfId="7673" xr:uid="{00000000-0005-0000-0000-0000441A0000}"/>
    <cellStyle name="Normal 15 2 10 2" xfId="16427" xr:uid="{00000000-0005-0000-0000-0000451A0000}"/>
    <cellStyle name="Normal 15 2 11" xfId="10886" xr:uid="{00000000-0005-0000-0000-0000461A0000}"/>
    <cellStyle name="Normal 15 2 11 2" xfId="19573" xr:uid="{00000000-0005-0000-0000-0000471A0000}"/>
    <cellStyle name="Normal 15 2 12" xfId="12493" xr:uid="{00000000-0005-0000-0000-0000481A0000}"/>
    <cellStyle name="Normal 15 2 12 2" xfId="21173" xr:uid="{00000000-0005-0000-0000-0000491A0000}"/>
    <cellStyle name="Normal 15 2 13" xfId="14725" xr:uid="{00000000-0005-0000-0000-00004A1A0000}"/>
    <cellStyle name="Normal 15 2 2" xfId="2223" xr:uid="{00000000-0005-0000-0000-00004B1A0000}"/>
    <cellStyle name="Normal 15 2 2 2" xfId="2224" xr:uid="{00000000-0005-0000-0000-00004C1A0000}"/>
    <cellStyle name="Normal 15 2 2 2 2" xfId="2225" xr:uid="{00000000-0005-0000-0000-00004D1A0000}"/>
    <cellStyle name="Normal 15 2 2 2 2 2" xfId="2226" xr:uid="{00000000-0005-0000-0000-00004E1A0000}"/>
    <cellStyle name="Normal 15 2 2 2 2 2 2" xfId="9278" xr:uid="{00000000-0005-0000-0000-00004F1A0000}"/>
    <cellStyle name="Normal 15 2 2 2 2 2 2 2" xfId="18028" xr:uid="{00000000-0005-0000-0000-0000501A0000}"/>
    <cellStyle name="Normal 15 2 2 2 2 2 3" xfId="7675" xr:uid="{00000000-0005-0000-0000-0000511A0000}"/>
    <cellStyle name="Normal 15 2 2 2 2 2 3 2" xfId="16429" xr:uid="{00000000-0005-0000-0000-0000521A0000}"/>
    <cellStyle name="Normal 15 2 2 2 2 2 4" xfId="10888" xr:uid="{00000000-0005-0000-0000-0000531A0000}"/>
    <cellStyle name="Normal 15 2 2 2 2 2 4 2" xfId="19575" xr:uid="{00000000-0005-0000-0000-0000541A0000}"/>
    <cellStyle name="Normal 15 2 2 2 2 2 5" xfId="12495" xr:uid="{00000000-0005-0000-0000-0000551A0000}"/>
    <cellStyle name="Normal 15 2 2 2 2 2 5 2" xfId="21175" xr:uid="{00000000-0005-0000-0000-0000561A0000}"/>
    <cellStyle name="Normal 15 2 2 2 2 2 6" xfId="13909" xr:uid="{00000000-0005-0000-0000-0000571A0000}"/>
    <cellStyle name="Normal 15 2 2 2 2 3" xfId="2227" xr:uid="{00000000-0005-0000-0000-0000581A0000}"/>
    <cellStyle name="Normal 15 2 2 2 2 3 2" xfId="9279" xr:uid="{00000000-0005-0000-0000-0000591A0000}"/>
    <cellStyle name="Normal 15 2 2 2 2 3 2 2" xfId="18029" xr:uid="{00000000-0005-0000-0000-00005A1A0000}"/>
    <cellStyle name="Normal 15 2 2 2 2 3 3" xfId="7676" xr:uid="{00000000-0005-0000-0000-00005B1A0000}"/>
    <cellStyle name="Normal 15 2 2 2 2 3 3 2" xfId="16430" xr:uid="{00000000-0005-0000-0000-00005C1A0000}"/>
    <cellStyle name="Normal 15 2 2 2 2 3 4" xfId="10889" xr:uid="{00000000-0005-0000-0000-00005D1A0000}"/>
    <cellStyle name="Normal 15 2 2 2 2 3 4 2" xfId="19576" xr:uid="{00000000-0005-0000-0000-00005E1A0000}"/>
    <cellStyle name="Normal 15 2 2 2 2 3 5" xfId="12496" xr:uid="{00000000-0005-0000-0000-00005F1A0000}"/>
    <cellStyle name="Normal 15 2 2 2 2 3 5 2" xfId="21176" xr:uid="{00000000-0005-0000-0000-0000601A0000}"/>
    <cellStyle name="Normal 15 2 2 2 2 3 6" xfId="14645" xr:uid="{00000000-0005-0000-0000-0000611A0000}"/>
    <cellStyle name="Normal 15 2 2 2 2 4" xfId="2228" xr:uid="{00000000-0005-0000-0000-0000621A0000}"/>
    <cellStyle name="Normal 15 2 2 2 2 4 2" xfId="9280" xr:uid="{00000000-0005-0000-0000-0000631A0000}"/>
    <cellStyle name="Normal 15 2 2 2 2 4 2 2" xfId="18030" xr:uid="{00000000-0005-0000-0000-0000641A0000}"/>
    <cellStyle name="Normal 15 2 2 2 2 4 3" xfId="7677" xr:uid="{00000000-0005-0000-0000-0000651A0000}"/>
    <cellStyle name="Normal 15 2 2 2 2 4 3 2" xfId="16431" xr:uid="{00000000-0005-0000-0000-0000661A0000}"/>
    <cellStyle name="Normal 15 2 2 2 2 4 4" xfId="10890" xr:uid="{00000000-0005-0000-0000-0000671A0000}"/>
    <cellStyle name="Normal 15 2 2 2 2 4 4 2" xfId="19577" xr:uid="{00000000-0005-0000-0000-0000681A0000}"/>
    <cellStyle name="Normal 15 2 2 2 2 4 5" xfId="12497" xr:uid="{00000000-0005-0000-0000-0000691A0000}"/>
    <cellStyle name="Normal 15 2 2 2 2 4 5 2" xfId="21177" xr:uid="{00000000-0005-0000-0000-00006A1A0000}"/>
    <cellStyle name="Normal 15 2 2 2 2 4 6" xfId="14078" xr:uid="{00000000-0005-0000-0000-00006B1A0000}"/>
    <cellStyle name="Normal 15 2 2 2 3" xfId="2229" xr:uid="{00000000-0005-0000-0000-00006C1A0000}"/>
    <cellStyle name="Normal 15 2 2 2 4" xfId="2230" xr:uid="{00000000-0005-0000-0000-00006D1A0000}"/>
    <cellStyle name="Normal 15 2 2 2 5" xfId="9277" xr:uid="{00000000-0005-0000-0000-00006E1A0000}"/>
    <cellStyle name="Normal 15 2 2 2 5 2" xfId="18027" xr:uid="{00000000-0005-0000-0000-00006F1A0000}"/>
    <cellStyle name="Normal 15 2 2 2 6" xfId="7674" xr:uid="{00000000-0005-0000-0000-0000701A0000}"/>
    <cellStyle name="Normal 15 2 2 2 6 2" xfId="16428" xr:uid="{00000000-0005-0000-0000-0000711A0000}"/>
    <cellStyle name="Normal 15 2 2 2 7" xfId="10887" xr:uid="{00000000-0005-0000-0000-0000721A0000}"/>
    <cellStyle name="Normal 15 2 2 2 7 2" xfId="19574" xr:uid="{00000000-0005-0000-0000-0000731A0000}"/>
    <cellStyle name="Normal 15 2 2 2 8" xfId="12494" xr:uid="{00000000-0005-0000-0000-0000741A0000}"/>
    <cellStyle name="Normal 15 2 2 2 8 2" xfId="21174" xr:uid="{00000000-0005-0000-0000-0000751A0000}"/>
    <cellStyle name="Normal 15 2 2 2 9" xfId="13893" xr:uid="{00000000-0005-0000-0000-0000761A0000}"/>
    <cellStyle name="Normal 15 2 2 3" xfId="2231" xr:uid="{00000000-0005-0000-0000-0000771A0000}"/>
    <cellStyle name="Normal 15 2 2 3 2" xfId="2232" xr:uid="{00000000-0005-0000-0000-0000781A0000}"/>
    <cellStyle name="Normal 15 2 2 3 2 2" xfId="9282" xr:uid="{00000000-0005-0000-0000-0000791A0000}"/>
    <cellStyle name="Normal 15 2 2 3 2 2 2" xfId="18032" xr:uid="{00000000-0005-0000-0000-00007A1A0000}"/>
    <cellStyle name="Normal 15 2 2 3 2 3" xfId="7679" xr:uid="{00000000-0005-0000-0000-00007B1A0000}"/>
    <cellStyle name="Normal 15 2 2 3 2 3 2" xfId="16433" xr:uid="{00000000-0005-0000-0000-00007C1A0000}"/>
    <cellStyle name="Normal 15 2 2 3 2 4" xfId="10892" xr:uid="{00000000-0005-0000-0000-00007D1A0000}"/>
    <cellStyle name="Normal 15 2 2 3 2 4 2" xfId="19579" xr:uid="{00000000-0005-0000-0000-00007E1A0000}"/>
    <cellStyle name="Normal 15 2 2 3 2 5" xfId="12499" xr:uid="{00000000-0005-0000-0000-00007F1A0000}"/>
    <cellStyle name="Normal 15 2 2 3 2 5 2" xfId="21179" xr:uid="{00000000-0005-0000-0000-0000801A0000}"/>
    <cellStyle name="Normal 15 2 2 3 2 6" xfId="14028" xr:uid="{00000000-0005-0000-0000-0000811A0000}"/>
    <cellStyle name="Normal 15 2 2 3 3" xfId="2233" xr:uid="{00000000-0005-0000-0000-0000821A0000}"/>
    <cellStyle name="Normal 15 2 2 3 3 2" xfId="9283" xr:uid="{00000000-0005-0000-0000-0000831A0000}"/>
    <cellStyle name="Normal 15 2 2 3 3 2 2" xfId="18033" xr:uid="{00000000-0005-0000-0000-0000841A0000}"/>
    <cellStyle name="Normal 15 2 2 3 3 3" xfId="7680" xr:uid="{00000000-0005-0000-0000-0000851A0000}"/>
    <cellStyle name="Normal 15 2 2 3 3 3 2" xfId="16434" xr:uid="{00000000-0005-0000-0000-0000861A0000}"/>
    <cellStyle name="Normal 15 2 2 3 3 4" xfId="10893" xr:uid="{00000000-0005-0000-0000-0000871A0000}"/>
    <cellStyle name="Normal 15 2 2 3 3 4 2" xfId="19580" xr:uid="{00000000-0005-0000-0000-0000881A0000}"/>
    <cellStyle name="Normal 15 2 2 3 3 5" xfId="12500" xr:uid="{00000000-0005-0000-0000-0000891A0000}"/>
    <cellStyle name="Normal 15 2 2 3 3 5 2" xfId="21180" xr:uid="{00000000-0005-0000-0000-00008A1A0000}"/>
    <cellStyle name="Normal 15 2 2 3 3 6" xfId="14047" xr:uid="{00000000-0005-0000-0000-00008B1A0000}"/>
    <cellStyle name="Normal 15 2 2 3 4" xfId="2234" xr:uid="{00000000-0005-0000-0000-00008C1A0000}"/>
    <cellStyle name="Normal 15 2 2 3 4 2" xfId="9284" xr:uid="{00000000-0005-0000-0000-00008D1A0000}"/>
    <cellStyle name="Normal 15 2 2 3 4 2 2" xfId="18034" xr:uid="{00000000-0005-0000-0000-00008E1A0000}"/>
    <cellStyle name="Normal 15 2 2 3 4 3" xfId="7681" xr:uid="{00000000-0005-0000-0000-00008F1A0000}"/>
    <cellStyle name="Normal 15 2 2 3 4 3 2" xfId="16435" xr:uid="{00000000-0005-0000-0000-0000901A0000}"/>
    <cellStyle name="Normal 15 2 2 3 4 4" xfId="10894" xr:uid="{00000000-0005-0000-0000-0000911A0000}"/>
    <cellStyle name="Normal 15 2 2 3 4 4 2" xfId="19581" xr:uid="{00000000-0005-0000-0000-0000921A0000}"/>
    <cellStyle name="Normal 15 2 2 3 4 5" xfId="12501" xr:uid="{00000000-0005-0000-0000-0000931A0000}"/>
    <cellStyle name="Normal 15 2 2 3 4 5 2" xfId="21181" xr:uid="{00000000-0005-0000-0000-0000941A0000}"/>
    <cellStyle name="Normal 15 2 2 3 4 6" xfId="14757" xr:uid="{00000000-0005-0000-0000-0000951A0000}"/>
    <cellStyle name="Normal 15 2 2 3 5" xfId="9281" xr:uid="{00000000-0005-0000-0000-0000961A0000}"/>
    <cellStyle name="Normal 15 2 2 3 5 2" xfId="18031" xr:uid="{00000000-0005-0000-0000-0000971A0000}"/>
    <cellStyle name="Normal 15 2 2 3 6" xfId="7678" xr:uid="{00000000-0005-0000-0000-0000981A0000}"/>
    <cellStyle name="Normal 15 2 2 3 6 2" xfId="16432" xr:uid="{00000000-0005-0000-0000-0000991A0000}"/>
    <cellStyle name="Normal 15 2 2 3 7" xfId="10891" xr:uid="{00000000-0005-0000-0000-00009A1A0000}"/>
    <cellStyle name="Normal 15 2 2 3 7 2" xfId="19578" xr:uid="{00000000-0005-0000-0000-00009B1A0000}"/>
    <cellStyle name="Normal 15 2 2 3 8" xfId="12498" xr:uid="{00000000-0005-0000-0000-00009C1A0000}"/>
    <cellStyle name="Normal 15 2 2 3 8 2" xfId="21178" xr:uid="{00000000-0005-0000-0000-00009D1A0000}"/>
    <cellStyle name="Normal 15 2 2 3 9" xfId="14751" xr:uid="{00000000-0005-0000-0000-00009E1A0000}"/>
    <cellStyle name="Normal 15 2 2 4" xfId="2235" xr:uid="{00000000-0005-0000-0000-00009F1A0000}"/>
    <cellStyle name="Normal 15 2 2 4 2" xfId="2236" xr:uid="{00000000-0005-0000-0000-0000A01A0000}"/>
    <cellStyle name="Normal 15 2 2 4 2 2" xfId="9286" xr:uid="{00000000-0005-0000-0000-0000A11A0000}"/>
    <cellStyle name="Normal 15 2 2 4 2 2 2" xfId="18036" xr:uid="{00000000-0005-0000-0000-0000A21A0000}"/>
    <cellStyle name="Normal 15 2 2 4 2 3" xfId="7683" xr:uid="{00000000-0005-0000-0000-0000A31A0000}"/>
    <cellStyle name="Normal 15 2 2 4 2 3 2" xfId="16437" xr:uid="{00000000-0005-0000-0000-0000A41A0000}"/>
    <cellStyle name="Normal 15 2 2 4 2 4" xfId="10896" xr:uid="{00000000-0005-0000-0000-0000A51A0000}"/>
    <cellStyle name="Normal 15 2 2 4 2 4 2" xfId="19583" xr:uid="{00000000-0005-0000-0000-0000A61A0000}"/>
    <cellStyle name="Normal 15 2 2 4 2 5" xfId="12503" xr:uid="{00000000-0005-0000-0000-0000A71A0000}"/>
    <cellStyle name="Normal 15 2 2 4 2 5 2" xfId="21183" xr:uid="{00000000-0005-0000-0000-0000A81A0000}"/>
    <cellStyle name="Normal 15 2 2 4 2 6" xfId="14021" xr:uid="{00000000-0005-0000-0000-0000A91A0000}"/>
    <cellStyle name="Normal 15 2 2 4 3" xfId="2237" xr:uid="{00000000-0005-0000-0000-0000AA1A0000}"/>
    <cellStyle name="Normal 15 2 2 4 3 2" xfId="9287" xr:uid="{00000000-0005-0000-0000-0000AB1A0000}"/>
    <cellStyle name="Normal 15 2 2 4 3 2 2" xfId="18037" xr:uid="{00000000-0005-0000-0000-0000AC1A0000}"/>
    <cellStyle name="Normal 15 2 2 4 3 3" xfId="7684" xr:uid="{00000000-0005-0000-0000-0000AD1A0000}"/>
    <cellStyle name="Normal 15 2 2 4 3 3 2" xfId="16438" xr:uid="{00000000-0005-0000-0000-0000AE1A0000}"/>
    <cellStyle name="Normal 15 2 2 4 3 4" xfId="10897" xr:uid="{00000000-0005-0000-0000-0000AF1A0000}"/>
    <cellStyle name="Normal 15 2 2 4 3 4 2" xfId="19584" xr:uid="{00000000-0005-0000-0000-0000B01A0000}"/>
    <cellStyle name="Normal 15 2 2 4 3 5" xfId="12504" xr:uid="{00000000-0005-0000-0000-0000B11A0000}"/>
    <cellStyle name="Normal 15 2 2 4 3 5 2" xfId="21184" xr:uid="{00000000-0005-0000-0000-0000B21A0000}"/>
    <cellStyle name="Normal 15 2 2 4 3 6" xfId="14013" xr:uid="{00000000-0005-0000-0000-0000B31A0000}"/>
    <cellStyle name="Normal 15 2 2 4 4" xfId="2238" xr:uid="{00000000-0005-0000-0000-0000B41A0000}"/>
    <cellStyle name="Normal 15 2 2 4 4 2" xfId="9288" xr:uid="{00000000-0005-0000-0000-0000B51A0000}"/>
    <cellStyle name="Normal 15 2 2 4 4 2 2" xfId="18038" xr:uid="{00000000-0005-0000-0000-0000B61A0000}"/>
    <cellStyle name="Normal 15 2 2 4 4 3" xfId="7685" xr:uid="{00000000-0005-0000-0000-0000B71A0000}"/>
    <cellStyle name="Normal 15 2 2 4 4 3 2" xfId="16439" xr:uid="{00000000-0005-0000-0000-0000B81A0000}"/>
    <cellStyle name="Normal 15 2 2 4 4 4" xfId="10898" xr:uid="{00000000-0005-0000-0000-0000B91A0000}"/>
    <cellStyle name="Normal 15 2 2 4 4 4 2" xfId="19585" xr:uid="{00000000-0005-0000-0000-0000BA1A0000}"/>
    <cellStyle name="Normal 15 2 2 4 4 5" xfId="12505" xr:uid="{00000000-0005-0000-0000-0000BB1A0000}"/>
    <cellStyle name="Normal 15 2 2 4 4 5 2" xfId="21185" xr:uid="{00000000-0005-0000-0000-0000BC1A0000}"/>
    <cellStyle name="Normal 15 2 2 4 4 6" xfId="14759" xr:uid="{00000000-0005-0000-0000-0000BD1A0000}"/>
    <cellStyle name="Normal 15 2 2 4 5" xfId="9285" xr:uid="{00000000-0005-0000-0000-0000BE1A0000}"/>
    <cellStyle name="Normal 15 2 2 4 5 2" xfId="18035" xr:uid="{00000000-0005-0000-0000-0000BF1A0000}"/>
    <cellStyle name="Normal 15 2 2 4 6" xfId="7682" xr:uid="{00000000-0005-0000-0000-0000C01A0000}"/>
    <cellStyle name="Normal 15 2 2 4 6 2" xfId="16436" xr:uid="{00000000-0005-0000-0000-0000C11A0000}"/>
    <cellStyle name="Normal 15 2 2 4 7" xfId="10895" xr:uid="{00000000-0005-0000-0000-0000C21A0000}"/>
    <cellStyle name="Normal 15 2 2 4 7 2" xfId="19582" xr:uid="{00000000-0005-0000-0000-0000C31A0000}"/>
    <cellStyle name="Normal 15 2 2 4 8" xfId="12502" xr:uid="{00000000-0005-0000-0000-0000C41A0000}"/>
    <cellStyle name="Normal 15 2 2 4 8 2" xfId="21182" xr:uid="{00000000-0005-0000-0000-0000C51A0000}"/>
    <cellStyle name="Normal 15 2 2 4 9" xfId="14319" xr:uid="{00000000-0005-0000-0000-0000C61A0000}"/>
    <cellStyle name="Normal 15 2 2 5" xfId="2239" xr:uid="{00000000-0005-0000-0000-0000C71A0000}"/>
    <cellStyle name="Normal 15 2 2 5 2" xfId="9289" xr:uid="{00000000-0005-0000-0000-0000C81A0000}"/>
    <cellStyle name="Normal 15 2 2 5 2 2" xfId="18039" xr:uid="{00000000-0005-0000-0000-0000C91A0000}"/>
    <cellStyle name="Normal 15 2 2 5 3" xfId="7686" xr:uid="{00000000-0005-0000-0000-0000CA1A0000}"/>
    <cellStyle name="Normal 15 2 2 5 3 2" xfId="16440" xr:uid="{00000000-0005-0000-0000-0000CB1A0000}"/>
    <cellStyle name="Normal 15 2 2 5 4" xfId="10899" xr:uid="{00000000-0005-0000-0000-0000CC1A0000}"/>
    <cellStyle name="Normal 15 2 2 5 4 2" xfId="19586" xr:uid="{00000000-0005-0000-0000-0000CD1A0000}"/>
    <cellStyle name="Normal 15 2 2 5 5" xfId="12506" xr:uid="{00000000-0005-0000-0000-0000CE1A0000}"/>
    <cellStyle name="Normal 15 2 2 5 5 2" xfId="21186" xr:uid="{00000000-0005-0000-0000-0000CF1A0000}"/>
    <cellStyle name="Normal 15 2 2 5 6" xfId="13955" xr:uid="{00000000-0005-0000-0000-0000D01A0000}"/>
    <cellStyle name="Normal 15 2 2 6" xfId="2240" xr:uid="{00000000-0005-0000-0000-0000D11A0000}"/>
    <cellStyle name="Normal 15 2 2 6 2" xfId="9290" xr:uid="{00000000-0005-0000-0000-0000D21A0000}"/>
    <cellStyle name="Normal 15 2 2 6 2 2" xfId="18040" xr:uid="{00000000-0005-0000-0000-0000D31A0000}"/>
    <cellStyle name="Normal 15 2 2 6 3" xfId="7687" xr:uid="{00000000-0005-0000-0000-0000D41A0000}"/>
    <cellStyle name="Normal 15 2 2 6 3 2" xfId="16441" xr:uid="{00000000-0005-0000-0000-0000D51A0000}"/>
    <cellStyle name="Normal 15 2 2 6 4" xfId="10900" xr:uid="{00000000-0005-0000-0000-0000D61A0000}"/>
    <cellStyle name="Normal 15 2 2 6 4 2" xfId="19587" xr:uid="{00000000-0005-0000-0000-0000D71A0000}"/>
    <cellStyle name="Normal 15 2 2 6 5" xfId="12507" xr:uid="{00000000-0005-0000-0000-0000D81A0000}"/>
    <cellStyle name="Normal 15 2 2 6 5 2" xfId="21187" xr:uid="{00000000-0005-0000-0000-0000D91A0000}"/>
    <cellStyle name="Normal 15 2 2 6 6" xfId="14003" xr:uid="{00000000-0005-0000-0000-0000DA1A0000}"/>
    <cellStyle name="Normal 15 2 2 7" xfId="2241" xr:uid="{00000000-0005-0000-0000-0000DB1A0000}"/>
    <cellStyle name="Normal 15 2 2 7 2" xfId="9291" xr:uid="{00000000-0005-0000-0000-0000DC1A0000}"/>
    <cellStyle name="Normal 15 2 2 7 2 2" xfId="18041" xr:uid="{00000000-0005-0000-0000-0000DD1A0000}"/>
    <cellStyle name="Normal 15 2 2 7 3" xfId="7688" xr:uid="{00000000-0005-0000-0000-0000DE1A0000}"/>
    <cellStyle name="Normal 15 2 2 7 3 2" xfId="16442" xr:uid="{00000000-0005-0000-0000-0000DF1A0000}"/>
    <cellStyle name="Normal 15 2 2 7 4" xfId="10901" xr:uid="{00000000-0005-0000-0000-0000E01A0000}"/>
    <cellStyle name="Normal 15 2 2 7 4 2" xfId="19588" xr:uid="{00000000-0005-0000-0000-0000E11A0000}"/>
    <cellStyle name="Normal 15 2 2 7 5" xfId="12508" xr:uid="{00000000-0005-0000-0000-0000E21A0000}"/>
    <cellStyle name="Normal 15 2 2 7 5 2" xfId="21188" xr:uid="{00000000-0005-0000-0000-0000E31A0000}"/>
    <cellStyle name="Normal 15 2 2 7 6" xfId="13947" xr:uid="{00000000-0005-0000-0000-0000E41A0000}"/>
    <cellStyle name="Normal 15 2 3" xfId="2242" xr:uid="{00000000-0005-0000-0000-0000E51A0000}"/>
    <cellStyle name="Normal 15 2 3 2" xfId="2243" xr:uid="{00000000-0005-0000-0000-0000E61A0000}"/>
    <cellStyle name="Normal 15 2 3 2 2" xfId="9293" xr:uid="{00000000-0005-0000-0000-0000E71A0000}"/>
    <cellStyle name="Normal 15 2 3 2 2 2" xfId="18043" xr:uid="{00000000-0005-0000-0000-0000E81A0000}"/>
    <cellStyle name="Normal 15 2 3 2 3" xfId="7690" xr:uid="{00000000-0005-0000-0000-0000E91A0000}"/>
    <cellStyle name="Normal 15 2 3 2 3 2" xfId="16444" xr:uid="{00000000-0005-0000-0000-0000EA1A0000}"/>
    <cellStyle name="Normal 15 2 3 2 4" xfId="10903" xr:uid="{00000000-0005-0000-0000-0000EB1A0000}"/>
    <cellStyle name="Normal 15 2 3 2 4 2" xfId="19590" xr:uid="{00000000-0005-0000-0000-0000EC1A0000}"/>
    <cellStyle name="Normal 15 2 3 2 5" xfId="12510" xr:uid="{00000000-0005-0000-0000-0000ED1A0000}"/>
    <cellStyle name="Normal 15 2 3 2 5 2" xfId="21190" xr:uid="{00000000-0005-0000-0000-0000EE1A0000}"/>
    <cellStyle name="Normal 15 2 3 2 6" xfId="14764" xr:uid="{00000000-0005-0000-0000-0000EF1A0000}"/>
    <cellStyle name="Normal 15 2 3 3" xfId="2244" xr:uid="{00000000-0005-0000-0000-0000F01A0000}"/>
    <cellStyle name="Normal 15 2 3 3 2" xfId="9294" xr:uid="{00000000-0005-0000-0000-0000F11A0000}"/>
    <cellStyle name="Normal 15 2 3 3 2 2" xfId="18044" xr:uid="{00000000-0005-0000-0000-0000F21A0000}"/>
    <cellStyle name="Normal 15 2 3 3 3" xfId="7691" xr:uid="{00000000-0005-0000-0000-0000F31A0000}"/>
    <cellStyle name="Normal 15 2 3 3 3 2" xfId="16445" xr:uid="{00000000-0005-0000-0000-0000F41A0000}"/>
    <cellStyle name="Normal 15 2 3 3 4" xfId="10904" xr:uid="{00000000-0005-0000-0000-0000F51A0000}"/>
    <cellStyle name="Normal 15 2 3 3 4 2" xfId="19591" xr:uid="{00000000-0005-0000-0000-0000F61A0000}"/>
    <cellStyle name="Normal 15 2 3 3 5" xfId="12511" xr:uid="{00000000-0005-0000-0000-0000F71A0000}"/>
    <cellStyle name="Normal 15 2 3 3 5 2" xfId="21191" xr:uid="{00000000-0005-0000-0000-0000F81A0000}"/>
    <cellStyle name="Normal 15 2 3 3 6" xfId="14647" xr:uid="{00000000-0005-0000-0000-0000F91A0000}"/>
    <cellStyle name="Normal 15 2 3 4" xfId="2245" xr:uid="{00000000-0005-0000-0000-0000FA1A0000}"/>
    <cellStyle name="Normal 15 2 3 4 2" xfId="9295" xr:uid="{00000000-0005-0000-0000-0000FB1A0000}"/>
    <cellStyle name="Normal 15 2 3 4 2 2" xfId="18045" xr:uid="{00000000-0005-0000-0000-0000FC1A0000}"/>
    <cellStyle name="Normal 15 2 3 4 3" xfId="7692" xr:uid="{00000000-0005-0000-0000-0000FD1A0000}"/>
    <cellStyle name="Normal 15 2 3 4 3 2" xfId="16446" xr:uid="{00000000-0005-0000-0000-0000FE1A0000}"/>
    <cellStyle name="Normal 15 2 3 4 4" xfId="10905" xr:uid="{00000000-0005-0000-0000-0000FF1A0000}"/>
    <cellStyle name="Normal 15 2 3 4 4 2" xfId="19592" xr:uid="{00000000-0005-0000-0000-0000001B0000}"/>
    <cellStyle name="Normal 15 2 3 4 5" xfId="12512" xr:uid="{00000000-0005-0000-0000-0000011B0000}"/>
    <cellStyle name="Normal 15 2 3 4 5 2" xfId="21192" xr:uid="{00000000-0005-0000-0000-0000021B0000}"/>
    <cellStyle name="Normal 15 2 3 4 6" xfId="14307" xr:uid="{00000000-0005-0000-0000-0000031B0000}"/>
    <cellStyle name="Normal 15 2 3 5" xfId="9292" xr:uid="{00000000-0005-0000-0000-0000041B0000}"/>
    <cellStyle name="Normal 15 2 3 5 2" xfId="18042" xr:uid="{00000000-0005-0000-0000-0000051B0000}"/>
    <cellStyle name="Normal 15 2 3 6" xfId="7689" xr:uid="{00000000-0005-0000-0000-0000061B0000}"/>
    <cellStyle name="Normal 15 2 3 6 2" xfId="16443" xr:uid="{00000000-0005-0000-0000-0000071B0000}"/>
    <cellStyle name="Normal 15 2 3 7" xfId="10902" xr:uid="{00000000-0005-0000-0000-0000081B0000}"/>
    <cellStyle name="Normal 15 2 3 7 2" xfId="19589" xr:uid="{00000000-0005-0000-0000-0000091B0000}"/>
    <cellStyle name="Normal 15 2 3 8" xfId="12509" xr:uid="{00000000-0005-0000-0000-00000A1B0000}"/>
    <cellStyle name="Normal 15 2 3 8 2" xfId="21189" xr:uid="{00000000-0005-0000-0000-00000B1B0000}"/>
    <cellStyle name="Normal 15 2 3 9" xfId="13992" xr:uid="{00000000-0005-0000-0000-00000C1B0000}"/>
    <cellStyle name="Normal 15 2 4" xfId="2246" xr:uid="{00000000-0005-0000-0000-00000D1B0000}"/>
    <cellStyle name="Normal 15 2 5" xfId="2247" xr:uid="{00000000-0005-0000-0000-00000E1B0000}"/>
    <cellStyle name="Normal 15 2 6" xfId="2248" xr:uid="{00000000-0005-0000-0000-00000F1B0000}"/>
    <cellStyle name="Normal 15 2 6 2" xfId="9296" xr:uid="{00000000-0005-0000-0000-0000101B0000}"/>
    <cellStyle name="Normal 15 2 6 2 2" xfId="18046" xr:uid="{00000000-0005-0000-0000-0000111B0000}"/>
    <cellStyle name="Normal 15 2 6 3" xfId="7693" xr:uid="{00000000-0005-0000-0000-0000121B0000}"/>
    <cellStyle name="Normal 15 2 6 3 2" xfId="16447" xr:uid="{00000000-0005-0000-0000-0000131B0000}"/>
    <cellStyle name="Normal 15 2 6 4" xfId="10906" xr:uid="{00000000-0005-0000-0000-0000141B0000}"/>
    <cellStyle name="Normal 15 2 6 4 2" xfId="19593" xr:uid="{00000000-0005-0000-0000-0000151B0000}"/>
    <cellStyle name="Normal 15 2 6 5" xfId="12513" xr:uid="{00000000-0005-0000-0000-0000161B0000}"/>
    <cellStyle name="Normal 15 2 6 5 2" xfId="21193" xr:uid="{00000000-0005-0000-0000-0000171B0000}"/>
    <cellStyle name="Normal 15 2 6 6" xfId="14329" xr:uid="{00000000-0005-0000-0000-0000181B0000}"/>
    <cellStyle name="Normal 15 2 7" xfId="2249" xr:uid="{00000000-0005-0000-0000-0000191B0000}"/>
    <cellStyle name="Normal 15 2 7 2" xfId="9297" xr:uid="{00000000-0005-0000-0000-00001A1B0000}"/>
    <cellStyle name="Normal 15 2 7 2 2" xfId="18047" xr:uid="{00000000-0005-0000-0000-00001B1B0000}"/>
    <cellStyle name="Normal 15 2 7 3" xfId="7694" xr:uid="{00000000-0005-0000-0000-00001C1B0000}"/>
    <cellStyle name="Normal 15 2 7 3 2" xfId="16448" xr:uid="{00000000-0005-0000-0000-00001D1B0000}"/>
    <cellStyle name="Normal 15 2 7 4" xfId="10907" xr:uid="{00000000-0005-0000-0000-00001E1B0000}"/>
    <cellStyle name="Normal 15 2 7 4 2" xfId="19594" xr:uid="{00000000-0005-0000-0000-00001F1B0000}"/>
    <cellStyle name="Normal 15 2 7 5" xfId="12514" xr:uid="{00000000-0005-0000-0000-0000201B0000}"/>
    <cellStyle name="Normal 15 2 7 5 2" xfId="21194" xr:uid="{00000000-0005-0000-0000-0000211B0000}"/>
    <cellStyle name="Normal 15 2 7 6" xfId="14626" xr:uid="{00000000-0005-0000-0000-0000221B0000}"/>
    <cellStyle name="Normal 15 2 8" xfId="2250" xr:uid="{00000000-0005-0000-0000-0000231B0000}"/>
    <cellStyle name="Normal 15 2 8 2" xfId="9298" xr:uid="{00000000-0005-0000-0000-0000241B0000}"/>
    <cellStyle name="Normal 15 2 8 2 2" xfId="18048" xr:uid="{00000000-0005-0000-0000-0000251B0000}"/>
    <cellStyle name="Normal 15 2 8 3" xfId="7695" xr:uid="{00000000-0005-0000-0000-0000261B0000}"/>
    <cellStyle name="Normal 15 2 8 3 2" xfId="16449" xr:uid="{00000000-0005-0000-0000-0000271B0000}"/>
    <cellStyle name="Normal 15 2 8 4" xfId="10908" xr:uid="{00000000-0005-0000-0000-0000281B0000}"/>
    <cellStyle name="Normal 15 2 8 4 2" xfId="19595" xr:uid="{00000000-0005-0000-0000-0000291B0000}"/>
    <cellStyle name="Normal 15 2 8 5" xfId="12515" xr:uid="{00000000-0005-0000-0000-00002A1B0000}"/>
    <cellStyle name="Normal 15 2 8 5 2" xfId="21195" xr:uid="{00000000-0005-0000-0000-00002B1B0000}"/>
    <cellStyle name="Normal 15 2 8 6" xfId="14306" xr:uid="{00000000-0005-0000-0000-00002C1B0000}"/>
    <cellStyle name="Normal 15 2 9" xfId="7371" xr:uid="{00000000-0005-0000-0000-00002D1B0000}"/>
    <cellStyle name="Normal 15 2 9 2" xfId="9276" xr:uid="{00000000-0005-0000-0000-00002E1B0000}"/>
    <cellStyle name="Normal 15 2 9 2 2" xfId="18026" xr:uid="{00000000-0005-0000-0000-00002F1B0000}"/>
    <cellStyle name="Normal 15 2 9 3" xfId="16166" xr:uid="{00000000-0005-0000-0000-0000301B0000}"/>
    <cellStyle name="Normal 15 3" xfId="2251" xr:uid="{00000000-0005-0000-0000-0000311B0000}"/>
    <cellStyle name="Normal 15 4" xfId="2252" xr:uid="{00000000-0005-0000-0000-0000321B0000}"/>
    <cellStyle name="Normal 15 5" xfId="2221" xr:uid="{00000000-0005-0000-0000-0000331B0000}"/>
    <cellStyle name="Normal 15 5 2" xfId="9275" xr:uid="{00000000-0005-0000-0000-0000341B0000}"/>
    <cellStyle name="Normal 15 5 2 2" xfId="18025" xr:uid="{00000000-0005-0000-0000-0000351B0000}"/>
    <cellStyle name="Normal 15 5 3" xfId="10885" xr:uid="{00000000-0005-0000-0000-0000361B0000}"/>
    <cellStyle name="Normal 15 5 3 2" xfId="19572" xr:uid="{00000000-0005-0000-0000-0000371B0000}"/>
    <cellStyle name="Normal 15 5 4" xfId="14780" xr:uid="{00000000-0005-0000-0000-0000381B0000}"/>
    <cellStyle name="Normal 15 6" xfId="6934" xr:uid="{00000000-0005-0000-0000-0000391B0000}"/>
    <cellStyle name="Normal 15 6 2" xfId="16144" xr:uid="{00000000-0005-0000-0000-00003A1B0000}"/>
    <cellStyle name="Normal 15 7" xfId="7672" xr:uid="{00000000-0005-0000-0000-00003B1B0000}"/>
    <cellStyle name="Normal 15 7 2" xfId="16426" xr:uid="{00000000-0005-0000-0000-00003C1B0000}"/>
    <cellStyle name="Normal 15 8" xfId="10630" xr:uid="{00000000-0005-0000-0000-00003D1B0000}"/>
    <cellStyle name="Normal 15 9" xfId="12492" xr:uid="{00000000-0005-0000-0000-00003E1B0000}"/>
    <cellStyle name="Normal 15 9 2" xfId="21172" xr:uid="{00000000-0005-0000-0000-00003F1B0000}"/>
    <cellStyle name="Normal 150" xfId="2253" xr:uid="{00000000-0005-0000-0000-0000401B0000}"/>
    <cellStyle name="Normal 151" xfId="4887" xr:uid="{00000000-0005-0000-0000-0000411B0000}"/>
    <cellStyle name="Normal 152" xfId="117" xr:uid="{00000000-0005-0000-0000-0000421B0000}"/>
    <cellStyle name="Normal 152 2" xfId="4893" xr:uid="{00000000-0005-0000-0000-0000431B0000}"/>
    <cellStyle name="Normal 153" xfId="4891" xr:uid="{00000000-0005-0000-0000-0000441B0000}"/>
    <cellStyle name="Normal 153 2" xfId="4896" xr:uid="{00000000-0005-0000-0000-0000451B0000}"/>
    <cellStyle name="Normal 154" xfId="163" xr:uid="{00000000-0005-0000-0000-0000461B0000}"/>
    <cellStyle name="Normal 154 2" xfId="7420" xr:uid="{00000000-0005-0000-0000-0000471B0000}"/>
    <cellStyle name="Normal 154 2 2" xfId="16180" xr:uid="{00000000-0005-0000-0000-0000481B0000}"/>
    <cellStyle name="Normal 154 3" xfId="10645" xr:uid="{00000000-0005-0000-0000-0000491B0000}"/>
    <cellStyle name="Normal 154 3 2" xfId="19332" xr:uid="{00000000-0005-0000-0000-00004A1B0000}"/>
    <cellStyle name="Normal 154 4" xfId="13884" xr:uid="{00000000-0005-0000-0000-00004B1B0000}"/>
    <cellStyle name="Normal 155" xfId="4877" xr:uid="{00000000-0005-0000-0000-00004C1B0000}"/>
    <cellStyle name="Normal 155 2" xfId="9029" xr:uid="{00000000-0005-0000-0000-00004D1B0000}"/>
    <cellStyle name="Normal 155 2 2" xfId="17779" xr:uid="{00000000-0005-0000-0000-00004E1B0000}"/>
    <cellStyle name="Normal 155 3" xfId="12233" xr:uid="{00000000-0005-0000-0000-00004F1B0000}"/>
    <cellStyle name="Normal 155 3 2" xfId="20918" xr:uid="{00000000-0005-0000-0000-0000501B0000}"/>
    <cellStyle name="Normal 155 4" xfId="16035" xr:uid="{00000000-0005-0000-0000-0000511B0000}"/>
    <cellStyle name="Normal 156" xfId="4913" xr:uid="{00000000-0005-0000-0000-0000521B0000}"/>
    <cellStyle name="Normal 156 2" xfId="9042" xr:uid="{00000000-0005-0000-0000-0000531B0000}"/>
    <cellStyle name="Normal 156 2 2" xfId="17792" xr:uid="{00000000-0005-0000-0000-0000541B0000}"/>
    <cellStyle name="Normal 156 3" xfId="12245" xr:uid="{00000000-0005-0000-0000-0000551B0000}"/>
    <cellStyle name="Normal 156 3 2" xfId="20930" xr:uid="{00000000-0005-0000-0000-0000561B0000}"/>
    <cellStyle name="Normal 156 4" xfId="16047" xr:uid="{00000000-0005-0000-0000-0000571B0000}"/>
    <cellStyle name="Normal 157" xfId="4916" xr:uid="{00000000-0005-0000-0000-0000581B0000}"/>
    <cellStyle name="Normal 157 2" xfId="9040" xr:uid="{00000000-0005-0000-0000-0000591B0000}"/>
    <cellStyle name="Normal 157 2 2" xfId="17790" xr:uid="{00000000-0005-0000-0000-00005A1B0000}"/>
    <cellStyle name="Normal 157 3" xfId="16048" xr:uid="{00000000-0005-0000-0000-00005B1B0000}"/>
    <cellStyle name="Normal 158" xfId="5180" xr:uid="{00000000-0005-0000-0000-00005C1B0000}"/>
    <cellStyle name="Normal 158 2" xfId="9041" xr:uid="{00000000-0005-0000-0000-00005D1B0000}"/>
    <cellStyle name="Normal 158 2 2" xfId="17791" xr:uid="{00000000-0005-0000-0000-00005E1B0000}"/>
    <cellStyle name="Normal 158 3" xfId="16075" xr:uid="{00000000-0005-0000-0000-00005F1B0000}"/>
    <cellStyle name="Normal 159" xfId="7403" xr:uid="{00000000-0005-0000-0000-0000601B0000}"/>
    <cellStyle name="Normal 159 2" xfId="9043" xr:uid="{00000000-0005-0000-0000-0000611B0000}"/>
    <cellStyle name="Normal 159 2 2" xfId="17793" xr:uid="{00000000-0005-0000-0000-0000621B0000}"/>
    <cellStyle name="Normal 159 3" xfId="16171" xr:uid="{00000000-0005-0000-0000-0000631B0000}"/>
    <cellStyle name="Normal 16" xfId="151" xr:uid="{00000000-0005-0000-0000-0000641B0000}"/>
    <cellStyle name="Normal 16 10" xfId="10633" xr:uid="{00000000-0005-0000-0000-0000651B0000}"/>
    <cellStyle name="Normal 16 11" xfId="12516" xr:uid="{00000000-0005-0000-0000-0000661B0000}"/>
    <cellStyle name="Normal 16 11 2" xfId="21196" xr:uid="{00000000-0005-0000-0000-0000671B0000}"/>
    <cellStyle name="Normal 16 2" xfId="2255" xr:uid="{00000000-0005-0000-0000-0000681B0000}"/>
    <cellStyle name="Normal 16 2 2" xfId="2256" xr:uid="{00000000-0005-0000-0000-0000691B0000}"/>
    <cellStyle name="Normal 16 2 2 2" xfId="9301" xr:uid="{00000000-0005-0000-0000-00006A1B0000}"/>
    <cellStyle name="Normal 16 2 2 2 2" xfId="18051" xr:uid="{00000000-0005-0000-0000-00006B1B0000}"/>
    <cellStyle name="Normal 16 2 2 3" xfId="7698" xr:uid="{00000000-0005-0000-0000-00006C1B0000}"/>
    <cellStyle name="Normal 16 2 2 3 2" xfId="16452" xr:uid="{00000000-0005-0000-0000-00006D1B0000}"/>
    <cellStyle name="Normal 16 2 2 4" xfId="10911" xr:uid="{00000000-0005-0000-0000-00006E1B0000}"/>
    <cellStyle name="Normal 16 2 2 4 2" xfId="19598" xr:uid="{00000000-0005-0000-0000-00006F1B0000}"/>
    <cellStyle name="Normal 16 2 2 5" xfId="12518" xr:uid="{00000000-0005-0000-0000-0000701B0000}"/>
    <cellStyle name="Normal 16 2 2 5 2" xfId="21198" xr:uid="{00000000-0005-0000-0000-0000711B0000}"/>
    <cellStyle name="Normal 16 2 2 6" xfId="14298" xr:uid="{00000000-0005-0000-0000-0000721B0000}"/>
    <cellStyle name="Normal 16 2 3" xfId="2257" xr:uid="{00000000-0005-0000-0000-0000731B0000}"/>
    <cellStyle name="Normal 16 2 3 2" xfId="9302" xr:uid="{00000000-0005-0000-0000-0000741B0000}"/>
    <cellStyle name="Normal 16 2 3 2 2" xfId="18052" xr:uid="{00000000-0005-0000-0000-0000751B0000}"/>
    <cellStyle name="Normal 16 2 3 3" xfId="7699" xr:uid="{00000000-0005-0000-0000-0000761B0000}"/>
    <cellStyle name="Normal 16 2 3 3 2" xfId="16453" xr:uid="{00000000-0005-0000-0000-0000771B0000}"/>
    <cellStyle name="Normal 16 2 3 4" xfId="10912" xr:uid="{00000000-0005-0000-0000-0000781B0000}"/>
    <cellStyle name="Normal 16 2 3 4 2" xfId="19599" xr:uid="{00000000-0005-0000-0000-0000791B0000}"/>
    <cellStyle name="Normal 16 2 3 5" xfId="12519" xr:uid="{00000000-0005-0000-0000-00007A1B0000}"/>
    <cellStyle name="Normal 16 2 3 5 2" xfId="21199" xr:uid="{00000000-0005-0000-0000-00007B1B0000}"/>
    <cellStyle name="Normal 16 2 3 6" xfId="14302" xr:uid="{00000000-0005-0000-0000-00007C1B0000}"/>
    <cellStyle name="Normal 16 2 4" xfId="2258" xr:uid="{00000000-0005-0000-0000-00007D1B0000}"/>
    <cellStyle name="Normal 16 2 4 2" xfId="9303" xr:uid="{00000000-0005-0000-0000-00007E1B0000}"/>
    <cellStyle name="Normal 16 2 4 2 2" xfId="18053" xr:uid="{00000000-0005-0000-0000-00007F1B0000}"/>
    <cellStyle name="Normal 16 2 4 3" xfId="7700" xr:uid="{00000000-0005-0000-0000-0000801B0000}"/>
    <cellStyle name="Normal 16 2 4 3 2" xfId="16454" xr:uid="{00000000-0005-0000-0000-0000811B0000}"/>
    <cellStyle name="Normal 16 2 4 4" xfId="10913" xr:uid="{00000000-0005-0000-0000-0000821B0000}"/>
    <cellStyle name="Normal 16 2 4 4 2" xfId="19600" xr:uid="{00000000-0005-0000-0000-0000831B0000}"/>
    <cellStyle name="Normal 16 2 4 5" xfId="12520" xr:uid="{00000000-0005-0000-0000-0000841B0000}"/>
    <cellStyle name="Normal 16 2 4 5 2" xfId="21200" xr:uid="{00000000-0005-0000-0000-0000851B0000}"/>
    <cellStyle name="Normal 16 2 4 6" xfId="14629" xr:uid="{00000000-0005-0000-0000-0000861B0000}"/>
    <cellStyle name="Normal 16 2 5" xfId="9300" xr:uid="{00000000-0005-0000-0000-0000871B0000}"/>
    <cellStyle name="Normal 16 2 5 2" xfId="18050" xr:uid="{00000000-0005-0000-0000-0000881B0000}"/>
    <cellStyle name="Normal 16 2 6" xfId="7697" xr:uid="{00000000-0005-0000-0000-0000891B0000}"/>
    <cellStyle name="Normal 16 2 6 2" xfId="16451" xr:uid="{00000000-0005-0000-0000-00008A1B0000}"/>
    <cellStyle name="Normal 16 2 7" xfId="10910" xr:uid="{00000000-0005-0000-0000-00008B1B0000}"/>
    <cellStyle name="Normal 16 2 7 2" xfId="19597" xr:uid="{00000000-0005-0000-0000-00008C1B0000}"/>
    <cellStyle name="Normal 16 2 8" xfId="12517" xr:uid="{00000000-0005-0000-0000-00008D1B0000}"/>
    <cellStyle name="Normal 16 2 8 2" xfId="21197" xr:uid="{00000000-0005-0000-0000-00008E1B0000}"/>
    <cellStyle name="Normal 16 2 9" xfId="14299" xr:uid="{00000000-0005-0000-0000-00008F1B0000}"/>
    <cellStyle name="Normal 16 3" xfId="2259" xr:uid="{00000000-0005-0000-0000-0000901B0000}"/>
    <cellStyle name="Normal 16 3 2" xfId="2260" xr:uid="{00000000-0005-0000-0000-0000911B0000}"/>
    <cellStyle name="Normal 16 3 2 2" xfId="9305" xr:uid="{00000000-0005-0000-0000-0000921B0000}"/>
    <cellStyle name="Normal 16 3 2 2 2" xfId="18055" xr:uid="{00000000-0005-0000-0000-0000931B0000}"/>
    <cellStyle name="Normal 16 3 2 3" xfId="7702" xr:uid="{00000000-0005-0000-0000-0000941B0000}"/>
    <cellStyle name="Normal 16 3 2 3 2" xfId="16456" xr:uid="{00000000-0005-0000-0000-0000951B0000}"/>
    <cellStyle name="Normal 16 3 2 4" xfId="10915" xr:uid="{00000000-0005-0000-0000-0000961B0000}"/>
    <cellStyle name="Normal 16 3 2 4 2" xfId="19602" xr:uid="{00000000-0005-0000-0000-0000971B0000}"/>
    <cellStyle name="Normal 16 3 2 5" xfId="12522" xr:uid="{00000000-0005-0000-0000-0000981B0000}"/>
    <cellStyle name="Normal 16 3 2 5 2" xfId="21202" xr:uid="{00000000-0005-0000-0000-0000991B0000}"/>
    <cellStyle name="Normal 16 3 2 6" xfId="14297" xr:uid="{00000000-0005-0000-0000-00009A1B0000}"/>
    <cellStyle name="Normal 16 3 3" xfId="2261" xr:uid="{00000000-0005-0000-0000-00009B1B0000}"/>
    <cellStyle name="Normal 16 3 3 2" xfId="9306" xr:uid="{00000000-0005-0000-0000-00009C1B0000}"/>
    <cellStyle name="Normal 16 3 3 2 2" xfId="18056" xr:uid="{00000000-0005-0000-0000-00009D1B0000}"/>
    <cellStyle name="Normal 16 3 3 3" xfId="7703" xr:uid="{00000000-0005-0000-0000-00009E1B0000}"/>
    <cellStyle name="Normal 16 3 3 3 2" xfId="16457" xr:uid="{00000000-0005-0000-0000-00009F1B0000}"/>
    <cellStyle name="Normal 16 3 3 4" xfId="10916" xr:uid="{00000000-0005-0000-0000-0000A01B0000}"/>
    <cellStyle name="Normal 16 3 3 4 2" xfId="19603" xr:uid="{00000000-0005-0000-0000-0000A11B0000}"/>
    <cellStyle name="Normal 16 3 3 5" xfId="12523" xr:uid="{00000000-0005-0000-0000-0000A21B0000}"/>
    <cellStyle name="Normal 16 3 3 5 2" xfId="21203" xr:uid="{00000000-0005-0000-0000-0000A31B0000}"/>
    <cellStyle name="Normal 16 3 3 6" xfId="13936" xr:uid="{00000000-0005-0000-0000-0000A41B0000}"/>
    <cellStyle name="Normal 16 3 4" xfId="2262" xr:uid="{00000000-0005-0000-0000-0000A51B0000}"/>
    <cellStyle name="Normal 16 3 4 2" xfId="9307" xr:uid="{00000000-0005-0000-0000-0000A61B0000}"/>
    <cellStyle name="Normal 16 3 4 2 2" xfId="18057" xr:uid="{00000000-0005-0000-0000-0000A71B0000}"/>
    <cellStyle name="Normal 16 3 4 3" xfId="7704" xr:uid="{00000000-0005-0000-0000-0000A81B0000}"/>
    <cellStyle name="Normal 16 3 4 3 2" xfId="16458" xr:uid="{00000000-0005-0000-0000-0000A91B0000}"/>
    <cellStyle name="Normal 16 3 4 4" xfId="10917" xr:uid="{00000000-0005-0000-0000-0000AA1B0000}"/>
    <cellStyle name="Normal 16 3 4 4 2" xfId="19604" xr:uid="{00000000-0005-0000-0000-0000AB1B0000}"/>
    <cellStyle name="Normal 16 3 4 5" xfId="12524" xr:uid="{00000000-0005-0000-0000-0000AC1B0000}"/>
    <cellStyle name="Normal 16 3 4 5 2" xfId="21204" xr:uid="{00000000-0005-0000-0000-0000AD1B0000}"/>
    <cellStyle name="Normal 16 3 4 6" xfId="14291" xr:uid="{00000000-0005-0000-0000-0000AE1B0000}"/>
    <cellStyle name="Normal 16 3 5" xfId="9304" xr:uid="{00000000-0005-0000-0000-0000AF1B0000}"/>
    <cellStyle name="Normal 16 3 5 2" xfId="18054" xr:uid="{00000000-0005-0000-0000-0000B01B0000}"/>
    <cellStyle name="Normal 16 3 6" xfId="7701" xr:uid="{00000000-0005-0000-0000-0000B11B0000}"/>
    <cellStyle name="Normal 16 3 6 2" xfId="16455" xr:uid="{00000000-0005-0000-0000-0000B21B0000}"/>
    <cellStyle name="Normal 16 3 7" xfId="10914" xr:uid="{00000000-0005-0000-0000-0000B31B0000}"/>
    <cellStyle name="Normal 16 3 7 2" xfId="19601" xr:uid="{00000000-0005-0000-0000-0000B41B0000}"/>
    <cellStyle name="Normal 16 3 8" xfId="12521" xr:uid="{00000000-0005-0000-0000-0000B51B0000}"/>
    <cellStyle name="Normal 16 3 8 2" xfId="21201" xr:uid="{00000000-0005-0000-0000-0000B61B0000}"/>
    <cellStyle name="Normal 16 3 9" xfId="14295" xr:uid="{00000000-0005-0000-0000-0000B71B0000}"/>
    <cellStyle name="Normal 16 4" xfId="2263" xr:uid="{00000000-0005-0000-0000-0000B81B0000}"/>
    <cellStyle name="Normal 16 4 2" xfId="2264" xr:uid="{00000000-0005-0000-0000-0000B91B0000}"/>
    <cellStyle name="Normal 16 4 2 2" xfId="9309" xr:uid="{00000000-0005-0000-0000-0000BA1B0000}"/>
    <cellStyle name="Normal 16 4 2 2 2" xfId="18059" xr:uid="{00000000-0005-0000-0000-0000BB1B0000}"/>
    <cellStyle name="Normal 16 4 2 3" xfId="7706" xr:uid="{00000000-0005-0000-0000-0000BC1B0000}"/>
    <cellStyle name="Normal 16 4 2 3 2" xfId="16460" xr:uid="{00000000-0005-0000-0000-0000BD1B0000}"/>
    <cellStyle name="Normal 16 4 2 4" xfId="10919" xr:uid="{00000000-0005-0000-0000-0000BE1B0000}"/>
    <cellStyle name="Normal 16 4 2 4 2" xfId="19606" xr:uid="{00000000-0005-0000-0000-0000BF1B0000}"/>
    <cellStyle name="Normal 16 4 2 5" xfId="12526" xr:uid="{00000000-0005-0000-0000-0000C01B0000}"/>
    <cellStyle name="Normal 16 4 2 5 2" xfId="21206" xr:uid="{00000000-0005-0000-0000-0000C11B0000}"/>
    <cellStyle name="Normal 16 4 2 6" xfId="14293" xr:uid="{00000000-0005-0000-0000-0000C21B0000}"/>
    <cellStyle name="Normal 16 4 3" xfId="2265" xr:uid="{00000000-0005-0000-0000-0000C31B0000}"/>
    <cellStyle name="Normal 16 4 3 2" xfId="9310" xr:uid="{00000000-0005-0000-0000-0000C41B0000}"/>
    <cellStyle name="Normal 16 4 3 2 2" xfId="18060" xr:uid="{00000000-0005-0000-0000-0000C51B0000}"/>
    <cellStyle name="Normal 16 4 3 3" xfId="7707" xr:uid="{00000000-0005-0000-0000-0000C61B0000}"/>
    <cellStyle name="Normal 16 4 3 3 2" xfId="16461" xr:uid="{00000000-0005-0000-0000-0000C71B0000}"/>
    <cellStyle name="Normal 16 4 3 4" xfId="10920" xr:uid="{00000000-0005-0000-0000-0000C81B0000}"/>
    <cellStyle name="Normal 16 4 3 4 2" xfId="19607" xr:uid="{00000000-0005-0000-0000-0000C91B0000}"/>
    <cellStyle name="Normal 16 4 3 5" xfId="12527" xr:uid="{00000000-0005-0000-0000-0000CA1B0000}"/>
    <cellStyle name="Normal 16 4 3 5 2" xfId="21207" xr:uid="{00000000-0005-0000-0000-0000CB1B0000}"/>
    <cellStyle name="Normal 16 4 3 6" xfId="14631" xr:uid="{00000000-0005-0000-0000-0000CC1B0000}"/>
    <cellStyle name="Normal 16 4 4" xfId="2266" xr:uid="{00000000-0005-0000-0000-0000CD1B0000}"/>
    <cellStyle name="Normal 16 4 4 2" xfId="9311" xr:uid="{00000000-0005-0000-0000-0000CE1B0000}"/>
    <cellStyle name="Normal 16 4 4 2 2" xfId="18061" xr:uid="{00000000-0005-0000-0000-0000CF1B0000}"/>
    <cellStyle name="Normal 16 4 4 3" xfId="7708" xr:uid="{00000000-0005-0000-0000-0000D01B0000}"/>
    <cellStyle name="Normal 16 4 4 3 2" xfId="16462" xr:uid="{00000000-0005-0000-0000-0000D11B0000}"/>
    <cellStyle name="Normal 16 4 4 4" xfId="10921" xr:uid="{00000000-0005-0000-0000-0000D21B0000}"/>
    <cellStyle name="Normal 16 4 4 4 2" xfId="19608" xr:uid="{00000000-0005-0000-0000-0000D31B0000}"/>
    <cellStyle name="Normal 16 4 4 5" xfId="12528" xr:uid="{00000000-0005-0000-0000-0000D41B0000}"/>
    <cellStyle name="Normal 16 4 4 5 2" xfId="21208" xr:uid="{00000000-0005-0000-0000-0000D51B0000}"/>
    <cellStyle name="Normal 16 4 4 6" xfId="14806" xr:uid="{00000000-0005-0000-0000-0000D61B0000}"/>
    <cellStyle name="Normal 16 4 5" xfId="9308" xr:uid="{00000000-0005-0000-0000-0000D71B0000}"/>
    <cellStyle name="Normal 16 4 5 2" xfId="18058" xr:uid="{00000000-0005-0000-0000-0000D81B0000}"/>
    <cellStyle name="Normal 16 4 6" xfId="7705" xr:uid="{00000000-0005-0000-0000-0000D91B0000}"/>
    <cellStyle name="Normal 16 4 6 2" xfId="16459" xr:uid="{00000000-0005-0000-0000-0000DA1B0000}"/>
    <cellStyle name="Normal 16 4 7" xfId="10918" xr:uid="{00000000-0005-0000-0000-0000DB1B0000}"/>
    <cellStyle name="Normal 16 4 7 2" xfId="19605" xr:uid="{00000000-0005-0000-0000-0000DC1B0000}"/>
    <cellStyle name="Normal 16 4 8" xfId="12525" xr:uid="{00000000-0005-0000-0000-0000DD1B0000}"/>
    <cellStyle name="Normal 16 4 8 2" xfId="21205" xr:uid="{00000000-0005-0000-0000-0000DE1B0000}"/>
    <cellStyle name="Normal 16 4 9" xfId="14805" xr:uid="{00000000-0005-0000-0000-0000DF1B0000}"/>
    <cellStyle name="Normal 16 5" xfId="2267" xr:uid="{00000000-0005-0000-0000-0000E01B0000}"/>
    <cellStyle name="Normal 16 5 2" xfId="9312" xr:uid="{00000000-0005-0000-0000-0000E11B0000}"/>
    <cellStyle name="Normal 16 5 2 2" xfId="18062" xr:uid="{00000000-0005-0000-0000-0000E21B0000}"/>
    <cellStyle name="Normal 16 5 3" xfId="7709" xr:uid="{00000000-0005-0000-0000-0000E31B0000}"/>
    <cellStyle name="Normal 16 5 3 2" xfId="16463" xr:uid="{00000000-0005-0000-0000-0000E41B0000}"/>
    <cellStyle name="Normal 16 5 4" xfId="10922" xr:uid="{00000000-0005-0000-0000-0000E51B0000}"/>
    <cellStyle name="Normal 16 5 4 2" xfId="19609" xr:uid="{00000000-0005-0000-0000-0000E61B0000}"/>
    <cellStyle name="Normal 16 5 5" xfId="12529" xr:uid="{00000000-0005-0000-0000-0000E71B0000}"/>
    <cellStyle name="Normal 16 5 5 2" xfId="21209" xr:uid="{00000000-0005-0000-0000-0000E81B0000}"/>
    <cellStyle name="Normal 16 5 6" xfId="13874" xr:uid="{00000000-0005-0000-0000-0000E91B0000}"/>
    <cellStyle name="Normal 16 6" xfId="2268" xr:uid="{00000000-0005-0000-0000-0000EA1B0000}"/>
    <cellStyle name="Normal 16 6 2" xfId="9313" xr:uid="{00000000-0005-0000-0000-0000EB1B0000}"/>
    <cellStyle name="Normal 16 6 2 2" xfId="18063" xr:uid="{00000000-0005-0000-0000-0000EC1B0000}"/>
    <cellStyle name="Normal 16 6 3" xfId="7710" xr:uid="{00000000-0005-0000-0000-0000ED1B0000}"/>
    <cellStyle name="Normal 16 6 3 2" xfId="16464" xr:uid="{00000000-0005-0000-0000-0000EE1B0000}"/>
    <cellStyle name="Normal 16 6 4" xfId="10923" xr:uid="{00000000-0005-0000-0000-0000EF1B0000}"/>
    <cellStyle name="Normal 16 6 4 2" xfId="19610" xr:uid="{00000000-0005-0000-0000-0000F01B0000}"/>
    <cellStyle name="Normal 16 6 5" xfId="12530" xr:uid="{00000000-0005-0000-0000-0000F11B0000}"/>
    <cellStyle name="Normal 16 6 5 2" xfId="21210" xr:uid="{00000000-0005-0000-0000-0000F21B0000}"/>
    <cellStyle name="Normal 16 6 6" xfId="14781" xr:uid="{00000000-0005-0000-0000-0000F31B0000}"/>
    <cellStyle name="Normal 16 7" xfId="2269" xr:uid="{00000000-0005-0000-0000-0000F41B0000}"/>
    <cellStyle name="Normal 16 7 2" xfId="9314" xr:uid="{00000000-0005-0000-0000-0000F51B0000}"/>
    <cellStyle name="Normal 16 7 2 2" xfId="18064" xr:uid="{00000000-0005-0000-0000-0000F61B0000}"/>
    <cellStyle name="Normal 16 7 3" xfId="7711" xr:uid="{00000000-0005-0000-0000-0000F71B0000}"/>
    <cellStyle name="Normal 16 7 3 2" xfId="16465" xr:uid="{00000000-0005-0000-0000-0000F81B0000}"/>
    <cellStyle name="Normal 16 7 4" xfId="10924" xr:uid="{00000000-0005-0000-0000-0000F91B0000}"/>
    <cellStyle name="Normal 16 7 4 2" xfId="19611" xr:uid="{00000000-0005-0000-0000-0000FA1B0000}"/>
    <cellStyle name="Normal 16 7 5" xfId="12531" xr:uid="{00000000-0005-0000-0000-0000FB1B0000}"/>
    <cellStyle name="Normal 16 7 5 2" xfId="21211" xr:uid="{00000000-0005-0000-0000-0000FC1B0000}"/>
    <cellStyle name="Normal 16 7 6" xfId="14099" xr:uid="{00000000-0005-0000-0000-0000FD1B0000}"/>
    <cellStyle name="Normal 16 8" xfId="2254" xr:uid="{00000000-0005-0000-0000-0000FE1B0000}"/>
    <cellStyle name="Normal 16 8 2" xfId="9299" xr:uid="{00000000-0005-0000-0000-0000FF1B0000}"/>
    <cellStyle name="Normal 16 8 2 2" xfId="18049" xr:uid="{00000000-0005-0000-0000-0000001C0000}"/>
    <cellStyle name="Normal 16 8 3" xfId="10909" xr:uid="{00000000-0005-0000-0000-0000011C0000}"/>
    <cellStyle name="Normal 16 8 3 2" xfId="19596" xr:uid="{00000000-0005-0000-0000-0000021C0000}"/>
    <cellStyle name="Normal 16 8 4" xfId="13939" xr:uid="{00000000-0005-0000-0000-0000031C0000}"/>
    <cellStyle name="Normal 16 9" xfId="7696" xr:uid="{00000000-0005-0000-0000-0000041C0000}"/>
    <cellStyle name="Normal 16 9 2" xfId="16450" xr:uid="{00000000-0005-0000-0000-0000051C0000}"/>
    <cellStyle name="Normal 160" xfId="7410" xr:uid="{00000000-0005-0000-0000-0000061C0000}"/>
    <cellStyle name="Normal 160 2" xfId="10443" xr:uid="{00000000-0005-0000-0000-0000071C0000}"/>
    <cellStyle name="Normal 160 2 2" xfId="19193" xr:uid="{00000000-0005-0000-0000-0000081C0000}"/>
    <cellStyle name="Normal 160 3" xfId="16173" xr:uid="{00000000-0005-0000-0000-0000091C0000}"/>
    <cellStyle name="Normal 161" xfId="7407" xr:uid="{00000000-0005-0000-0000-00000A1C0000}"/>
    <cellStyle name="Normal 161 2" xfId="10452" xr:uid="{00000000-0005-0000-0000-00000B1C0000}"/>
    <cellStyle name="Normal 161 3" xfId="16172" xr:uid="{00000000-0005-0000-0000-00000C1C0000}"/>
    <cellStyle name="Normal 162" xfId="10454" xr:uid="{00000000-0005-0000-0000-00000D1C0000}"/>
    <cellStyle name="Normal 163" xfId="10472" xr:uid="{00000000-0005-0000-0000-00000E1C0000}"/>
    <cellStyle name="Normal 164" xfId="10473" xr:uid="{00000000-0005-0000-0000-00000F1C0000}"/>
    <cellStyle name="Normal 165" xfId="10457" xr:uid="{00000000-0005-0000-0000-0000101C0000}"/>
    <cellStyle name="Normal 166" xfId="10453" xr:uid="{00000000-0005-0000-0000-0000111C0000}"/>
    <cellStyle name="Normal 167" xfId="10474" xr:uid="{00000000-0005-0000-0000-0000121C0000}"/>
    <cellStyle name="Normal 168" xfId="10475" xr:uid="{00000000-0005-0000-0000-0000131C0000}"/>
    <cellStyle name="Normal 169" xfId="10476" xr:uid="{00000000-0005-0000-0000-0000141C0000}"/>
    <cellStyle name="Normal 17" xfId="152" xr:uid="{00000000-0005-0000-0000-0000151C0000}"/>
    <cellStyle name="Normal 17 2" xfId="2271" xr:uid="{00000000-0005-0000-0000-0000161C0000}"/>
    <cellStyle name="Normal 17 2 10" xfId="7712" xr:uid="{00000000-0005-0000-0000-0000171C0000}"/>
    <cellStyle name="Normal 17 2 10 2" xfId="16466" xr:uid="{00000000-0005-0000-0000-0000181C0000}"/>
    <cellStyle name="Normal 17 2 11" xfId="10925" xr:uid="{00000000-0005-0000-0000-0000191C0000}"/>
    <cellStyle name="Normal 17 2 11 2" xfId="19612" xr:uid="{00000000-0005-0000-0000-00001A1C0000}"/>
    <cellStyle name="Normal 17 2 12" xfId="12532" xr:uid="{00000000-0005-0000-0000-00001B1C0000}"/>
    <cellStyle name="Normal 17 2 12 2" xfId="21212" xr:uid="{00000000-0005-0000-0000-00001C1C0000}"/>
    <cellStyle name="Normal 17 2 13" xfId="14125" xr:uid="{00000000-0005-0000-0000-00001D1C0000}"/>
    <cellStyle name="Normal 17 2 2" xfId="2272" xr:uid="{00000000-0005-0000-0000-00001E1C0000}"/>
    <cellStyle name="Normal 17 2 2 2" xfId="2273" xr:uid="{00000000-0005-0000-0000-00001F1C0000}"/>
    <cellStyle name="Normal 17 2 2 2 2" xfId="2274" xr:uid="{00000000-0005-0000-0000-0000201C0000}"/>
    <cellStyle name="Normal 17 2 2 2 2 2" xfId="2275" xr:uid="{00000000-0005-0000-0000-0000211C0000}"/>
    <cellStyle name="Normal 17 2 2 2 2 2 2" xfId="9317" xr:uid="{00000000-0005-0000-0000-0000221C0000}"/>
    <cellStyle name="Normal 17 2 2 2 2 2 2 2" xfId="18067" xr:uid="{00000000-0005-0000-0000-0000231C0000}"/>
    <cellStyle name="Normal 17 2 2 2 2 2 3" xfId="7714" xr:uid="{00000000-0005-0000-0000-0000241C0000}"/>
    <cellStyle name="Normal 17 2 2 2 2 2 3 2" xfId="16468" xr:uid="{00000000-0005-0000-0000-0000251C0000}"/>
    <cellStyle name="Normal 17 2 2 2 2 2 4" xfId="10927" xr:uid="{00000000-0005-0000-0000-0000261C0000}"/>
    <cellStyle name="Normal 17 2 2 2 2 2 4 2" xfId="19614" xr:uid="{00000000-0005-0000-0000-0000271C0000}"/>
    <cellStyle name="Normal 17 2 2 2 2 2 5" xfId="12534" xr:uid="{00000000-0005-0000-0000-0000281C0000}"/>
    <cellStyle name="Normal 17 2 2 2 2 2 5 2" xfId="21214" xr:uid="{00000000-0005-0000-0000-0000291C0000}"/>
    <cellStyle name="Normal 17 2 2 2 2 2 6" xfId="14742" xr:uid="{00000000-0005-0000-0000-00002A1C0000}"/>
    <cellStyle name="Normal 17 2 2 2 2 3" xfId="2276" xr:uid="{00000000-0005-0000-0000-00002B1C0000}"/>
    <cellStyle name="Normal 17 2 2 2 2 3 2" xfId="9318" xr:uid="{00000000-0005-0000-0000-00002C1C0000}"/>
    <cellStyle name="Normal 17 2 2 2 2 3 2 2" xfId="18068" xr:uid="{00000000-0005-0000-0000-00002D1C0000}"/>
    <cellStyle name="Normal 17 2 2 2 2 3 3" xfId="7715" xr:uid="{00000000-0005-0000-0000-00002E1C0000}"/>
    <cellStyle name="Normal 17 2 2 2 2 3 3 2" xfId="16469" xr:uid="{00000000-0005-0000-0000-00002F1C0000}"/>
    <cellStyle name="Normal 17 2 2 2 2 3 4" xfId="10928" xr:uid="{00000000-0005-0000-0000-0000301C0000}"/>
    <cellStyle name="Normal 17 2 2 2 2 3 4 2" xfId="19615" xr:uid="{00000000-0005-0000-0000-0000311C0000}"/>
    <cellStyle name="Normal 17 2 2 2 2 3 5" xfId="12535" xr:uid="{00000000-0005-0000-0000-0000321C0000}"/>
    <cellStyle name="Normal 17 2 2 2 2 3 5 2" xfId="21215" xr:uid="{00000000-0005-0000-0000-0000331C0000}"/>
    <cellStyle name="Normal 17 2 2 2 2 3 6" xfId="14198" xr:uid="{00000000-0005-0000-0000-0000341C0000}"/>
    <cellStyle name="Normal 17 2 2 2 2 4" xfId="2277" xr:uid="{00000000-0005-0000-0000-0000351C0000}"/>
    <cellStyle name="Normal 17 2 2 2 2 4 2" xfId="9319" xr:uid="{00000000-0005-0000-0000-0000361C0000}"/>
    <cellStyle name="Normal 17 2 2 2 2 4 2 2" xfId="18069" xr:uid="{00000000-0005-0000-0000-0000371C0000}"/>
    <cellStyle name="Normal 17 2 2 2 2 4 3" xfId="7716" xr:uid="{00000000-0005-0000-0000-0000381C0000}"/>
    <cellStyle name="Normal 17 2 2 2 2 4 3 2" xfId="16470" xr:uid="{00000000-0005-0000-0000-0000391C0000}"/>
    <cellStyle name="Normal 17 2 2 2 2 4 4" xfId="10929" xr:uid="{00000000-0005-0000-0000-00003A1C0000}"/>
    <cellStyle name="Normal 17 2 2 2 2 4 4 2" xfId="19616" xr:uid="{00000000-0005-0000-0000-00003B1C0000}"/>
    <cellStyle name="Normal 17 2 2 2 2 4 5" xfId="12536" xr:uid="{00000000-0005-0000-0000-00003C1C0000}"/>
    <cellStyle name="Normal 17 2 2 2 2 4 5 2" xfId="21216" xr:uid="{00000000-0005-0000-0000-00003D1C0000}"/>
    <cellStyle name="Normal 17 2 2 2 2 4 6" xfId="14648" xr:uid="{00000000-0005-0000-0000-00003E1C0000}"/>
    <cellStyle name="Normal 17 2 2 2 3" xfId="2278" xr:uid="{00000000-0005-0000-0000-00003F1C0000}"/>
    <cellStyle name="Normal 17 2 2 2 4" xfId="2279" xr:uid="{00000000-0005-0000-0000-0000401C0000}"/>
    <cellStyle name="Normal 17 2 2 2 5" xfId="9316" xr:uid="{00000000-0005-0000-0000-0000411C0000}"/>
    <cellStyle name="Normal 17 2 2 2 5 2" xfId="18066" xr:uid="{00000000-0005-0000-0000-0000421C0000}"/>
    <cellStyle name="Normal 17 2 2 2 6" xfId="7713" xr:uid="{00000000-0005-0000-0000-0000431C0000}"/>
    <cellStyle name="Normal 17 2 2 2 6 2" xfId="16467" xr:uid="{00000000-0005-0000-0000-0000441C0000}"/>
    <cellStyle name="Normal 17 2 2 2 7" xfId="10926" xr:uid="{00000000-0005-0000-0000-0000451C0000}"/>
    <cellStyle name="Normal 17 2 2 2 7 2" xfId="19613" xr:uid="{00000000-0005-0000-0000-0000461C0000}"/>
    <cellStyle name="Normal 17 2 2 2 8" xfId="12533" xr:uid="{00000000-0005-0000-0000-0000471C0000}"/>
    <cellStyle name="Normal 17 2 2 2 8 2" xfId="21213" xr:uid="{00000000-0005-0000-0000-0000481C0000}"/>
    <cellStyle name="Normal 17 2 2 2 9" xfId="14649" xr:uid="{00000000-0005-0000-0000-0000491C0000}"/>
    <cellStyle name="Normal 17 2 2 3" xfId="2280" xr:uid="{00000000-0005-0000-0000-00004A1C0000}"/>
    <cellStyle name="Normal 17 2 2 3 2" xfId="2281" xr:uid="{00000000-0005-0000-0000-00004B1C0000}"/>
    <cellStyle name="Normal 17 2 2 3 2 2" xfId="9321" xr:uid="{00000000-0005-0000-0000-00004C1C0000}"/>
    <cellStyle name="Normal 17 2 2 3 2 2 2" xfId="18071" xr:uid="{00000000-0005-0000-0000-00004D1C0000}"/>
    <cellStyle name="Normal 17 2 2 3 2 3" xfId="7718" xr:uid="{00000000-0005-0000-0000-00004E1C0000}"/>
    <cellStyle name="Normal 17 2 2 3 2 3 2" xfId="16472" xr:uid="{00000000-0005-0000-0000-00004F1C0000}"/>
    <cellStyle name="Normal 17 2 2 3 2 4" xfId="10931" xr:uid="{00000000-0005-0000-0000-0000501C0000}"/>
    <cellStyle name="Normal 17 2 2 3 2 4 2" xfId="19618" xr:uid="{00000000-0005-0000-0000-0000511C0000}"/>
    <cellStyle name="Normal 17 2 2 3 2 5" xfId="12538" xr:uid="{00000000-0005-0000-0000-0000521C0000}"/>
    <cellStyle name="Normal 17 2 2 3 2 5 2" xfId="21218" xr:uid="{00000000-0005-0000-0000-0000531C0000}"/>
    <cellStyle name="Normal 17 2 2 3 2 6" xfId="14646" xr:uid="{00000000-0005-0000-0000-0000541C0000}"/>
    <cellStyle name="Normal 17 2 2 3 3" xfId="2282" xr:uid="{00000000-0005-0000-0000-0000551C0000}"/>
    <cellStyle name="Normal 17 2 2 3 3 2" xfId="9322" xr:uid="{00000000-0005-0000-0000-0000561C0000}"/>
    <cellStyle name="Normal 17 2 2 3 3 2 2" xfId="18072" xr:uid="{00000000-0005-0000-0000-0000571C0000}"/>
    <cellStyle name="Normal 17 2 2 3 3 3" xfId="7719" xr:uid="{00000000-0005-0000-0000-0000581C0000}"/>
    <cellStyle name="Normal 17 2 2 3 3 3 2" xfId="16473" xr:uid="{00000000-0005-0000-0000-0000591C0000}"/>
    <cellStyle name="Normal 17 2 2 3 3 4" xfId="10932" xr:uid="{00000000-0005-0000-0000-00005A1C0000}"/>
    <cellStyle name="Normal 17 2 2 3 3 4 2" xfId="19619" xr:uid="{00000000-0005-0000-0000-00005B1C0000}"/>
    <cellStyle name="Normal 17 2 2 3 3 5" xfId="12539" xr:uid="{00000000-0005-0000-0000-00005C1C0000}"/>
    <cellStyle name="Normal 17 2 2 3 3 5 2" xfId="21219" xr:uid="{00000000-0005-0000-0000-00005D1C0000}"/>
    <cellStyle name="Normal 17 2 2 3 3 6" xfId="13903" xr:uid="{00000000-0005-0000-0000-00005E1C0000}"/>
    <cellStyle name="Normal 17 2 2 3 4" xfId="2283" xr:uid="{00000000-0005-0000-0000-00005F1C0000}"/>
    <cellStyle name="Normal 17 2 2 3 4 2" xfId="9323" xr:uid="{00000000-0005-0000-0000-0000601C0000}"/>
    <cellStyle name="Normal 17 2 2 3 4 2 2" xfId="18073" xr:uid="{00000000-0005-0000-0000-0000611C0000}"/>
    <cellStyle name="Normal 17 2 2 3 4 3" xfId="7720" xr:uid="{00000000-0005-0000-0000-0000621C0000}"/>
    <cellStyle name="Normal 17 2 2 3 4 3 2" xfId="16474" xr:uid="{00000000-0005-0000-0000-0000631C0000}"/>
    <cellStyle name="Normal 17 2 2 3 4 4" xfId="10933" xr:uid="{00000000-0005-0000-0000-0000641C0000}"/>
    <cellStyle name="Normal 17 2 2 3 4 4 2" xfId="19620" xr:uid="{00000000-0005-0000-0000-0000651C0000}"/>
    <cellStyle name="Normal 17 2 2 3 4 5" xfId="12540" xr:uid="{00000000-0005-0000-0000-0000661C0000}"/>
    <cellStyle name="Normal 17 2 2 3 4 5 2" xfId="21220" xr:uid="{00000000-0005-0000-0000-0000671C0000}"/>
    <cellStyle name="Normal 17 2 2 3 4 6" xfId="13889" xr:uid="{00000000-0005-0000-0000-0000681C0000}"/>
    <cellStyle name="Normal 17 2 2 3 5" xfId="9320" xr:uid="{00000000-0005-0000-0000-0000691C0000}"/>
    <cellStyle name="Normal 17 2 2 3 5 2" xfId="18070" xr:uid="{00000000-0005-0000-0000-00006A1C0000}"/>
    <cellStyle name="Normal 17 2 2 3 6" xfId="7717" xr:uid="{00000000-0005-0000-0000-00006B1C0000}"/>
    <cellStyle name="Normal 17 2 2 3 6 2" xfId="16471" xr:uid="{00000000-0005-0000-0000-00006C1C0000}"/>
    <cellStyle name="Normal 17 2 2 3 7" xfId="10930" xr:uid="{00000000-0005-0000-0000-00006D1C0000}"/>
    <cellStyle name="Normal 17 2 2 3 7 2" xfId="19617" xr:uid="{00000000-0005-0000-0000-00006E1C0000}"/>
    <cellStyle name="Normal 17 2 2 3 8" xfId="12537" xr:uid="{00000000-0005-0000-0000-00006F1C0000}"/>
    <cellStyle name="Normal 17 2 2 3 8 2" xfId="21217" xr:uid="{00000000-0005-0000-0000-0000701C0000}"/>
    <cellStyle name="Normal 17 2 2 3 9" xfId="13976" xr:uid="{00000000-0005-0000-0000-0000711C0000}"/>
    <cellStyle name="Normal 17 2 2 4" xfId="2284" xr:uid="{00000000-0005-0000-0000-0000721C0000}"/>
    <cellStyle name="Normal 17 2 2 4 2" xfId="2285" xr:uid="{00000000-0005-0000-0000-0000731C0000}"/>
    <cellStyle name="Normal 17 2 2 4 2 2" xfId="9325" xr:uid="{00000000-0005-0000-0000-0000741C0000}"/>
    <cellStyle name="Normal 17 2 2 4 2 2 2" xfId="18075" xr:uid="{00000000-0005-0000-0000-0000751C0000}"/>
    <cellStyle name="Normal 17 2 2 4 2 3" xfId="7722" xr:uid="{00000000-0005-0000-0000-0000761C0000}"/>
    <cellStyle name="Normal 17 2 2 4 2 3 2" xfId="16476" xr:uid="{00000000-0005-0000-0000-0000771C0000}"/>
    <cellStyle name="Normal 17 2 2 4 2 4" xfId="10935" xr:uid="{00000000-0005-0000-0000-0000781C0000}"/>
    <cellStyle name="Normal 17 2 2 4 2 4 2" xfId="19622" xr:uid="{00000000-0005-0000-0000-0000791C0000}"/>
    <cellStyle name="Normal 17 2 2 4 2 5" xfId="12542" xr:uid="{00000000-0005-0000-0000-00007A1C0000}"/>
    <cellStyle name="Normal 17 2 2 4 2 5 2" xfId="21222" xr:uid="{00000000-0005-0000-0000-00007B1C0000}"/>
    <cellStyle name="Normal 17 2 2 4 2 6" xfId="14750" xr:uid="{00000000-0005-0000-0000-00007C1C0000}"/>
    <cellStyle name="Normal 17 2 2 4 3" xfId="2286" xr:uid="{00000000-0005-0000-0000-00007D1C0000}"/>
    <cellStyle name="Normal 17 2 2 4 3 2" xfId="9326" xr:uid="{00000000-0005-0000-0000-00007E1C0000}"/>
    <cellStyle name="Normal 17 2 2 4 3 2 2" xfId="18076" xr:uid="{00000000-0005-0000-0000-00007F1C0000}"/>
    <cellStyle name="Normal 17 2 2 4 3 3" xfId="7723" xr:uid="{00000000-0005-0000-0000-0000801C0000}"/>
    <cellStyle name="Normal 17 2 2 4 3 3 2" xfId="16477" xr:uid="{00000000-0005-0000-0000-0000811C0000}"/>
    <cellStyle name="Normal 17 2 2 4 3 4" xfId="10936" xr:uid="{00000000-0005-0000-0000-0000821C0000}"/>
    <cellStyle name="Normal 17 2 2 4 3 4 2" xfId="19623" xr:uid="{00000000-0005-0000-0000-0000831C0000}"/>
    <cellStyle name="Normal 17 2 2 4 3 5" xfId="12543" xr:uid="{00000000-0005-0000-0000-0000841C0000}"/>
    <cellStyle name="Normal 17 2 2 4 3 5 2" xfId="21223" xr:uid="{00000000-0005-0000-0000-0000851C0000}"/>
    <cellStyle name="Normal 17 2 2 4 3 6" xfId="14057" xr:uid="{00000000-0005-0000-0000-0000861C0000}"/>
    <cellStyle name="Normal 17 2 2 4 4" xfId="2287" xr:uid="{00000000-0005-0000-0000-0000871C0000}"/>
    <cellStyle name="Normal 17 2 2 4 4 2" xfId="9327" xr:uid="{00000000-0005-0000-0000-0000881C0000}"/>
    <cellStyle name="Normal 17 2 2 4 4 2 2" xfId="18077" xr:uid="{00000000-0005-0000-0000-0000891C0000}"/>
    <cellStyle name="Normal 17 2 2 4 4 3" xfId="7724" xr:uid="{00000000-0005-0000-0000-00008A1C0000}"/>
    <cellStyle name="Normal 17 2 2 4 4 3 2" xfId="16478" xr:uid="{00000000-0005-0000-0000-00008B1C0000}"/>
    <cellStyle name="Normal 17 2 2 4 4 4" xfId="10937" xr:uid="{00000000-0005-0000-0000-00008C1C0000}"/>
    <cellStyle name="Normal 17 2 2 4 4 4 2" xfId="19624" xr:uid="{00000000-0005-0000-0000-00008D1C0000}"/>
    <cellStyle name="Normal 17 2 2 4 4 5" xfId="12544" xr:uid="{00000000-0005-0000-0000-00008E1C0000}"/>
    <cellStyle name="Normal 17 2 2 4 4 5 2" xfId="21224" xr:uid="{00000000-0005-0000-0000-00008F1C0000}"/>
    <cellStyle name="Normal 17 2 2 4 4 6" xfId="13901" xr:uid="{00000000-0005-0000-0000-0000901C0000}"/>
    <cellStyle name="Normal 17 2 2 4 5" xfId="9324" xr:uid="{00000000-0005-0000-0000-0000911C0000}"/>
    <cellStyle name="Normal 17 2 2 4 5 2" xfId="18074" xr:uid="{00000000-0005-0000-0000-0000921C0000}"/>
    <cellStyle name="Normal 17 2 2 4 6" xfId="7721" xr:uid="{00000000-0005-0000-0000-0000931C0000}"/>
    <cellStyle name="Normal 17 2 2 4 6 2" xfId="16475" xr:uid="{00000000-0005-0000-0000-0000941C0000}"/>
    <cellStyle name="Normal 17 2 2 4 7" xfId="10934" xr:uid="{00000000-0005-0000-0000-0000951C0000}"/>
    <cellStyle name="Normal 17 2 2 4 7 2" xfId="19621" xr:uid="{00000000-0005-0000-0000-0000961C0000}"/>
    <cellStyle name="Normal 17 2 2 4 8" xfId="12541" xr:uid="{00000000-0005-0000-0000-0000971C0000}"/>
    <cellStyle name="Normal 17 2 2 4 8 2" xfId="21221" xr:uid="{00000000-0005-0000-0000-0000981C0000}"/>
    <cellStyle name="Normal 17 2 2 4 9" xfId="14511" xr:uid="{00000000-0005-0000-0000-0000991C0000}"/>
    <cellStyle name="Normal 17 2 2 5" xfId="2288" xr:uid="{00000000-0005-0000-0000-00009A1C0000}"/>
    <cellStyle name="Normal 17 2 2 5 2" xfId="9328" xr:uid="{00000000-0005-0000-0000-00009B1C0000}"/>
    <cellStyle name="Normal 17 2 2 5 2 2" xfId="18078" xr:uid="{00000000-0005-0000-0000-00009C1C0000}"/>
    <cellStyle name="Normal 17 2 2 5 3" xfId="7725" xr:uid="{00000000-0005-0000-0000-00009D1C0000}"/>
    <cellStyle name="Normal 17 2 2 5 3 2" xfId="16479" xr:uid="{00000000-0005-0000-0000-00009E1C0000}"/>
    <cellStyle name="Normal 17 2 2 5 4" xfId="10938" xr:uid="{00000000-0005-0000-0000-00009F1C0000}"/>
    <cellStyle name="Normal 17 2 2 5 4 2" xfId="19625" xr:uid="{00000000-0005-0000-0000-0000A01C0000}"/>
    <cellStyle name="Normal 17 2 2 5 5" xfId="12545" xr:uid="{00000000-0005-0000-0000-0000A11C0000}"/>
    <cellStyle name="Normal 17 2 2 5 5 2" xfId="21225" xr:uid="{00000000-0005-0000-0000-0000A21C0000}"/>
    <cellStyle name="Normal 17 2 2 5 6" xfId="13997" xr:uid="{00000000-0005-0000-0000-0000A31C0000}"/>
    <cellStyle name="Normal 17 2 2 6" xfId="2289" xr:uid="{00000000-0005-0000-0000-0000A41C0000}"/>
    <cellStyle name="Normal 17 2 2 6 2" xfId="9329" xr:uid="{00000000-0005-0000-0000-0000A51C0000}"/>
    <cellStyle name="Normal 17 2 2 6 2 2" xfId="18079" xr:uid="{00000000-0005-0000-0000-0000A61C0000}"/>
    <cellStyle name="Normal 17 2 2 6 3" xfId="7726" xr:uid="{00000000-0005-0000-0000-0000A71C0000}"/>
    <cellStyle name="Normal 17 2 2 6 3 2" xfId="16480" xr:uid="{00000000-0005-0000-0000-0000A81C0000}"/>
    <cellStyle name="Normal 17 2 2 6 4" xfId="10939" xr:uid="{00000000-0005-0000-0000-0000A91C0000}"/>
    <cellStyle name="Normal 17 2 2 6 4 2" xfId="19626" xr:uid="{00000000-0005-0000-0000-0000AA1C0000}"/>
    <cellStyle name="Normal 17 2 2 6 5" xfId="12546" xr:uid="{00000000-0005-0000-0000-0000AB1C0000}"/>
    <cellStyle name="Normal 17 2 2 6 5 2" xfId="21226" xr:uid="{00000000-0005-0000-0000-0000AC1C0000}"/>
    <cellStyle name="Normal 17 2 2 6 6" xfId="14721" xr:uid="{00000000-0005-0000-0000-0000AD1C0000}"/>
    <cellStyle name="Normal 17 2 2 7" xfId="2290" xr:uid="{00000000-0005-0000-0000-0000AE1C0000}"/>
    <cellStyle name="Normal 17 2 2 7 2" xfId="9330" xr:uid="{00000000-0005-0000-0000-0000AF1C0000}"/>
    <cellStyle name="Normal 17 2 2 7 2 2" xfId="18080" xr:uid="{00000000-0005-0000-0000-0000B01C0000}"/>
    <cellStyle name="Normal 17 2 2 7 3" xfId="7727" xr:uid="{00000000-0005-0000-0000-0000B11C0000}"/>
    <cellStyle name="Normal 17 2 2 7 3 2" xfId="16481" xr:uid="{00000000-0005-0000-0000-0000B21C0000}"/>
    <cellStyle name="Normal 17 2 2 7 4" xfId="10940" xr:uid="{00000000-0005-0000-0000-0000B31C0000}"/>
    <cellStyle name="Normal 17 2 2 7 4 2" xfId="19627" xr:uid="{00000000-0005-0000-0000-0000B41C0000}"/>
    <cellStyle name="Normal 17 2 2 7 5" xfId="12547" xr:uid="{00000000-0005-0000-0000-0000B51C0000}"/>
    <cellStyle name="Normal 17 2 2 7 5 2" xfId="21227" xr:uid="{00000000-0005-0000-0000-0000B61C0000}"/>
    <cellStyle name="Normal 17 2 2 7 6" xfId="13897" xr:uid="{00000000-0005-0000-0000-0000B71C0000}"/>
    <cellStyle name="Normal 17 2 3" xfId="2291" xr:uid="{00000000-0005-0000-0000-0000B81C0000}"/>
    <cellStyle name="Normal 17 2 3 2" xfId="2292" xr:uid="{00000000-0005-0000-0000-0000B91C0000}"/>
    <cellStyle name="Normal 17 2 3 2 2" xfId="9332" xr:uid="{00000000-0005-0000-0000-0000BA1C0000}"/>
    <cellStyle name="Normal 17 2 3 2 2 2" xfId="18082" xr:uid="{00000000-0005-0000-0000-0000BB1C0000}"/>
    <cellStyle name="Normal 17 2 3 2 3" xfId="7729" xr:uid="{00000000-0005-0000-0000-0000BC1C0000}"/>
    <cellStyle name="Normal 17 2 3 2 3 2" xfId="16483" xr:uid="{00000000-0005-0000-0000-0000BD1C0000}"/>
    <cellStyle name="Normal 17 2 3 2 4" xfId="10942" xr:uid="{00000000-0005-0000-0000-0000BE1C0000}"/>
    <cellStyle name="Normal 17 2 3 2 4 2" xfId="19629" xr:uid="{00000000-0005-0000-0000-0000BF1C0000}"/>
    <cellStyle name="Normal 17 2 3 2 5" xfId="12549" xr:uid="{00000000-0005-0000-0000-0000C01C0000}"/>
    <cellStyle name="Normal 17 2 3 2 5 2" xfId="21229" xr:uid="{00000000-0005-0000-0000-0000C11C0000}"/>
    <cellStyle name="Normal 17 2 3 2 6" xfId="14101" xr:uid="{00000000-0005-0000-0000-0000C21C0000}"/>
    <cellStyle name="Normal 17 2 3 3" xfId="2293" xr:uid="{00000000-0005-0000-0000-0000C31C0000}"/>
    <cellStyle name="Normal 17 2 3 3 2" xfId="9333" xr:uid="{00000000-0005-0000-0000-0000C41C0000}"/>
    <cellStyle name="Normal 17 2 3 3 2 2" xfId="18083" xr:uid="{00000000-0005-0000-0000-0000C51C0000}"/>
    <cellStyle name="Normal 17 2 3 3 3" xfId="7730" xr:uid="{00000000-0005-0000-0000-0000C61C0000}"/>
    <cellStyle name="Normal 17 2 3 3 3 2" xfId="16484" xr:uid="{00000000-0005-0000-0000-0000C71C0000}"/>
    <cellStyle name="Normal 17 2 3 3 4" xfId="10943" xr:uid="{00000000-0005-0000-0000-0000C81C0000}"/>
    <cellStyle name="Normal 17 2 3 3 4 2" xfId="19630" xr:uid="{00000000-0005-0000-0000-0000C91C0000}"/>
    <cellStyle name="Normal 17 2 3 3 5" xfId="12550" xr:uid="{00000000-0005-0000-0000-0000CA1C0000}"/>
    <cellStyle name="Normal 17 2 3 3 5 2" xfId="21230" xr:uid="{00000000-0005-0000-0000-0000CB1C0000}"/>
    <cellStyle name="Normal 17 2 3 3 6" xfId="14094" xr:uid="{00000000-0005-0000-0000-0000CC1C0000}"/>
    <cellStyle name="Normal 17 2 3 4" xfId="2294" xr:uid="{00000000-0005-0000-0000-0000CD1C0000}"/>
    <cellStyle name="Normal 17 2 3 4 2" xfId="9334" xr:uid="{00000000-0005-0000-0000-0000CE1C0000}"/>
    <cellStyle name="Normal 17 2 3 4 2 2" xfId="18084" xr:uid="{00000000-0005-0000-0000-0000CF1C0000}"/>
    <cellStyle name="Normal 17 2 3 4 3" xfId="7731" xr:uid="{00000000-0005-0000-0000-0000D01C0000}"/>
    <cellStyle name="Normal 17 2 3 4 3 2" xfId="16485" xr:uid="{00000000-0005-0000-0000-0000D11C0000}"/>
    <cellStyle name="Normal 17 2 3 4 4" xfId="10944" xr:uid="{00000000-0005-0000-0000-0000D21C0000}"/>
    <cellStyle name="Normal 17 2 3 4 4 2" xfId="19631" xr:uid="{00000000-0005-0000-0000-0000D31C0000}"/>
    <cellStyle name="Normal 17 2 3 4 5" xfId="12551" xr:uid="{00000000-0005-0000-0000-0000D41C0000}"/>
    <cellStyle name="Normal 17 2 3 4 5 2" xfId="21231" xr:uid="{00000000-0005-0000-0000-0000D51C0000}"/>
    <cellStyle name="Normal 17 2 3 4 6" xfId="14518" xr:uid="{00000000-0005-0000-0000-0000D61C0000}"/>
    <cellStyle name="Normal 17 2 3 5" xfId="9331" xr:uid="{00000000-0005-0000-0000-0000D71C0000}"/>
    <cellStyle name="Normal 17 2 3 5 2" xfId="18081" xr:uid="{00000000-0005-0000-0000-0000D81C0000}"/>
    <cellStyle name="Normal 17 2 3 6" xfId="7728" xr:uid="{00000000-0005-0000-0000-0000D91C0000}"/>
    <cellStyle name="Normal 17 2 3 6 2" xfId="16482" xr:uid="{00000000-0005-0000-0000-0000DA1C0000}"/>
    <cellStyle name="Normal 17 2 3 7" xfId="10941" xr:uid="{00000000-0005-0000-0000-0000DB1C0000}"/>
    <cellStyle name="Normal 17 2 3 7 2" xfId="19628" xr:uid="{00000000-0005-0000-0000-0000DC1C0000}"/>
    <cellStyle name="Normal 17 2 3 8" xfId="12548" xr:uid="{00000000-0005-0000-0000-0000DD1C0000}"/>
    <cellStyle name="Normal 17 2 3 8 2" xfId="21228" xr:uid="{00000000-0005-0000-0000-0000DE1C0000}"/>
    <cellStyle name="Normal 17 2 3 9" xfId="14542" xr:uid="{00000000-0005-0000-0000-0000DF1C0000}"/>
    <cellStyle name="Normal 17 2 4" xfId="2295" xr:uid="{00000000-0005-0000-0000-0000E01C0000}"/>
    <cellStyle name="Normal 17 2 5" xfId="2296" xr:uid="{00000000-0005-0000-0000-0000E11C0000}"/>
    <cellStyle name="Normal 17 2 6" xfId="2297" xr:uid="{00000000-0005-0000-0000-0000E21C0000}"/>
    <cellStyle name="Normal 17 2 6 2" xfId="9335" xr:uid="{00000000-0005-0000-0000-0000E31C0000}"/>
    <cellStyle name="Normal 17 2 6 2 2" xfId="18085" xr:uid="{00000000-0005-0000-0000-0000E41C0000}"/>
    <cellStyle name="Normal 17 2 6 3" xfId="7732" xr:uid="{00000000-0005-0000-0000-0000E51C0000}"/>
    <cellStyle name="Normal 17 2 6 3 2" xfId="16486" xr:uid="{00000000-0005-0000-0000-0000E61C0000}"/>
    <cellStyle name="Normal 17 2 6 4" xfId="10945" xr:uid="{00000000-0005-0000-0000-0000E71C0000}"/>
    <cellStyle name="Normal 17 2 6 4 2" xfId="19632" xr:uid="{00000000-0005-0000-0000-0000E81C0000}"/>
    <cellStyle name="Normal 17 2 6 5" xfId="12552" xr:uid="{00000000-0005-0000-0000-0000E91C0000}"/>
    <cellStyle name="Normal 17 2 6 5 2" xfId="21232" xr:uid="{00000000-0005-0000-0000-0000EA1C0000}"/>
    <cellStyle name="Normal 17 2 6 6" xfId="14765" xr:uid="{00000000-0005-0000-0000-0000EB1C0000}"/>
    <cellStyle name="Normal 17 2 7" xfId="2298" xr:uid="{00000000-0005-0000-0000-0000EC1C0000}"/>
    <cellStyle name="Normal 17 2 7 2" xfId="9336" xr:uid="{00000000-0005-0000-0000-0000ED1C0000}"/>
    <cellStyle name="Normal 17 2 7 2 2" xfId="18086" xr:uid="{00000000-0005-0000-0000-0000EE1C0000}"/>
    <cellStyle name="Normal 17 2 7 3" xfId="7733" xr:uid="{00000000-0005-0000-0000-0000EF1C0000}"/>
    <cellStyle name="Normal 17 2 7 3 2" xfId="16487" xr:uid="{00000000-0005-0000-0000-0000F01C0000}"/>
    <cellStyle name="Normal 17 2 7 4" xfId="10946" xr:uid="{00000000-0005-0000-0000-0000F11C0000}"/>
    <cellStyle name="Normal 17 2 7 4 2" xfId="19633" xr:uid="{00000000-0005-0000-0000-0000F21C0000}"/>
    <cellStyle name="Normal 17 2 7 5" xfId="12553" xr:uid="{00000000-0005-0000-0000-0000F31C0000}"/>
    <cellStyle name="Normal 17 2 7 5 2" xfId="21233" xr:uid="{00000000-0005-0000-0000-0000F41C0000}"/>
    <cellStyle name="Normal 17 2 7 6" xfId="14276" xr:uid="{00000000-0005-0000-0000-0000F51C0000}"/>
    <cellStyle name="Normal 17 2 8" xfId="2299" xr:uid="{00000000-0005-0000-0000-0000F61C0000}"/>
    <cellStyle name="Normal 17 2 8 2" xfId="9337" xr:uid="{00000000-0005-0000-0000-0000F71C0000}"/>
    <cellStyle name="Normal 17 2 8 2 2" xfId="18087" xr:uid="{00000000-0005-0000-0000-0000F81C0000}"/>
    <cellStyle name="Normal 17 2 8 3" xfId="7734" xr:uid="{00000000-0005-0000-0000-0000F91C0000}"/>
    <cellStyle name="Normal 17 2 8 3 2" xfId="16488" xr:uid="{00000000-0005-0000-0000-0000FA1C0000}"/>
    <cellStyle name="Normal 17 2 8 4" xfId="10947" xr:uid="{00000000-0005-0000-0000-0000FB1C0000}"/>
    <cellStyle name="Normal 17 2 8 4 2" xfId="19634" xr:uid="{00000000-0005-0000-0000-0000FC1C0000}"/>
    <cellStyle name="Normal 17 2 8 5" xfId="12554" xr:uid="{00000000-0005-0000-0000-0000FD1C0000}"/>
    <cellStyle name="Normal 17 2 8 5 2" xfId="21234" xr:uid="{00000000-0005-0000-0000-0000FE1C0000}"/>
    <cellStyle name="Normal 17 2 8 6" xfId="14086" xr:uid="{00000000-0005-0000-0000-0000FF1C0000}"/>
    <cellStyle name="Normal 17 2 9" xfId="9315" xr:uid="{00000000-0005-0000-0000-0000001D0000}"/>
    <cellStyle name="Normal 17 2 9 2" xfId="18065" xr:uid="{00000000-0005-0000-0000-0000011D0000}"/>
    <cellStyle name="Normal 17 3" xfId="2300" xr:uid="{00000000-0005-0000-0000-0000021D0000}"/>
    <cellStyle name="Normal 17 4" xfId="2301" xr:uid="{00000000-0005-0000-0000-0000031D0000}"/>
    <cellStyle name="Normal 17 5" xfId="2270" xr:uid="{00000000-0005-0000-0000-0000041D0000}"/>
    <cellStyle name="Normal 17 6" xfId="10634" xr:uid="{00000000-0005-0000-0000-0000051D0000}"/>
    <cellStyle name="Normal 170" xfId="10477" xr:uid="{00000000-0005-0000-0000-0000061D0000}"/>
    <cellStyle name="Normal 171" xfId="10478" xr:uid="{00000000-0005-0000-0000-0000071D0000}"/>
    <cellStyle name="Normal 172" xfId="10479" xr:uid="{00000000-0005-0000-0000-0000081D0000}"/>
    <cellStyle name="Normal 173" xfId="10480" xr:uid="{00000000-0005-0000-0000-0000091D0000}"/>
    <cellStyle name="Normal 174" xfId="10481" xr:uid="{00000000-0005-0000-0000-00000A1D0000}"/>
    <cellStyle name="Normal 175" xfId="10482" xr:uid="{00000000-0005-0000-0000-00000B1D0000}"/>
    <cellStyle name="Normal 176" xfId="10483" xr:uid="{00000000-0005-0000-0000-00000C1D0000}"/>
    <cellStyle name="Normal 177" xfId="10484" xr:uid="{00000000-0005-0000-0000-00000D1D0000}"/>
    <cellStyle name="Normal 178" xfId="10485" xr:uid="{00000000-0005-0000-0000-00000E1D0000}"/>
    <cellStyle name="Normal 179" xfId="10486" xr:uid="{00000000-0005-0000-0000-00000F1D0000}"/>
    <cellStyle name="Normal 18" xfId="153" xr:uid="{00000000-0005-0000-0000-0000101D0000}"/>
    <cellStyle name="Normal 18 2" xfId="2303" xr:uid="{00000000-0005-0000-0000-0000111D0000}"/>
    <cellStyle name="Normal 18 2 10" xfId="7735" xr:uid="{00000000-0005-0000-0000-0000121D0000}"/>
    <cellStyle name="Normal 18 2 10 2" xfId="16489" xr:uid="{00000000-0005-0000-0000-0000131D0000}"/>
    <cellStyle name="Normal 18 2 11" xfId="10948" xr:uid="{00000000-0005-0000-0000-0000141D0000}"/>
    <cellStyle name="Normal 18 2 11 2" xfId="19635" xr:uid="{00000000-0005-0000-0000-0000151D0000}"/>
    <cellStyle name="Normal 18 2 12" xfId="12555" xr:uid="{00000000-0005-0000-0000-0000161D0000}"/>
    <cellStyle name="Normal 18 2 12 2" xfId="21235" xr:uid="{00000000-0005-0000-0000-0000171D0000}"/>
    <cellStyle name="Normal 18 2 13" xfId="13873" xr:uid="{00000000-0005-0000-0000-0000181D0000}"/>
    <cellStyle name="Normal 18 2 2" xfId="2304" xr:uid="{00000000-0005-0000-0000-0000191D0000}"/>
    <cellStyle name="Normal 18 2 2 2" xfId="2305" xr:uid="{00000000-0005-0000-0000-00001A1D0000}"/>
    <cellStyle name="Normal 18 2 2 2 2" xfId="2306" xr:uid="{00000000-0005-0000-0000-00001B1D0000}"/>
    <cellStyle name="Normal 18 2 2 2 2 2" xfId="2307" xr:uid="{00000000-0005-0000-0000-00001C1D0000}"/>
    <cellStyle name="Normal 18 2 2 2 2 2 2" xfId="9340" xr:uid="{00000000-0005-0000-0000-00001D1D0000}"/>
    <cellStyle name="Normal 18 2 2 2 2 2 2 2" xfId="18090" xr:uid="{00000000-0005-0000-0000-00001E1D0000}"/>
    <cellStyle name="Normal 18 2 2 2 2 2 3" xfId="7737" xr:uid="{00000000-0005-0000-0000-00001F1D0000}"/>
    <cellStyle name="Normal 18 2 2 2 2 2 3 2" xfId="16491" xr:uid="{00000000-0005-0000-0000-0000201D0000}"/>
    <cellStyle name="Normal 18 2 2 2 2 2 4" xfId="10950" xr:uid="{00000000-0005-0000-0000-0000211D0000}"/>
    <cellStyle name="Normal 18 2 2 2 2 2 4 2" xfId="19637" xr:uid="{00000000-0005-0000-0000-0000221D0000}"/>
    <cellStyle name="Normal 18 2 2 2 2 2 5" xfId="12557" xr:uid="{00000000-0005-0000-0000-0000231D0000}"/>
    <cellStyle name="Normal 18 2 2 2 2 2 5 2" xfId="21237" xr:uid="{00000000-0005-0000-0000-0000241D0000}"/>
    <cellStyle name="Normal 18 2 2 2 2 2 6" xfId="13871" xr:uid="{00000000-0005-0000-0000-0000251D0000}"/>
    <cellStyle name="Normal 18 2 2 2 2 3" xfId="2308" xr:uid="{00000000-0005-0000-0000-0000261D0000}"/>
    <cellStyle name="Normal 18 2 2 2 2 3 2" xfId="9341" xr:uid="{00000000-0005-0000-0000-0000271D0000}"/>
    <cellStyle name="Normal 18 2 2 2 2 3 2 2" xfId="18091" xr:uid="{00000000-0005-0000-0000-0000281D0000}"/>
    <cellStyle name="Normal 18 2 2 2 2 3 3" xfId="7738" xr:uid="{00000000-0005-0000-0000-0000291D0000}"/>
    <cellStyle name="Normal 18 2 2 2 2 3 3 2" xfId="16492" xr:uid="{00000000-0005-0000-0000-00002A1D0000}"/>
    <cellStyle name="Normal 18 2 2 2 2 3 4" xfId="10951" xr:uid="{00000000-0005-0000-0000-00002B1D0000}"/>
    <cellStyle name="Normal 18 2 2 2 2 3 4 2" xfId="19638" xr:uid="{00000000-0005-0000-0000-00002C1D0000}"/>
    <cellStyle name="Normal 18 2 2 2 2 3 5" xfId="12558" xr:uid="{00000000-0005-0000-0000-00002D1D0000}"/>
    <cellStyle name="Normal 18 2 2 2 2 3 5 2" xfId="21238" xr:uid="{00000000-0005-0000-0000-00002E1D0000}"/>
    <cellStyle name="Normal 18 2 2 2 2 3 6" xfId="13870" xr:uid="{00000000-0005-0000-0000-00002F1D0000}"/>
    <cellStyle name="Normal 18 2 2 2 2 4" xfId="2309" xr:uid="{00000000-0005-0000-0000-0000301D0000}"/>
    <cellStyle name="Normal 18 2 2 2 2 4 2" xfId="9342" xr:uid="{00000000-0005-0000-0000-0000311D0000}"/>
    <cellStyle name="Normal 18 2 2 2 2 4 2 2" xfId="18092" xr:uid="{00000000-0005-0000-0000-0000321D0000}"/>
    <cellStyle name="Normal 18 2 2 2 2 4 3" xfId="7739" xr:uid="{00000000-0005-0000-0000-0000331D0000}"/>
    <cellStyle name="Normal 18 2 2 2 2 4 3 2" xfId="16493" xr:uid="{00000000-0005-0000-0000-0000341D0000}"/>
    <cellStyle name="Normal 18 2 2 2 2 4 4" xfId="10952" xr:uid="{00000000-0005-0000-0000-0000351D0000}"/>
    <cellStyle name="Normal 18 2 2 2 2 4 4 2" xfId="19639" xr:uid="{00000000-0005-0000-0000-0000361D0000}"/>
    <cellStyle name="Normal 18 2 2 2 2 4 5" xfId="12559" xr:uid="{00000000-0005-0000-0000-0000371D0000}"/>
    <cellStyle name="Normal 18 2 2 2 2 4 5 2" xfId="21239" xr:uid="{00000000-0005-0000-0000-0000381D0000}"/>
    <cellStyle name="Normal 18 2 2 2 2 4 6" xfId="13869" xr:uid="{00000000-0005-0000-0000-0000391D0000}"/>
    <cellStyle name="Normal 18 2 2 2 3" xfId="2310" xr:uid="{00000000-0005-0000-0000-00003A1D0000}"/>
    <cellStyle name="Normal 18 2 2 2 4" xfId="2311" xr:uid="{00000000-0005-0000-0000-00003B1D0000}"/>
    <cellStyle name="Normal 18 2 2 2 5" xfId="9339" xr:uid="{00000000-0005-0000-0000-00003C1D0000}"/>
    <cellStyle name="Normal 18 2 2 2 5 2" xfId="18089" xr:uid="{00000000-0005-0000-0000-00003D1D0000}"/>
    <cellStyle name="Normal 18 2 2 2 6" xfId="7736" xr:uid="{00000000-0005-0000-0000-00003E1D0000}"/>
    <cellStyle name="Normal 18 2 2 2 6 2" xfId="16490" xr:uid="{00000000-0005-0000-0000-00003F1D0000}"/>
    <cellStyle name="Normal 18 2 2 2 7" xfId="10949" xr:uid="{00000000-0005-0000-0000-0000401D0000}"/>
    <cellStyle name="Normal 18 2 2 2 7 2" xfId="19636" xr:uid="{00000000-0005-0000-0000-0000411D0000}"/>
    <cellStyle name="Normal 18 2 2 2 8" xfId="12556" xr:uid="{00000000-0005-0000-0000-0000421D0000}"/>
    <cellStyle name="Normal 18 2 2 2 8 2" xfId="21236" xr:uid="{00000000-0005-0000-0000-0000431D0000}"/>
    <cellStyle name="Normal 18 2 2 2 9" xfId="13872" xr:uid="{00000000-0005-0000-0000-0000441D0000}"/>
    <cellStyle name="Normal 18 2 2 3" xfId="2312" xr:uid="{00000000-0005-0000-0000-0000451D0000}"/>
    <cellStyle name="Normal 18 2 2 3 2" xfId="2313" xr:uid="{00000000-0005-0000-0000-0000461D0000}"/>
    <cellStyle name="Normal 18 2 2 3 2 2" xfId="9344" xr:uid="{00000000-0005-0000-0000-0000471D0000}"/>
    <cellStyle name="Normal 18 2 2 3 2 2 2" xfId="18094" xr:uid="{00000000-0005-0000-0000-0000481D0000}"/>
    <cellStyle name="Normal 18 2 2 3 2 3" xfId="7741" xr:uid="{00000000-0005-0000-0000-0000491D0000}"/>
    <cellStyle name="Normal 18 2 2 3 2 3 2" xfId="16495" xr:uid="{00000000-0005-0000-0000-00004A1D0000}"/>
    <cellStyle name="Normal 18 2 2 3 2 4" xfId="10954" xr:uid="{00000000-0005-0000-0000-00004B1D0000}"/>
    <cellStyle name="Normal 18 2 2 3 2 4 2" xfId="19641" xr:uid="{00000000-0005-0000-0000-00004C1D0000}"/>
    <cellStyle name="Normal 18 2 2 3 2 5" xfId="12561" xr:uid="{00000000-0005-0000-0000-00004D1D0000}"/>
    <cellStyle name="Normal 18 2 2 3 2 5 2" xfId="21241" xr:uid="{00000000-0005-0000-0000-00004E1D0000}"/>
    <cellStyle name="Normal 18 2 2 3 2 6" xfId="14029" xr:uid="{00000000-0005-0000-0000-00004F1D0000}"/>
    <cellStyle name="Normal 18 2 2 3 3" xfId="2314" xr:uid="{00000000-0005-0000-0000-0000501D0000}"/>
    <cellStyle name="Normal 18 2 2 3 3 2" xfId="9345" xr:uid="{00000000-0005-0000-0000-0000511D0000}"/>
    <cellStyle name="Normal 18 2 2 3 3 2 2" xfId="18095" xr:uid="{00000000-0005-0000-0000-0000521D0000}"/>
    <cellStyle name="Normal 18 2 2 3 3 3" xfId="7742" xr:uid="{00000000-0005-0000-0000-0000531D0000}"/>
    <cellStyle name="Normal 18 2 2 3 3 3 2" xfId="16496" xr:uid="{00000000-0005-0000-0000-0000541D0000}"/>
    <cellStyle name="Normal 18 2 2 3 3 4" xfId="10955" xr:uid="{00000000-0005-0000-0000-0000551D0000}"/>
    <cellStyle name="Normal 18 2 2 3 3 4 2" xfId="19642" xr:uid="{00000000-0005-0000-0000-0000561D0000}"/>
    <cellStyle name="Normal 18 2 2 3 3 5" xfId="12562" xr:uid="{00000000-0005-0000-0000-0000571D0000}"/>
    <cellStyle name="Normal 18 2 2 3 3 5 2" xfId="21242" xr:uid="{00000000-0005-0000-0000-0000581D0000}"/>
    <cellStyle name="Normal 18 2 2 3 3 6" xfId="14024" xr:uid="{00000000-0005-0000-0000-0000591D0000}"/>
    <cellStyle name="Normal 18 2 2 3 4" xfId="2315" xr:uid="{00000000-0005-0000-0000-00005A1D0000}"/>
    <cellStyle name="Normal 18 2 2 3 4 2" xfId="9346" xr:uid="{00000000-0005-0000-0000-00005B1D0000}"/>
    <cellStyle name="Normal 18 2 2 3 4 2 2" xfId="18096" xr:uid="{00000000-0005-0000-0000-00005C1D0000}"/>
    <cellStyle name="Normal 18 2 2 3 4 3" xfId="7743" xr:uid="{00000000-0005-0000-0000-00005D1D0000}"/>
    <cellStyle name="Normal 18 2 2 3 4 3 2" xfId="16497" xr:uid="{00000000-0005-0000-0000-00005E1D0000}"/>
    <cellStyle name="Normal 18 2 2 3 4 4" xfId="10956" xr:uid="{00000000-0005-0000-0000-00005F1D0000}"/>
    <cellStyle name="Normal 18 2 2 3 4 4 2" xfId="19643" xr:uid="{00000000-0005-0000-0000-0000601D0000}"/>
    <cellStyle name="Normal 18 2 2 3 4 5" xfId="12563" xr:uid="{00000000-0005-0000-0000-0000611D0000}"/>
    <cellStyle name="Normal 18 2 2 3 4 5 2" xfId="21243" xr:uid="{00000000-0005-0000-0000-0000621D0000}"/>
    <cellStyle name="Normal 18 2 2 3 4 6" xfId="14288" xr:uid="{00000000-0005-0000-0000-0000631D0000}"/>
    <cellStyle name="Normal 18 2 2 3 5" xfId="9343" xr:uid="{00000000-0005-0000-0000-0000641D0000}"/>
    <cellStyle name="Normal 18 2 2 3 5 2" xfId="18093" xr:uid="{00000000-0005-0000-0000-0000651D0000}"/>
    <cellStyle name="Normal 18 2 2 3 6" xfId="7740" xr:uid="{00000000-0005-0000-0000-0000661D0000}"/>
    <cellStyle name="Normal 18 2 2 3 6 2" xfId="16494" xr:uid="{00000000-0005-0000-0000-0000671D0000}"/>
    <cellStyle name="Normal 18 2 2 3 7" xfId="10953" xr:uid="{00000000-0005-0000-0000-0000681D0000}"/>
    <cellStyle name="Normal 18 2 2 3 7 2" xfId="19640" xr:uid="{00000000-0005-0000-0000-0000691D0000}"/>
    <cellStyle name="Normal 18 2 2 3 8" xfId="12560" xr:uid="{00000000-0005-0000-0000-00006A1D0000}"/>
    <cellStyle name="Normal 18 2 2 3 8 2" xfId="21240" xr:uid="{00000000-0005-0000-0000-00006B1D0000}"/>
    <cellStyle name="Normal 18 2 2 3 9" xfId="14033" xr:uid="{00000000-0005-0000-0000-00006C1D0000}"/>
    <cellStyle name="Normal 18 2 2 4" xfId="2316" xr:uid="{00000000-0005-0000-0000-00006D1D0000}"/>
    <cellStyle name="Normal 18 2 2 4 2" xfId="2317" xr:uid="{00000000-0005-0000-0000-00006E1D0000}"/>
    <cellStyle name="Normal 18 2 2 4 2 2" xfId="9348" xr:uid="{00000000-0005-0000-0000-00006F1D0000}"/>
    <cellStyle name="Normal 18 2 2 4 2 2 2" xfId="18098" xr:uid="{00000000-0005-0000-0000-0000701D0000}"/>
    <cellStyle name="Normal 18 2 2 4 2 3" xfId="7745" xr:uid="{00000000-0005-0000-0000-0000711D0000}"/>
    <cellStyle name="Normal 18 2 2 4 2 3 2" xfId="16499" xr:uid="{00000000-0005-0000-0000-0000721D0000}"/>
    <cellStyle name="Normal 18 2 2 4 2 4" xfId="10958" xr:uid="{00000000-0005-0000-0000-0000731D0000}"/>
    <cellStyle name="Normal 18 2 2 4 2 4 2" xfId="19645" xr:uid="{00000000-0005-0000-0000-0000741D0000}"/>
    <cellStyle name="Normal 18 2 2 4 2 5" xfId="12565" xr:uid="{00000000-0005-0000-0000-0000751D0000}"/>
    <cellStyle name="Normal 18 2 2 4 2 5 2" xfId="21245" xr:uid="{00000000-0005-0000-0000-0000761D0000}"/>
    <cellStyle name="Normal 18 2 2 4 2 6" xfId="14006" xr:uid="{00000000-0005-0000-0000-0000771D0000}"/>
    <cellStyle name="Normal 18 2 2 4 3" xfId="2318" xr:uid="{00000000-0005-0000-0000-0000781D0000}"/>
    <cellStyle name="Normal 18 2 2 4 3 2" xfId="9349" xr:uid="{00000000-0005-0000-0000-0000791D0000}"/>
    <cellStyle name="Normal 18 2 2 4 3 2 2" xfId="18099" xr:uid="{00000000-0005-0000-0000-00007A1D0000}"/>
    <cellStyle name="Normal 18 2 2 4 3 3" xfId="7746" xr:uid="{00000000-0005-0000-0000-00007B1D0000}"/>
    <cellStyle name="Normal 18 2 2 4 3 3 2" xfId="16500" xr:uid="{00000000-0005-0000-0000-00007C1D0000}"/>
    <cellStyle name="Normal 18 2 2 4 3 4" xfId="10959" xr:uid="{00000000-0005-0000-0000-00007D1D0000}"/>
    <cellStyle name="Normal 18 2 2 4 3 4 2" xfId="19646" xr:uid="{00000000-0005-0000-0000-00007E1D0000}"/>
    <cellStyle name="Normal 18 2 2 4 3 5" xfId="12566" xr:uid="{00000000-0005-0000-0000-00007F1D0000}"/>
    <cellStyle name="Normal 18 2 2 4 3 5 2" xfId="21246" xr:uid="{00000000-0005-0000-0000-0000801D0000}"/>
    <cellStyle name="Normal 18 2 2 4 3 6" xfId="13995" xr:uid="{00000000-0005-0000-0000-0000811D0000}"/>
    <cellStyle name="Normal 18 2 2 4 4" xfId="2319" xr:uid="{00000000-0005-0000-0000-0000821D0000}"/>
    <cellStyle name="Normal 18 2 2 4 4 2" xfId="9350" xr:uid="{00000000-0005-0000-0000-0000831D0000}"/>
    <cellStyle name="Normal 18 2 2 4 4 2 2" xfId="18100" xr:uid="{00000000-0005-0000-0000-0000841D0000}"/>
    <cellStyle name="Normal 18 2 2 4 4 3" xfId="7747" xr:uid="{00000000-0005-0000-0000-0000851D0000}"/>
    <cellStyle name="Normal 18 2 2 4 4 3 2" xfId="16501" xr:uid="{00000000-0005-0000-0000-0000861D0000}"/>
    <cellStyle name="Normal 18 2 2 4 4 4" xfId="10960" xr:uid="{00000000-0005-0000-0000-0000871D0000}"/>
    <cellStyle name="Normal 18 2 2 4 4 4 2" xfId="19647" xr:uid="{00000000-0005-0000-0000-0000881D0000}"/>
    <cellStyle name="Normal 18 2 2 4 4 5" xfId="12567" xr:uid="{00000000-0005-0000-0000-0000891D0000}"/>
    <cellStyle name="Normal 18 2 2 4 4 5 2" xfId="21247" xr:uid="{00000000-0005-0000-0000-00008A1D0000}"/>
    <cellStyle name="Normal 18 2 2 4 4 6" xfId="13952" xr:uid="{00000000-0005-0000-0000-00008B1D0000}"/>
    <cellStyle name="Normal 18 2 2 4 5" xfId="9347" xr:uid="{00000000-0005-0000-0000-00008C1D0000}"/>
    <cellStyle name="Normal 18 2 2 4 5 2" xfId="18097" xr:uid="{00000000-0005-0000-0000-00008D1D0000}"/>
    <cellStyle name="Normal 18 2 2 4 6" xfId="7744" xr:uid="{00000000-0005-0000-0000-00008E1D0000}"/>
    <cellStyle name="Normal 18 2 2 4 6 2" xfId="16498" xr:uid="{00000000-0005-0000-0000-00008F1D0000}"/>
    <cellStyle name="Normal 18 2 2 4 7" xfId="10957" xr:uid="{00000000-0005-0000-0000-0000901D0000}"/>
    <cellStyle name="Normal 18 2 2 4 7 2" xfId="19644" xr:uid="{00000000-0005-0000-0000-0000911D0000}"/>
    <cellStyle name="Normal 18 2 2 4 8" xfId="12564" xr:uid="{00000000-0005-0000-0000-0000921D0000}"/>
    <cellStyle name="Normal 18 2 2 4 8 2" xfId="21244" xr:uid="{00000000-0005-0000-0000-0000931D0000}"/>
    <cellStyle name="Normal 18 2 2 4 9" xfId="14016" xr:uid="{00000000-0005-0000-0000-0000941D0000}"/>
    <cellStyle name="Normal 18 2 2 5" xfId="2320" xr:uid="{00000000-0005-0000-0000-0000951D0000}"/>
    <cellStyle name="Normal 18 2 2 5 2" xfId="9351" xr:uid="{00000000-0005-0000-0000-0000961D0000}"/>
    <cellStyle name="Normal 18 2 2 5 2 2" xfId="18101" xr:uid="{00000000-0005-0000-0000-0000971D0000}"/>
    <cellStyle name="Normal 18 2 2 5 3" xfId="7748" xr:uid="{00000000-0005-0000-0000-0000981D0000}"/>
    <cellStyle name="Normal 18 2 2 5 3 2" xfId="16502" xr:uid="{00000000-0005-0000-0000-0000991D0000}"/>
    <cellStyle name="Normal 18 2 2 5 4" xfId="10961" xr:uid="{00000000-0005-0000-0000-00009A1D0000}"/>
    <cellStyle name="Normal 18 2 2 5 4 2" xfId="19648" xr:uid="{00000000-0005-0000-0000-00009B1D0000}"/>
    <cellStyle name="Normal 18 2 2 5 5" xfId="12568" xr:uid="{00000000-0005-0000-0000-00009C1D0000}"/>
    <cellStyle name="Normal 18 2 2 5 5 2" xfId="21248" xr:uid="{00000000-0005-0000-0000-00009D1D0000}"/>
    <cellStyle name="Normal 18 2 2 5 6" xfId="14124" xr:uid="{00000000-0005-0000-0000-00009E1D0000}"/>
    <cellStyle name="Normal 18 2 2 6" xfId="2321" xr:uid="{00000000-0005-0000-0000-00009F1D0000}"/>
    <cellStyle name="Normal 18 2 2 6 2" xfId="9352" xr:uid="{00000000-0005-0000-0000-0000A01D0000}"/>
    <cellStyle name="Normal 18 2 2 6 2 2" xfId="18102" xr:uid="{00000000-0005-0000-0000-0000A11D0000}"/>
    <cellStyle name="Normal 18 2 2 6 3" xfId="7749" xr:uid="{00000000-0005-0000-0000-0000A21D0000}"/>
    <cellStyle name="Normal 18 2 2 6 3 2" xfId="16503" xr:uid="{00000000-0005-0000-0000-0000A31D0000}"/>
    <cellStyle name="Normal 18 2 2 6 4" xfId="10962" xr:uid="{00000000-0005-0000-0000-0000A41D0000}"/>
    <cellStyle name="Normal 18 2 2 6 4 2" xfId="19649" xr:uid="{00000000-0005-0000-0000-0000A51D0000}"/>
    <cellStyle name="Normal 18 2 2 6 5" xfId="12569" xr:uid="{00000000-0005-0000-0000-0000A61D0000}"/>
    <cellStyle name="Normal 18 2 2 6 5 2" xfId="21249" xr:uid="{00000000-0005-0000-0000-0000A71D0000}"/>
    <cellStyle name="Normal 18 2 2 6 6" xfId="14625" xr:uid="{00000000-0005-0000-0000-0000A81D0000}"/>
    <cellStyle name="Normal 18 2 2 7" xfId="2322" xr:uid="{00000000-0005-0000-0000-0000A91D0000}"/>
    <cellStyle name="Normal 18 2 2 7 2" xfId="9353" xr:uid="{00000000-0005-0000-0000-0000AA1D0000}"/>
    <cellStyle name="Normal 18 2 2 7 2 2" xfId="18103" xr:uid="{00000000-0005-0000-0000-0000AB1D0000}"/>
    <cellStyle name="Normal 18 2 2 7 3" xfId="7750" xr:uid="{00000000-0005-0000-0000-0000AC1D0000}"/>
    <cellStyle name="Normal 18 2 2 7 3 2" xfId="16504" xr:uid="{00000000-0005-0000-0000-0000AD1D0000}"/>
    <cellStyle name="Normal 18 2 2 7 4" xfId="10963" xr:uid="{00000000-0005-0000-0000-0000AE1D0000}"/>
    <cellStyle name="Normal 18 2 2 7 4 2" xfId="19650" xr:uid="{00000000-0005-0000-0000-0000AF1D0000}"/>
    <cellStyle name="Normal 18 2 2 7 5" xfId="12570" xr:uid="{00000000-0005-0000-0000-0000B01D0000}"/>
    <cellStyle name="Normal 18 2 2 7 5 2" xfId="21250" xr:uid="{00000000-0005-0000-0000-0000B11D0000}"/>
    <cellStyle name="Normal 18 2 2 7 6" xfId="14782" xr:uid="{00000000-0005-0000-0000-0000B21D0000}"/>
    <cellStyle name="Normal 18 2 3" xfId="2323" xr:uid="{00000000-0005-0000-0000-0000B31D0000}"/>
    <cellStyle name="Normal 18 2 3 2" xfId="2324" xr:uid="{00000000-0005-0000-0000-0000B41D0000}"/>
    <cellStyle name="Normal 18 2 3 2 2" xfId="9355" xr:uid="{00000000-0005-0000-0000-0000B51D0000}"/>
    <cellStyle name="Normal 18 2 3 2 2 2" xfId="18105" xr:uid="{00000000-0005-0000-0000-0000B61D0000}"/>
    <cellStyle name="Normal 18 2 3 2 3" xfId="7752" xr:uid="{00000000-0005-0000-0000-0000B71D0000}"/>
    <cellStyle name="Normal 18 2 3 2 3 2" xfId="16506" xr:uid="{00000000-0005-0000-0000-0000B81D0000}"/>
    <cellStyle name="Normal 18 2 3 2 4" xfId="10965" xr:uid="{00000000-0005-0000-0000-0000B91D0000}"/>
    <cellStyle name="Normal 18 2 3 2 4 2" xfId="19652" xr:uid="{00000000-0005-0000-0000-0000BA1D0000}"/>
    <cellStyle name="Normal 18 2 3 2 5" xfId="12572" xr:uid="{00000000-0005-0000-0000-0000BB1D0000}"/>
    <cellStyle name="Normal 18 2 3 2 5 2" xfId="21252" xr:uid="{00000000-0005-0000-0000-0000BC1D0000}"/>
    <cellStyle name="Normal 18 2 3 2 6" xfId="14653" xr:uid="{00000000-0005-0000-0000-0000BD1D0000}"/>
    <cellStyle name="Normal 18 2 3 3" xfId="2325" xr:uid="{00000000-0005-0000-0000-0000BE1D0000}"/>
    <cellStyle name="Normal 18 2 3 3 2" xfId="9356" xr:uid="{00000000-0005-0000-0000-0000BF1D0000}"/>
    <cellStyle name="Normal 18 2 3 3 2 2" xfId="18106" xr:uid="{00000000-0005-0000-0000-0000C01D0000}"/>
    <cellStyle name="Normal 18 2 3 3 3" xfId="7753" xr:uid="{00000000-0005-0000-0000-0000C11D0000}"/>
    <cellStyle name="Normal 18 2 3 3 3 2" xfId="16507" xr:uid="{00000000-0005-0000-0000-0000C21D0000}"/>
    <cellStyle name="Normal 18 2 3 3 4" xfId="10966" xr:uid="{00000000-0005-0000-0000-0000C31D0000}"/>
    <cellStyle name="Normal 18 2 3 3 4 2" xfId="19653" xr:uid="{00000000-0005-0000-0000-0000C41D0000}"/>
    <cellStyle name="Normal 18 2 3 3 5" xfId="12573" xr:uid="{00000000-0005-0000-0000-0000C51D0000}"/>
    <cellStyle name="Normal 18 2 3 3 5 2" xfId="21253" xr:uid="{00000000-0005-0000-0000-0000C61D0000}"/>
    <cellStyle name="Normal 18 2 3 3 6" xfId="13868" xr:uid="{00000000-0005-0000-0000-0000C71D0000}"/>
    <cellStyle name="Normal 18 2 3 4" xfId="2326" xr:uid="{00000000-0005-0000-0000-0000C81D0000}"/>
    <cellStyle name="Normal 18 2 3 4 2" xfId="9357" xr:uid="{00000000-0005-0000-0000-0000C91D0000}"/>
    <cellStyle name="Normal 18 2 3 4 2 2" xfId="18107" xr:uid="{00000000-0005-0000-0000-0000CA1D0000}"/>
    <cellStyle name="Normal 18 2 3 4 3" xfId="7754" xr:uid="{00000000-0005-0000-0000-0000CB1D0000}"/>
    <cellStyle name="Normal 18 2 3 4 3 2" xfId="16508" xr:uid="{00000000-0005-0000-0000-0000CC1D0000}"/>
    <cellStyle name="Normal 18 2 3 4 4" xfId="10967" xr:uid="{00000000-0005-0000-0000-0000CD1D0000}"/>
    <cellStyle name="Normal 18 2 3 4 4 2" xfId="19654" xr:uid="{00000000-0005-0000-0000-0000CE1D0000}"/>
    <cellStyle name="Normal 18 2 3 4 5" xfId="12574" xr:uid="{00000000-0005-0000-0000-0000CF1D0000}"/>
    <cellStyle name="Normal 18 2 3 4 5 2" xfId="21254" xr:uid="{00000000-0005-0000-0000-0000D01D0000}"/>
    <cellStyle name="Normal 18 2 3 4 6" xfId="13865" xr:uid="{00000000-0005-0000-0000-0000D11D0000}"/>
    <cellStyle name="Normal 18 2 3 5" xfId="9354" xr:uid="{00000000-0005-0000-0000-0000D21D0000}"/>
    <cellStyle name="Normal 18 2 3 5 2" xfId="18104" xr:uid="{00000000-0005-0000-0000-0000D31D0000}"/>
    <cellStyle name="Normal 18 2 3 6" xfId="7751" xr:uid="{00000000-0005-0000-0000-0000D41D0000}"/>
    <cellStyle name="Normal 18 2 3 6 2" xfId="16505" xr:uid="{00000000-0005-0000-0000-0000D51D0000}"/>
    <cellStyle name="Normal 18 2 3 7" xfId="10964" xr:uid="{00000000-0005-0000-0000-0000D61D0000}"/>
    <cellStyle name="Normal 18 2 3 7 2" xfId="19651" xr:uid="{00000000-0005-0000-0000-0000D71D0000}"/>
    <cellStyle name="Normal 18 2 3 8" xfId="12571" xr:uid="{00000000-0005-0000-0000-0000D81D0000}"/>
    <cellStyle name="Normal 18 2 3 8 2" xfId="21251" xr:uid="{00000000-0005-0000-0000-0000D91D0000}"/>
    <cellStyle name="Normal 18 2 3 9" xfId="14106" xr:uid="{00000000-0005-0000-0000-0000DA1D0000}"/>
    <cellStyle name="Normal 18 2 4" xfId="2327" xr:uid="{00000000-0005-0000-0000-0000DB1D0000}"/>
    <cellStyle name="Normal 18 2 5" xfId="2328" xr:uid="{00000000-0005-0000-0000-0000DC1D0000}"/>
    <cellStyle name="Normal 18 2 6" xfId="2329" xr:uid="{00000000-0005-0000-0000-0000DD1D0000}"/>
    <cellStyle name="Normal 18 2 6 2" xfId="9358" xr:uid="{00000000-0005-0000-0000-0000DE1D0000}"/>
    <cellStyle name="Normal 18 2 6 2 2" xfId="18108" xr:uid="{00000000-0005-0000-0000-0000DF1D0000}"/>
    <cellStyle name="Normal 18 2 6 3" xfId="7755" xr:uid="{00000000-0005-0000-0000-0000E01D0000}"/>
    <cellStyle name="Normal 18 2 6 3 2" xfId="16509" xr:uid="{00000000-0005-0000-0000-0000E11D0000}"/>
    <cellStyle name="Normal 18 2 6 4" xfId="10968" xr:uid="{00000000-0005-0000-0000-0000E21D0000}"/>
    <cellStyle name="Normal 18 2 6 4 2" xfId="19655" xr:uid="{00000000-0005-0000-0000-0000E31D0000}"/>
    <cellStyle name="Normal 18 2 6 5" xfId="12575" xr:uid="{00000000-0005-0000-0000-0000E41D0000}"/>
    <cellStyle name="Normal 18 2 6 5 2" xfId="21255" xr:uid="{00000000-0005-0000-0000-0000E51D0000}"/>
    <cellStyle name="Normal 18 2 6 6" xfId="14743" xr:uid="{00000000-0005-0000-0000-0000E61D0000}"/>
    <cellStyle name="Normal 18 2 7" xfId="2330" xr:uid="{00000000-0005-0000-0000-0000E71D0000}"/>
    <cellStyle name="Normal 18 2 7 2" xfId="9359" xr:uid="{00000000-0005-0000-0000-0000E81D0000}"/>
    <cellStyle name="Normal 18 2 7 2 2" xfId="18109" xr:uid="{00000000-0005-0000-0000-0000E91D0000}"/>
    <cellStyle name="Normal 18 2 7 3" xfId="7756" xr:uid="{00000000-0005-0000-0000-0000EA1D0000}"/>
    <cellStyle name="Normal 18 2 7 3 2" xfId="16510" xr:uid="{00000000-0005-0000-0000-0000EB1D0000}"/>
    <cellStyle name="Normal 18 2 7 4" xfId="10969" xr:uid="{00000000-0005-0000-0000-0000EC1D0000}"/>
    <cellStyle name="Normal 18 2 7 4 2" xfId="19656" xr:uid="{00000000-0005-0000-0000-0000ED1D0000}"/>
    <cellStyle name="Normal 18 2 7 5" xfId="12576" xr:uid="{00000000-0005-0000-0000-0000EE1D0000}"/>
    <cellStyle name="Normal 18 2 7 5 2" xfId="21256" xr:uid="{00000000-0005-0000-0000-0000EF1D0000}"/>
    <cellStyle name="Normal 18 2 7 6" xfId="14194" xr:uid="{00000000-0005-0000-0000-0000F01D0000}"/>
    <cellStyle name="Normal 18 2 8" xfId="2331" xr:uid="{00000000-0005-0000-0000-0000F11D0000}"/>
    <cellStyle name="Normal 18 2 8 2" xfId="9360" xr:uid="{00000000-0005-0000-0000-0000F21D0000}"/>
    <cellStyle name="Normal 18 2 8 2 2" xfId="18110" xr:uid="{00000000-0005-0000-0000-0000F31D0000}"/>
    <cellStyle name="Normal 18 2 8 3" xfId="7757" xr:uid="{00000000-0005-0000-0000-0000F41D0000}"/>
    <cellStyle name="Normal 18 2 8 3 2" xfId="16511" xr:uid="{00000000-0005-0000-0000-0000F51D0000}"/>
    <cellStyle name="Normal 18 2 8 4" xfId="10970" xr:uid="{00000000-0005-0000-0000-0000F61D0000}"/>
    <cellStyle name="Normal 18 2 8 4 2" xfId="19657" xr:uid="{00000000-0005-0000-0000-0000F71D0000}"/>
    <cellStyle name="Normal 18 2 8 5" xfId="12577" xr:uid="{00000000-0005-0000-0000-0000F81D0000}"/>
    <cellStyle name="Normal 18 2 8 5 2" xfId="21257" xr:uid="{00000000-0005-0000-0000-0000F91D0000}"/>
    <cellStyle name="Normal 18 2 8 6" xfId="14644" xr:uid="{00000000-0005-0000-0000-0000FA1D0000}"/>
    <cellStyle name="Normal 18 2 9" xfId="9338" xr:uid="{00000000-0005-0000-0000-0000FB1D0000}"/>
    <cellStyle name="Normal 18 2 9 2" xfId="18088" xr:uid="{00000000-0005-0000-0000-0000FC1D0000}"/>
    <cellStyle name="Normal 18 3" xfId="2332" xr:uid="{00000000-0005-0000-0000-0000FD1D0000}"/>
    <cellStyle name="Normal 18 4" xfId="2333" xr:uid="{00000000-0005-0000-0000-0000FE1D0000}"/>
    <cellStyle name="Normal 18 5" xfId="2302" xr:uid="{00000000-0005-0000-0000-0000FF1D0000}"/>
    <cellStyle name="Normal 18 6" xfId="10635" xr:uid="{00000000-0005-0000-0000-0000001E0000}"/>
    <cellStyle name="Normal 180" xfId="7412" xr:uid="{00000000-0005-0000-0000-0000011E0000}"/>
    <cellStyle name="Normal 180 2" xfId="16174" xr:uid="{00000000-0005-0000-0000-0000021E0000}"/>
    <cellStyle name="Normal 181" xfId="9026" xr:uid="{00000000-0005-0000-0000-0000031E0000}"/>
    <cellStyle name="Normal 181 2" xfId="17776" xr:uid="{00000000-0005-0000-0000-0000041E0000}"/>
    <cellStyle name="Normal 182" xfId="9025" xr:uid="{00000000-0005-0000-0000-0000051E0000}"/>
    <cellStyle name="Normal 182 2" xfId="17775" xr:uid="{00000000-0005-0000-0000-0000061E0000}"/>
    <cellStyle name="Normal 183" xfId="9022" xr:uid="{00000000-0005-0000-0000-0000071E0000}"/>
    <cellStyle name="Normal 183 2" xfId="17774" xr:uid="{00000000-0005-0000-0000-0000081E0000}"/>
    <cellStyle name="Normal 184" xfId="10496" xr:uid="{00000000-0005-0000-0000-0000091E0000}"/>
    <cellStyle name="Normal 184 2" xfId="2334" xr:uid="{00000000-0005-0000-0000-00000A1E0000}"/>
    <cellStyle name="Normal 184 2 2" xfId="2335" xr:uid="{00000000-0005-0000-0000-00000B1E0000}"/>
    <cellStyle name="Normal 185" xfId="7442" xr:uid="{00000000-0005-0000-0000-00000C1E0000}"/>
    <cellStyle name="Normal 185 2" xfId="16198" xr:uid="{00000000-0005-0000-0000-00000D1E0000}"/>
    <cellStyle name="Normal 186" xfId="9021" xr:uid="{00000000-0005-0000-0000-00000E1E0000}"/>
    <cellStyle name="Normal 186 2" xfId="17773" xr:uid="{00000000-0005-0000-0000-00000F1E0000}"/>
    <cellStyle name="Normal 187" xfId="10491" xr:uid="{00000000-0005-0000-0000-0000101E0000}"/>
    <cellStyle name="Normal 187 2" xfId="19219" xr:uid="{00000000-0005-0000-0000-0000111E0000}"/>
    <cellStyle name="Normal 188" xfId="10500" xr:uid="{00000000-0005-0000-0000-0000121E0000}"/>
    <cellStyle name="Normal 188 2" xfId="19227" xr:uid="{00000000-0005-0000-0000-0000131E0000}"/>
    <cellStyle name="Normal 189" xfId="10495" xr:uid="{00000000-0005-0000-0000-0000141E0000}"/>
    <cellStyle name="Normal 189 2" xfId="19223" xr:uid="{00000000-0005-0000-0000-0000151E0000}"/>
    <cellStyle name="Normal 19" xfId="154" xr:uid="{00000000-0005-0000-0000-0000161E0000}"/>
    <cellStyle name="Normal 19 2" xfId="2337" xr:uid="{00000000-0005-0000-0000-0000171E0000}"/>
    <cellStyle name="Normal 19 2 10" xfId="7758" xr:uid="{00000000-0005-0000-0000-0000181E0000}"/>
    <cellStyle name="Normal 19 2 10 2" xfId="16512" xr:uid="{00000000-0005-0000-0000-0000191E0000}"/>
    <cellStyle name="Normal 19 2 11" xfId="10971" xr:uid="{00000000-0005-0000-0000-00001A1E0000}"/>
    <cellStyle name="Normal 19 2 11 2" xfId="19658" xr:uid="{00000000-0005-0000-0000-00001B1E0000}"/>
    <cellStyle name="Normal 19 2 12" xfId="12578" xr:uid="{00000000-0005-0000-0000-00001C1E0000}"/>
    <cellStyle name="Normal 19 2 12 2" xfId="21258" xr:uid="{00000000-0005-0000-0000-00001D1E0000}"/>
    <cellStyle name="Normal 19 2 13" xfId="14058" xr:uid="{00000000-0005-0000-0000-00001E1E0000}"/>
    <cellStyle name="Normal 19 2 2" xfId="2338" xr:uid="{00000000-0005-0000-0000-00001F1E0000}"/>
    <cellStyle name="Normal 19 2 2 2" xfId="2339" xr:uid="{00000000-0005-0000-0000-0000201E0000}"/>
    <cellStyle name="Normal 19 2 2 2 2" xfId="2340" xr:uid="{00000000-0005-0000-0000-0000211E0000}"/>
    <cellStyle name="Normal 19 2 2 2 2 2" xfId="2341" xr:uid="{00000000-0005-0000-0000-0000221E0000}"/>
    <cellStyle name="Normal 19 2 2 2 2 2 2" xfId="9363" xr:uid="{00000000-0005-0000-0000-0000231E0000}"/>
    <cellStyle name="Normal 19 2 2 2 2 2 2 2" xfId="18113" xr:uid="{00000000-0005-0000-0000-0000241E0000}"/>
    <cellStyle name="Normal 19 2 2 2 2 2 3" xfId="7760" xr:uid="{00000000-0005-0000-0000-0000251E0000}"/>
    <cellStyle name="Normal 19 2 2 2 2 2 3 2" xfId="16514" xr:uid="{00000000-0005-0000-0000-0000261E0000}"/>
    <cellStyle name="Normal 19 2 2 2 2 2 4" xfId="10973" xr:uid="{00000000-0005-0000-0000-0000271E0000}"/>
    <cellStyle name="Normal 19 2 2 2 2 2 4 2" xfId="19660" xr:uid="{00000000-0005-0000-0000-0000281E0000}"/>
    <cellStyle name="Normal 19 2 2 2 2 2 5" xfId="12580" xr:uid="{00000000-0005-0000-0000-0000291E0000}"/>
    <cellStyle name="Normal 19 2 2 2 2 2 5 2" xfId="21260" xr:uid="{00000000-0005-0000-0000-00002A1E0000}"/>
    <cellStyle name="Normal 19 2 2 2 2 2 6" xfId="14131" xr:uid="{00000000-0005-0000-0000-00002B1E0000}"/>
    <cellStyle name="Normal 19 2 2 2 2 3" xfId="2342" xr:uid="{00000000-0005-0000-0000-00002C1E0000}"/>
    <cellStyle name="Normal 19 2 2 2 2 3 2" xfId="9364" xr:uid="{00000000-0005-0000-0000-00002D1E0000}"/>
    <cellStyle name="Normal 19 2 2 2 2 3 2 2" xfId="18114" xr:uid="{00000000-0005-0000-0000-00002E1E0000}"/>
    <cellStyle name="Normal 19 2 2 2 2 3 3" xfId="7761" xr:uid="{00000000-0005-0000-0000-00002F1E0000}"/>
    <cellStyle name="Normal 19 2 2 2 2 3 3 2" xfId="16515" xr:uid="{00000000-0005-0000-0000-0000301E0000}"/>
    <cellStyle name="Normal 19 2 2 2 2 3 4" xfId="10974" xr:uid="{00000000-0005-0000-0000-0000311E0000}"/>
    <cellStyle name="Normal 19 2 2 2 2 3 4 2" xfId="19661" xr:uid="{00000000-0005-0000-0000-0000321E0000}"/>
    <cellStyle name="Normal 19 2 2 2 2 3 5" xfId="12581" xr:uid="{00000000-0005-0000-0000-0000331E0000}"/>
    <cellStyle name="Normal 19 2 2 2 2 3 5 2" xfId="21261" xr:uid="{00000000-0005-0000-0000-0000341E0000}"/>
    <cellStyle name="Normal 19 2 2 2 2 3 6" xfId="14756" xr:uid="{00000000-0005-0000-0000-0000351E0000}"/>
    <cellStyle name="Normal 19 2 2 2 2 4" xfId="2343" xr:uid="{00000000-0005-0000-0000-0000361E0000}"/>
    <cellStyle name="Normal 19 2 2 2 2 4 2" xfId="9365" xr:uid="{00000000-0005-0000-0000-0000371E0000}"/>
    <cellStyle name="Normal 19 2 2 2 2 4 2 2" xfId="18115" xr:uid="{00000000-0005-0000-0000-0000381E0000}"/>
    <cellStyle name="Normal 19 2 2 2 2 4 3" xfId="7762" xr:uid="{00000000-0005-0000-0000-0000391E0000}"/>
    <cellStyle name="Normal 19 2 2 2 2 4 3 2" xfId="16516" xr:uid="{00000000-0005-0000-0000-00003A1E0000}"/>
    <cellStyle name="Normal 19 2 2 2 2 4 4" xfId="10975" xr:uid="{00000000-0005-0000-0000-00003B1E0000}"/>
    <cellStyle name="Normal 19 2 2 2 2 4 4 2" xfId="19662" xr:uid="{00000000-0005-0000-0000-00003C1E0000}"/>
    <cellStyle name="Normal 19 2 2 2 2 4 5" xfId="12582" xr:uid="{00000000-0005-0000-0000-00003D1E0000}"/>
    <cellStyle name="Normal 19 2 2 2 2 4 5 2" xfId="21262" xr:uid="{00000000-0005-0000-0000-00003E1E0000}"/>
    <cellStyle name="Normal 19 2 2 2 2 4 6" xfId="14628" xr:uid="{00000000-0005-0000-0000-00003F1E0000}"/>
    <cellStyle name="Normal 19 2 2 2 3" xfId="2344" xr:uid="{00000000-0005-0000-0000-0000401E0000}"/>
    <cellStyle name="Normal 19 2 2 2 4" xfId="2345" xr:uid="{00000000-0005-0000-0000-0000411E0000}"/>
    <cellStyle name="Normal 19 2 2 2 5" xfId="9362" xr:uid="{00000000-0005-0000-0000-0000421E0000}"/>
    <cellStyle name="Normal 19 2 2 2 5 2" xfId="18112" xr:uid="{00000000-0005-0000-0000-0000431E0000}"/>
    <cellStyle name="Normal 19 2 2 2 6" xfId="7759" xr:uid="{00000000-0005-0000-0000-0000441E0000}"/>
    <cellStyle name="Normal 19 2 2 2 6 2" xfId="16513" xr:uid="{00000000-0005-0000-0000-0000451E0000}"/>
    <cellStyle name="Normal 19 2 2 2 7" xfId="10972" xr:uid="{00000000-0005-0000-0000-0000461E0000}"/>
    <cellStyle name="Normal 19 2 2 2 7 2" xfId="19659" xr:uid="{00000000-0005-0000-0000-0000471E0000}"/>
    <cellStyle name="Normal 19 2 2 2 8" xfId="12579" xr:uid="{00000000-0005-0000-0000-0000481E0000}"/>
    <cellStyle name="Normal 19 2 2 2 8 2" xfId="21259" xr:uid="{00000000-0005-0000-0000-0000491E0000}"/>
    <cellStyle name="Normal 19 2 2 2 9" xfId="14749" xr:uid="{00000000-0005-0000-0000-00004A1E0000}"/>
    <cellStyle name="Normal 19 2 2 3" xfId="2346" xr:uid="{00000000-0005-0000-0000-00004B1E0000}"/>
    <cellStyle name="Normal 19 2 2 3 2" xfId="2347" xr:uid="{00000000-0005-0000-0000-00004C1E0000}"/>
    <cellStyle name="Normal 19 2 2 3 2 2" xfId="9367" xr:uid="{00000000-0005-0000-0000-00004D1E0000}"/>
    <cellStyle name="Normal 19 2 2 3 2 2 2" xfId="18117" xr:uid="{00000000-0005-0000-0000-00004E1E0000}"/>
    <cellStyle name="Normal 19 2 2 3 2 3" xfId="7764" xr:uid="{00000000-0005-0000-0000-00004F1E0000}"/>
    <cellStyle name="Normal 19 2 2 3 2 3 2" xfId="16518" xr:uid="{00000000-0005-0000-0000-0000501E0000}"/>
    <cellStyle name="Normal 19 2 2 3 2 4" xfId="10977" xr:uid="{00000000-0005-0000-0000-0000511E0000}"/>
    <cellStyle name="Normal 19 2 2 3 2 4 2" xfId="19664" xr:uid="{00000000-0005-0000-0000-0000521E0000}"/>
    <cellStyle name="Normal 19 2 2 3 2 5" xfId="12584" xr:uid="{00000000-0005-0000-0000-0000531E0000}"/>
    <cellStyle name="Normal 19 2 2 3 2 5 2" xfId="21264" xr:uid="{00000000-0005-0000-0000-0000541E0000}"/>
    <cellStyle name="Normal 19 2 2 3 2 6" xfId="14267" xr:uid="{00000000-0005-0000-0000-0000551E0000}"/>
    <cellStyle name="Normal 19 2 2 3 3" xfId="2348" xr:uid="{00000000-0005-0000-0000-0000561E0000}"/>
    <cellStyle name="Normal 19 2 2 3 3 2" xfId="9368" xr:uid="{00000000-0005-0000-0000-0000571E0000}"/>
    <cellStyle name="Normal 19 2 2 3 3 2 2" xfId="18118" xr:uid="{00000000-0005-0000-0000-0000581E0000}"/>
    <cellStyle name="Normal 19 2 2 3 3 3" xfId="7765" xr:uid="{00000000-0005-0000-0000-0000591E0000}"/>
    <cellStyle name="Normal 19 2 2 3 3 3 2" xfId="16519" xr:uid="{00000000-0005-0000-0000-00005A1E0000}"/>
    <cellStyle name="Normal 19 2 2 3 3 4" xfId="10978" xr:uid="{00000000-0005-0000-0000-00005B1E0000}"/>
    <cellStyle name="Normal 19 2 2 3 3 4 2" xfId="19665" xr:uid="{00000000-0005-0000-0000-00005C1E0000}"/>
    <cellStyle name="Normal 19 2 2 3 3 5" xfId="12585" xr:uid="{00000000-0005-0000-0000-00005D1E0000}"/>
    <cellStyle name="Normal 19 2 2 3 3 5 2" xfId="21265" xr:uid="{00000000-0005-0000-0000-00005E1E0000}"/>
    <cellStyle name="Normal 19 2 2 3 3 6" xfId="14269" xr:uid="{00000000-0005-0000-0000-00005F1E0000}"/>
    <cellStyle name="Normal 19 2 2 3 4" xfId="2349" xr:uid="{00000000-0005-0000-0000-0000601E0000}"/>
    <cellStyle name="Normal 19 2 2 3 4 2" xfId="9369" xr:uid="{00000000-0005-0000-0000-0000611E0000}"/>
    <cellStyle name="Normal 19 2 2 3 4 2 2" xfId="18119" xr:uid="{00000000-0005-0000-0000-0000621E0000}"/>
    <cellStyle name="Normal 19 2 2 3 4 3" xfId="7766" xr:uid="{00000000-0005-0000-0000-0000631E0000}"/>
    <cellStyle name="Normal 19 2 2 3 4 3 2" xfId="16520" xr:uid="{00000000-0005-0000-0000-0000641E0000}"/>
    <cellStyle name="Normal 19 2 2 3 4 4" xfId="10979" xr:uid="{00000000-0005-0000-0000-0000651E0000}"/>
    <cellStyle name="Normal 19 2 2 3 4 4 2" xfId="19666" xr:uid="{00000000-0005-0000-0000-0000661E0000}"/>
    <cellStyle name="Normal 19 2 2 3 4 5" xfId="12586" xr:uid="{00000000-0005-0000-0000-0000671E0000}"/>
    <cellStyle name="Normal 19 2 2 3 4 5 2" xfId="21266" xr:uid="{00000000-0005-0000-0000-0000681E0000}"/>
    <cellStyle name="Normal 19 2 2 3 4 6" xfId="14272" xr:uid="{00000000-0005-0000-0000-0000691E0000}"/>
    <cellStyle name="Normal 19 2 2 3 5" xfId="9366" xr:uid="{00000000-0005-0000-0000-00006A1E0000}"/>
    <cellStyle name="Normal 19 2 2 3 5 2" xfId="18116" xr:uid="{00000000-0005-0000-0000-00006B1E0000}"/>
    <cellStyle name="Normal 19 2 2 3 6" xfId="7763" xr:uid="{00000000-0005-0000-0000-00006C1E0000}"/>
    <cellStyle name="Normal 19 2 2 3 6 2" xfId="16517" xr:uid="{00000000-0005-0000-0000-00006D1E0000}"/>
    <cellStyle name="Normal 19 2 2 3 7" xfId="10976" xr:uid="{00000000-0005-0000-0000-00006E1E0000}"/>
    <cellStyle name="Normal 19 2 2 3 7 2" xfId="19663" xr:uid="{00000000-0005-0000-0000-00006F1E0000}"/>
    <cellStyle name="Normal 19 2 2 3 8" xfId="12583" xr:uid="{00000000-0005-0000-0000-0000701E0000}"/>
    <cellStyle name="Normal 19 2 2 3 8 2" xfId="21263" xr:uid="{00000000-0005-0000-0000-0000711E0000}"/>
    <cellStyle name="Normal 19 2 2 3 9" xfId="14103" xr:uid="{00000000-0005-0000-0000-0000721E0000}"/>
    <cellStyle name="Normal 19 2 2 4" xfId="2350" xr:uid="{00000000-0005-0000-0000-0000731E0000}"/>
    <cellStyle name="Normal 19 2 2 4 2" xfId="2351" xr:uid="{00000000-0005-0000-0000-0000741E0000}"/>
    <cellStyle name="Normal 19 2 2 4 2 2" xfId="9371" xr:uid="{00000000-0005-0000-0000-0000751E0000}"/>
    <cellStyle name="Normal 19 2 2 4 2 2 2" xfId="18121" xr:uid="{00000000-0005-0000-0000-0000761E0000}"/>
    <cellStyle name="Normal 19 2 2 4 2 3" xfId="7768" xr:uid="{00000000-0005-0000-0000-0000771E0000}"/>
    <cellStyle name="Normal 19 2 2 4 2 3 2" xfId="16522" xr:uid="{00000000-0005-0000-0000-0000781E0000}"/>
    <cellStyle name="Normal 19 2 2 4 2 4" xfId="10981" xr:uid="{00000000-0005-0000-0000-0000791E0000}"/>
    <cellStyle name="Normal 19 2 2 4 2 4 2" xfId="19668" xr:uid="{00000000-0005-0000-0000-00007A1E0000}"/>
    <cellStyle name="Normal 19 2 2 4 2 5" xfId="12588" xr:uid="{00000000-0005-0000-0000-00007B1E0000}"/>
    <cellStyle name="Normal 19 2 2 4 2 5 2" xfId="21268" xr:uid="{00000000-0005-0000-0000-00007C1E0000}"/>
    <cellStyle name="Normal 19 2 2 4 2 6" xfId="14766" xr:uid="{00000000-0005-0000-0000-00007D1E0000}"/>
    <cellStyle name="Normal 19 2 2 4 3" xfId="2352" xr:uid="{00000000-0005-0000-0000-00007E1E0000}"/>
    <cellStyle name="Normal 19 2 2 4 3 2" xfId="9372" xr:uid="{00000000-0005-0000-0000-00007F1E0000}"/>
    <cellStyle name="Normal 19 2 2 4 3 2 2" xfId="18122" xr:uid="{00000000-0005-0000-0000-0000801E0000}"/>
    <cellStyle name="Normal 19 2 2 4 3 3" xfId="7769" xr:uid="{00000000-0005-0000-0000-0000811E0000}"/>
    <cellStyle name="Normal 19 2 2 4 3 3 2" xfId="16523" xr:uid="{00000000-0005-0000-0000-0000821E0000}"/>
    <cellStyle name="Normal 19 2 2 4 3 4" xfId="10982" xr:uid="{00000000-0005-0000-0000-0000831E0000}"/>
    <cellStyle name="Normal 19 2 2 4 3 4 2" xfId="19669" xr:uid="{00000000-0005-0000-0000-0000841E0000}"/>
    <cellStyle name="Normal 19 2 2 4 3 5" xfId="12589" xr:uid="{00000000-0005-0000-0000-0000851E0000}"/>
    <cellStyle name="Normal 19 2 2 4 3 5 2" xfId="21269" xr:uid="{00000000-0005-0000-0000-0000861E0000}"/>
    <cellStyle name="Normal 19 2 2 4 3 6" xfId="14080" xr:uid="{00000000-0005-0000-0000-0000871E0000}"/>
    <cellStyle name="Normal 19 2 2 4 4" xfId="2353" xr:uid="{00000000-0005-0000-0000-0000881E0000}"/>
    <cellStyle name="Normal 19 2 2 4 4 2" xfId="9373" xr:uid="{00000000-0005-0000-0000-0000891E0000}"/>
    <cellStyle name="Normal 19 2 2 4 4 2 2" xfId="18123" xr:uid="{00000000-0005-0000-0000-00008A1E0000}"/>
    <cellStyle name="Normal 19 2 2 4 4 3" xfId="7770" xr:uid="{00000000-0005-0000-0000-00008B1E0000}"/>
    <cellStyle name="Normal 19 2 2 4 4 3 2" xfId="16524" xr:uid="{00000000-0005-0000-0000-00008C1E0000}"/>
    <cellStyle name="Normal 19 2 2 4 4 4" xfId="10983" xr:uid="{00000000-0005-0000-0000-00008D1E0000}"/>
    <cellStyle name="Normal 19 2 2 4 4 4 2" xfId="19670" xr:uid="{00000000-0005-0000-0000-00008E1E0000}"/>
    <cellStyle name="Normal 19 2 2 4 4 5" xfId="12590" xr:uid="{00000000-0005-0000-0000-00008F1E0000}"/>
    <cellStyle name="Normal 19 2 2 4 4 5 2" xfId="21270" xr:uid="{00000000-0005-0000-0000-0000901E0000}"/>
    <cellStyle name="Normal 19 2 2 4 4 6" xfId="14807" xr:uid="{00000000-0005-0000-0000-0000911E0000}"/>
    <cellStyle name="Normal 19 2 2 4 5" xfId="9370" xr:uid="{00000000-0005-0000-0000-0000921E0000}"/>
    <cellStyle name="Normal 19 2 2 4 5 2" xfId="18120" xr:uid="{00000000-0005-0000-0000-0000931E0000}"/>
    <cellStyle name="Normal 19 2 2 4 6" xfId="7767" xr:uid="{00000000-0005-0000-0000-0000941E0000}"/>
    <cellStyle name="Normal 19 2 2 4 6 2" xfId="16521" xr:uid="{00000000-0005-0000-0000-0000951E0000}"/>
    <cellStyle name="Normal 19 2 2 4 7" xfId="10980" xr:uid="{00000000-0005-0000-0000-0000961E0000}"/>
    <cellStyle name="Normal 19 2 2 4 7 2" xfId="19667" xr:uid="{00000000-0005-0000-0000-0000971E0000}"/>
    <cellStyle name="Normal 19 2 2 4 8" xfId="12587" xr:uid="{00000000-0005-0000-0000-0000981E0000}"/>
    <cellStyle name="Normal 19 2 2 4 8 2" xfId="21267" xr:uid="{00000000-0005-0000-0000-0000991E0000}"/>
    <cellStyle name="Normal 19 2 2 4 9" xfId="13937" xr:uid="{00000000-0005-0000-0000-00009A1E0000}"/>
    <cellStyle name="Normal 19 2 2 5" xfId="2354" xr:uid="{00000000-0005-0000-0000-00009B1E0000}"/>
    <cellStyle name="Normal 19 2 2 5 2" xfId="9374" xr:uid="{00000000-0005-0000-0000-00009C1E0000}"/>
    <cellStyle name="Normal 19 2 2 5 2 2" xfId="18124" xr:uid="{00000000-0005-0000-0000-00009D1E0000}"/>
    <cellStyle name="Normal 19 2 2 5 3" xfId="7771" xr:uid="{00000000-0005-0000-0000-00009E1E0000}"/>
    <cellStyle name="Normal 19 2 2 5 3 2" xfId="16525" xr:uid="{00000000-0005-0000-0000-00009F1E0000}"/>
    <cellStyle name="Normal 19 2 2 5 4" xfId="10984" xr:uid="{00000000-0005-0000-0000-0000A01E0000}"/>
    <cellStyle name="Normal 19 2 2 5 4 2" xfId="19671" xr:uid="{00000000-0005-0000-0000-0000A11E0000}"/>
    <cellStyle name="Normal 19 2 2 5 5" xfId="12591" xr:uid="{00000000-0005-0000-0000-0000A21E0000}"/>
    <cellStyle name="Normal 19 2 2 5 5 2" xfId="21271" xr:uid="{00000000-0005-0000-0000-0000A31E0000}"/>
    <cellStyle name="Normal 19 2 2 5 6" xfId="14268" xr:uid="{00000000-0005-0000-0000-0000A41E0000}"/>
    <cellStyle name="Normal 19 2 2 6" xfId="2355" xr:uid="{00000000-0005-0000-0000-0000A51E0000}"/>
    <cellStyle name="Normal 19 2 2 6 2" xfId="9375" xr:uid="{00000000-0005-0000-0000-0000A61E0000}"/>
    <cellStyle name="Normal 19 2 2 6 2 2" xfId="18125" xr:uid="{00000000-0005-0000-0000-0000A71E0000}"/>
    <cellStyle name="Normal 19 2 2 6 3" xfId="7772" xr:uid="{00000000-0005-0000-0000-0000A81E0000}"/>
    <cellStyle name="Normal 19 2 2 6 3 2" xfId="16526" xr:uid="{00000000-0005-0000-0000-0000A91E0000}"/>
    <cellStyle name="Normal 19 2 2 6 4" xfId="10985" xr:uid="{00000000-0005-0000-0000-0000AA1E0000}"/>
    <cellStyle name="Normal 19 2 2 6 4 2" xfId="19672" xr:uid="{00000000-0005-0000-0000-0000AB1E0000}"/>
    <cellStyle name="Normal 19 2 2 6 5" xfId="12592" xr:uid="{00000000-0005-0000-0000-0000AC1E0000}"/>
    <cellStyle name="Normal 19 2 2 6 5 2" xfId="21272" xr:uid="{00000000-0005-0000-0000-0000AD1E0000}"/>
    <cellStyle name="Normal 19 2 2 6 6" xfId="14630" xr:uid="{00000000-0005-0000-0000-0000AE1E0000}"/>
    <cellStyle name="Normal 19 2 2 7" xfId="2356" xr:uid="{00000000-0005-0000-0000-0000AF1E0000}"/>
    <cellStyle name="Normal 19 2 2 7 2" xfId="9376" xr:uid="{00000000-0005-0000-0000-0000B01E0000}"/>
    <cellStyle name="Normal 19 2 2 7 2 2" xfId="18126" xr:uid="{00000000-0005-0000-0000-0000B11E0000}"/>
    <cellStyle name="Normal 19 2 2 7 3" xfId="7773" xr:uid="{00000000-0005-0000-0000-0000B21E0000}"/>
    <cellStyle name="Normal 19 2 2 7 3 2" xfId="16527" xr:uid="{00000000-0005-0000-0000-0000B31E0000}"/>
    <cellStyle name="Normal 19 2 2 7 4" xfId="10986" xr:uid="{00000000-0005-0000-0000-0000B41E0000}"/>
    <cellStyle name="Normal 19 2 2 7 4 2" xfId="19673" xr:uid="{00000000-0005-0000-0000-0000B51E0000}"/>
    <cellStyle name="Normal 19 2 2 7 5" xfId="12593" xr:uid="{00000000-0005-0000-0000-0000B61E0000}"/>
    <cellStyle name="Normal 19 2 2 7 5 2" xfId="21273" xr:uid="{00000000-0005-0000-0000-0000B71E0000}"/>
    <cellStyle name="Normal 19 2 2 7 6" xfId="14808" xr:uid="{00000000-0005-0000-0000-0000B81E0000}"/>
    <cellStyle name="Normal 19 2 3" xfId="2357" xr:uid="{00000000-0005-0000-0000-0000B91E0000}"/>
    <cellStyle name="Normal 19 2 3 2" xfId="2358" xr:uid="{00000000-0005-0000-0000-0000BA1E0000}"/>
    <cellStyle name="Normal 19 2 3 2 2" xfId="9378" xr:uid="{00000000-0005-0000-0000-0000BB1E0000}"/>
    <cellStyle name="Normal 19 2 3 2 2 2" xfId="18128" xr:uid="{00000000-0005-0000-0000-0000BC1E0000}"/>
    <cellStyle name="Normal 19 2 3 2 3" xfId="7775" xr:uid="{00000000-0005-0000-0000-0000BD1E0000}"/>
    <cellStyle name="Normal 19 2 3 2 3 2" xfId="16529" xr:uid="{00000000-0005-0000-0000-0000BE1E0000}"/>
    <cellStyle name="Normal 19 2 3 2 4" xfId="10988" xr:uid="{00000000-0005-0000-0000-0000BF1E0000}"/>
    <cellStyle name="Normal 19 2 3 2 4 2" xfId="19675" xr:uid="{00000000-0005-0000-0000-0000C01E0000}"/>
    <cellStyle name="Normal 19 2 3 2 5" xfId="12595" xr:uid="{00000000-0005-0000-0000-0000C11E0000}"/>
    <cellStyle name="Normal 19 2 3 2 5 2" xfId="21275" xr:uid="{00000000-0005-0000-0000-0000C21E0000}"/>
    <cellStyle name="Normal 19 2 3 2 6" xfId="13934" xr:uid="{00000000-0005-0000-0000-0000C31E0000}"/>
    <cellStyle name="Normal 19 2 3 3" xfId="2359" xr:uid="{00000000-0005-0000-0000-0000C41E0000}"/>
    <cellStyle name="Normal 19 2 3 3 2" xfId="9379" xr:uid="{00000000-0005-0000-0000-0000C51E0000}"/>
    <cellStyle name="Normal 19 2 3 3 2 2" xfId="18129" xr:uid="{00000000-0005-0000-0000-0000C61E0000}"/>
    <cellStyle name="Normal 19 2 3 3 3" xfId="7776" xr:uid="{00000000-0005-0000-0000-0000C71E0000}"/>
    <cellStyle name="Normal 19 2 3 3 3 2" xfId="16530" xr:uid="{00000000-0005-0000-0000-0000C81E0000}"/>
    <cellStyle name="Normal 19 2 3 3 4" xfId="10989" xr:uid="{00000000-0005-0000-0000-0000C91E0000}"/>
    <cellStyle name="Normal 19 2 3 3 4 2" xfId="19676" xr:uid="{00000000-0005-0000-0000-0000CA1E0000}"/>
    <cellStyle name="Normal 19 2 3 3 5" xfId="12596" xr:uid="{00000000-0005-0000-0000-0000CB1E0000}"/>
    <cellStyle name="Normal 19 2 3 3 5 2" xfId="21276" xr:uid="{00000000-0005-0000-0000-0000CC1E0000}"/>
    <cellStyle name="Normal 19 2 3 3 6" xfId="14007" xr:uid="{00000000-0005-0000-0000-0000CD1E0000}"/>
    <cellStyle name="Normal 19 2 3 4" xfId="2360" xr:uid="{00000000-0005-0000-0000-0000CE1E0000}"/>
    <cellStyle name="Normal 19 2 3 4 2" xfId="9380" xr:uid="{00000000-0005-0000-0000-0000CF1E0000}"/>
    <cellStyle name="Normal 19 2 3 4 2 2" xfId="18130" xr:uid="{00000000-0005-0000-0000-0000D01E0000}"/>
    <cellStyle name="Normal 19 2 3 4 3" xfId="7777" xr:uid="{00000000-0005-0000-0000-0000D11E0000}"/>
    <cellStyle name="Normal 19 2 3 4 3 2" xfId="16531" xr:uid="{00000000-0005-0000-0000-0000D21E0000}"/>
    <cellStyle name="Normal 19 2 3 4 4" xfId="10990" xr:uid="{00000000-0005-0000-0000-0000D31E0000}"/>
    <cellStyle name="Normal 19 2 3 4 4 2" xfId="19677" xr:uid="{00000000-0005-0000-0000-0000D41E0000}"/>
    <cellStyle name="Normal 19 2 3 4 5" xfId="12597" xr:uid="{00000000-0005-0000-0000-0000D51E0000}"/>
    <cellStyle name="Normal 19 2 3 4 5 2" xfId="21277" xr:uid="{00000000-0005-0000-0000-0000D61E0000}"/>
    <cellStyle name="Normal 19 2 3 4 6" xfId="14509" xr:uid="{00000000-0005-0000-0000-0000D71E0000}"/>
    <cellStyle name="Normal 19 2 3 5" xfId="9377" xr:uid="{00000000-0005-0000-0000-0000D81E0000}"/>
    <cellStyle name="Normal 19 2 3 5 2" xfId="18127" xr:uid="{00000000-0005-0000-0000-0000D91E0000}"/>
    <cellStyle name="Normal 19 2 3 6" xfId="7774" xr:uid="{00000000-0005-0000-0000-0000DA1E0000}"/>
    <cellStyle name="Normal 19 2 3 6 2" xfId="16528" xr:uid="{00000000-0005-0000-0000-0000DB1E0000}"/>
    <cellStyle name="Normal 19 2 3 7" xfId="10987" xr:uid="{00000000-0005-0000-0000-0000DC1E0000}"/>
    <cellStyle name="Normal 19 2 3 7 2" xfId="19674" xr:uid="{00000000-0005-0000-0000-0000DD1E0000}"/>
    <cellStyle name="Normal 19 2 3 8" xfId="12594" xr:uid="{00000000-0005-0000-0000-0000DE1E0000}"/>
    <cellStyle name="Normal 19 2 3 8 2" xfId="21274" xr:uid="{00000000-0005-0000-0000-0000DF1E0000}"/>
    <cellStyle name="Normal 19 2 3 9" xfId="14265" xr:uid="{00000000-0005-0000-0000-0000E01E0000}"/>
    <cellStyle name="Normal 19 2 4" xfId="2361" xr:uid="{00000000-0005-0000-0000-0000E11E0000}"/>
    <cellStyle name="Normal 19 2 5" xfId="2362" xr:uid="{00000000-0005-0000-0000-0000E21E0000}"/>
    <cellStyle name="Normal 19 2 6" xfId="2363" xr:uid="{00000000-0005-0000-0000-0000E31E0000}"/>
    <cellStyle name="Normal 19 2 6 2" xfId="9381" xr:uid="{00000000-0005-0000-0000-0000E41E0000}"/>
    <cellStyle name="Normal 19 2 6 2 2" xfId="18131" xr:uid="{00000000-0005-0000-0000-0000E51E0000}"/>
    <cellStyle name="Normal 19 2 6 3" xfId="7778" xr:uid="{00000000-0005-0000-0000-0000E61E0000}"/>
    <cellStyle name="Normal 19 2 6 3 2" xfId="16532" xr:uid="{00000000-0005-0000-0000-0000E71E0000}"/>
    <cellStyle name="Normal 19 2 6 4" xfId="10991" xr:uid="{00000000-0005-0000-0000-0000E81E0000}"/>
    <cellStyle name="Normal 19 2 6 4 2" xfId="19678" xr:uid="{00000000-0005-0000-0000-0000E91E0000}"/>
    <cellStyle name="Normal 19 2 6 5" xfId="12598" xr:uid="{00000000-0005-0000-0000-0000EA1E0000}"/>
    <cellStyle name="Normal 19 2 6 5 2" xfId="21278" xr:uid="{00000000-0005-0000-0000-0000EB1E0000}"/>
    <cellStyle name="Normal 19 2 6 6" xfId="14065" xr:uid="{00000000-0005-0000-0000-0000EC1E0000}"/>
    <cellStyle name="Normal 19 2 7" xfId="2364" xr:uid="{00000000-0005-0000-0000-0000ED1E0000}"/>
    <cellStyle name="Normal 19 2 7 2" xfId="9382" xr:uid="{00000000-0005-0000-0000-0000EE1E0000}"/>
    <cellStyle name="Normal 19 2 7 2 2" xfId="18132" xr:uid="{00000000-0005-0000-0000-0000EF1E0000}"/>
    <cellStyle name="Normal 19 2 7 3" xfId="7779" xr:uid="{00000000-0005-0000-0000-0000F01E0000}"/>
    <cellStyle name="Normal 19 2 7 3 2" xfId="16533" xr:uid="{00000000-0005-0000-0000-0000F11E0000}"/>
    <cellStyle name="Normal 19 2 7 4" xfId="10992" xr:uid="{00000000-0005-0000-0000-0000F21E0000}"/>
    <cellStyle name="Normal 19 2 7 4 2" xfId="19679" xr:uid="{00000000-0005-0000-0000-0000F31E0000}"/>
    <cellStyle name="Normal 19 2 7 5" xfId="12599" xr:uid="{00000000-0005-0000-0000-0000F41E0000}"/>
    <cellStyle name="Normal 19 2 7 5 2" xfId="21279" xr:uid="{00000000-0005-0000-0000-0000F51E0000}"/>
    <cellStyle name="Normal 19 2 7 6" xfId="13898" xr:uid="{00000000-0005-0000-0000-0000F61E0000}"/>
    <cellStyle name="Normal 19 2 8" xfId="2365" xr:uid="{00000000-0005-0000-0000-0000F71E0000}"/>
    <cellStyle name="Normal 19 2 8 2" xfId="9383" xr:uid="{00000000-0005-0000-0000-0000F81E0000}"/>
    <cellStyle name="Normal 19 2 8 2 2" xfId="18133" xr:uid="{00000000-0005-0000-0000-0000F91E0000}"/>
    <cellStyle name="Normal 19 2 8 3" xfId="7780" xr:uid="{00000000-0005-0000-0000-0000FA1E0000}"/>
    <cellStyle name="Normal 19 2 8 3 2" xfId="16534" xr:uid="{00000000-0005-0000-0000-0000FB1E0000}"/>
    <cellStyle name="Normal 19 2 8 4" xfId="10993" xr:uid="{00000000-0005-0000-0000-0000FC1E0000}"/>
    <cellStyle name="Normal 19 2 8 4 2" xfId="19680" xr:uid="{00000000-0005-0000-0000-0000FD1E0000}"/>
    <cellStyle name="Normal 19 2 8 5" xfId="12600" xr:uid="{00000000-0005-0000-0000-0000FE1E0000}"/>
    <cellStyle name="Normal 19 2 8 5 2" xfId="21280" xr:uid="{00000000-0005-0000-0000-0000FF1E0000}"/>
    <cellStyle name="Normal 19 2 8 6" xfId="13907" xr:uid="{00000000-0005-0000-0000-0000001F0000}"/>
    <cellStyle name="Normal 19 2 9" xfId="9361" xr:uid="{00000000-0005-0000-0000-0000011F0000}"/>
    <cellStyle name="Normal 19 2 9 2" xfId="18111" xr:uid="{00000000-0005-0000-0000-0000021F0000}"/>
    <cellStyle name="Normal 19 3" xfId="2366" xr:uid="{00000000-0005-0000-0000-0000031F0000}"/>
    <cellStyle name="Normal 19 4" xfId="2336" xr:uid="{00000000-0005-0000-0000-0000041F0000}"/>
    <cellStyle name="Normal 19 5" xfId="10636" xr:uid="{00000000-0005-0000-0000-0000051F0000}"/>
    <cellStyle name="Normal 190" xfId="7421" xr:uid="{00000000-0005-0000-0000-0000061F0000}"/>
    <cellStyle name="Normal 190 2" xfId="16181" xr:uid="{00000000-0005-0000-0000-0000071F0000}"/>
    <cellStyle name="Normal 191" xfId="10492" xr:uid="{00000000-0005-0000-0000-0000081F0000}"/>
    <cellStyle name="Normal 191 2" xfId="19220" xr:uid="{00000000-0005-0000-0000-0000091F0000}"/>
    <cellStyle name="Normal 192" xfId="7441" xr:uid="{00000000-0005-0000-0000-00000A1F0000}"/>
    <cellStyle name="Normal 192 2" xfId="16197" xr:uid="{00000000-0005-0000-0000-00000B1F0000}"/>
    <cellStyle name="Normal 193" xfId="10487" xr:uid="{00000000-0005-0000-0000-00000C1F0000}"/>
    <cellStyle name="Normal 193 2" xfId="19215" xr:uid="{00000000-0005-0000-0000-00000D1F0000}"/>
    <cellStyle name="Normal 194" xfId="10488" xr:uid="{00000000-0005-0000-0000-00000E1F0000}"/>
    <cellStyle name="Normal 194 2" xfId="19216" xr:uid="{00000000-0005-0000-0000-00000F1F0000}"/>
    <cellStyle name="Normal 195" xfId="10499" xr:uid="{00000000-0005-0000-0000-0000101F0000}"/>
    <cellStyle name="Normal 195 2" xfId="19226" xr:uid="{00000000-0005-0000-0000-0000111F0000}"/>
    <cellStyle name="Normal 196" xfId="7445" xr:uid="{00000000-0005-0000-0000-0000121F0000}"/>
    <cellStyle name="Normal 196 2" xfId="16199" xr:uid="{00000000-0005-0000-0000-0000131F0000}"/>
    <cellStyle name="Normal 197" xfId="10489" xr:uid="{00000000-0005-0000-0000-0000141F0000}"/>
    <cellStyle name="Normal 197 2" xfId="19217" xr:uid="{00000000-0005-0000-0000-0000151F0000}"/>
    <cellStyle name="Normal 198" xfId="10497" xr:uid="{00000000-0005-0000-0000-0000161F0000}"/>
    <cellStyle name="Normal 198 2" xfId="19224" xr:uid="{00000000-0005-0000-0000-0000171F0000}"/>
    <cellStyle name="Normal 199" xfId="10502" xr:uid="{00000000-0005-0000-0000-0000181F0000}"/>
    <cellStyle name="Normal 199 2" xfId="19229" xr:uid="{00000000-0005-0000-0000-0000191F0000}"/>
    <cellStyle name="Normal 2" xfId="93" xr:uid="{00000000-0005-0000-0000-00001A1F0000}"/>
    <cellStyle name="Normal 2 10" xfId="7781" xr:uid="{00000000-0005-0000-0000-00001B1F0000}"/>
    <cellStyle name="Normal 2 103" xfId="4898" xr:uid="{00000000-0005-0000-0000-00001C1F0000}"/>
    <cellStyle name="Normal 2 11" xfId="7414" xr:uid="{00000000-0005-0000-0000-00001D1F0000}"/>
    <cellStyle name="Normal 2 11 2" xfId="16175" xr:uid="{00000000-0005-0000-0000-00001E1F0000}"/>
    <cellStyle name="Normal 2 2" xfId="121" xr:uid="{00000000-0005-0000-0000-00001F1F0000}"/>
    <cellStyle name="Normal 2 2 10" xfId="2367" xr:uid="{00000000-0005-0000-0000-0000201F0000}"/>
    <cellStyle name="Normal 2 2 10 2" xfId="2368" xr:uid="{00000000-0005-0000-0000-0000211F0000}"/>
    <cellStyle name="Normal 2 2 11" xfId="2369" xr:uid="{00000000-0005-0000-0000-0000221F0000}"/>
    <cellStyle name="Normal 2 2 11 2" xfId="2370" xr:uid="{00000000-0005-0000-0000-0000231F0000}"/>
    <cellStyle name="Normal 2 2 12" xfId="2371" xr:uid="{00000000-0005-0000-0000-0000241F0000}"/>
    <cellStyle name="Normal 2 2 12 2" xfId="2372" xr:uid="{00000000-0005-0000-0000-0000251F0000}"/>
    <cellStyle name="Normal 2 2 13" xfId="2373" xr:uid="{00000000-0005-0000-0000-0000261F0000}"/>
    <cellStyle name="Normal 2 2 13 2" xfId="2374" xr:uid="{00000000-0005-0000-0000-0000271F0000}"/>
    <cellStyle name="Normal 2 2 14" xfId="2375" xr:uid="{00000000-0005-0000-0000-0000281F0000}"/>
    <cellStyle name="Normal 2 2 14 2" xfId="2376" xr:uid="{00000000-0005-0000-0000-0000291F0000}"/>
    <cellStyle name="Normal 2 2 15" xfId="2377" xr:uid="{00000000-0005-0000-0000-00002A1F0000}"/>
    <cellStyle name="Normal 2 2 15 2" xfId="2378" xr:uid="{00000000-0005-0000-0000-00002B1F0000}"/>
    <cellStyle name="Normal 2 2 16" xfId="2379" xr:uid="{00000000-0005-0000-0000-00002C1F0000}"/>
    <cellStyle name="Normal 2 2 16 2" xfId="2380" xr:uid="{00000000-0005-0000-0000-00002D1F0000}"/>
    <cellStyle name="Normal 2 2 17" xfId="2381" xr:uid="{00000000-0005-0000-0000-00002E1F0000}"/>
    <cellStyle name="Normal 2 2 17 2" xfId="2382" xr:uid="{00000000-0005-0000-0000-00002F1F0000}"/>
    <cellStyle name="Normal 2 2 18" xfId="2383" xr:uid="{00000000-0005-0000-0000-0000301F0000}"/>
    <cellStyle name="Normal 2 2 18 2" xfId="2384" xr:uid="{00000000-0005-0000-0000-0000311F0000}"/>
    <cellStyle name="Normal 2 2 19" xfId="2385" xr:uid="{00000000-0005-0000-0000-0000321F0000}"/>
    <cellStyle name="Normal 2 2 19 2" xfId="2386" xr:uid="{00000000-0005-0000-0000-0000331F0000}"/>
    <cellStyle name="Normal 2 2 19 2 2" xfId="2387" xr:uid="{00000000-0005-0000-0000-0000341F0000}"/>
    <cellStyle name="Normal 2 2 19 3" xfId="2388" xr:uid="{00000000-0005-0000-0000-0000351F0000}"/>
    <cellStyle name="Normal 2 2 19 3 2" xfId="2389" xr:uid="{00000000-0005-0000-0000-0000361F0000}"/>
    <cellStyle name="Normal 2 2 19 4" xfId="2390" xr:uid="{00000000-0005-0000-0000-0000371F0000}"/>
    <cellStyle name="Normal 2 2 19 4 2" xfId="2391" xr:uid="{00000000-0005-0000-0000-0000381F0000}"/>
    <cellStyle name="Normal 2 2 19 5" xfId="2392" xr:uid="{00000000-0005-0000-0000-0000391F0000}"/>
    <cellStyle name="Normal 2 2 19 5 2" xfId="2393" xr:uid="{00000000-0005-0000-0000-00003A1F0000}"/>
    <cellStyle name="Normal 2 2 19 6" xfId="2394" xr:uid="{00000000-0005-0000-0000-00003B1F0000}"/>
    <cellStyle name="Normal 2 2 19 6 2" xfId="2395" xr:uid="{00000000-0005-0000-0000-00003C1F0000}"/>
    <cellStyle name="Normal 2 2 19 7" xfId="2396" xr:uid="{00000000-0005-0000-0000-00003D1F0000}"/>
    <cellStyle name="Normal 2 2 2" xfId="133" xr:uid="{00000000-0005-0000-0000-00003E1F0000}"/>
    <cellStyle name="Normal 2 2 2 10" xfId="2397" xr:uid="{00000000-0005-0000-0000-00003F1F0000}"/>
    <cellStyle name="Normal 2 2 2 2" xfId="2398" xr:uid="{00000000-0005-0000-0000-0000401F0000}"/>
    <cellStyle name="Normal 2 2 2 2 2" xfId="2399" xr:uid="{00000000-0005-0000-0000-0000411F0000}"/>
    <cellStyle name="Normal 2 2 2 2 2 2" xfId="2400" xr:uid="{00000000-0005-0000-0000-0000421F0000}"/>
    <cellStyle name="Normal 2 2 2 2 2 2 2" xfId="2401" xr:uid="{00000000-0005-0000-0000-0000431F0000}"/>
    <cellStyle name="Normal 2 2 2 2 2 2 2 2" xfId="2402" xr:uid="{00000000-0005-0000-0000-0000441F0000}"/>
    <cellStyle name="Normal 2 2 2 2 2 2 3" xfId="2403" xr:uid="{00000000-0005-0000-0000-0000451F0000}"/>
    <cellStyle name="Normal 2 2 2 2 2 2 3 2" xfId="2404" xr:uid="{00000000-0005-0000-0000-0000461F0000}"/>
    <cellStyle name="Normal 2 2 2 2 2 2 4" xfId="2405" xr:uid="{00000000-0005-0000-0000-0000471F0000}"/>
    <cellStyle name="Normal 2 2 2 2 2 2 4 2" xfId="2406" xr:uid="{00000000-0005-0000-0000-0000481F0000}"/>
    <cellStyle name="Normal 2 2 2 2 2 2 5" xfId="2407" xr:uid="{00000000-0005-0000-0000-0000491F0000}"/>
    <cellStyle name="Normal 2 2 2 2 2 2 5 2" xfId="2408" xr:uid="{00000000-0005-0000-0000-00004A1F0000}"/>
    <cellStyle name="Normal 2 2 2 2 2 2 6" xfId="2409" xr:uid="{00000000-0005-0000-0000-00004B1F0000}"/>
    <cellStyle name="Normal 2 2 2 2 2 2 6 2" xfId="2410" xr:uid="{00000000-0005-0000-0000-00004C1F0000}"/>
    <cellStyle name="Normal 2 2 2 2 2 2 7" xfId="2411" xr:uid="{00000000-0005-0000-0000-00004D1F0000}"/>
    <cellStyle name="Normal 2 2 2 2 2 3" xfId="2412" xr:uid="{00000000-0005-0000-0000-00004E1F0000}"/>
    <cellStyle name="Normal 2 2 2 2 2 3 2" xfId="2413" xr:uid="{00000000-0005-0000-0000-00004F1F0000}"/>
    <cellStyle name="Normal 2 2 2 2 2 4" xfId="2414" xr:uid="{00000000-0005-0000-0000-0000501F0000}"/>
    <cellStyle name="Normal 2 2 2 2 2 4 2" xfId="2415" xr:uid="{00000000-0005-0000-0000-0000511F0000}"/>
    <cellStyle name="Normal 2 2 2 2 2 5" xfId="2416" xr:uid="{00000000-0005-0000-0000-0000521F0000}"/>
    <cellStyle name="Normal 2 2 2 2 2 5 2" xfId="2417" xr:uid="{00000000-0005-0000-0000-0000531F0000}"/>
    <cellStyle name="Normal 2 2 2 2 2 6" xfId="2418" xr:uid="{00000000-0005-0000-0000-0000541F0000}"/>
    <cellStyle name="Normal 2 2 2 2 2 6 2" xfId="2419" xr:uid="{00000000-0005-0000-0000-0000551F0000}"/>
    <cellStyle name="Normal 2 2 2 2 2 7" xfId="2420" xr:uid="{00000000-0005-0000-0000-0000561F0000}"/>
    <cellStyle name="Normal 2 2 2 2 2 7 2" xfId="2421" xr:uid="{00000000-0005-0000-0000-0000571F0000}"/>
    <cellStyle name="Normal 2 2 2 2 2 8" xfId="2422" xr:uid="{00000000-0005-0000-0000-0000581F0000}"/>
    <cellStyle name="Normal 2 2 2 2 2 8 2" xfId="2423" xr:uid="{00000000-0005-0000-0000-0000591F0000}"/>
    <cellStyle name="Normal 2 2 2 2 2 9" xfId="2424" xr:uid="{00000000-0005-0000-0000-00005A1F0000}"/>
    <cellStyle name="Normal 2 2 2 2 3" xfId="2425" xr:uid="{00000000-0005-0000-0000-00005B1F0000}"/>
    <cellStyle name="Normal 2 2 2 2 3 2" xfId="2426" xr:uid="{00000000-0005-0000-0000-00005C1F0000}"/>
    <cellStyle name="Normal 2 2 2 2 3 2 2" xfId="2427" xr:uid="{00000000-0005-0000-0000-00005D1F0000}"/>
    <cellStyle name="Normal 2 2 2 2 3 3" xfId="2428" xr:uid="{00000000-0005-0000-0000-00005E1F0000}"/>
    <cellStyle name="Normal 2 2 2 2 3 3 2" xfId="2429" xr:uid="{00000000-0005-0000-0000-00005F1F0000}"/>
    <cellStyle name="Normal 2 2 2 2 3 4" xfId="2430" xr:uid="{00000000-0005-0000-0000-0000601F0000}"/>
    <cellStyle name="Normal 2 2 2 2 3 4 2" xfId="2431" xr:uid="{00000000-0005-0000-0000-0000611F0000}"/>
    <cellStyle name="Normal 2 2 2 2 3 5" xfId="2432" xr:uid="{00000000-0005-0000-0000-0000621F0000}"/>
    <cellStyle name="Normal 2 2 2 2 3 5 2" xfId="2433" xr:uid="{00000000-0005-0000-0000-0000631F0000}"/>
    <cellStyle name="Normal 2 2 2 2 3 6" xfId="2434" xr:uid="{00000000-0005-0000-0000-0000641F0000}"/>
    <cellStyle name="Normal 2 2 2 2 3 6 2" xfId="2435" xr:uid="{00000000-0005-0000-0000-0000651F0000}"/>
    <cellStyle name="Normal 2 2 2 2 3 7" xfId="2436" xr:uid="{00000000-0005-0000-0000-0000661F0000}"/>
    <cellStyle name="Normal 2 2 2 2 4" xfId="2437" xr:uid="{00000000-0005-0000-0000-0000671F0000}"/>
    <cellStyle name="Normal 2 2 2 2 4 2" xfId="2438" xr:uid="{00000000-0005-0000-0000-0000681F0000}"/>
    <cellStyle name="Normal 2 2 2 2 5" xfId="2439" xr:uid="{00000000-0005-0000-0000-0000691F0000}"/>
    <cellStyle name="Normal 2 2 2 2 5 2" xfId="2440" xr:uid="{00000000-0005-0000-0000-00006A1F0000}"/>
    <cellStyle name="Normal 2 2 2 2 6" xfId="2441" xr:uid="{00000000-0005-0000-0000-00006B1F0000}"/>
    <cellStyle name="Normal 2 2 2 2 6 2" xfId="2442" xr:uid="{00000000-0005-0000-0000-00006C1F0000}"/>
    <cellStyle name="Normal 2 2 2 2 7" xfId="2443" xr:uid="{00000000-0005-0000-0000-00006D1F0000}"/>
    <cellStyle name="Normal 2 2 2 2 7 2" xfId="2444" xr:uid="{00000000-0005-0000-0000-00006E1F0000}"/>
    <cellStyle name="Normal 2 2 2 2 8" xfId="2445" xr:uid="{00000000-0005-0000-0000-00006F1F0000}"/>
    <cellStyle name="Normal 2 2 2 2 8 2" xfId="2446" xr:uid="{00000000-0005-0000-0000-0000701F0000}"/>
    <cellStyle name="Normal 2 2 2 2 9" xfId="2447" xr:uid="{00000000-0005-0000-0000-0000711F0000}"/>
    <cellStyle name="Normal 2 2 2 3" xfId="2448" xr:uid="{00000000-0005-0000-0000-0000721F0000}"/>
    <cellStyle name="Normal 2 2 2 3 2" xfId="2449" xr:uid="{00000000-0005-0000-0000-0000731F0000}"/>
    <cellStyle name="Normal 2 2 2 3 2 2" xfId="2450" xr:uid="{00000000-0005-0000-0000-0000741F0000}"/>
    <cellStyle name="Normal 2 2 2 3 3" xfId="2451" xr:uid="{00000000-0005-0000-0000-0000751F0000}"/>
    <cellStyle name="Normal 2 2 2 3 3 2" xfId="2452" xr:uid="{00000000-0005-0000-0000-0000761F0000}"/>
    <cellStyle name="Normal 2 2 2 3 4" xfId="2453" xr:uid="{00000000-0005-0000-0000-0000771F0000}"/>
    <cellStyle name="Normal 2 2 2 3 4 2" xfId="2454" xr:uid="{00000000-0005-0000-0000-0000781F0000}"/>
    <cellStyle name="Normal 2 2 2 3 5" xfId="2455" xr:uid="{00000000-0005-0000-0000-0000791F0000}"/>
    <cellStyle name="Normal 2 2 2 3 5 2" xfId="2456" xr:uid="{00000000-0005-0000-0000-00007A1F0000}"/>
    <cellStyle name="Normal 2 2 2 3 6" xfId="2457" xr:uid="{00000000-0005-0000-0000-00007B1F0000}"/>
    <cellStyle name="Normal 2 2 2 3 6 2" xfId="2458" xr:uid="{00000000-0005-0000-0000-00007C1F0000}"/>
    <cellStyle name="Normal 2 2 2 3 7" xfId="2459" xr:uid="{00000000-0005-0000-0000-00007D1F0000}"/>
    <cellStyle name="Normal 2 2 2 4" xfId="2460" xr:uid="{00000000-0005-0000-0000-00007E1F0000}"/>
    <cellStyle name="Normal 2 2 2 4 2" xfId="2461" xr:uid="{00000000-0005-0000-0000-00007F1F0000}"/>
    <cellStyle name="Normal 2 2 2 5" xfId="2462" xr:uid="{00000000-0005-0000-0000-0000801F0000}"/>
    <cellStyle name="Normal 2 2 2 5 2" xfId="2463" xr:uid="{00000000-0005-0000-0000-0000811F0000}"/>
    <cellStyle name="Normal 2 2 2 6" xfId="2464" xr:uid="{00000000-0005-0000-0000-0000821F0000}"/>
    <cellStyle name="Normal 2 2 2 6 2" xfId="2465" xr:uid="{00000000-0005-0000-0000-0000831F0000}"/>
    <cellStyle name="Normal 2 2 2 7" xfId="2466" xr:uid="{00000000-0005-0000-0000-0000841F0000}"/>
    <cellStyle name="Normal 2 2 2 7 2" xfId="2467" xr:uid="{00000000-0005-0000-0000-0000851F0000}"/>
    <cellStyle name="Normal 2 2 2 8" xfId="2468" xr:uid="{00000000-0005-0000-0000-0000861F0000}"/>
    <cellStyle name="Normal 2 2 2 8 2" xfId="2469" xr:uid="{00000000-0005-0000-0000-0000871F0000}"/>
    <cellStyle name="Normal 2 2 2 9" xfId="2470" xr:uid="{00000000-0005-0000-0000-0000881F0000}"/>
    <cellStyle name="Normal 2 2 20" xfId="2471" xr:uid="{00000000-0005-0000-0000-0000891F0000}"/>
    <cellStyle name="Normal 2 2 20 2" xfId="2472" xr:uid="{00000000-0005-0000-0000-00008A1F0000}"/>
    <cellStyle name="Normal 2 2 21" xfId="2473" xr:uid="{00000000-0005-0000-0000-00008B1F0000}"/>
    <cellStyle name="Normal 2 2 21 2" xfId="2474" xr:uid="{00000000-0005-0000-0000-00008C1F0000}"/>
    <cellStyle name="Normal 2 2 22" xfId="2475" xr:uid="{00000000-0005-0000-0000-00008D1F0000}"/>
    <cellStyle name="Normal 2 2 22 2" xfId="2476" xr:uid="{00000000-0005-0000-0000-00008E1F0000}"/>
    <cellStyle name="Normal 2 2 23" xfId="2477" xr:uid="{00000000-0005-0000-0000-00008F1F0000}"/>
    <cellStyle name="Normal 2 2 23 2" xfId="2478" xr:uid="{00000000-0005-0000-0000-0000901F0000}"/>
    <cellStyle name="Normal 2 2 24" xfId="2479" xr:uid="{00000000-0005-0000-0000-0000911F0000}"/>
    <cellStyle name="Normal 2 2 24 2" xfId="2480" xr:uid="{00000000-0005-0000-0000-0000921F0000}"/>
    <cellStyle name="Normal 2 2 25" xfId="2481" xr:uid="{00000000-0005-0000-0000-0000931F0000}"/>
    <cellStyle name="Normal 2 2 25 10" xfId="12601" xr:uid="{00000000-0005-0000-0000-0000941F0000}"/>
    <cellStyle name="Normal 2 2 25 10 2" xfId="21281" xr:uid="{00000000-0005-0000-0000-0000951F0000}"/>
    <cellStyle name="Normal 2 2 25 11" xfId="14222" xr:uid="{00000000-0005-0000-0000-0000961F0000}"/>
    <cellStyle name="Normal 2 2 25 2" xfId="2482" xr:uid="{00000000-0005-0000-0000-0000971F0000}"/>
    <cellStyle name="Normal 2 2 25 2 2" xfId="2483" xr:uid="{00000000-0005-0000-0000-0000981F0000}"/>
    <cellStyle name="Normal 2 2 25 2 2 2" xfId="9386" xr:uid="{00000000-0005-0000-0000-0000991F0000}"/>
    <cellStyle name="Normal 2 2 25 2 2 2 2" xfId="18136" xr:uid="{00000000-0005-0000-0000-00009A1F0000}"/>
    <cellStyle name="Normal 2 2 25 2 2 3" xfId="7784" xr:uid="{00000000-0005-0000-0000-00009B1F0000}"/>
    <cellStyle name="Normal 2 2 25 2 2 3 2" xfId="16537" xr:uid="{00000000-0005-0000-0000-00009C1F0000}"/>
    <cellStyle name="Normal 2 2 25 2 2 4" xfId="10996" xr:uid="{00000000-0005-0000-0000-00009D1F0000}"/>
    <cellStyle name="Normal 2 2 25 2 2 4 2" xfId="19683" xr:uid="{00000000-0005-0000-0000-00009E1F0000}"/>
    <cellStyle name="Normal 2 2 25 2 2 5" xfId="12603" xr:uid="{00000000-0005-0000-0000-00009F1F0000}"/>
    <cellStyle name="Normal 2 2 25 2 2 5 2" xfId="21283" xr:uid="{00000000-0005-0000-0000-0000A01F0000}"/>
    <cellStyle name="Normal 2 2 25 2 2 6" xfId="14624" xr:uid="{00000000-0005-0000-0000-0000A11F0000}"/>
    <cellStyle name="Normal 2 2 25 2 3" xfId="2484" xr:uid="{00000000-0005-0000-0000-0000A21F0000}"/>
    <cellStyle name="Normal 2 2 25 2 3 2" xfId="9387" xr:uid="{00000000-0005-0000-0000-0000A31F0000}"/>
    <cellStyle name="Normal 2 2 25 2 3 2 2" xfId="18137" xr:uid="{00000000-0005-0000-0000-0000A41F0000}"/>
    <cellStyle name="Normal 2 2 25 2 3 3" xfId="7785" xr:uid="{00000000-0005-0000-0000-0000A51F0000}"/>
    <cellStyle name="Normal 2 2 25 2 3 3 2" xfId="16538" xr:uid="{00000000-0005-0000-0000-0000A61F0000}"/>
    <cellStyle name="Normal 2 2 25 2 3 4" xfId="10997" xr:uid="{00000000-0005-0000-0000-0000A71F0000}"/>
    <cellStyle name="Normal 2 2 25 2 3 4 2" xfId="19684" xr:uid="{00000000-0005-0000-0000-0000A81F0000}"/>
    <cellStyle name="Normal 2 2 25 2 3 5" xfId="12604" xr:uid="{00000000-0005-0000-0000-0000A91F0000}"/>
    <cellStyle name="Normal 2 2 25 2 3 5 2" xfId="21284" xr:uid="{00000000-0005-0000-0000-0000AA1F0000}"/>
    <cellStyle name="Normal 2 2 25 2 3 6" xfId="14783" xr:uid="{00000000-0005-0000-0000-0000AB1F0000}"/>
    <cellStyle name="Normal 2 2 25 2 4" xfId="2485" xr:uid="{00000000-0005-0000-0000-0000AC1F0000}"/>
    <cellStyle name="Normal 2 2 25 2 4 2" xfId="9388" xr:uid="{00000000-0005-0000-0000-0000AD1F0000}"/>
    <cellStyle name="Normal 2 2 25 2 4 2 2" xfId="18138" xr:uid="{00000000-0005-0000-0000-0000AE1F0000}"/>
    <cellStyle name="Normal 2 2 25 2 4 3" xfId="7786" xr:uid="{00000000-0005-0000-0000-0000AF1F0000}"/>
    <cellStyle name="Normal 2 2 25 2 4 3 2" xfId="16539" xr:uid="{00000000-0005-0000-0000-0000B01F0000}"/>
    <cellStyle name="Normal 2 2 25 2 4 4" xfId="10998" xr:uid="{00000000-0005-0000-0000-0000B11F0000}"/>
    <cellStyle name="Normal 2 2 25 2 4 4 2" xfId="19685" xr:uid="{00000000-0005-0000-0000-0000B21F0000}"/>
    <cellStyle name="Normal 2 2 25 2 4 5" xfId="12605" xr:uid="{00000000-0005-0000-0000-0000B31F0000}"/>
    <cellStyle name="Normal 2 2 25 2 4 5 2" xfId="21285" xr:uid="{00000000-0005-0000-0000-0000B41F0000}"/>
    <cellStyle name="Normal 2 2 25 2 4 6" xfId="14172" xr:uid="{00000000-0005-0000-0000-0000B51F0000}"/>
    <cellStyle name="Normal 2 2 25 2 5" xfId="9385" xr:uid="{00000000-0005-0000-0000-0000B61F0000}"/>
    <cellStyle name="Normal 2 2 25 2 5 2" xfId="18135" xr:uid="{00000000-0005-0000-0000-0000B71F0000}"/>
    <cellStyle name="Normal 2 2 25 2 6" xfId="7783" xr:uid="{00000000-0005-0000-0000-0000B81F0000}"/>
    <cellStyle name="Normal 2 2 25 2 6 2" xfId="16536" xr:uid="{00000000-0005-0000-0000-0000B91F0000}"/>
    <cellStyle name="Normal 2 2 25 2 7" xfId="10995" xr:uid="{00000000-0005-0000-0000-0000BA1F0000}"/>
    <cellStyle name="Normal 2 2 25 2 7 2" xfId="19682" xr:uid="{00000000-0005-0000-0000-0000BB1F0000}"/>
    <cellStyle name="Normal 2 2 25 2 8" xfId="12602" xr:uid="{00000000-0005-0000-0000-0000BC1F0000}"/>
    <cellStyle name="Normal 2 2 25 2 8 2" xfId="21282" xr:uid="{00000000-0005-0000-0000-0000BD1F0000}"/>
    <cellStyle name="Normal 2 2 25 2 9" xfId="14095" xr:uid="{00000000-0005-0000-0000-0000BE1F0000}"/>
    <cellStyle name="Normal 2 2 25 3" xfId="2486" xr:uid="{00000000-0005-0000-0000-0000BF1F0000}"/>
    <cellStyle name="Normal 2 2 25 3 2" xfId="2487" xr:uid="{00000000-0005-0000-0000-0000C01F0000}"/>
    <cellStyle name="Normal 2 2 25 3 2 2" xfId="9390" xr:uid="{00000000-0005-0000-0000-0000C11F0000}"/>
    <cellStyle name="Normal 2 2 25 3 2 2 2" xfId="18140" xr:uid="{00000000-0005-0000-0000-0000C21F0000}"/>
    <cellStyle name="Normal 2 2 25 3 2 3" xfId="7788" xr:uid="{00000000-0005-0000-0000-0000C31F0000}"/>
    <cellStyle name="Normal 2 2 25 3 2 3 2" xfId="16541" xr:uid="{00000000-0005-0000-0000-0000C41F0000}"/>
    <cellStyle name="Normal 2 2 25 3 2 4" xfId="11000" xr:uid="{00000000-0005-0000-0000-0000C51F0000}"/>
    <cellStyle name="Normal 2 2 25 3 2 4 2" xfId="19687" xr:uid="{00000000-0005-0000-0000-0000C61F0000}"/>
    <cellStyle name="Normal 2 2 25 3 2 5" xfId="12607" xr:uid="{00000000-0005-0000-0000-0000C71F0000}"/>
    <cellStyle name="Normal 2 2 25 3 2 5 2" xfId="21287" xr:uid="{00000000-0005-0000-0000-0000C81F0000}"/>
    <cellStyle name="Normal 2 2 25 3 2 6" xfId="14150" xr:uid="{00000000-0005-0000-0000-0000C91F0000}"/>
    <cellStyle name="Normal 2 2 25 3 3" xfId="2488" xr:uid="{00000000-0005-0000-0000-0000CA1F0000}"/>
    <cellStyle name="Normal 2 2 25 3 3 2" xfId="9391" xr:uid="{00000000-0005-0000-0000-0000CB1F0000}"/>
    <cellStyle name="Normal 2 2 25 3 3 2 2" xfId="18141" xr:uid="{00000000-0005-0000-0000-0000CC1F0000}"/>
    <cellStyle name="Normal 2 2 25 3 3 3" xfId="7789" xr:uid="{00000000-0005-0000-0000-0000CD1F0000}"/>
    <cellStyle name="Normal 2 2 25 3 3 3 2" xfId="16542" xr:uid="{00000000-0005-0000-0000-0000CE1F0000}"/>
    <cellStyle name="Normal 2 2 25 3 3 4" xfId="11001" xr:uid="{00000000-0005-0000-0000-0000CF1F0000}"/>
    <cellStyle name="Normal 2 2 25 3 3 4 2" xfId="19688" xr:uid="{00000000-0005-0000-0000-0000D01F0000}"/>
    <cellStyle name="Normal 2 2 25 3 3 5" xfId="12608" xr:uid="{00000000-0005-0000-0000-0000D11F0000}"/>
    <cellStyle name="Normal 2 2 25 3 3 5 2" xfId="21288" xr:uid="{00000000-0005-0000-0000-0000D21F0000}"/>
    <cellStyle name="Normal 2 2 25 3 3 6" xfId="13866" xr:uid="{00000000-0005-0000-0000-0000D31F0000}"/>
    <cellStyle name="Normal 2 2 25 3 4" xfId="2489" xr:uid="{00000000-0005-0000-0000-0000D41F0000}"/>
    <cellStyle name="Normal 2 2 25 3 4 2" xfId="9392" xr:uid="{00000000-0005-0000-0000-0000D51F0000}"/>
    <cellStyle name="Normal 2 2 25 3 4 2 2" xfId="18142" xr:uid="{00000000-0005-0000-0000-0000D61F0000}"/>
    <cellStyle name="Normal 2 2 25 3 4 3" xfId="7790" xr:uid="{00000000-0005-0000-0000-0000D71F0000}"/>
    <cellStyle name="Normal 2 2 25 3 4 3 2" xfId="16543" xr:uid="{00000000-0005-0000-0000-0000D81F0000}"/>
    <cellStyle name="Normal 2 2 25 3 4 4" xfId="11002" xr:uid="{00000000-0005-0000-0000-0000D91F0000}"/>
    <cellStyle name="Normal 2 2 25 3 4 4 2" xfId="19689" xr:uid="{00000000-0005-0000-0000-0000DA1F0000}"/>
    <cellStyle name="Normal 2 2 25 3 4 5" xfId="12609" xr:uid="{00000000-0005-0000-0000-0000DB1F0000}"/>
    <cellStyle name="Normal 2 2 25 3 4 5 2" xfId="21289" xr:uid="{00000000-0005-0000-0000-0000DC1F0000}"/>
    <cellStyle name="Normal 2 2 25 3 4 6" xfId="13860" xr:uid="{00000000-0005-0000-0000-0000DD1F0000}"/>
    <cellStyle name="Normal 2 2 25 3 5" xfId="9389" xr:uid="{00000000-0005-0000-0000-0000DE1F0000}"/>
    <cellStyle name="Normal 2 2 25 3 5 2" xfId="18139" xr:uid="{00000000-0005-0000-0000-0000DF1F0000}"/>
    <cellStyle name="Normal 2 2 25 3 6" xfId="7787" xr:uid="{00000000-0005-0000-0000-0000E01F0000}"/>
    <cellStyle name="Normal 2 2 25 3 6 2" xfId="16540" xr:uid="{00000000-0005-0000-0000-0000E11F0000}"/>
    <cellStyle name="Normal 2 2 25 3 7" xfId="10999" xr:uid="{00000000-0005-0000-0000-0000E21F0000}"/>
    <cellStyle name="Normal 2 2 25 3 7 2" xfId="19686" xr:uid="{00000000-0005-0000-0000-0000E31F0000}"/>
    <cellStyle name="Normal 2 2 25 3 8" xfId="12606" xr:uid="{00000000-0005-0000-0000-0000E41F0000}"/>
    <cellStyle name="Normal 2 2 25 3 8 2" xfId="21286" xr:uid="{00000000-0005-0000-0000-0000E51F0000}"/>
    <cellStyle name="Normal 2 2 25 3 9" xfId="14652" xr:uid="{00000000-0005-0000-0000-0000E61F0000}"/>
    <cellStyle name="Normal 2 2 25 4" xfId="2490" xr:uid="{00000000-0005-0000-0000-0000E71F0000}"/>
    <cellStyle name="Normal 2 2 25 4 2" xfId="9393" xr:uid="{00000000-0005-0000-0000-0000E81F0000}"/>
    <cellStyle name="Normal 2 2 25 4 2 2" xfId="18143" xr:uid="{00000000-0005-0000-0000-0000E91F0000}"/>
    <cellStyle name="Normal 2 2 25 4 3" xfId="7791" xr:uid="{00000000-0005-0000-0000-0000EA1F0000}"/>
    <cellStyle name="Normal 2 2 25 4 3 2" xfId="16544" xr:uid="{00000000-0005-0000-0000-0000EB1F0000}"/>
    <cellStyle name="Normal 2 2 25 4 4" xfId="11003" xr:uid="{00000000-0005-0000-0000-0000EC1F0000}"/>
    <cellStyle name="Normal 2 2 25 4 4 2" xfId="19690" xr:uid="{00000000-0005-0000-0000-0000ED1F0000}"/>
    <cellStyle name="Normal 2 2 25 4 5" xfId="12610" xr:uid="{00000000-0005-0000-0000-0000EE1F0000}"/>
    <cellStyle name="Normal 2 2 25 4 5 2" xfId="21290" xr:uid="{00000000-0005-0000-0000-0000EF1F0000}"/>
    <cellStyle name="Normal 2 2 25 4 6" xfId="13927" xr:uid="{00000000-0005-0000-0000-0000F01F0000}"/>
    <cellStyle name="Normal 2 2 25 5" xfId="2491" xr:uid="{00000000-0005-0000-0000-0000F11F0000}"/>
    <cellStyle name="Normal 2 2 25 5 2" xfId="9394" xr:uid="{00000000-0005-0000-0000-0000F21F0000}"/>
    <cellStyle name="Normal 2 2 25 5 2 2" xfId="18144" xr:uid="{00000000-0005-0000-0000-0000F31F0000}"/>
    <cellStyle name="Normal 2 2 25 5 3" xfId="7792" xr:uid="{00000000-0005-0000-0000-0000F41F0000}"/>
    <cellStyle name="Normal 2 2 25 5 3 2" xfId="16545" xr:uid="{00000000-0005-0000-0000-0000F51F0000}"/>
    <cellStyle name="Normal 2 2 25 5 4" xfId="11004" xr:uid="{00000000-0005-0000-0000-0000F61F0000}"/>
    <cellStyle name="Normal 2 2 25 5 4 2" xfId="19691" xr:uid="{00000000-0005-0000-0000-0000F71F0000}"/>
    <cellStyle name="Normal 2 2 25 5 5" xfId="12611" xr:uid="{00000000-0005-0000-0000-0000F81F0000}"/>
    <cellStyle name="Normal 2 2 25 5 5 2" xfId="21291" xr:uid="{00000000-0005-0000-0000-0000F91F0000}"/>
    <cellStyle name="Normal 2 2 25 5 6" xfId="14744" xr:uid="{00000000-0005-0000-0000-0000FA1F0000}"/>
    <cellStyle name="Normal 2 2 25 6" xfId="2492" xr:uid="{00000000-0005-0000-0000-0000FB1F0000}"/>
    <cellStyle name="Normal 2 2 25 6 2" xfId="9395" xr:uid="{00000000-0005-0000-0000-0000FC1F0000}"/>
    <cellStyle name="Normal 2 2 25 6 2 2" xfId="18145" xr:uid="{00000000-0005-0000-0000-0000FD1F0000}"/>
    <cellStyle name="Normal 2 2 25 6 3" xfId="7793" xr:uid="{00000000-0005-0000-0000-0000FE1F0000}"/>
    <cellStyle name="Normal 2 2 25 6 3 2" xfId="16546" xr:uid="{00000000-0005-0000-0000-0000FF1F0000}"/>
    <cellStyle name="Normal 2 2 25 6 4" xfId="11005" xr:uid="{00000000-0005-0000-0000-000000200000}"/>
    <cellStyle name="Normal 2 2 25 6 4 2" xfId="19692" xr:uid="{00000000-0005-0000-0000-000001200000}"/>
    <cellStyle name="Normal 2 2 25 6 5" xfId="12612" xr:uid="{00000000-0005-0000-0000-000002200000}"/>
    <cellStyle name="Normal 2 2 25 6 5 2" xfId="21292" xr:uid="{00000000-0005-0000-0000-000003200000}"/>
    <cellStyle name="Normal 2 2 25 6 6" xfId="14030" xr:uid="{00000000-0005-0000-0000-000004200000}"/>
    <cellStyle name="Normal 2 2 25 7" xfId="9384" xr:uid="{00000000-0005-0000-0000-000005200000}"/>
    <cellStyle name="Normal 2 2 25 7 2" xfId="18134" xr:uid="{00000000-0005-0000-0000-000006200000}"/>
    <cellStyle name="Normal 2 2 25 8" xfId="7782" xr:uid="{00000000-0005-0000-0000-000007200000}"/>
    <cellStyle name="Normal 2 2 25 8 2" xfId="16535" xr:uid="{00000000-0005-0000-0000-000008200000}"/>
    <cellStyle name="Normal 2 2 25 9" xfId="10994" xr:uid="{00000000-0005-0000-0000-000009200000}"/>
    <cellStyle name="Normal 2 2 25 9 2" xfId="19681" xr:uid="{00000000-0005-0000-0000-00000A200000}"/>
    <cellStyle name="Normal 2 2 26" xfId="2493" xr:uid="{00000000-0005-0000-0000-00000B200000}"/>
    <cellStyle name="Normal 2 2 27" xfId="2494" xr:uid="{00000000-0005-0000-0000-00000C200000}"/>
    <cellStyle name="Normal 2 2 28" xfId="4904" xr:uid="{00000000-0005-0000-0000-00000D200000}"/>
    <cellStyle name="Normal 2 2 29" xfId="10460" xr:uid="{00000000-0005-0000-0000-00000E200000}"/>
    <cellStyle name="Normal 2 2 3" xfId="2495" xr:uid="{00000000-0005-0000-0000-00000F200000}"/>
    <cellStyle name="Normal 2 2 3 2" xfId="2496" xr:uid="{00000000-0005-0000-0000-000010200000}"/>
    <cellStyle name="Normal 2 2 4" xfId="2497" xr:uid="{00000000-0005-0000-0000-000011200000}"/>
    <cellStyle name="Normal 2 2 4 2" xfId="2498" xr:uid="{00000000-0005-0000-0000-000012200000}"/>
    <cellStyle name="Normal 2 2 5" xfId="2499" xr:uid="{00000000-0005-0000-0000-000013200000}"/>
    <cellStyle name="Normal 2 2 5 2" xfId="2500" xr:uid="{00000000-0005-0000-0000-000014200000}"/>
    <cellStyle name="Normal 2 2 6" xfId="2501" xr:uid="{00000000-0005-0000-0000-000015200000}"/>
    <cellStyle name="Normal 2 2 6 2" xfId="2502" xr:uid="{00000000-0005-0000-0000-000016200000}"/>
    <cellStyle name="Normal 2 2 7" xfId="2503" xr:uid="{00000000-0005-0000-0000-000017200000}"/>
    <cellStyle name="Normal 2 2 7 2" xfId="2504" xr:uid="{00000000-0005-0000-0000-000018200000}"/>
    <cellStyle name="Normal 2 2 8" xfId="2505" xr:uid="{00000000-0005-0000-0000-000019200000}"/>
    <cellStyle name="Normal 2 2 8 2" xfId="2506" xr:uid="{00000000-0005-0000-0000-00001A200000}"/>
    <cellStyle name="Normal 2 2 9" xfId="2507" xr:uid="{00000000-0005-0000-0000-00001B200000}"/>
    <cellStyle name="Normal 2 2 9 2" xfId="2508" xr:uid="{00000000-0005-0000-0000-00001C200000}"/>
    <cellStyle name="Normal 2 3" xfId="2509" xr:uid="{00000000-0005-0000-0000-00001D200000}"/>
    <cellStyle name="Normal 2 3 2" xfId="2510" xr:uid="{00000000-0005-0000-0000-00001E200000}"/>
    <cellStyle name="Normal 2 3 2 2" xfId="2511" xr:uid="{00000000-0005-0000-0000-00001F200000}"/>
    <cellStyle name="Normal 2 3 3" xfId="2512" xr:uid="{00000000-0005-0000-0000-000020200000}"/>
    <cellStyle name="Normal 2 3 3 2" xfId="2513" xr:uid="{00000000-0005-0000-0000-000021200000}"/>
    <cellStyle name="Normal 2 3 4" xfId="2514" xr:uid="{00000000-0005-0000-0000-000022200000}"/>
    <cellStyle name="Normal 2 3 4 2" xfId="2515" xr:uid="{00000000-0005-0000-0000-000023200000}"/>
    <cellStyle name="Normal 2 3 5" xfId="2516" xr:uid="{00000000-0005-0000-0000-000024200000}"/>
    <cellStyle name="Normal 2 3 5 2" xfId="2517" xr:uid="{00000000-0005-0000-0000-000025200000}"/>
    <cellStyle name="Normal 2 3 6" xfId="2518" xr:uid="{00000000-0005-0000-0000-000026200000}"/>
    <cellStyle name="Normal 2 3 6 2" xfId="2519" xr:uid="{00000000-0005-0000-0000-000027200000}"/>
    <cellStyle name="Normal 2 3 7" xfId="2520" xr:uid="{00000000-0005-0000-0000-000028200000}"/>
    <cellStyle name="Normal 2 3 7 2" xfId="2521" xr:uid="{00000000-0005-0000-0000-000029200000}"/>
    <cellStyle name="Normal 2 3 8" xfId="2522" xr:uid="{00000000-0005-0000-0000-00002A200000}"/>
    <cellStyle name="Normal 2 4" xfId="2523" xr:uid="{00000000-0005-0000-0000-00002B200000}"/>
    <cellStyle name="Normal 2 4 2" xfId="2524" xr:uid="{00000000-0005-0000-0000-00002C200000}"/>
    <cellStyle name="Normal 2 4 2 2" xfId="6936" xr:uid="{00000000-0005-0000-0000-00002D200000}"/>
    <cellStyle name="Normal 2 4 3" xfId="6935" xr:uid="{00000000-0005-0000-0000-00002E200000}"/>
    <cellStyle name="Normal 2 5" xfId="2525" xr:uid="{00000000-0005-0000-0000-00002F200000}"/>
    <cellStyle name="Normal 2 5 2" xfId="2526" xr:uid="{00000000-0005-0000-0000-000030200000}"/>
    <cellStyle name="Normal 2 5 3" xfId="2527" xr:uid="{00000000-0005-0000-0000-000031200000}"/>
    <cellStyle name="Normal 2 5 4" xfId="7307" xr:uid="{00000000-0005-0000-0000-000032200000}"/>
    <cellStyle name="Normal 2 5 4 2" xfId="9396" xr:uid="{00000000-0005-0000-0000-000033200000}"/>
    <cellStyle name="Normal 2 5 4 2 2" xfId="18146" xr:uid="{00000000-0005-0000-0000-000034200000}"/>
    <cellStyle name="Normal 2 5 5" xfId="7794" xr:uid="{00000000-0005-0000-0000-000035200000}"/>
    <cellStyle name="Normal 2 5 5 2" xfId="16547" xr:uid="{00000000-0005-0000-0000-000036200000}"/>
    <cellStyle name="Normal 2 5 6" xfId="11006" xr:uid="{00000000-0005-0000-0000-000037200000}"/>
    <cellStyle name="Normal 2 5 6 2" xfId="19693" xr:uid="{00000000-0005-0000-0000-000038200000}"/>
    <cellStyle name="Normal 2 5 7" xfId="12613" xr:uid="{00000000-0005-0000-0000-000039200000}"/>
    <cellStyle name="Normal 2 5 7 2" xfId="21293" xr:uid="{00000000-0005-0000-0000-00003A200000}"/>
    <cellStyle name="Normal 2 5 8" xfId="13906" xr:uid="{00000000-0005-0000-0000-00003B200000}"/>
    <cellStyle name="Normal 2 6" xfId="2528" xr:uid="{00000000-0005-0000-0000-00003C200000}"/>
    <cellStyle name="Normal 2 6 2" xfId="2529" xr:uid="{00000000-0005-0000-0000-00003D200000}"/>
    <cellStyle name="Normal 2 7" xfId="2530" xr:uid="{00000000-0005-0000-0000-00003E200000}"/>
    <cellStyle name="Normal 2 7 2" xfId="2531" xr:uid="{00000000-0005-0000-0000-00003F200000}"/>
    <cellStyle name="Normal 2 7 3" xfId="2532" xr:uid="{00000000-0005-0000-0000-000040200000}"/>
    <cellStyle name="Normal 2 8" xfId="2533" xr:uid="{00000000-0005-0000-0000-000041200000}"/>
    <cellStyle name="Normal 2 9" xfId="4889" xr:uid="{00000000-0005-0000-0000-000042200000}"/>
    <cellStyle name="Normal 2 9 2" xfId="4895" xr:uid="{00000000-0005-0000-0000-000043200000}"/>
    <cellStyle name="Normal 2_Base Arquivos PA 2008_OEI_V4" xfId="2534" xr:uid="{00000000-0005-0000-0000-000044200000}"/>
    <cellStyle name="Normal 20" xfId="158" xr:uid="{00000000-0005-0000-0000-000045200000}"/>
    <cellStyle name="Normal 20 2" xfId="2536" xr:uid="{00000000-0005-0000-0000-000046200000}"/>
    <cellStyle name="Normal 20 2 10" xfId="7795" xr:uid="{00000000-0005-0000-0000-000047200000}"/>
    <cellStyle name="Normal 20 2 10 2" xfId="16548" xr:uid="{00000000-0005-0000-0000-000048200000}"/>
    <cellStyle name="Normal 20 2 11" xfId="11007" xr:uid="{00000000-0005-0000-0000-000049200000}"/>
    <cellStyle name="Normal 20 2 11 2" xfId="19694" xr:uid="{00000000-0005-0000-0000-00004A200000}"/>
    <cellStyle name="Normal 20 2 12" xfId="12614" xr:uid="{00000000-0005-0000-0000-00004B200000}"/>
    <cellStyle name="Normal 20 2 12 2" xfId="21294" xr:uid="{00000000-0005-0000-0000-00004C200000}"/>
    <cellStyle name="Normal 20 2 13" xfId="14206" xr:uid="{00000000-0005-0000-0000-00004D200000}"/>
    <cellStyle name="Normal 20 2 2" xfId="2537" xr:uid="{00000000-0005-0000-0000-00004E200000}"/>
    <cellStyle name="Normal 20 2 2 2" xfId="2538" xr:uid="{00000000-0005-0000-0000-00004F200000}"/>
    <cellStyle name="Normal 20 2 2 2 2" xfId="2539" xr:uid="{00000000-0005-0000-0000-000050200000}"/>
    <cellStyle name="Normal 20 2 2 2 2 2" xfId="2540" xr:uid="{00000000-0005-0000-0000-000051200000}"/>
    <cellStyle name="Normal 20 2 2 2 2 2 2" xfId="9399" xr:uid="{00000000-0005-0000-0000-000052200000}"/>
    <cellStyle name="Normal 20 2 2 2 2 2 2 2" xfId="18149" xr:uid="{00000000-0005-0000-0000-000053200000}"/>
    <cellStyle name="Normal 20 2 2 2 2 2 3" xfId="7797" xr:uid="{00000000-0005-0000-0000-000054200000}"/>
    <cellStyle name="Normal 20 2 2 2 2 2 3 2" xfId="16550" xr:uid="{00000000-0005-0000-0000-000055200000}"/>
    <cellStyle name="Normal 20 2 2 2 2 2 4" xfId="11009" xr:uid="{00000000-0005-0000-0000-000056200000}"/>
    <cellStyle name="Normal 20 2 2 2 2 2 4 2" xfId="19696" xr:uid="{00000000-0005-0000-0000-000057200000}"/>
    <cellStyle name="Normal 20 2 2 2 2 2 5" xfId="12616" xr:uid="{00000000-0005-0000-0000-000058200000}"/>
    <cellStyle name="Normal 20 2 2 2 2 2 5 2" xfId="21296" xr:uid="{00000000-0005-0000-0000-000059200000}"/>
    <cellStyle name="Normal 20 2 2 2 2 2 6" xfId="14651" xr:uid="{00000000-0005-0000-0000-00005A200000}"/>
    <cellStyle name="Normal 20 2 2 2 2 3" xfId="2541" xr:uid="{00000000-0005-0000-0000-00005B200000}"/>
    <cellStyle name="Normal 20 2 2 2 2 3 2" xfId="9400" xr:uid="{00000000-0005-0000-0000-00005C200000}"/>
    <cellStyle name="Normal 20 2 2 2 2 3 2 2" xfId="18150" xr:uid="{00000000-0005-0000-0000-00005D200000}"/>
    <cellStyle name="Normal 20 2 2 2 2 3 3" xfId="7798" xr:uid="{00000000-0005-0000-0000-00005E200000}"/>
    <cellStyle name="Normal 20 2 2 2 2 3 3 2" xfId="16551" xr:uid="{00000000-0005-0000-0000-00005F200000}"/>
    <cellStyle name="Normal 20 2 2 2 2 3 4" xfId="11010" xr:uid="{00000000-0005-0000-0000-000060200000}"/>
    <cellStyle name="Normal 20 2 2 2 2 3 4 2" xfId="19697" xr:uid="{00000000-0005-0000-0000-000061200000}"/>
    <cellStyle name="Normal 20 2 2 2 2 3 5" xfId="12617" xr:uid="{00000000-0005-0000-0000-000062200000}"/>
    <cellStyle name="Normal 20 2 2 2 2 3 5 2" xfId="21297" xr:uid="{00000000-0005-0000-0000-000063200000}"/>
    <cellStyle name="Normal 20 2 2 2 2 3 6" xfId="14152" xr:uid="{00000000-0005-0000-0000-000064200000}"/>
    <cellStyle name="Normal 20 2 2 2 2 4" xfId="2542" xr:uid="{00000000-0005-0000-0000-000065200000}"/>
    <cellStyle name="Normal 20 2 2 2 2 4 2" xfId="9401" xr:uid="{00000000-0005-0000-0000-000066200000}"/>
    <cellStyle name="Normal 20 2 2 2 2 4 2 2" xfId="18151" xr:uid="{00000000-0005-0000-0000-000067200000}"/>
    <cellStyle name="Normal 20 2 2 2 2 4 3" xfId="7799" xr:uid="{00000000-0005-0000-0000-000068200000}"/>
    <cellStyle name="Normal 20 2 2 2 2 4 3 2" xfId="16552" xr:uid="{00000000-0005-0000-0000-000069200000}"/>
    <cellStyle name="Normal 20 2 2 2 2 4 4" xfId="11011" xr:uid="{00000000-0005-0000-0000-00006A200000}"/>
    <cellStyle name="Normal 20 2 2 2 2 4 4 2" xfId="19698" xr:uid="{00000000-0005-0000-0000-00006B200000}"/>
    <cellStyle name="Normal 20 2 2 2 2 4 5" xfId="12618" xr:uid="{00000000-0005-0000-0000-00006C200000}"/>
    <cellStyle name="Normal 20 2 2 2 2 4 5 2" xfId="21298" xr:uid="{00000000-0005-0000-0000-00006D200000}"/>
    <cellStyle name="Normal 20 2 2 2 2 4 6" xfId="13867" xr:uid="{00000000-0005-0000-0000-00006E200000}"/>
    <cellStyle name="Normal 20 2 2 2 3" xfId="2543" xr:uid="{00000000-0005-0000-0000-00006F200000}"/>
    <cellStyle name="Normal 20 2 2 2 4" xfId="2544" xr:uid="{00000000-0005-0000-0000-000070200000}"/>
    <cellStyle name="Normal 20 2 2 2 5" xfId="9398" xr:uid="{00000000-0005-0000-0000-000071200000}"/>
    <cellStyle name="Normal 20 2 2 2 5 2" xfId="18148" xr:uid="{00000000-0005-0000-0000-000072200000}"/>
    <cellStyle name="Normal 20 2 2 2 6" xfId="7796" xr:uid="{00000000-0005-0000-0000-000073200000}"/>
    <cellStyle name="Normal 20 2 2 2 6 2" xfId="16549" xr:uid="{00000000-0005-0000-0000-000074200000}"/>
    <cellStyle name="Normal 20 2 2 2 7" xfId="11008" xr:uid="{00000000-0005-0000-0000-000075200000}"/>
    <cellStyle name="Normal 20 2 2 2 7 2" xfId="19695" xr:uid="{00000000-0005-0000-0000-000076200000}"/>
    <cellStyle name="Normal 20 2 2 2 8" xfId="12615" xr:uid="{00000000-0005-0000-0000-000077200000}"/>
    <cellStyle name="Normal 20 2 2 2 8 2" xfId="21295" xr:uid="{00000000-0005-0000-0000-000078200000}"/>
    <cellStyle name="Normal 20 2 2 2 9" xfId="14784" xr:uid="{00000000-0005-0000-0000-000079200000}"/>
    <cellStyle name="Normal 20 2 2 3" xfId="2545" xr:uid="{00000000-0005-0000-0000-00007A200000}"/>
    <cellStyle name="Normal 20 2 2 3 2" xfId="2546" xr:uid="{00000000-0005-0000-0000-00007B200000}"/>
    <cellStyle name="Normal 20 2 2 3 2 2" xfId="9403" xr:uid="{00000000-0005-0000-0000-00007C200000}"/>
    <cellStyle name="Normal 20 2 2 3 2 2 2" xfId="18153" xr:uid="{00000000-0005-0000-0000-00007D200000}"/>
    <cellStyle name="Normal 20 2 2 3 2 3" xfId="7801" xr:uid="{00000000-0005-0000-0000-00007E200000}"/>
    <cellStyle name="Normal 20 2 2 3 2 3 2" xfId="16554" xr:uid="{00000000-0005-0000-0000-00007F200000}"/>
    <cellStyle name="Normal 20 2 2 3 2 4" xfId="11013" xr:uid="{00000000-0005-0000-0000-000080200000}"/>
    <cellStyle name="Normal 20 2 2 3 2 4 2" xfId="19700" xr:uid="{00000000-0005-0000-0000-000081200000}"/>
    <cellStyle name="Normal 20 2 2 3 2 5" xfId="12620" xr:uid="{00000000-0005-0000-0000-000082200000}"/>
    <cellStyle name="Normal 20 2 2 3 2 5 2" xfId="21300" xr:uid="{00000000-0005-0000-0000-000083200000}"/>
    <cellStyle name="Normal 20 2 2 3 2 6" xfId="14017" xr:uid="{00000000-0005-0000-0000-000084200000}"/>
    <cellStyle name="Normal 20 2 2 3 3" xfId="2547" xr:uid="{00000000-0005-0000-0000-000085200000}"/>
    <cellStyle name="Normal 20 2 2 3 3 2" xfId="9404" xr:uid="{00000000-0005-0000-0000-000086200000}"/>
    <cellStyle name="Normal 20 2 2 3 3 2 2" xfId="18154" xr:uid="{00000000-0005-0000-0000-000087200000}"/>
    <cellStyle name="Normal 20 2 2 3 3 3" xfId="7802" xr:uid="{00000000-0005-0000-0000-000088200000}"/>
    <cellStyle name="Normal 20 2 2 3 3 3 2" xfId="16555" xr:uid="{00000000-0005-0000-0000-000089200000}"/>
    <cellStyle name="Normal 20 2 2 3 3 4" xfId="11014" xr:uid="{00000000-0005-0000-0000-00008A200000}"/>
    <cellStyle name="Normal 20 2 2 3 3 4 2" xfId="19701" xr:uid="{00000000-0005-0000-0000-00008B200000}"/>
    <cellStyle name="Normal 20 2 2 3 3 5" xfId="12621" xr:uid="{00000000-0005-0000-0000-00008C200000}"/>
    <cellStyle name="Normal 20 2 2 3 3 5 2" xfId="21301" xr:uid="{00000000-0005-0000-0000-00008D200000}"/>
    <cellStyle name="Normal 20 2 2 3 3 6" xfId="14785" xr:uid="{00000000-0005-0000-0000-00008E200000}"/>
    <cellStyle name="Normal 20 2 2 3 4" xfId="2548" xr:uid="{00000000-0005-0000-0000-00008F200000}"/>
    <cellStyle name="Normal 20 2 2 3 4 2" xfId="9405" xr:uid="{00000000-0005-0000-0000-000090200000}"/>
    <cellStyle name="Normal 20 2 2 3 4 2 2" xfId="18155" xr:uid="{00000000-0005-0000-0000-000091200000}"/>
    <cellStyle name="Normal 20 2 2 3 4 3" xfId="7803" xr:uid="{00000000-0005-0000-0000-000092200000}"/>
    <cellStyle name="Normal 20 2 2 3 4 3 2" xfId="16556" xr:uid="{00000000-0005-0000-0000-000093200000}"/>
    <cellStyle name="Normal 20 2 2 3 4 4" xfId="11015" xr:uid="{00000000-0005-0000-0000-000094200000}"/>
    <cellStyle name="Normal 20 2 2 3 4 4 2" xfId="19702" xr:uid="{00000000-0005-0000-0000-000095200000}"/>
    <cellStyle name="Normal 20 2 2 3 4 5" xfId="12622" xr:uid="{00000000-0005-0000-0000-000096200000}"/>
    <cellStyle name="Normal 20 2 2 3 4 5 2" xfId="21302" xr:uid="{00000000-0005-0000-0000-000097200000}"/>
    <cellStyle name="Normal 20 2 2 3 4 6" xfId="14786" xr:uid="{00000000-0005-0000-0000-000098200000}"/>
    <cellStyle name="Normal 20 2 2 3 5" xfId="9402" xr:uid="{00000000-0005-0000-0000-000099200000}"/>
    <cellStyle name="Normal 20 2 2 3 5 2" xfId="18152" xr:uid="{00000000-0005-0000-0000-00009A200000}"/>
    <cellStyle name="Normal 20 2 2 3 6" xfId="7800" xr:uid="{00000000-0005-0000-0000-00009B200000}"/>
    <cellStyle name="Normal 20 2 2 3 6 2" xfId="16553" xr:uid="{00000000-0005-0000-0000-00009C200000}"/>
    <cellStyle name="Normal 20 2 2 3 7" xfId="11012" xr:uid="{00000000-0005-0000-0000-00009D200000}"/>
    <cellStyle name="Normal 20 2 2 3 7 2" xfId="19699" xr:uid="{00000000-0005-0000-0000-00009E200000}"/>
    <cellStyle name="Normal 20 2 2 3 8" xfId="12619" xr:uid="{00000000-0005-0000-0000-00009F200000}"/>
    <cellStyle name="Normal 20 2 2 3 8 2" xfId="21299" xr:uid="{00000000-0005-0000-0000-0000A0200000}"/>
    <cellStyle name="Normal 20 2 2 3 9" xfId="14745" xr:uid="{00000000-0005-0000-0000-0000A1200000}"/>
    <cellStyle name="Normal 20 2 2 4" xfId="2549" xr:uid="{00000000-0005-0000-0000-0000A2200000}"/>
    <cellStyle name="Normal 20 2 2 4 2" xfId="2550" xr:uid="{00000000-0005-0000-0000-0000A3200000}"/>
    <cellStyle name="Normal 20 2 2 4 2 2" xfId="9407" xr:uid="{00000000-0005-0000-0000-0000A4200000}"/>
    <cellStyle name="Normal 20 2 2 4 2 2 2" xfId="18157" xr:uid="{00000000-0005-0000-0000-0000A5200000}"/>
    <cellStyle name="Normal 20 2 2 4 2 3" xfId="7805" xr:uid="{00000000-0005-0000-0000-0000A6200000}"/>
    <cellStyle name="Normal 20 2 2 4 2 3 2" xfId="16558" xr:uid="{00000000-0005-0000-0000-0000A7200000}"/>
    <cellStyle name="Normal 20 2 2 4 2 4" xfId="11017" xr:uid="{00000000-0005-0000-0000-0000A8200000}"/>
    <cellStyle name="Normal 20 2 2 4 2 4 2" xfId="19704" xr:uid="{00000000-0005-0000-0000-0000A9200000}"/>
    <cellStyle name="Normal 20 2 2 4 2 5" xfId="12624" xr:uid="{00000000-0005-0000-0000-0000AA200000}"/>
    <cellStyle name="Normal 20 2 2 4 2 5 2" xfId="21304" xr:uid="{00000000-0005-0000-0000-0000AB200000}"/>
    <cellStyle name="Normal 20 2 2 4 2 6" xfId="14788" xr:uid="{00000000-0005-0000-0000-0000AC200000}"/>
    <cellStyle name="Normal 20 2 2 4 3" xfId="2551" xr:uid="{00000000-0005-0000-0000-0000AD200000}"/>
    <cellStyle name="Normal 20 2 2 4 3 2" xfId="9408" xr:uid="{00000000-0005-0000-0000-0000AE200000}"/>
    <cellStyle name="Normal 20 2 2 4 3 2 2" xfId="18158" xr:uid="{00000000-0005-0000-0000-0000AF200000}"/>
    <cellStyle name="Normal 20 2 2 4 3 3" xfId="7806" xr:uid="{00000000-0005-0000-0000-0000B0200000}"/>
    <cellStyle name="Normal 20 2 2 4 3 3 2" xfId="16559" xr:uid="{00000000-0005-0000-0000-0000B1200000}"/>
    <cellStyle name="Normal 20 2 2 4 3 4" xfId="11018" xr:uid="{00000000-0005-0000-0000-0000B2200000}"/>
    <cellStyle name="Normal 20 2 2 4 3 4 2" xfId="19705" xr:uid="{00000000-0005-0000-0000-0000B3200000}"/>
    <cellStyle name="Normal 20 2 2 4 3 5" xfId="12625" xr:uid="{00000000-0005-0000-0000-0000B4200000}"/>
    <cellStyle name="Normal 20 2 2 4 3 5 2" xfId="21305" xr:uid="{00000000-0005-0000-0000-0000B5200000}"/>
    <cellStyle name="Normal 20 2 2 4 3 6" xfId="14789" xr:uid="{00000000-0005-0000-0000-0000B6200000}"/>
    <cellStyle name="Normal 20 2 2 4 4" xfId="2552" xr:uid="{00000000-0005-0000-0000-0000B7200000}"/>
    <cellStyle name="Normal 20 2 2 4 4 2" xfId="9409" xr:uid="{00000000-0005-0000-0000-0000B8200000}"/>
    <cellStyle name="Normal 20 2 2 4 4 2 2" xfId="18159" xr:uid="{00000000-0005-0000-0000-0000B9200000}"/>
    <cellStyle name="Normal 20 2 2 4 4 3" xfId="7807" xr:uid="{00000000-0005-0000-0000-0000BA200000}"/>
    <cellStyle name="Normal 20 2 2 4 4 3 2" xfId="16560" xr:uid="{00000000-0005-0000-0000-0000BB200000}"/>
    <cellStyle name="Normal 20 2 2 4 4 4" xfId="11019" xr:uid="{00000000-0005-0000-0000-0000BC200000}"/>
    <cellStyle name="Normal 20 2 2 4 4 4 2" xfId="19706" xr:uid="{00000000-0005-0000-0000-0000BD200000}"/>
    <cellStyle name="Normal 20 2 2 4 4 5" xfId="12626" xr:uid="{00000000-0005-0000-0000-0000BE200000}"/>
    <cellStyle name="Normal 20 2 2 4 4 5 2" xfId="21306" xr:uid="{00000000-0005-0000-0000-0000BF200000}"/>
    <cellStyle name="Normal 20 2 2 4 4 6" xfId="14790" xr:uid="{00000000-0005-0000-0000-0000C0200000}"/>
    <cellStyle name="Normal 20 2 2 4 5" xfId="9406" xr:uid="{00000000-0005-0000-0000-0000C1200000}"/>
    <cellStyle name="Normal 20 2 2 4 5 2" xfId="18156" xr:uid="{00000000-0005-0000-0000-0000C2200000}"/>
    <cellStyle name="Normal 20 2 2 4 6" xfId="7804" xr:uid="{00000000-0005-0000-0000-0000C3200000}"/>
    <cellStyle name="Normal 20 2 2 4 6 2" xfId="16557" xr:uid="{00000000-0005-0000-0000-0000C4200000}"/>
    <cellStyle name="Normal 20 2 2 4 7" xfId="11016" xr:uid="{00000000-0005-0000-0000-0000C5200000}"/>
    <cellStyle name="Normal 20 2 2 4 7 2" xfId="19703" xr:uid="{00000000-0005-0000-0000-0000C6200000}"/>
    <cellStyle name="Normal 20 2 2 4 8" xfId="12623" xr:uid="{00000000-0005-0000-0000-0000C7200000}"/>
    <cellStyle name="Normal 20 2 2 4 8 2" xfId="21303" xr:uid="{00000000-0005-0000-0000-0000C8200000}"/>
    <cellStyle name="Normal 20 2 2 4 9" xfId="14787" xr:uid="{00000000-0005-0000-0000-0000C9200000}"/>
    <cellStyle name="Normal 20 2 2 5" xfId="2553" xr:uid="{00000000-0005-0000-0000-0000CA200000}"/>
    <cellStyle name="Normal 20 2 2 5 2" xfId="9410" xr:uid="{00000000-0005-0000-0000-0000CB200000}"/>
    <cellStyle name="Normal 20 2 2 5 2 2" xfId="18160" xr:uid="{00000000-0005-0000-0000-0000CC200000}"/>
    <cellStyle name="Normal 20 2 2 5 3" xfId="7808" xr:uid="{00000000-0005-0000-0000-0000CD200000}"/>
    <cellStyle name="Normal 20 2 2 5 3 2" xfId="16561" xr:uid="{00000000-0005-0000-0000-0000CE200000}"/>
    <cellStyle name="Normal 20 2 2 5 4" xfId="11020" xr:uid="{00000000-0005-0000-0000-0000CF200000}"/>
    <cellStyle name="Normal 20 2 2 5 4 2" xfId="19707" xr:uid="{00000000-0005-0000-0000-0000D0200000}"/>
    <cellStyle name="Normal 20 2 2 5 5" xfId="12627" xr:uid="{00000000-0005-0000-0000-0000D1200000}"/>
    <cellStyle name="Normal 20 2 2 5 5 2" xfId="21307" xr:uid="{00000000-0005-0000-0000-0000D2200000}"/>
    <cellStyle name="Normal 20 2 2 5 6" xfId="14791" xr:uid="{00000000-0005-0000-0000-0000D3200000}"/>
    <cellStyle name="Normal 20 2 2 6" xfId="2554" xr:uid="{00000000-0005-0000-0000-0000D4200000}"/>
    <cellStyle name="Normal 20 2 2 6 2" xfId="9411" xr:uid="{00000000-0005-0000-0000-0000D5200000}"/>
    <cellStyle name="Normal 20 2 2 6 2 2" xfId="18161" xr:uid="{00000000-0005-0000-0000-0000D6200000}"/>
    <cellStyle name="Normal 20 2 2 6 3" xfId="7809" xr:uid="{00000000-0005-0000-0000-0000D7200000}"/>
    <cellStyle name="Normal 20 2 2 6 3 2" xfId="16562" xr:uid="{00000000-0005-0000-0000-0000D8200000}"/>
    <cellStyle name="Normal 20 2 2 6 4" xfId="11021" xr:uid="{00000000-0005-0000-0000-0000D9200000}"/>
    <cellStyle name="Normal 20 2 2 6 4 2" xfId="19708" xr:uid="{00000000-0005-0000-0000-0000DA200000}"/>
    <cellStyle name="Normal 20 2 2 6 5" xfId="12628" xr:uid="{00000000-0005-0000-0000-0000DB200000}"/>
    <cellStyle name="Normal 20 2 2 6 5 2" xfId="21308" xr:uid="{00000000-0005-0000-0000-0000DC200000}"/>
    <cellStyle name="Normal 20 2 2 6 6" xfId="14792" xr:uid="{00000000-0005-0000-0000-0000DD200000}"/>
    <cellStyle name="Normal 20 2 2 7" xfId="2555" xr:uid="{00000000-0005-0000-0000-0000DE200000}"/>
    <cellStyle name="Normal 20 2 2 7 2" xfId="9412" xr:uid="{00000000-0005-0000-0000-0000DF200000}"/>
    <cellStyle name="Normal 20 2 2 7 2 2" xfId="18162" xr:uid="{00000000-0005-0000-0000-0000E0200000}"/>
    <cellStyle name="Normal 20 2 2 7 3" xfId="7810" xr:uid="{00000000-0005-0000-0000-0000E1200000}"/>
    <cellStyle name="Normal 20 2 2 7 3 2" xfId="16563" xr:uid="{00000000-0005-0000-0000-0000E2200000}"/>
    <cellStyle name="Normal 20 2 2 7 4" xfId="11022" xr:uid="{00000000-0005-0000-0000-0000E3200000}"/>
    <cellStyle name="Normal 20 2 2 7 4 2" xfId="19709" xr:uid="{00000000-0005-0000-0000-0000E4200000}"/>
    <cellStyle name="Normal 20 2 2 7 5" xfId="12629" xr:uid="{00000000-0005-0000-0000-0000E5200000}"/>
    <cellStyle name="Normal 20 2 2 7 5 2" xfId="21309" xr:uid="{00000000-0005-0000-0000-0000E6200000}"/>
    <cellStyle name="Normal 20 2 2 7 6" xfId="14811" xr:uid="{00000000-0005-0000-0000-0000E7200000}"/>
    <cellStyle name="Normal 20 2 3" xfId="2556" xr:uid="{00000000-0005-0000-0000-0000E8200000}"/>
    <cellStyle name="Normal 20 2 3 2" xfId="2557" xr:uid="{00000000-0005-0000-0000-0000E9200000}"/>
    <cellStyle name="Normal 20 2 3 2 2" xfId="9414" xr:uid="{00000000-0005-0000-0000-0000EA200000}"/>
    <cellStyle name="Normal 20 2 3 2 2 2" xfId="18164" xr:uid="{00000000-0005-0000-0000-0000EB200000}"/>
    <cellStyle name="Normal 20 2 3 2 3" xfId="7812" xr:uid="{00000000-0005-0000-0000-0000EC200000}"/>
    <cellStyle name="Normal 20 2 3 2 3 2" xfId="16565" xr:uid="{00000000-0005-0000-0000-0000ED200000}"/>
    <cellStyle name="Normal 20 2 3 2 4" xfId="11024" xr:uid="{00000000-0005-0000-0000-0000EE200000}"/>
    <cellStyle name="Normal 20 2 3 2 4 2" xfId="19711" xr:uid="{00000000-0005-0000-0000-0000EF200000}"/>
    <cellStyle name="Normal 20 2 3 2 5" xfId="12631" xr:uid="{00000000-0005-0000-0000-0000F0200000}"/>
    <cellStyle name="Normal 20 2 3 2 5 2" xfId="21311" xr:uid="{00000000-0005-0000-0000-0000F1200000}"/>
    <cellStyle name="Normal 20 2 3 2 6" xfId="14812" xr:uid="{00000000-0005-0000-0000-0000F2200000}"/>
    <cellStyle name="Normal 20 2 3 3" xfId="2558" xr:uid="{00000000-0005-0000-0000-0000F3200000}"/>
    <cellStyle name="Normal 20 2 3 3 2" xfId="9415" xr:uid="{00000000-0005-0000-0000-0000F4200000}"/>
    <cellStyle name="Normal 20 2 3 3 2 2" xfId="18165" xr:uid="{00000000-0005-0000-0000-0000F5200000}"/>
    <cellStyle name="Normal 20 2 3 3 3" xfId="7813" xr:uid="{00000000-0005-0000-0000-0000F6200000}"/>
    <cellStyle name="Normal 20 2 3 3 3 2" xfId="16566" xr:uid="{00000000-0005-0000-0000-0000F7200000}"/>
    <cellStyle name="Normal 20 2 3 3 4" xfId="11025" xr:uid="{00000000-0005-0000-0000-0000F8200000}"/>
    <cellStyle name="Normal 20 2 3 3 4 2" xfId="19712" xr:uid="{00000000-0005-0000-0000-0000F9200000}"/>
    <cellStyle name="Normal 20 2 3 3 5" xfId="12632" xr:uid="{00000000-0005-0000-0000-0000FA200000}"/>
    <cellStyle name="Normal 20 2 3 3 5 2" xfId="21312" xr:uid="{00000000-0005-0000-0000-0000FB200000}"/>
    <cellStyle name="Normal 20 2 3 3 6" xfId="14810" xr:uid="{00000000-0005-0000-0000-0000FC200000}"/>
    <cellStyle name="Normal 20 2 3 4" xfId="2559" xr:uid="{00000000-0005-0000-0000-0000FD200000}"/>
    <cellStyle name="Normal 20 2 3 4 2" xfId="9416" xr:uid="{00000000-0005-0000-0000-0000FE200000}"/>
    <cellStyle name="Normal 20 2 3 4 2 2" xfId="18166" xr:uid="{00000000-0005-0000-0000-0000FF200000}"/>
    <cellStyle name="Normal 20 2 3 4 3" xfId="7814" xr:uid="{00000000-0005-0000-0000-000000210000}"/>
    <cellStyle name="Normal 20 2 3 4 3 2" xfId="16567" xr:uid="{00000000-0005-0000-0000-000001210000}"/>
    <cellStyle name="Normal 20 2 3 4 4" xfId="11026" xr:uid="{00000000-0005-0000-0000-000002210000}"/>
    <cellStyle name="Normal 20 2 3 4 4 2" xfId="19713" xr:uid="{00000000-0005-0000-0000-000003210000}"/>
    <cellStyle name="Normal 20 2 3 4 5" xfId="12633" xr:uid="{00000000-0005-0000-0000-000004210000}"/>
    <cellStyle name="Normal 20 2 3 4 5 2" xfId="21313" xr:uid="{00000000-0005-0000-0000-000005210000}"/>
    <cellStyle name="Normal 20 2 3 4 6" xfId="14775" xr:uid="{00000000-0005-0000-0000-000006210000}"/>
    <cellStyle name="Normal 20 2 3 5" xfId="9413" xr:uid="{00000000-0005-0000-0000-000007210000}"/>
    <cellStyle name="Normal 20 2 3 5 2" xfId="18163" xr:uid="{00000000-0005-0000-0000-000008210000}"/>
    <cellStyle name="Normal 20 2 3 6" xfId="7811" xr:uid="{00000000-0005-0000-0000-000009210000}"/>
    <cellStyle name="Normal 20 2 3 6 2" xfId="16564" xr:uid="{00000000-0005-0000-0000-00000A210000}"/>
    <cellStyle name="Normal 20 2 3 7" xfId="11023" xr:uid="{00000000-0005-0000-0000-00000B210000}"/>
    <cellStyle name="Normal 20 2 3 7 2" xfId="19710" xr:uid="{00000000-0005-0000-0000-00000C210000}"/>
    <cellStyle name="Normal 20 2 3 8" xfId="12630" xr:uid="{00000000-0005-0000-0000-00000D210000}"/>
    <cellStyle name="Normal 20 2 3 8 2" xfId="21310" xr:uid="{00000000-0005-0000-0000-00000E210000}"/>
    <cellStyle name="Normal 20 2 3 9" xfId="14793" xr:uid="{00000000-0005-0000-0000-00000F210000}"/>
    <cellStyle name="Normal 20 2 4" xfId="2560" xr:uid="{00000000-0005-0000-0000-000010210000}"/>
    <cellStyle name="Normal 20 2 5" xfId="2561" xr:uid="{00000000-0005-0000-0000-000011210000}"/>
    <cellStyle name="Normal 20 2 6" xfId="2562" xr:uid="{00000000-0005-0000-0000-000012210000}"/>
    <cellStyle name="Normal 20 2 6 2" xfId="9417" xr:uid="{00000000-0005-0000-0000-000013210000}"/>
    <cellStyle name="Normal 20 2 6 2 2" xfId="18167" xr:uid="{00000000-0005-0000-0000-000014210000}"/>
    <cellStyle name="Normal 20 2 6 3" xfId="7815" xr:uid="{00000000-0005-0000-0000-000015210000}"/>
    <cellStyle name="Normal 20 2 6 3 2" xfId="16568" xr:uid="{00000000-0005-0000-0000-000016210000}"/>
    <cellStyle name="Normal 20 2 6 4" xfId="11027" xr:uid="{00000000-0005-0000-0000-000017210000}"/>
    <cellStyle name="Normal 20 2 6 4 2" xfId="19714" xr:uid="{00000000-0005-0000-0000-000018210000}"/>
    <cellStyle name="Normal 20 2 6 5" xfId="12634" xr:uid="{00000000-0005-0000-0000-000019210000}"/>
    <cellStyle name="Normal 20 2 6 5 2" xfId="21314" xr:uid="{00000000-0005-0000-0000-00001A210000}"/>
    <cellStyle name="Normal 20 2 6 6" xfId="13943" xr:uid="{00000000-0005-0000-0000-00001B210000}"/>
    <cellStyle name="Normal 20 2 7" xfId="2563" xr:uid="{00000000-0005-0000-0000-00001C210000}"/>
    <cellStyle name="Normal 20 2 7 2" xfId="9418" xr:uid="{00000000-0005-0000-0000-00001D210000}"/>
    <cellStyle name="Normal 20 2 7 2 2" xfId="18168" xr:uid="{00000000-0005-0000-0000-00001E210000}"/>
    <cellStyle name="Normal 20 2 7 3" xfId="7816" xr:uid="{00000000-0005-0000-0000-00001F210000}"/>
    <cellStyle name="Normal 20 2 7 3 2" xfId="16569" xr:uid="{00000000-0005-0000-0000-000020210000}"/>
    <cellStyle name="Normal 20 2 7 4" xfId="11028" xr:uid="{00000000-0005-0000-0000-000021210000}"/>
    <cellStyle name="Normal 20 2 7 4 2" xfId="19715" xr:uid="{00000000-0005-0000-0000-000022210000}"/>
    <cellStyle name="Normal 20 2 7 5" xfId="12635" xr:uid="{00000000-0005-0000-0000-000023210000}"/>
    <cellStyle name="Normal 20 2 7 5 2" xfId="21315" xr:uid="{00000000-0005-0000-0000-000024210000}"/>
    <cellStyle name="Normal 20 2 7 6" xfId="13975" xr:uid="{00000000-0005-0000-0000-000025210000}"/>
    <cellStyle name="Normal 20 2 8" xfId="2564" xr:uid="{00000000-0005-0000-0000-000026210000}"/>
    <cellStyle name="Normal 20 2 8 2" xfId="9419" xr:uid="{00000000-0005-0000-0000-000027210000}"/>
    <cellStyle name="Normal 20 2 8 2 2" xfId="18169" xr:uid="{00000000-0005-0000-0000-000028210000}"/>
    <cellStyle name="Normal 20 2 8 3" xfId="7817" xr:uid="{00000000-0005-0000-0000-000029210000}"/>
    <cellStyle name="Normal 20 2 8 3 2" xfId="16570" xr:uid="{00000000-0005-0000-0000-00002A210000}"/>
    <cellStyle name="Normal 20 2 8 4" xfId="11029" xr:uid="{00000000-0005-0000-0000-00002B210000}"/>
    <cellStyle name="Normal 20 2 8 4 2" xfId="19716" xr:uid="{00000000-0005-0000-0000-00002C210000}"/>
    <cellStyle name="Normal 20 2 8 5" xfId="12636" xr:uid="{00000000-0005-0000-0000-00002D210000}"/>
    <cellStyle name="Normal 20 2 8 5 2" xfId="21316" xr:uid="{00000000-0005-0000-0000-00002E210000}"/>
    <cellStyle name="Normal 20 2 8 6" xfId="14056" xr:uid="{00000000-0005-0000-0000-00002F210000}"/>
    <cellStyle name="Normal 20 2 9" xfId="9397" xr:uid="{00000000-0005-0000-0000-000030210000}"/>
    <cellStyle name="Normal 20 2 9 2" xfId="18147" xr:uid="{00000000-0005-0000-0000-000031210000}"/>
    <cellStyle name="Normal 20 3" xfId="2565" xr:uid="{00000000-0005-0000-0000-000032210000}"/>
    <cellStyle name="Normal 20 4" xfId="2535" xr:uid="{00000000-0005-0000-0000-000033210000}"/>
    <cellStyle name="Normal 20 5" xfId="10640" xr:uid="{00000000-0005-0000-0000-000034210000}"/>
    <cellStyle name="Normal 200" xfId="7438" xr:uid="{00000000-0005-0000-0000-000035210000}"/>
    <cellStyle name="Normal 200 2" xfId="16196" xr:uid="{00000000-0005-0000-0000-000036210000}"/>
    <cellStyle name="Normal 201" xfId="10498" xr:uid="{00000000-0005-0000-0000-000037210000}"/>
    <cellStyle name="Normal 201 2" xfId="19225" xr:uid="{00000000-0005-0000-0000-000038210000}"/>
    <cellStyle name="Normal 202" xfId="7437" xr:uid="{00000000-0005-0000-0000-000039210000}"/>
    <cellStyle name="Normal 202 2" xfId="16195" xr:uid="{00000000-0005-0000-0000-00003A210000}"/>
    <cellStyle name="Normal 203" xfId="10503" xr:uid="{00000000-0005-0000-0000-00003B210000}"/>
    <cellStyle name="Normal 203 2" xfId="19230" xr:uid="{00000000-0005-0000-0000-00003C210000}"/>
    <cellStyle name="Normal 204" xfId="10505" xr:uid="{00000000-0005-0000-0000-00003D210000}"/>
    <cellStyle name="Normal 204 2" xfId="19232" xr:uid="{00000000-0005-0000-0000-00003E210000}"/>
    <cellStyle name="Normal 205" xfId="10490" xr:uid="{00000000-0005-0000-0000-00003F210000}"/>
    <cellStyle name="Normal 205 2" xfId="19218" xr:uid="{00000000-0005-0000-0000-000040210000}"/>
    <cellStyle name="Normal 206" xfId="10506" xr:uid="{00000000-0005-0000-0000-000041210000}"/>
    <cellStyle name="Normal 206 2" xfId="19233" xr:uid="{00000000-0005-0000-0000-000042210000}"/>
    <cellStyle name="Normal 207" xfId="10493" xr:uid="{00000000-0005-0000-0000-000043210000}"/>
    <cellStyle name="Normal 207 2" xfId="19221" xr:uid="{00000000-0005-0000-0000-000044210000}"/>
    <cellStyle name="Normal 208" xfId="10504" xr:uid="{00000000-0005-0000-0000-000045210000}"/>
    <cellStyle name="Normal 208 2" xfId="19231" xr:uid="{00000000-0005-0000-0000-000046210000}"/>
    <cellStyle name="Normal 209" xfId="10593" xr:uid="{00000000-0005-0000-0000-000047210000}"/>
    <cellStyle name="Normal 209 2" xfId="19299" xr:uid="{00000000-0005-0000-0000-000048210000}"/>
    <cellStyle name="Normal 21" xfId="155" xr:uid="{00000000-0005-0000-0000-000049210000}"/>
    <cellStyle name="Normal 21 2" xfId="2567" xr:uid="{00000000-0005-0000-0000-00004A210000}"/>
    <cellStyle name="Normal 21 2 10" xfId="7818" xr:uid="{00000000-0005-0000-0000-00004B210000}"/>
    <cellStyle name="Normal 21 2 10 2" xfId="16571" xr:uid="{00000000-0005-0000-0000-00004C210000}"/>
    <cellStyle name="Normal 21 2 11" xfId="11030" xr:uid="{00000000-0005-0000-0000-00004D210000}"/>
    <cellStyle name="Normal 21 2 11 2" xfId="19717" xr:uid="{00000000-0005-0000-0000-00004E210000}"/>
    <cellStyle name="Normal 21 2 12" xfId="12637" xr:uid="{00000000-0005-0000-0000-00004F210000}"/>
    <cellStyle name="Normal 21 2 12 2" xfId="21317" xr:uid="{00000000-0005-0000-0000-000050210000}"/>
    <cellStyle name="Normal 21 2 13" xfId="14038" xr:uid="{00000000-0005-0000-0000-000051210000}"/>
    <cellStyle name="Normal 21 2 2" xfId="2568" xr:uid="{00000000-0005-0000-0000-000052210000}"/>
    <cellStyle name="Normal 21 2 2 2" xfId="2569" xr:uid="{00000000-0005-0000-0000-000053210000}"/>
    <cellStyle name="Normal 21 2 2 2 2" xfId="2570" xr:uid="{00000000-0005-0000-0000-000054210000}"/>
    <cellStyle name="Normal 21 2 2 2 2 2" xfId="2571" xr:uid="{00000000-0005-0000-0000-000055210000}"/>
    <cellStyle name="Normal 21 2 2 2 2 2 2" xfId="9422" xr:uid="{00000000-0005-0000-0000-000056210000}"/>
    <cellStyle name="Normal 21 2 2 2 2 2 2 2" xfId="18172" xr:uid="{00000000-0005-0000-0000-000057210000}"/>
    <cellStyle name="Normal 21 2 2 2 2 2 3" xfId="7820" xr:uid="{00000000-0005-0000-0000-000058210000}"/>
    <cellStyle name="Normal 21 2 2 2 2 2 3 2" xfId="16573" xr:uid="{00000000-0005-0000-0000-000059210000}"/>
    <cellStyle name="Normal 21 2 2 2 2 2 4" xfId="11032" xr:uid="{00000000-0005-0000-0000-00005A210000}"/>
    <cellStyle name="Normal 21 2 2 2 2 2 4 2" xfId="19719" xr:uid="{00000000-0005-0000-0000-00005B210000}"/>
    <cellStyle name="Normal 21 2 2 2 2 2 5" xfId="12639" xr:uid="{00000000-0005-0000-0000-00005C210000}"/>
    <cellStyle name="Normal 21 2 2 2 2 2 5 2" xfId="21319" xr:uid="{00000000-0005-0000-0000-00005D210000}"/>
    <cellStyle name="Normal 21 2 2 2 2 2 6" xfId="14031" xr:uid="{00000000-0005-0000-0000-00005E210000}"/>
    <cellStyle name="Normal 21 2 2 2 2 3" xfId="2572" xr:uid="{00000000-0005-0000-0000-00005F210000}"/>
    <cellStyle name="Normal 21 2 2 2 2 3 2" xfId="9423" xr:uid="{00000000-0005-0000-0000-000060210000}"/>
    <cellStyle name="Normal 21 2 2 2 2 3 2 2" xfId="18173" xr:uid="{00000000-0005-0000-0000-000061210000}"/>
    <cellStyle name="Normal 21 2 2 2 2 3 3" xfId="7821" xr:uid="{00000000-0005-0000-0000-000062210000}"/>
    <cellStyle name="Normal 21 2 2 2 2 3 3 2" xfId="16574" xr:uid="{00000000-0005-0000-0000-000063210000}"/>
    <cellStyle name="Normal 21 2 2 2 2 3 4" xfId="11033" xr:uid="{00000000-0005-0000-0000-000064210000}"/>
    <cellStyle name="Normal 21 2 2 2 2 3 4 2" xfId="19720" xr:uid="{00000000-0005-0000-0000-000065210000}"/>
    <cellStyle name="Normal 21 2 2 2 2 3 5" xfId="12640" xr:uid="{00000000-0005-0000-0000-000066210000}"/>
    <cellStyle name="Normal 21 2 2 2 2 3 5 2" xfId="21320" xr:uid="{00000000-0005-0000-0000-000067210000}"/>
    <cellStyle name="Normal 21 2 2 2 2 3 6" xfId="14814" xr:uid="{00000000-0005-0000-0000-000068210000}"/>
    <cellStyle name="Normal 21 2 2 2 2 4" xfId="2573" xr:uid="{00000000-0005-0000-0000-000069210000}"/>
    <cellStyle name="Normal 21 2 2 2 2 4 2" xfId="9424" xr:uid="{00000000-0005-0000-0000-00006A210000}"/>
    <cellStyle name="Normal 21 2 2 2 2 4 2 2" xfId="18174" xr:uid="{00000000-0005-0000-0000-00006B210000}"/>
    <cellStyle name="Normal 21 2 2 2 2 4 3" xfId="7822" xr:uid="{00000000-0005-0000-0000-00006C210000}"/>
    <cellStyle name="Normal 21 2 2 2 2 4 3 2" xfId="16575" xr:uid="{00000000-0005-0000-0000-00006D210000}"/>
    <cellStyle name="Normal 21 2 2 2 2 4 4" xfId="11034" xr:uid="{00000000-0005-0000-0000-00006E210000}"/>
    <cellStyle name="Normal 21 2 2 2 2 4 4 2" xfId="19721" xr:uid="{00000000-0005-0000-0000-00006F210000}"/>
    <cellStyle name="Normal 21 2 2 2 2 4 5" xfId="12641" xr:uid="{00000000-0005-0000-0000-000070210000}"/>
    <cellStyle name="Normal 21 2 2 2 2 4 5 2" xfId="21321" xr:uid="{00000000-0005-0000-0000-000071210000}"/>
    <cellStyle name="Normal 21 2 2 2 2 4 6" xfId="14815" xr:uid="{00000000-0005-0000-0000-000072210000}"/>
    <cellStyle name="Normal 21 2 2 2 3" xfId="2574" xr:uid="{00000000-0005-0000-0000-000073210000}"/>
    <cellStyle name="Normal 21 2 2 2 4" xfId="2575" xr:uid="{00000000-0005-0000-0000-000074210000}"/>
    <cellStyle name="Normal 21 2 2 2 5" xfId="9421" xr:uid="{00000000-0005-0000-0000-000075210000}"/>
    <cellStyle name="Normal 21 2 2 2 5 2" xfId="18171" xr:uid="{00000000-0005-0000-0000-000076210000}"/>
    <cellStyle name="Normal 21 2 2 2 6" xfId="7819" xr:uid="{00000000-0005-0000-0000-000077210000}"/>
    <cellStyle name="Normal 21 2 2 2 6 2" xfId="16572" xr:uid="{00000000-0005-0000-0000-000078210000}"/>
    <cellStyle name="Normal 21 2 2 2 7" xfId="11031" xr:uid="{00000000-0005-0000-0000-000079210000}"/>
    <cellStyle name="Normal 21 2 2 2 7 2" xfId="19718" xr:uid="{00000000-0005-0000-0000-00007A210000}"/>
    <cellStyle name="Normal 21 2 2 2 8" xfId="12638" xr:uid="{00000000-0005-0000-0000-00007B210000}"/>
    <cellStyle name="Normal 21 2 2 2 8 2" xfId="21318" xr:uid="{00000000-0005-0000-0000-00007C210000}"/>
    <cellStyle name="Normal 21 2 2 2 9" xfId="14640" xr:uid="{00000000-0005-0000-0000-00007D210000}"/>
    <cellStyle name="Normal 21 2 2 3" xfId="2576" xr:uid="{00000000-0005-0000-0000-00007E210000}"/>
    <cellStyle name="Normal 21 2 2 3 2" xfId="2577" xr:uid="{00000000-0005-0000-0000-00007F210000}"/>
    <cellStyle name="Normal 21 2 2 3 2 2" xfId="9426" xr:uid="{00000000-0005-0000-0000-000080210000}"/>
    <cellStyle name="Normal 21 2 2 3 2 2 2" xfId="18176" xr:uid="{00000000-0005-0000-0000-000081210000}"/>
    <cellStyle name="Normal 21 2 2 3 2 3" xfId="7824" xr:uid="{00000000-0005-0000-0000-000082210000}"/>
    <cellStyle name="Normal 21 2 2 3 2 3 2" xfId="16577" xr:uid="{00000000-0005-0000-0000-000083210000}"/>
    <cellStyle name="Normal 21 2 2 3 2 4" xfId="11036" xr:uid="{00000000-0005-0000-0000-000084210000}"/>
    <cellStyle name="Normal 21 2 2 3 2 4 2" xfId="19723" xr:uid="{00000000-0005-0000-0000-000085210000}"/>
    <cellStyle name="Normal 21 2 2 3 2 5" xfId="12643" xr:uid="{00000000-0005-0000-0000-000086210000}"/>
    <cellStyle name="Normal 21 2 2 3 2 5 2" xfId="21323" xr:uid="{00000000-0005-0000-0000-000087210000}"/>
    <cellStyle name="Normal 21 2 2 3 2 6" xfId="14817" xr:uid="{00000000-0005-0000-0000-000088210000}"/>
    <cellStyle name="Normal 21 2 2 3 3" xfId="2578" xr:uid="{00000000-0005-0000-0000-000089210000}"/>
    <cellStyle name="Normal 21 2 2 3 3 2" xfId="9427" xr:uid="{00000000-0005-0000-0000-00008A210000}"/>
    <cellStyle name="Normal 21 2 2 3 3 2 2" xfId="18177" xr:uid="{00000000-0005-0000-0000-00008B210000}"/>
    <cellStyle name="Normal 21 2 2 3 3 3" xfId="7825" xr:uid="{00000000-0005-0000-0000-00008C210000}"/>
    <cellStyle name="Normal 21 2 2 3 3 3 2" xfId="16578" xr:uid="{00000000-0005-0000-0000-00008D210000}"/>
    <cellStyle name="Normal 21 2 2 3 3 4" xfId="11037" xr:uid="{00000000-0005-0000-0000-00008E210000}"/>
    <cellStyle name="Normal 21 2 2 3 3 4 2" xfId="19724" xr:uid="{00000000-0005-0000-0000-00008F210000}"/>
    <cellStyle name="Normal 21 2 2 3 3 5" xfId="12644" xr:uid="{00000000-0005-0000-0000-000090210000}"/>
    <cellStyle name="Normal 21 2 2 3 3 5 2" xfId="21324" xr:uid="{00000000-0005-0000-0000-000091210000}"/>
    <cellStyle name="Normal 21 2 2 3 3 6" xfId="14818" xr:uid="{00000000-0005-0000-0000-000092210000}"/>
    <cellStyle name="Normal 21 2 2 3 4" xfId="2579" xr:uid="{00000000-0005-0000-0000-000093210000}"/>
    <cellStyle name="Normal 21 2 2 3 4 2" xfId="9428" xr:uid="{00000000-0005-0000-0000-000094210000}"/>
    <cellStyle name="Normal 21 2 2 3 4 2 2" xfId="18178" xr:uid="{00000000-0005-0000-0000-000095210000}"/>
    <cellStyle name="Normal 21 2 2 3 4 3" xfId="7826" xr:uid="{00000000-0005-0000-0000-000096210000}"/>
    <cellStyle name="Normal 21 2 2 3 4 3 2" xfId="16579" xr:uid="{00000000-0005-0000-0000-000097210000}"/>
    <cellStyle name="Normal 21 2 2 3 4 4" xfId="11038" xr:uid="{00000000-0005-0000-0000-000098210000}"/>
    <cellStyle name="Normal 21 2 2 3 4 4 2" xfId="19725" xr:uid="{00000000-0005-0000-0000-000099210000}"/>
    <cellStyle name="Normal 21 2 2 3 4 5" xfId="12645" xr:uid="{00000000-0005-0000-0000-00009A210000}"/>
    <cellStyle name="Normal 21 2 2 3 4 5 2" xfId="21325" xr:uid="{00000000-0005-0000-0000-00009B210000}"/>
    <cellStyle name="Normal 21 2 2 3 4 6" xfId="14819" xr:uid="{00000000-0005-0000-0000-00009C210000}"/>
    <cellStyle name="Normal 21 2 2 3 5" xfId="9425" xr:uid="{00000000-0005-0000-0000-00009D210000}"/>
    <cellStyle name="Normal 21 2 2 3 5 2" xfId="18175" xr:uid="{00000000-0005-0000-0000-00009E210000}"/>
    <cellStyle name="Normal 21 2 2 3 6" xfId="7823" xr:uid="{00000000-0005-0000-0000-00009F210000}"/>
    <cellStyle name="Normal 21 2 2 3 6 2" xfId="16576" xr:uid="{00000000-0005-0000-0000-0000A0210000}"/>
    <cellStyle name="Normal 21 2 2 3 7" xfId="11035" xr:uid="{00000000-0005-0000-0000-0000A1210000}"/>
    <cellStyle name="Normal 21 2 2 3 7 2" xfId="19722" xr:uid="{00000000-0005-0000-0000-0000A2210000}"/>
    <cellStyle name="Normal 21 2 2 3 8" xfId="12642" xr:uid="{00000000-0005-0000-0000-0000A3210000}"/>
    <cellStyle name="Normal 21 2 2 3 8 2" xfId="21322" xr:uid="{00000000-0005-0000-0000-0000A4210000}"/>
    <cellStyle name="Normal 21 2 2 3 9" xfId="14816" xr:uid="{00000000-0005-0000-0000-0000A5210000}"/>
    <cellStyle name="Normal 21 2 2 4" xfId="2580" xr:uid="{00000000-0005-0000-0000-0000A6210000}"/>
    <cellStyle name="Normal 21 2 2 4 2" xfId="2581" xr:uid="{00000000-0005-0000-0000-0000A7210000}"/>
    <cellStyle name="Normal 21 2 2 4 2 2" xfId="9430" xr:uid="{00000000-0005-0000-0000-0000A8210000}"/>
    <cellStyle name="Normal 21 2 2 4 2 2 2" xfId="18180" xr:uid="{00000000-0005-0000-0000-0000A9210000}"/>
    <cellStyle name="Normal 21 2 2 4 2 3" xfId="7828" xr:uid="{00000000-0005-0000-0000-0000AA210000}"/>
    <cellStyle name="Normal 21 2 2 4 2 3 2" xfId="16581" xr:uid="{00000000-0005-0000-0000-0000AB210000}"/>
    <cellStyle name="Normal 21 2 2 4 2 4" xfId="11040" xr:uid="{00000000-0005-0000-0000-0000AC210000}"/>
    <cellStyle name="Normal 21 2 2 4 2 4 2" xfId="19727" xr:uid="{00000000-0005-0000-0000-0000AD210000}"/>
    <cellStyle name="Normal 21 2 2 4 2 5" xfId="12647" xr:uid="{00000000-0005-0000-0000-0000AE210000}"/>
    <cellStyle name="Normal 21 2 2 4 2 5 2" xfId="21327" xr:uid="{00000000-0005-0000-0000-0000AF210000}"/>
    <cellStyle name="Normal 21 2 2 4 2 6" xfId="14821" xr:uid="{00000000-0005-0000-0000-0000B0210000}"/>
    <cellStyle name="Normal 21 2 2 4 3" xfId="2582" xr:uid="{00000000-0005-0000-0000-0000B1210000}"/>
    <cellStyle name="Normal 21 2 2 4 3 2" xfId="9431" xr:uid="{00000000-0005-0000-0000-0000B2210000}"/>
    <cellStyle name="Normal 21 2 2 4 3 2 2" xfId="18181" xr:uid="{00000000-0005-0000-0000-0000B3210000}"/>
    <cellStyle name="Normal 21 2 2 4 3 3" xfId="7829" xr:uid="{00000000-0005-0000-0000-0000B4210000}"/>
    <cellStyle name="Normal 21 2 2 4 3 3 2" xfId="16582" xr:uid="{00000000-0005-0000-0000-0000B5210000}"/>
    <cellStyle name="Normal 21 2 2 4 3 4" xfId="11041" xr:uid="{00000000-0005-0000-0000-0000B6210000}"/>
    <cellStyle name="Normal 21 2 2 4 3 4 2" xfId="19728" xr:uid="{00000000-0005-0000-0000-0000B7210000}"/>
    <cellStyle name="Normal 21 2 2 4 3 5" xfId="12648" xr:uid="{00000000-0005-0000-0000-0000B8210000}"/>
    <cellStyle name="Normal 21 2 2 4 3 5 2" xfId="21328" xr:uid="{00000000-0005-0000-0000-0000B9210000}"/>
    <cellStyle name="Normal 21 2 2 4 3 6" xfId="14822" xr:uid="{00000000-0005-0000-0000-0000BA210000}"/>
    <cellStyle name="Normal 21 2 2 4 4" xfId="2583" xr:uid="{00000000-0005-0000-0000-0000BB210000}"/>
    <cellStyle name="Normal 21 2 2 4 4 2" xfId="9432" xr:uid="{00000000-0005-0000-0000-0000BC210000}"/>
    <cellStyle name="Normal 21 2 2 4 4 2 2" xfId="18182" xr:uid="{00000000-0005-0000-0000-0000BD210000}"/>
    <cellStyle name="Normal 21 2 2 4 4 3" xfId="7830" xr:uid="{00000000-0005-0000-0000-0000BE210000}"/>
    <cellStyle name="Normal 21 2 2 4 4 3 2" xfId="16583" xr:uid="{00000000-0005-0000-0000-0000BF210000}"/>
    <cellStyle name="Normal 21 2 2 4 4 4" xfId="11042" xr:uid="{00000000-0005-0000-0000-0000C0210000}"/>
    <cellStyle name="Normal 21 2 2 4 4 4 2" xfId="19729" xr:uid="{00000000-0005-0000-0000-0000C1210000}"/>
    <cellStyle name="Normal 21 2 2 4 4 5" xfId="12649" xr:uid="{00000000-0005-0000-0000-0000C2210000}"/>
    <cellStyle name="Normal 21 2 2 4 4 5 2" xfId="21329" xr:uid="{00000000-0005-0000-0000-0000C3210000}"/>
    <cellStyle name="Normal 21 2 2 4 4 6" xfId="14823" xr:uid="{00000000-0005-0000-0000-0000C4210000}"/>
    <cellStyle name="Normal 21 2 2 4 5" xfId="9429" xr:uid="{00000000-0005-0000-0000-0000C5210000}"/>
    <cellStyle name="Normal 21 2 2 4 5 2" xfId="18179" xr:uid="{00000000-0005-0000-0000-0000C6210000}"/>
    <cellStyle name="Normal 21 2 2 4 6" xfId="7827" xr:uid="{00000000-0005-0000-0000-0000C7210000}"/>
    <cellStyle name="Normal 21 2 2 4 6 2" xfId="16580" xr:uid="{00000000-0005-0000-0000-0000C8210000}"/>
    <cellStyle name="Normal 21 2 2 4 7" xfId="11039" xr:uid="{00000000-0005-0000-0000-0000C9210000}"/>
    <cellStyle name="Normal 21 2 2 4 7 2" xfId="19726" xr:uid="{00000000-0005-0000-0000-0000CA210000}"/>
    <cellStyle name="Normal 21 2 2 4 8" xfId="12646" xr:uid="{00000000-0005-0000-0000-0000CB210000}"/>
    <cellStyle name="Normal 21 2 2 4 8 2" xfId="21326" xr:uid="{00000000-0005-0000-0000-0000CC210000}"/>
    <cellStyle name="Normal 21 2 2 4 9" xfId="14820" xr:uid="{00000000-0005-0000-0000-0000CD210000}"/>
    <cellStyle name="Normal 21 2 2 5" xfId="2584" xr:uid="{00000000-0005-0000-0000-0000CE210000}"/>
    <cellStyle name="Normal 21 2 2 5 2" xfId="9433" xr:uid="{00000000-0005-0000-0000-0000CF210000}"/>
    <cellStyle name="Normal 21 2 2 5 2 2" xfId="18183" xr:uid="{00000000-0005-0000-0000-0000D0210000}"/>
    <cellStyle name="Normal 21 2 2 5 3" xfId="7831" xr:uid="{00000000-0005-0000-0000-0000D1210000}"/>
    <cellStyle name="Normal 21 2 2 5 3 2" xfId="16584" xr:uid="{00000000-0005-0000-0000-0000D2210000}"/>
    <cellStyle name="Normal 21 2 2 5 4" xfId="11043" xr:uid="{00000000-0005-0000-0000-0000D3210000}"/>
    <cellStyle name="Normal 21 2 2 5 4 2" xfId="19730" xr:uid="{00000000-0005-0000-0000-0000D4210000}"/>
    <cellStyle name="Normal 21 2 2 5 5" xfId="12650" xr:uid="{00000000-0005-0000-0000-0000D5210000}"/>
    <cellStyle name="Normal 21 2 2 5 5 2" xfId="21330" xr:uid="{00000000-0005-0000-0000-0000D6210000}"/>
    <cellStyle name="Normal 21 2 2 5 6" xfId="14824" xr:uid="{00000000-0005-0000-0000-0000D7210000}"/>
    <cellStyle name="Normal 21 2 2 6" xfId="2585" xr:uid="{00000000-0005-0000-0000-0000D8210000}"/>
    <cellStyle name="Normal 21 2 2 6 2" xfId="9434" xr:uid="{00000000-0005-0000-0000-0000D9210000}"/>
    <cellStyle name="Normal 21 2 2 6 2 2" xfId="18184" xr:uid="{00000000-0005-0000-0000-0000DA210000}"/>
    <cellStyle name="Normal 21 2 2 6 3" xfId="7832" xr:uid="{00000000-0005-0000-0000-0000DB210000}"/>
    <cellStyle name="Normal 21 2 2 6 3 2" xfId="16585" xr:uid="{00000000-0005-0000-0000-0000DC210000}"/>
    <cellStyle name="Normal 21 2 2 6 4" xfId="11044" xr:uid="{00000000-0005-0000-0000-0000DD210000}"/>
    <cellStyle name="Normal 21 2 2 6 4 2" xfId="19731" xr:uid="{00000000-0005-0000-0000-0000DE210000}"/>
    <cellStyle name="Normal 21 2 2 6 5" xfId="12651" xr:uid="{00000000-0005-0000-0000-0000DF210000}"/>
    <cellStyle name="Normal 21 2 2 6 5 2" xfId="21331" xr:uid="{00000000-0005-0000-0000-0000E0210000}"/>
    <cellStyle name="Normal 21 2 2 6 6" xfId="14825" xr:uid="{00000000-0005-0000-0000-0000E1210000}"/>
    <cellStyle name="Normal 21 2 2 7" xfId="2586" xr:uid="{00000000-0005-0000-0000-0000E2210000}"/>
    <cellStyle name="Normal 21 2 2 7 2" xfId="9435" xr:uid="{00000000-0005-0000-0000-0000E3210000}"/>
    <cellStyle name="Normal 21 2 2 7 2 2" xfId="18185" xr:uid="{00000000-0005-0000-0000-0000E4210000}"/>
    <cellStyle name="Normal 21 2 2 7 3" xfId="7833" xr:uid="{00000000-0005-0000-0000-0000E5210000}"/>
    <cellStyle name="Normal 21 2 2 7 3 2" xfId="16586" xr:uid="{00000000-0005-0000-0000-0000E6210000}"/>
    <cellStyle name="Normal 21 2 2 7 4" xfId="11045" xr:uid="{00000000-0005-0000-0000-0000E7210000}"/>
    <cellStyle name="Normal 21 2 2 7 4 2" xfId="19732" xr:uid="{00000000-0005-0000-0000-0000E8210000}"/>
    <cellStyle name="Normal 21 2 2 7 5" xfId="12652" xr:uid="{00000000-0005-0000-0000-0000E9210000}"/>
    <cellStyle name="Normal 21 2 2 7 5 2" xfId="21332" xr:uid="{00000000-0005-0000-0000-0000EA210000}"/>
    <cellStyle name="Normal 21 2 2 7 6" xfId="14826" xr:uid="{00000000-0005-0000-0000-0000EB210000}"/>
    <cellStyle name="Normal 21 2 3" xfId="2587" xr:uid="{00000000-0005-0000-0000-0000EC210000}"/>
    <cellStyle name="Normal 21 2 3 2" xfId="2588" xr:uid="{00000000-0005-0000-0000-0000ED210000}"/>
    <cellStyle name="Normal 21 2 3 2 2" xfId="9437" xr:uid="{00000000-0005-0000-0000-0000EE210000}"/>
    <cellStyle name="Normal 21 2 3 2 2 2" xfId="18187" xr:uid="{00000000-0005-0000-0000-0000EF210000}"/>
    <cellStyle name="Normal 21 2 3 2 3" xfId="7835" xr:uid="{00000000-0005-0000-0000-0000F0210000}"/>
    <cellStyle name="Normal 21 2 3 2 3 2" xfId="16588" xr:uid="{00000000-0005-0000-0000-0000F1210000}"/>
    <cellStyle name="Normal 21 2 3 2 4" xfId="11047" xr:uid="{00000000-0005-0000-0000-0000F2210000}"/>
    <cellStyle name="Normal 21 2 3 2 4 2" xfId="19734" xr:uid="{00000000-0005-0000-0000-0000F3210000}"/>
    <cellStyle name="Normal 21 2 3 2 5" xfId="12654" xr:uid="{00000000-0005-0000-0000-0000F4210000}"/>
    <cellStyle name="Normal 21 2 3 2 5 2" xfId="21334" xr:uid="{00000000-0005-0000-0000-0000F5210000}"/>
    <cellStyle name="Normal 21 2 3 2 6" xfId="14828" xr:uid="{00000000-0005-0000-0000-0000F6210000}"/>
    <cellStyle name="Normal 21 2 3 3" xfId="2589" xr:uid="{00000000-0005-0000-0000-0000F7210000}"/>
    <cellStyle name="Normal 21 2 3 3 2" xfId="9438" xr:uid="{00000000-0005-0000-0000-0000F8210000}"/>
    <cellStyle name="Normal 21 2 3 3 2 2" xfId="18188" xr:uid="{00000000-0005-0000-0000-0000F9210000}"/>
    <cellStyle name="Normal 21 2 3 3 3" xfId="7836" xr:uid="{00000000-0005-0000-0000-0000FA210000}"/>
    <cellStyle name="Normal 21 2 3 3 3 2" xfId="16589" xr:uid="{00000000-0005-0000-0000-0000FB210000}"/>
    <cellStyle name="Normal 21 2 3 3 4" xfId="11048" xr:uid="{00000000-0005-0000-0000-0000FC210000}"/>
    <cellStyle name="Normal 21 2 3 3 4 2" xfId="19735" xr:uid="{00000000-0005-0000-0000-0000FD210000}"/>
    <cellStyle name="Normal 21 2 3 3 5" xfId="12655" xr:uid="{00000000-0005-0000-0000-0000FE210000}"/>
    <cellStyle name="Normal 21 2 3 3 5 2" xfId="21335" xr:uid="{00000000-0005-0000-0000-0000FF210000}"/>
    <cellStyle name="Normal 21 2 3 3 6" xfId="14829" xr:uid="{00000000-0005-0000-0000-000000220000}"/>
    <cellStyle name="Normal 21 2 3 4" xfId="2590" xr:uid="{00000000-0005-0000-0000-000001220000}"/>
    <cellStyle name="Normal 21 2 3 4 2" xfId="9439" xr:uid="{00000000-0005-0000-0000-000002220000}"/>
    <cellStyle name="Normal 21 2 3 4 2 2" xfId="18189" xr:uid="{00000000-0005-0000-0000-000003220000}"/>
    <cellStyle name="Normal 21 2 3 4 3" xfId="7837" xr:uid="{00000000-0005-0000-0000-000004220000}"/>
    <cellStyle name="Normal 21 2 3 4 3 2" xfId="16590" xr:uid="{00000000-0005-0000-0000-000005220000}"/>
    <cellStyle name="Normal 21 2 3 4 4" xfId="11049" xr:uid="{00000000-0005-0000-0000-000006220000}"/>
    <cellStyle name="Normal 21 2 3 4 4 2" xfId="19736" xr:uid="{00000000-0005-0000-0000-000007220000}"/>
    <cellStyle name="Normal 21 2 3 4 5" xfId="12656" xr:uid="{00000000-0005-0000-0000-000008220000}"/>
    <cellStyle name="Normal 21 2 3 4 5 2" xfId="21336" xr:uid="{00000000-0005-0000-0000-000009220000}"/>
    <cellStyle name="Normal 21 2 3 4 6" xfId="14830" xr:uid="{00000000-0005-0000-0000-00000A220000}"/>
    <cellStyle name="Normal 21 2 3 5" xfId="9436" xr:uid="{00000000-0005-0000-0000-00000B220000}"/>
    <cellStyle name="Normal 21 2 3 5 2" xfId="18186" xr:uid="{00000000-0005-0000-0000-00000C220000}"/>
    <cellStyle name="Normal 21 2 3 6" xfId="7834" xr:uid="{00000000-0005-0000-0000-00000D220000}"/>
    <cellStyle name="Normal 21 2 3 6 2" xfId="16587" xr:uid="{00000000-0005-0000-0000-00000E220000}"/>
    <cellStyle name="Normal 21 2 3 7" xfId="11046" xr:uid="{00000000-0005-0000-0000-00000F220000}"/>
    <cellStyle name="Normal 21 2 3 7 2" xfId="19733" xr:uid="{00000000-0005-0000-0000-000010220000}"/>
    <cellStyle name="Normal 21 2 3 8" xfId="12653" xr:uid="{00000000-0005-0000-0000-000011220000}"/>
    <cellStyle name="Normal 21 2 3 8 2" xfId="21333" xr:uid="{00000000-0005-0000-0000-000012220000}"/>
    <cellStyle name="Normal 21 2 3 9" xfId="14827" xr:uid="{00000000-0005-0000-0000-000013220000}"/>
    <cellStyle name="Normal 21 2 4" xfId="2591" xr:uid="{00000000-0005-0000-0000-000014220000}"/>
    <cellStyle name="Normal 21 2 5" xfId="2592" xr:uid="{00000000-0005-0000-0000-000015220000}"/>
    <cellStyle name="Normal 21 2 6" xfId="2593" xr:uid="{00000000-0005-0000-0000-000016220000}"/>
    <cellStyle name="Normal 21 2 6 2" xfId="9440" xr:uid="{00000000-0005-0000-0000-000017220000}"/>
    <cellStyle name="Normal 21 2 6 2 2" xfId="18190" xr:uid="{00000000-0005-0000-0000-000018220000}"/>
    <cellStyle name="Normal 21 2 6 3" xfId="7838" xr:uid="{00000000-0005-0000-0000-000019220000}"/>
    <cellStyle name="Normal 21 2 6 3 2" xfId="16591" xr:uid="{00000000-0005-0000-0000-00001A220000}"/>
    <cellStyle name="Normal 21 2 6 4" xfId="11050" xr:uid="{00000000-0005-0000-0000-00001B220000}"/>
    <cellStyle name="Normal 21 2 6 4 2" xfId="19737" xr:uid="{00000000-0005-0000-0000-00001C220000}"/>
    <cellStyle name="Normal 21 2 6 5" xfId="12657" xr:uid="{00000000-0005-0000-0000-00001D220000}"/>
    <cellStyle name="Normal 21 2 6 5 2" xfId="21337" xr:uid="{00000000-0005-0000-0000-00001E220000}"/>
    <cellStyle name="Normal 21 2 6 6" xfId="14831" xr:uid="{00000000-0005-0000-0000-00001F220000}"/>
    <cellStyle name="Normal 21 2 7" xfId="2594" xr:uid="{00000000-0005-0000-0000-000020220000}"/>
    <cellStyle name="Normal 21 2 7 2" xfId="9441" xr:uid="{00000000-0005-0000-0000-000021220000}"/>
    <cellStyle name="Normal 21 2 7 2 2" xfId="18191" xr:uid="{00000000-0005-0000-0000-000022220000}"/>
    <cellStyle name="Normal 21 2 7 3" xfId="7839" xr:uid="{00000000-0005-0000-0000-000023220000}"/>
    <cellStyle name="Normal 21 2 7 3 2" xfId="16592" xr:uid="{00000000-0005-0000-0000-000024220000}"/>
    <cellStyle name="Normal 21 2 7 4" xfId="11051" xr:uid="{00000000-0005-0000-0000-000025220000}"/>
    <cellStyle name="Normal 21 2 7 4 2" xfId="19738" xr:uid="{00000000-0005-0000-0000-000026220000}"/>
    <cellStyle name="Normal 21 2 7 5" xfId="12658" xr:uid="{00000000-0005-0000-0000-000027220000}"/>
    <cellStyle name="Normal 21 2 7 5 2" xfId="21338" xr:uid="{00000000-0005-0000-0000-000028220000}"/>
    <cellStyle name="Normal 21 2 7 6" xfId="14832" xr:uid="{00000000-0005-0000-0000-000029220000}"/>
    <cellStyle name="Normal 21 2 8" xfId="2595" xr:uid="{00000000-0005-0000-0000-00002A220000}"/>
    <cellStyle name="Normal 21 2 8 2" xfId="9442" xr:uid="{00000000-0005-0000-0000-00002B220000}"/>
    <cellStyle name="Normal 21 2 8 2 2" xfId="18192" xr:uid="{00000000-0005-0000-0000-00002C220000}"/>
    <cellStyle name="Normal 21 2 8 3" xfId="7840" xr:uid="{00000000-0005-0000-0000-00002D220000}"/>
    <cellStyle name="Normal 21 2 8 3 2" xfId="16593" xr:uid="{00000000-0005-0000-0000-00002E220000}"/>
    <cellStyle name="Normal 21 2 8 4" xfId="11052" xr:uid="{00000000-0005-0000-0000-00002F220000}"/>
    <cellStyle name="Normal 21 2 8 4 2" xfId="19739" xr:uid="{00000000-0005-0000-0000-000030220000}"/>
    <cellStyle name="Normal 21 2 8 5" xfId="12659" xr:uid="{00000000-0005-0000-0000-000031220000}"/>
    <cellStyle name="Normal 21 2 8 5 2" xfId="21339" xr:uid="{00000000-0005-0000-0000-000032220000}"/>
    <cellStyle name="Normal 21 2 8 6" xfId="14833" xr:uid="{00000000-0005-0000-0000-000033220000}"/>
    <cellStyle name="Normal 21 2 9" xfId="9420" xr:uid="{00000000-0005-0000-0000-000034220000}"/>
    <cellStyle name="Normal 21 2 9 2" xfId="18170" xr:uid="{00000000-0005-0000-0000-000035220000}"/>
    <cellStyle name="Normal 21 3" xfId="2596" xr:uid="{00000000-0005-0000-0000-000036220000}"/>
    <cellStyle name="Normal 21 4" xfId="2566" xr:uid="{00000000-0005-0000-0000-000037220000}"/>
    <cellStyle name="Normal 21 5" xfId="10637" xr:uid="{00000000-0005-0000-0000-000038220000}"/>
    <cellStyle name="Normal 210" xfId="10529" xr:uid="{00000000-0005-0000-0000-000039220000}"/>
    <cellStyle name="Normal 210 2" xfId="19256" xr:uid="{00000000-0005-0000-0000-00003A220000}"/>
    <cellStyle name="Normal 211" xfId="10536" xr:uid="{00000000-0005-0000-0000-00003B220000}"/>
    <cellStyle name="Normal 211 2" xfId="19263" xr:uid="{00000000-0005-0000-0000-00003C220000}"/>
    <cellStyle name="Normal 212" xfId="10532" xr:uid="{00000000-0005-0000-0000-00003D220000}"/>
    <cellStyle name="Normal 212 2" xfId="19259" xr:uid="{00000000-0005-0000-0000-00003E220000}"/>
    <cellStyle name="Normal 213" xfId="10519" xr:uid="{00000000-0005-0000-0000-00003F220000}"/>
    <cellStyle name="Normal 213 2" xfId="19246" xr:uid="{00000000-0005-0000-0000-000040220000}"/>
    <cellStyle name="Normal 214" xfId="10537" xr:uid="{00000000-0005-0000-0000-000041220000}"/>
    <cellStyle name="Normal 214 2" xfId="19264" xr:uid="{00000000-0005-0000-0000-000042220000}"/>
    <cellStyle name="Normal 215" xfId="10594" xr:uid="{00000000-0005-0000-0000-000043220000}"/>
    <cellStyle name="Normal 215 2" xfId="19300" xr:uid="{00000000-0005-0000-0000-000044220000}"/>
    <cellStyle name="Normal 216" xfId="10534" xr:uid="{00000000-0005-0000-0000-000045220000}"/>
    <cellStyle name="Normal 216 2" xfId="19261" xr:uid="{00000000-0005-0000-0000-000046220000}"/>
    <cellStyle name="Normal 217" xfId="12246" xr:uid="{00000000-0005-0000-0000-000047220000}"/>
    <cellStyle name="Normal 217 2" xfId="20931" xr:uid="{00000000-0005-0000-0000-000048220000}"/>
    <cellStyle name="Normal 218" xfId="13855" xr:uid="{00000000-0005-0000-0000-000049220000}"/>
    <cellStyle name="Normal 219" xfId="13944" xr:uid="{00000000-0005-0000-0000-00004A220000}"/>
    <cellStyle name="Normal 22" xfId="157" xr:uid="{00000000-0005-0000-0000-00004B220000}"/>
    <cellStyle name="Normal 22 2" xfId="2598" xr:uid="{00000000-0005-0000-0000-00004C220000}"/>
    <cellStyle name="Normal 22 2 10" xfId="7841" xr:uid="{00000000-0005-0000-0000-00004D220000}"/>
    <cellStyle name="Normal 22 2 10 2" xfId="16594" xr:uid="{00000000-0005-0000-0000-00004E220000}"/>
    <cellStyle name="Normal 22 2 11" xfId="11053" xr:uid="{00000000-0005-0000-0000-00004F220000}"/>
    <cellStyle name="Normal 22 2 11 2" xfId="19740" xr:uid="{00000000-0005-0000-0000-000050220000}"/>
    <cellStyle name="Normal 22 2 12" xfId="12660" xr:uid="{00000000-0005-0000-0000-000051220000}"/>
    <cellStyle name="Normal 22 2 12 2" xfId="21340" xr:uid="{00000000-0005-0000-0000-000052220000}"/>
    <cellStyle name="Normal 22 2 13" xfId="14834" xr:uid="{00000000-0005-0000-0000-000053220000}"/>
    <cellStyle name="Normal 22 2 2" xfId="2599" xr:uid="{00000000-0005-0000-0000-000054220000}"/>
    <cellStyle name="Normal 22 2 2 2" xfId="2600" xr:uid="{00000000-0005-0000-0000-000055220000}"/>
    <cellStyle name="Normal 22 2 2 2 2" xfId="2601" xr:uid="{00000000-0005-0000-0000-000056220000}"/>
    <cellStyle name="Normal 22 2 2 2 2 2" xfId="2602" xr:uid="{00000000-0005-0000-0000-000057220000}"/>
    <cellStyle name="Normal 22 2 2 2 2 2 2" xfId="9445" xr:uid="{00000000-0005-0000-0000-000058220000}"/>
    <cellStyle name="Normal 22 2 2 2 2 2 2 2" xfId="18195" xr:uid="{00000000-0005-0000-0000-000059220000}"/>
    <cellStyle name="Normal 22 2 2 2 2 2 3" xfId="7843" xr:uid="{00000000-0005-0000-0000-00005A220000}"/>
    <cellStyle name="Normal 22 2 2 2 2 2 3 2" xfId="16596" xr:uid="{00000000-0005-0000-0000-00005B220000}"/>
    <cellStyle name="Normal 22 2 2 2 2 2 4" xfId="11055" xr:uid="{00000000-0005-0000-0000-00005C220000}"/>
    <cellStyle name="Normal 22 2 2 2 2 2 4 2" xfId="19742" xr:uid="{00000000-0005-0000-0000-00005D220000}"/>
    <cellStyle name="Normal 22 2 2 2 2 2 5" xfId="12662" xr:uid="{00000000-0005-0000-0000-00005E220000}"/>
    <cellStyle name="Normal 22 2 2 2 2 2 5 2" xfId="21342" xr:uid="{00000000-0005-0000-0000-00005F220000}"/>
    <cellStyle name="Normal 22 2 2 2 2 2 6" xfId="14836" xr:uid="{00000000-0005-0000-0000-000060220000}"/>
    <cellStyle name="Normal 22 2 2 2 2 3" xfId="2603" xr:uid="{00000000-0005-0000-0000-000061220000}"/>
    <cellStyle name="Normal 22 2 2 2 2 3 2" xfId="9446" xr:uid="{00000000-0005-0000-0000-000062220000}"/>
    <cellStyle name="Normal 22 2 2 2 2 3 2 2" xfId="18196" xr:uid="{00000000-0005-0000-0000-000063220000}"/>
    <cellStyle name="Normal 22 2 2 2 2 3 3" xfId="7844" xr:uid="{00000000-0005-0000-0000-000064220000}"/>
    <cellStyle name="Normal 22 2 2 2 2 3 3 2" xfId="16597" xr:uid="{00000000-0005-0000-0000-000065220000}"/>
    <cellStyle name="Normal 22 2 2 2 2 3 4" xfId="11056" xr:uid="{00000000-0005-0000-0000-000066220000}"/>
    <cellStyle name="Normal 22 2 2 2 2 3 4 2" xfId="19743" xr:uid="{00000000-0005-0000-0000-000067220000}"/>
    <cellStyle name="Normal 22 2 2 2 2 3 5" xfId="12663" xr:uid="{00000000-0005-0000-0000-000068220000}"/>
    <cellStyle name="Normal 22 2 2 2 2 3 5 2" xfId="21343" xr:uid="{00000000-0005-0000-0000-000069220000}"/>
    <cellStyle name="Normal 22 2 2 2 2 3 6" xfId="14837" xr:uid="{00000000-0005-0000-0000-00006A220000}"/>
    <cellStyle name="Normal 22 2 2 2 2 4" xfId="2604" xr:uid="{00000000-0005-0000-0000-00006B220000}"/>
    <cellStyle name="Normal 22 2 2 2 2 4 2" xfId="9447" xr:uid="{00000000-0005-0000-0000-00006C220000}"/>
    <cellStyle name="Normal 22 2 2 2 2 4 2 2" xfId="18197" xr:uid="{00000000-0005-0000-0000-00006D220000}"/>
    <cellStyle name="Normal 22 2 2 2 2 4 3" xfId="7845" xr:uid="{00000000-0005-0000-0000-00006E220000}"/>
    <cellStyle name="Normal 22 2 2 2 2 4 3 2" xfId="16598" xr:uid="{00000000-0005-0000-0000-00006F220000}"/>
    <cellStyle name="Normal 22 2 2 2 2 4 4" xfId="11057" xr:uid="{00000000-0005-0000-0000-000070220000}"/>
    <cellStyle name="Normal 22 2 2 2 2 4 4 2" xfId="19744" xr:uid="{00000000-0005-0000-0000-000071220000}"/>
    <cellStyle name="Normal 22 2 2 2 2 4 5" xfId="12664" xr:uid="{00000000-0005-0000-0000-000072220000}"/>
    <cellStyle name="Normal 22 2 2 2 2 4 5 2" xfId="21344" xr:uid="{00000000-0005-0000-0000-000073220000}"/>
    <cellStyle name="Normal 22 2 2 2 2 4 6" xfId="14838" xr:uid="{00000000-0005-0000-0000-000074220000}"/>
    <cellStyle name="Normal 22 2 2 2 3" xfId="2605" xr:uid="{00000000-0005-0000-0000-000075220000}"/>
    <cellStyle name="Normal 22 2 2 2 4" xfId="2606" xr:uid="{00000000-0005-0000-0000-000076220000}"/>
    <cellStyle name="Normal 22 2 2 2 5" xfId="9444" xr:uid="{00000000-0005-0000-0000-000077220000}"/>
    <cellStyle name="Normal 22 2 2 2 5 2" xfId="18194" xr:uid="{00000000-0005-0000-0000-000078220000}"/>
    <cellStyle name="Normal 22 2 2 2 6" xfId="7842" xr:uid="{00000000-0005-0000-0000-000079220000}"/>
    <cellStyle name="Normal 22 2 2 2 6 2" xfId="16595" xr:uid="{00000000-0005-0000-0000-00007A220000}"/>
    <cellStyle name="Normal 22 2 2 2 7" xfId="11054" xr:uid="{00000000-0005-0000-0000-00007B220000}"/>
    <cellStyle name="Normal 22 2 2 2 7 2" xfId="19741" xr:uid="{00000000-0005-0000-0000-00007C220000}"/>
    <cellStyle name="Normal 22 2 2 2 8" xfId="12661" xr:uid="{00000000-0005-0000-0000-00007D220000}"/>
    <cellStyle name="Normal 22 2 2 2 8 2" xfId="21341" xr:uid="{00000000-0005-0000-0000-00007E220000}"/>
    <cellStyle name="Normal 22 2 2 2 9" xfId="14835" xr:uid="{00000000-0005-0000-0000-00007F220000}"/>
    <cellStyle name="Normal 22 2 2 3" xfId="2607" xr:uid="{00000000-0005-0000-0000-000080220000}"/>
    <cellStyle name="Normal 22 2 2 3 2" xfId="2608" xr:uid="{00000000-0005-0000-0000-000081220000}"/>
    <cellStyle name="Normal 22 2 2 3 2 2" xfId="9449" xr:uid="{00000000-0005-0000-0000-000082220000}"/>
    <cellStyle name="Normal 22 2 2 3 2 2 2" xfId="18199" xr:uid="{00000000-0005-0000-0000-000083220000}"/>
    <cellStyle name="Normal 22 2 2 3 2 3" xfId="7847" xr:uid="{00000000-0005-0000-0000-000084220000}"/>
    <cellStyle name="Normal 22 2 2 3 2 3 2" xfId="16600" xr:uid="{00000000-0005-0000-0000-000085220000}"/>
    <cellStyle name="Normal 22 2 2 3 2 4" xfId="11059" xr:uid="{00000000-0005-0000-0000-000086220000}"/>
    <cellStyle name="Normal 22 2 2 3 2 4 2" xfId="19746" xr:uid="{00000000-0005-0000-0000-000087220000}"/>
    <cellStyle name="Normal 22 2 2 3 2 5" xfId="12666" xr:uid="{00000000-0005-0000-0000-000088220000}"/>
    <cellStyle name="Normal 22 2 2 3 2 5 2" xfId="21346" xr:uid="{00000000-0005-0000-0000-000089220000}"/>
    <cellStyle name="Normal 22 2 2 3 2 6" xfId="14840" xr:uid="{00000000-0005-0000-0000-00008A220000}"/>
    <cellStyle name="Normal 22 2 2 3 3" xfId="2609" xr:uid="{00000000-0005-0000-0000-00008B220000}"/>
    <cellStyle name="Normal 22 2 2 3 3 2" xfId="9450" xr:uid="{00000000-0005-0000-0000-00008C220000}"/>
    <cellStyle name="Normal 22 2 2 3 3 2 2" xfId="18200" xr:uid="{00000000-0005-0000-0000-00008D220000}"/>
    <cellStyle name="Normal 22 2 2 3 3 3" xfId="7848" xr:uid="{00000000-0005-0000-0000-00008E220000}"/>
    <cellStyle name="Normal 22 2 2 3 3 3 2" xfId="16601" xr:uid="{00000000-0005-0000-0000-00008F220000}"/>
    <cellStyle name="Normal 22 2 2 3 3 4" xfId="11060" xr:uid="{00000000-0005-0000-0000-000090220000}"/>
    <cellStyle name="Normal 22 2 2 3 3 4 2" xfId="19747" xr:uid="{00000000-0005-0000-0000-000091220000}"/>
    <cellStyle name="Normal 22 2 2 3 3 5" xfId="12667" xr:uid="{00000000-0005-0000-0000-000092220000}"/>
    <cellStyle name="Normal 22 2 2 3 3 5 2" xfId="21347" xr:uid="{00000000-0005-0000-0000-000093220000}"/>
    <cellStyle name="Normal 22 2 2 3 3 6" xfId="14841" xr:uid="{00000000-0005-0000-0000-000094220000}"/>
    <cellStyle name="Normal 22 2 2 3 4" xfId="2610" xr:uid="{00000000-0005-0000-0000-000095220000}"/>
    <cellStyle name="Normal 22 2 2 3 4 2" xfId="9451" xr:uid="{00000000-0005-0000-0000-000096220000}"/>
    <cellStyle name="Normal 22 2 2 3 4 2 2" xfId="18201" xr:uid="{00000000-0005-0000-0000-000097220000}"/>
    <cellStyle name="Normal 22 2 2 3 4 3" xfId="7849" xr:uid="{00000000-0005-0000-0000-000098220000}"/>
    <cellStyle name="Normal 22 2 2 3 4 3 2" xfId="16602" xr:uid="{00000000-0005-0000-0000-000099220000}"/>
    <cellStyle name="Normal 22 2 2 3 4 4" xfId="11061" xr:uid="{00000000-0005-0000-0000-00009A220000}"/>
    <cellStyle name="Normal 22 2 2 3 4 4 2" xfId="19748" xr:uid="{00000000-0005-0000-0000-00009B220000}"/>
    <cellStyle name="Normal 22 2 2 3 4 5" xfId="12668" xr:uid="{00000000-0005-0000-0000-00009C220000}"/>
    <cellStyle name="Normal 22 2 2 3 4 5 2" xfId="21348" xr:uid="{00000000-0005-0000-0000-00009D220000}"/>
    <cellStyle name="Normal 22 2 2 3 4 6" xfId="14842" xr:uid="{00000000-0005-0000-0000-00009E220000}"/>
    <cellStyle name="Normal 22 2 2 3 5" xfId="9448" xr:uid="{00000000-0005-0000-0000-00009F220000}"/>
    <cellStyle name="Normal 22 2 2 3 5 2" xfId="18198" xr:uid="{00000000-0005-0000-0000-0000A0220000}"/>
    <cellStyle name="Normal 22 2 2 3 6" xfId="7846" xr:uid="{00000000-0005-0000-0000-0000A1220000}"/>
    <cellStyle name="Normal 22 2 2 3 6 2" xfId="16599" xr:uid="{00000000-0005-0000-0000-0000A2220000}"/>
    <cellStyle name="Normal 22 2 2 3 7" xfId="11058" xr:uid="{00000000-0005-0000-0000-0000A3220000}"/>
    <cellStyle name="Normal 22 2 2 3 7 2" xfId="19745" xr:uid="{00000000-0005-0000-0000-0000A4220000}"/>
    <cellStyle name="Normal 22 2 2 3 8" xfId="12665" xr:uid="{00000000-0005-0000-0000-0000A5220000}"/>
    <cellStyle name="Normal 22 2 2 3 8 2" xfId="21345" xr:uid="{00000000-0005-0000-0000-0000A6220000}"/>
    <cellStyle name="Normal 22 2 2 3 9" xfId="14839" xr:uid="{00000000-0005-0000-0000-0000A7220000}"/>
    <cellStyle name="Normal 22 2 2 4" xfId="2611" xr:uid="{00000000-0005-0000-0000-0000A8220000}"/>
    <cellStyle name="Normal 22 2 2 4 2" xfId="2612" xr:uid="{00000000-0005-0000-0000-0000A9220000}"/>
    <cellStyle name="Normal 22 2 2 4 2 2" xfId="9453" xr:uid="{00000000-0005-0000-0000-0000AA220000}"/>
    <cellStyle name="Normal 22 2 2 4 2 2 2" xfId="18203" xr:uid="{00000000-0005-0000-0000-0000AB220000}"/>
    <cellStyle name="Normal 22 2 2 4 2 3" xfId="7851" xr:uid="{00000000-0005-0000-0000-0000AC220000}"/>
    <cellStyle name="Normal 22 2 2 4 2 3 2" xfId="16604" xr:uid="{00000000-0005-0000-0000-0000AD220000}"/>
    <cellStyle name="Normal 22 2 2 4 2 4" xfId="11063" xr:uid="{00000000-0005-0000-0000-0000AE220000}"/>
    <cellStyle name="Normal 22 2 2 4 2 4 2" xfId="19750" xr:uid="{00000000-0005-0000-0000-0000AF220000}"/>
    <cellStyle name="Normal 22 2 2 4 2 5" xfId="12670" xr:uid="{00000000-0005-0000-0000-0000B0220000}"/>
    <cellStyle name="Normal 22 2 2 4 2 5 2" xfId="21350" xr:uid="{00000000-0005-0000-0000-0000B1220000}"/>
    <cellStyle name="Normal 22 2 2 4 2 6" xfId="14844" xr:uid="{00000000-0005-0000-0000-0000B2220000}"/>
    <cellStyle name="Normal 22 2 2 4 3" xfId="2613" xr:uid="{00000000-0005-0000-0000-0000B3220000}"/>
    <cellStyle name="Normal 22 2 2 4 3 2" xfId="9454" xr:uid="{00000000-0005-0000-0000-0000B4220000}"/>
    <cellStyle name="Normal 22 2 2 4 3 2 2" xfId="18204" xr:uid="{00000000-0005-0000-0000-0000B5220000}"/>
    <cellStyle name="Normal 22 2 2 4 3 3" xfId="7852" xr:uid="{00000000-0005-0000-0000-0000B6220000}"/>
    <cellStyle name="Normal 22 2 2 4 3 3 2" xfId="16605" xr:uid="{00000000-0005-0000-0000-0000B7220000}"/>
    <cellStyle name="Normal 22 2 2 4 3 4" xfId="11064" xr:uid="{00000000-0005-0000-0000-0000B8220000}"/>
    <cellStyle name="Normal 22 2 2 4 3 4 2" xfId="19751" xr:uid="{00000000-0005-0000-0000-0000B9220000}"/>
    <cellStyle name="Normal 22 2 2 4 3 5" xfId="12671" xr:uid="{00000000-0005-0000-0000-0000BA220000}"/>
    <cellStyle name="Normal 22 2 2 4 3 5 2" xfId="21351" xr:uid="{00000000-0005-0000-0000-0000BB220000}"/>
    <cellStyle name="Normal 22 2 2 4 3 6" xfId="14845" xr:uid="{00000000-0005-0000-0000-0000BC220000}"/>
    <cellStyle name="Normal 22 2 2 4 4" xfId="2614" xr:uid="{00000000-0005-0000-0000-0000BD220000}"/>
    <cellStyle name="Normal 22 2 2 4 4 2" xfId="9455" xr:uid="{00000000-0005-0000-0000-0000BE220000}"/>
    <cellStyle name="Normal 22 2 2 4 4 2 2" xfId="18205" xr:uid="{00000000-0005-0000-0000-0000BF220000}"/>
    <cellStyle name="Normal 22 2 2 4 4 3" xfId="7853" xr:uid="{00000000-0005-0000-0000-0000C0220000}"/>
    <cellStyle name="Normal 22 2 2 4 4 3 2" xfId="16606" xr:uid="{00000000-0005-0000-0000-0000C1220000}"/>
    <cellStyle name="Normal 22 2 2 4 4 4" xfId="11065" xr:uid="{00000000-0005-0000-0000-0000C2220000}"/>
    <cellStyle name="Normal 22 2 2 4 4 4 2" xfId="19752" xr:uid="{00000000-0005-0000-0000-0000C3220000}"/>
    <cellStyle name="Normal 22 2 2 4 4 5" xfId="12672" xr:uid="{00000000-0005-0000-0000-0000C4220000}"/>
    <cellStyle name="Normal 22 2 2 4 4 5 2" xfId="21352" xr:uid="{00000000-0005-0000-0000-0000C5220000}"/>
    <cellStyle name="Normal 22 2 2 4 4 6" xfId="14846" xr:uid="{00000000-0005-0000-0000-0000C6220000}"/>
    <cellStyle name="Normal 22 2 2 4 5" xfId="9452" xr:uid="{00000000-0005-0000-0000-0000C7220000}"/>
    <cellStyle name="Normal 22 2 2 4 5 2" xfId="18202" xr:uid="{00000000-0005-0000-0000-0000C8220000}"/>
    <cellStyle name="Normal 22 2 2 4 6" xfId="7850" xr:uid="{00000000-0005-0000-0000-0000C9220000}"/>
    <cellStyle name="Normal 22 2 2 4 6 2" xfId="16603" xr:uid="{00000000-0005-0000-0000-0000CA220000}"/>
    <cellStyle name="Normal 22 2 2 4 7" xfId="11062" xr:uid="{00000000-0005-0000-0000-0000CB220000}"/>
    <cellStyle name="Normal 22 2 2 4 7 2" xfId="19749" xr:uid="{00000000-0005-0000-0000-0000CC220000}"/>
    <cellStyle name="Normal 22 2 2 4 8" xfId="12669" xr:uid="{00000000-0005-0000-0000-0000CD220000}"/>
    <cellStyle name="Normal 22 2 2 4 8 2" xfId="21349" xr:uid="{00000000-0005-0000-0000-0000CE220000}"/>
    <cellStyle name="Normal 22 2 2 4 9" xfId="14843" xr:uid="{00000000-0005-0000-0000-0000CF220000}"/>
    <cellStyle name="Normal 22 2 2 5" xfId="2615" xr:uid="{00000000-0005-0000-0000-0000D0220000}"/>
    <cellStyle name="Normal 22 2 2 5 2" xfId="9456" xr:uid="{00000000-0005-0000-0000-0000D1220000}"/>
    <cellStyle name="Normal 22 2 2 5 2 2" xfId="18206" xr:uid="{00000000-0005-0000-0000-0000D2220000}"/>
    <cellStyle name="Normal 22 2 2 5 3" xfId="7854" xr:uid="{00000000-0005-0000-0000-0000D3220000}"/>
    <cellStyle name="Normal 22 2 2 5 3 2" xfId="16607" xr:uid="{00000000-0005-0000-0000-0000D4220000}"/>
    <cellStyle name="Normal 22 2 2 5 4" xfId="11066" xr:uid="{00000000-0005-0000-0000-0000D5220000}"/>
    <cellStyle name="Normal 22 2 2 5 4 2" xfId="19753" xr:uid="{00000000-0005-0000-0000-0000D6220000}"/>
    <cellStyle name="Normal 22 2 2 5 5" xfId="12673" xr:uid="{00000000-0005-0000-0000-0000D7220000}"/>
    <cellStyle name="Normal 22 2 2 5 5 2" xfId="21353" xr:uid="{00000000-0005-0000-0000-0000D8220000}"/>
    <cellStyle name="Normal 22 2 2 5 6" xfId="14847" xr:uid="{00000000-0005-0000-0000-0000D9220000}"/>
    <cellStyle name="Normal 22 2 2 6" xfId="2616" xr:uid="{00000000-0005-0000-0000-0000DA220000}"/>
    <cellStyle name="Normal 22 2 2 6 2" xfId="9457" xr:uid="{00000000-0005-0000-0000-0000DB220000}"/>
    <cellStyle name="Normal 22 2 2 6 2 2" xfId="18207" xr:uid="{00000000-0005-0000-0000-0000DC220000}"/>
    <cellStyle name="Normal 22 2 2 6 3" xfId="7855" xr:uid="{00000000-0005-0000-0000-0000DD220000}"/>
    <cellStyle name="Normal 22 2 2 6 3 2" xfId="16608" xr:uid="{00000000-0005-0000-0000-0000DE220000}"/>
    <cellStyle name="Normal 22 2 2 6 4" xfId="11067" xr:uid="{00000000-0005-0000-0000-0000DF220000}"/>
    <cellStyle name="Normal 22 2 2 6 4 2" xfId="19754" xr:uid="{00000000-0005-0000-0000-0000E0220000}"/>
    <cellStyle name="Normal 22 2 2 6 5" xfId="12674" xr:uid="{00000000-0005-0000-0000-0000E1220000}"/>
    <cellStyle name="Normal 22 2 2 6 5 2" xfId="21354" xr:uid="{00000000-0005-0000-0000-0000E2220000}"/>
    <cellStyle name="Normal 22 2 2 6 6" xfId="14848" xr:uid="{00000000-0005-0000-0000-0000E3220000}"/>
    <cellStyle name="Normal 22 2 2 7" xfId="2617" xr:uid="{00000000-0005-0000-0000-0000E4220000}"/>
    <cellStyle name="Normal 22 2 2 7 2" xfId="9458" xr:uid="{00000000-0005-0000-0000-0000E5220000}"/>
    <cellStyle name="Normal 22 2 2 7 2 2" xfId="18208" xr:uid="{00000000-0005-0000-0000-0000E6220000}"/>
    <cellStyle name="Normal 22 2 2 7 3" xfId="7856" xr:uid="{00000000-0005-0000-0000-0000E7220000}"/>
    <cellStyle name="Normal 22 2 2 7 3 2" xfId="16609" xr:uid="{00000000-0005-0000-0000-0000E8220000}"/>
    <cellStyle name="Normal 22 2 2 7 4" xfId="11068" xr:uid="{00000000-0005-0000-0000-0000E9220000}"/>
    <cellStyle name="Normal 22 2 2 7 4 2" xfId="19755" xr:uid="{00000000-0005-0000-0000-0000EA220000}"/>
    <cellStyle name="Normal 22 2 2 7 5" xfId="12675" xr:uid="{00000000-0005-0000-0000-0000EB220000}"/>
    <cellStyle name="Normal 22 2 2 7 5 2" xfId="21355" xr:uid="{00000000-0005-0000-0000-0000EC220000}"/>
    <cellStyle name="Normal 22 2 2 7 6" xfId="14849" xr:uid="{00000000-0005-0000-0000-0000ED220000}"/>
    <cellStyle name="Normal 22 2 3" xfId="2618" xr:uid="{00000000-0005-0000-0000-0000EE220000}"/>
    <cellStyle name="Normal 22 2 3 2" xfId="2619" xr:uid="{00000000-0005-0000-0000-0000EF220000}"/>
    <cellStyle name="Normal 22 2 3 2 2" xfId="9460" xr:uid="{00000000-0005-0000-0000-0000F0220000}"/>
    <cellStyle name="Normal 22 2 3 2 2 2" xfId="18210" xr:uid="{00000000-0005-0000-0000-0000F1220000}"/>
    <cellStyle name="Normal 22 2 3 2 3" xfId="7858" xr:uid="{00000000-0005-0000-0000-0000F2220000}"/>
    <cellStyle name="Normal 22 2 3 2 3 2" xfId="16611" xr:uid="{00000000-0005-0000-0000-0000F3220000}"/>
    <cellStyle name="Normal 22 2 3 2 4" xfId="11070" xr:uid="{00000000-0005-0000-0000-0000F4220000}"/>
    <cellStyle name="Normal 22 2 3 2 4 2" xfId="19757" xr:uid="{00000000-0005-0000-0000-0000F5220000}"/>
    <cellStyle name="Normal 22 2 3 2 5" xfId="12677" xr:uid="{00000000-0005-0000-0000-0000F6220000}"/>
    <cellStyle name="Normal 22 2 3 2 5 2" xfId="21357" xr:uid="{00000000-0005-0000-0000-0000F7220000}"/>
    <cellStyle name="Normal 22 2 3 2 6" xfId="14851" xr:uid="{00000000-0005-0000-0000-0000F8220000}"/>
    <cellStyle name="Normal 22 2 3 3" xfId="2620" xr:uid="{00000000-0005-0000-0000-0000F9220000}"/>
    <cellStyle name="Normal 22 2 3 3 2" xfId="9461" xr:uid="{00000000-0005-0000-0000-0000FA220000}"/>
    <cellStyle name="Normal 22 2 3 3 2 2" xfId="18211" xr:uid="{00000000-0005-0000-0000-0000FB220000}"/>
    <cellStyle name="Normal 22 2 3 3 3" xfId="7859" xr:uid="{00000000-0005-0000-0000-0000FC220000}"/>
    <cellStyle name="Normal 22 2 3 3 3 2" xfId="16612" xr:uid="{00000000-0005-0000-0000-0000FD220000}"/>
    <cellStyle name="Normal 22 2 3 3 4" xfId="11071" xr:uid="{00000000-0005-0000-0000-0000FE220000}"/>
    <cellStyle name="Normal 22 2 3 3 4 2" xfId="19758" xr:uid="{00000000-0005-0000-0000-0000FF220000}"/>
    <cellStyle name="Normal 22 2 3 3 5" xfId="12678" xr:uid="{00000000-0005-0000-0000-000000230000}"/>
    <cellStyle name="Normal 22 2 3 3 5 2" xfId="21358" xr:uid="{00000000-0005-0000-0000-000001230000}"/>
    <cellStyle name="Normal 22 2 3 3 6" xfId="14852" xr:uid="{00000000-0005-0000-0000-000002230000}"/>
    <cellStyle name="Normal 22 2 3 4" xfId="2621" xr:uid="{00000000-0005-0000-0000-000003230000}"/>
    <cellStyle name="Normal 22 2 3 4 2" xfId="9462" xr:uid="{00000000-0005-0000-0000-000004230000}"/>
    <cellStyle name="Normal 22 2 3 4 2 2" xfId="18212" xr:uid="{00000000-0005-0000-0000-000005230000}"/>
    <cellStyle name="Normal 22 2 3 4 3" xfId="7860" xr:uid="{00000000-0005-0000-0000-000006230000}"/>
    <cellStyle name="Normal 22 2 3 4 3 2" xfId="16613" xr:uid="{00000000-0005-0000-0000-000007230000}"/>
    <cellStyle name="Normal 22 2 3 4 4" xfId="11072" xr:uid="{00000000-0005-0000-0000-000008230000}"/>
    <cellStyle name="Normal 22 2 3 4 4 2" xfId="19759" xr:uid="{00000000-0005-0000-0000-000009230000}"/>
    <cellStyle name="Normal 22 2 3 4 5" xfId="12679" xr:uid="{00000000-0005-0000-0000-00000A230000}"/>
    <cellStyle name="Normal 22 2 3 4 5 2" xfId="21359" xr:uid="{00000000-0005-0000-0000-00000B230000}"/>
    <cellStyle name="Normal 22 2 3 4 6" xfId="14853" xr:uid="{00000000-0005-0000-0000-00000C230000}"/>
    <cellStyle name="Normal 22 2 3 5" xfId="9459" xr:uid="{00000000-0005-0000-0000-00000D230000}"/>
    <cellStyle name="Normal 22 2 3 5 2" xfId="18209" xr:uid="{00000000-0005-0000-0000-00000E230000}"/>
    <cellStyle name="Normal 22 2 3 6" xfId="7857" xr:uid="{00000000-0005-0000-0000-00000F230000}"/>
    <cellStyle name="Normal 22 2 3 6 2" xfId="16610" xr:uid="{00000000-0005-0000-0000-000010230000}"/>
    <cellStyle name="Normal 22 2 3 7" xfId="11069" xr:uid="{00000000-0005-0000-0000-000011230000}"/>
    <cellStyle name="Normal 22 2 3 7 2" xfId="19756" xr:uid="{00000000-0005-0000-0000-000012230000}"/>
    <cellStyle name="Normal 22 2 3 8" xfId="12676" xr:uid="{00000000-0005-0000-0000-000013230000}"/>
    <cellStyle name="Normal 22 2 3 8 2" xfId="21356" xr:uid="{00000000-0005-0000-0000-000014230000}"/>
    <cellStyle name="Normal 22 2 3 9" xfId="14850" xr:uid="{00000000-0005-0000-0000-000015230000}"/>
    <cellStyle name="Normal 22 2 4" xfId="2622" xr:uid="{00000000-0005-0000-0000-000016230000}"/>
    <cellStyle name="Normal 22 2 5" xfId="2623" xr:uid="{00000000-0005-0000-0000-000017230000}"/>
    <cellStyle name="Normal 22 2 6" xfId="2624" xr:uid="{00000000-0005-0000-0000-000018230000}"/>
    <cellStyle name="Normal 22 2 6 2" xfId="9463" xr:uid="{00000000-0005-0000-0000-000019230000}"/>
    <cellStyle name="Normal 22 2 6 2 2" xfId="18213" xr:uid="{00000000-0005-0000-0000-00001A230000}"/>
    <cellStyle name="Normal 22 2 6 3" xfId="7861" xr:uid="{00000000-0005-0000-0000-00001B230000}"/>
    <cellStyle name="Normal 22 2 6 3 2" xfId="16614" xr:uid="{00000000-0005-0000-0000-00001C230000}"/>
    <cellStyle name="Normal 22 2 6 4" xfId="11073" xr:uid="{00000000-0005-0000-0000-00001D230000}"/>
    <cellStyle name="Normal 22 2 6 4 2" xfId="19760" xr:uid="{00000000-0005-0000-0000-00001E230000}"/>
    <cellStyle name="Normal 22 2 6 5" xfId="12680" xr:uid="{00000000-0005-0000-0000-00001F230000}"/>
    <cellStyle name="Normal 22 2 6 5 2" xfId="21360" xr:uid="{00000000-0005-0000-0000-000020230000}"/>
    <cellStyle name="Normal 22 2 6 6" xfId="14854" xr:uid="{00000000-0005-0000-0000-000021230000}"/>
    <cellStyle name="Normal 22 2 7" xfId="2625" xr:uid="{00000000-0005-0000-0000-000022230000}"/>
    <cellStyle name="Normal 22 2 7 2" xfId="9464" xr:uid="{00000000-0005-0000-0000-000023230000}"/>
    <cellStyle name="Normal 22 2 7 2 2" xfId="18214" xr:uid="{00000000-0005-0000-0000-000024230000}"/>
    <cellStyle name="Normal 22 2 7 3" xfId="7862" xr:uid="{00000000-0005-0000-0000-000025230000}"/>
    <cellStyle name="Normal 22 2 7 3 2" xfId="16615" xr:uid="{00000000-0005-0000-0000-000026230000}"/>
    <cellStyle name="Normal 22 2 7 4" xfId="11074" xr:uid="{00000000-0005-0000-0000-000027230000}"/>
    <cellStyle name="Normal 22 2 7 4 2" xfId="19761" xr:uid="{00000000-0005-0000-0000-000028230000}"/>
    <cellStyle name="Normal 22 2 7 5" xfId="12681" xr:uid="{00000000-0005-0000-0000-000029230000}"/>
    <cellStyle name="Normal 22 2 7 5 2" xfId="21361" xr:uid="{00000000-0005-0000-0000-00002A230000}"/>
    <cellStyle name="Normal 22 2 7 6" xfId="14855" xr:uid="{00000000-0005-0000-0000-00002B230000}"/>
    <cellStyle name="Normal 22 2 8" xfId="2626" xr:uid="{00000000-0005-0000-0000-00002C230000}"/>
    <cellStyle name="Normal 22 2 8 2" xfId="9465" xr:uid="{00000000-0005-0000-0000-00002D230000}"/>
    <cellStyle name="Normal 22 2 8 2 2" xfId="18215" xr:uid="{00000000-0005-0000-0000-00002E230000}"/>
    <cellStyle name="Normal 22 2 8 3" xfId="7863" xr:uid="{00000000-0005-0000-0000-00002F230000}"/>
    <cellStyle name="Normal 22 2 8 3 2" xfId="16616" xr:uid="{00000000-0005-0000-0000-000030230000}"/>
    <cellStyle name="Normal 22 2 8 4" xfId="11075" xr:uid="{00000000-0005-0000-0000-000031230000}"/>
    <cellStyle name="Normal 22 2 8 4 2" xfId="19762" xr:uid="{00000000-0005-0000-0000-000032230000}"/>
    <cellStyle name="Normal 22 2 8 5" xfId="12682" xr:uid="{00000000-0005-0000-0000-000033230000}"/>
    <cellStyle name="Normal 22 2 8 5 2" xfId="21362" xr:uid="{00000000-0005-0000-0000-000034230000}"/>
    <cellStyle name="Normal 22 2 8 6" xfId="14856" xr:uid="{00000000-0005-0000-0000-000035230000}"/>
    <cellStyle name="Normal 22 2 9" xfId="9443" xr:uid="{00000000-0005-0000-0000-000036230000}"/>
    <cellStyle name="Normal 22 2 9 2" xfId="18193" xr:uid="{00000000-0005-0000-0000-000037230000}"/>
    <cellStyle name="Normal 22 3" xfId="2627" xr:uid="{00000000-0005-0000-0000-000038230000}"/>
    <cellStyle name="Normal 22 4" xfId="2597" xr:uid="{00000000-0005-0000-0000-000039230000}"/>
    <cellStyle name="Normal 22 5" xfId="10639" xr:uid="{00000000-0005-0000-0000-00003A230000}"/>
    <cellStyle name="Normal 220" xfId="14638" xr:uid="{00000000-0005-0000-0000-00003B230000}"/>
    <cellStyle name="Normal 221" xfId="16114" xr:uid="{00000000-0005-0000-0000-00003C230000}"/>
    <cellStyle name="Normal 222" xfId="22550" xr:uid="{00000000-0005-0000-0000-00003D230000}"/>
    <cellStyle name="Normal 223" xfId="22535" xr:uid="{00000000-0005-0000-0000-00003E230000}"/>
    <cellStyle name="Normal 224" xfId="22590" xr:uid="{00000000-0005-0000-0000-00003F230000}"/>
    <cellStyle name="Normal 23" xfId="156" xr:uid="{00000000-0005-0000-0000-000040230000}"/>
    <cellStyle name="Normal 23 2" xfId="2629" xr:uid="{00000000-0005-0000-0000-000041230000}"/>
    <cellStyle name="Normal 23 2 10" xfId="7864" xr:uid="{00000000-0005-0000-0000-000042230000}"/>
    <cellStyle name="Normal 23 2 10 2" xfId="16617" xr:uid="{00000000-0005-0000-0000-000043230000}"/>
    <cellStyle name="Normal 23 2 11" xfId="11076" xr:uid="{00000000-0005-0000-0000-000044230000}"/>
    <cellStyle name="Normal 23 2 11 2" xfId="19763" xr:uid="{00000000-0005-0000-0000-000045230000}"/>
    <cellStyle name="Normal 23 2 12" xfId="12683" xr:uid="{00000000-0005-0000-0000-000046230000}"/>
    <cellStyle name="Normal 23 2 12 2" xfId="21363" xr:uid="{00000000-0005-0000-0000-000047230000}"/>
    <cellStyle name="Normal 23 2 13" xfId="14857" xr:uid="{00000000-0005-0000-0000-000048230000}"/>
    <cellStyle name="Normal 23 2 2" xfId="2630" xr:uid="{00000000-0005-0000-0000-000049230000}"/>
    <cellStyle name="Normal 23 2 2 2" xfId="2631" xr:uid="{00000000-0005-0000-0000-00004A230000}"/>
    <cellStyle name="Normal 23 2 2 2 2" xfId="2632" xr:uid="{00000000-0005-0000-0000-00004B230000}"/>
    <cellStyle name="Normal 23 2 2 2 2 2" xfId="2633" xr:uid="{00000000-0005-0000-0000-00004C230000}"/>
    <cellStyle name="Normal 23 2 2 2 2 2 2" xfId="9468" xr:uid="{00000000-0005-0000-0000-00004D230000}"/>
    <cellStyle name="Normal 23 2 2 2 2 2 2 2" xfId="18218" xr:uid="{00000000-0005-0000-0000-00004E230000}"/>
    <cellStyle name="Normal 23 2 2 2 2 2 3" xfId="7866" xr:uid="{00000000-0005-0000-0000-00004F230000}"/>
    <cellStyle name="Normal 23 2 2 2 2 2 3 2" xfId="16619" xr:uid="{00000000-0005-0000-0000-000050230000}"/>
    <cellStyle name="Normal 23 2 2 2 2 2 4" xfId="11078" xr:uid="{00000000-0005-0000-0000-000051230000}"/>
    <cellStyle name="Normal 23 2 2 2 2 2 4 2" xfId="19765" xr:uid="{00000000-0005-0000-0000-000052230000}"/>
    <cellStyle name="Normal 23 2 2 2 2 2 5" xfId="12685" xr:uid="{00000000-0005-0000-0000-000053230000}"/>
    <cellStyle name="Normal 23 2 2 2 2 2 5 2" xfId="21365" xr:uid="{00000000-0005-0000-0000-000054230000}"/>
    <cellStyle name="Normal 23 2 2 2 2 2 6" xfId="14859" xr:uid="{00000000-0005-0000-0000-000055230000}"/>
    <cellStyle name="Normal 23 2 2 2 2 3" xfId="2634" xr:uid="{00000000-0005-0000-0000-000056230000}"/>
    <cellStyle name="Normal 23 2 2 2 2 3 2" xfId="9469" xr:uid="{00000000-0005-0000-0000-000057230000}"/>
    <cellStyle name="Normal 23 2 2 2 2 3 2 2" xfId="18219" xr:uid="{00000000-0005-0000-0000-000058230000}"/>
    <cellStyle name="Normal 23 2 2 2 2 3 3" xfId="7867" xr:uid="{00000000-0005-0000-0000-000059230000}"/>
    <cellStyle name="Normal 23 2 2 2 2 3 3 2" xfId="16620" xr:uid="{00000000-0005-0000-0000-00005A230000}"/>
    <cellStyle name="Normal 23 2 2 2 2 3 4" xfId="11079" xr:uid="{00000000-0005-0000-0000-00005B230000}"/>
    <cellStyle name="Normal 23 2 2 2 2 3 4 2" xfId="19766" xr:uid="{00000000-0005-0000-0000-00005C230000}"/>
    <cellStyle name="Normal 23 2 2 2 2 3 5" xfId="12686" xr:uid="{00000000-0005-0000-0000-00005D230000}"/>
    <cellStyle name="Normal 23 2 2 2 2 3 5 2" xfId="21366" xr:uid="{00000000-0005-0000-0000-00005E230000}"/>
    <cellStyle name="Normal 23 2 2 2 2 3 6" xfId="14860" xr:uid="{00000000-0005-0000-0000-00005F230000}"/>
    <cellStyle name="Normal 23 2 2 2 2 4" xfId="2635" xr:uid="{00000000-0005-0000-0000-000060230000}"/>
    <cellStyle name="Normal 23 2 2 2 2 4 2" xfId="9470" xr:uid="{00000000-0005-0000-0000-000061230000}"/>
    <cellStyle name="Normal 23 2 2 2 2 4 2 2" xfId="18220" xr:uid="{00000000-0005-0000-0000-000062230000}"/>
    <cellStyle name="Normal 23 2 2 2 2 4 3" xfId="7868" xr:uid="{00000000-0005-0000-0000-000063230000}"/>
    <cellStyle name="Normal 23 2 2 2 2 4 3 2" xfId="16621" xr:uid="{00000000-0005-0000-0000-000064230000}"/>
    <cellStyle name="Normal 23 2 2 2 2 4 4" xfId="11080" xr:uid="{00000000-0005-0000-0000-000065230000}"/>
    <cellStyle name="Normal 23 2 2 2 2 4 4 2" xfId="19767" xr:uid="{00000000-0005-0000-0000-000066230000}"/>
    <cellStyle name="Normal 23 2 2 2 2 4 5" xfId="12687" xr:uid="{00000000-0005-0000-0000-000067230000}"/>
    <cellStyle name="Normal 23 2 2 2 2 4 5 2" xfId="21367" xr:uid="{00000000-0005-0000-0000-000068230000}"/>
    <cellStyle name="Normal 23 2 2 2 2 4 6" xfId="14861" xr:uid="{00000000-0005-0000-0000-000069230000}"/>
    <cellStyle name="Normal 23 2 2 2 3" xfId="2636" xr:uid="{00000000-0005-0000-0000-00006A230000}"/>
    <cellStyle name="Normal 23 2 2 2 4" xfId="2637" xr:uid="{00000000-0005-0000-0000-00006B230000}"/>
    <cellStyle name="Normal 23 2 2 2 5" xfId="9467" xr:uid="{00000000-0005-0000-0000-00006C230000}"/>
    <cellStyle name="Normal 23 2 2 2 5 2" xfId="18217" xr:uid="{00000000-0005-0000-0000-00006D230000}"/>
    <cellStyle name="Normal 23 2 2 2 6" xfId="7865" xr:uid="{00000000-0005-0000-0000-00006E230000}"/>
    <cellStyle name="Normal 23 2 2 2 6 2" xfId="16618" xr:uid="{00000000-0005-0000-0000-00006F230000}"/>
    <cellStyle name="Normal 23 2 2 2 7" xfId="11077" xr:uid="{00000000-0005-0000-0000-000070230000}"/>
    <cellStyle name="Normal 23 2 2 2 7 2" xfId="19764" xr:uid="{00000000-0005-0000-0000-000071230000}"/>
    <cellStyle name="Normal 23 2 2 2 8" xfId="12684" xr:uid="{00000000-0005-0000-0000-000072230000}"/>
    <cellStyle name="Normal 23 2 2 2 8 2" xfId="21364" xr:uid="{00000000-0005-0000-0000-000073230000}"/>
    <cellStyle name="Normal 23 2 2 2 9" xfId="14858" xr:uid="{00000000-0005-0000-0000-000074230000}"/>
    <cellStyle name="Normal 23 2 2 3" xfId="2638" xr:uid="{00000000-0005-0000-0000-000075230000}"/>
    <cellStyle name="Normal 23 2 2 3 2" xfId="2639" xr:uid="{00000000-0005-0000-0000-000076230000}"/>
    <cellStyle name="Normal 23 2 2 3 2 2" xfId="9472" xr:uid="{00000000-0005-0000-0000-000077230000}"/>
    <cellStyle name="Normal 23 2 2 3 2 2 2" xfId="18222" xr:uid="{00000000-0005-0000-0000-000078230000}"/>
    <cellStyle name="Normal 23 2 2 3 2 3" xfId="7870" xr:uid="{00000000-0005-0000-0000-000079230000}"/>
    <cellStyle name="Normal 23 2 2 3 2 3 2" xfId="16623" xr:uid="{00000000-0005-0000-0000-00007A230000}"/>
    <cellStyle name="Normal 23 2 2 3 2 4" xfId="11082" xr:uid="{00000000-0005-0000-0000-00007B230000}"/>
    <cellStyle name="Normal 23 2 2 3 2 4 2" xfId="19769" xr:uid="{00000000-0005-0000-0000-00007C230000}"/>
    <cellStyle name="Normal 23 2 2 3 2 5" xfId="12689" xr:uid="{00000000-0005-0000-0000-00007D230000}"/>
    <cellStyle name="Normal 23 2 2 3 2 5 2" xfId="21369" xr:uid="{00000000-0005-0000-0000-00007E230000}"/>
    <cellStyle name="Normal 23 2 2 3 2 6" xfId="14863" xr:uid="{00000000-0005-0000-0000-00007F230000}"/>
    <cellStyle name="Normal 23 2 2 3 3" xfId="2640" xr:uid="{00000000-0005-0000-0000-000080230000}"/>
    <cellStyle name="Normal 23 2 2 3 3 2" xfId="9473" xr:uid="{00000000-0005-0000-0000-000081230000}"/>
    <cellStyle name="Normal 23 2 2 3 3 2 2" xfId="18223" xr:uid="{00000000-0005-0000-0000-000082230000}"/>
    <cellStyle name="Normal 23 2 2 3 3 3" xfId="7871" xr:uid="{00000000-0005-0000-0000-000083230000}"/>
    <cellStyle name="Normal 23 2 2 3 3 3 2" xfId="16624" xr:uid="{00000000-0005-0000-0000-000084230000}"/>
    <cellStyle name="Normal 23 2 2 3 3 4" xfId="11083" xr:uid="{00000000-0005-0000-0000-000085230000}"/>
    <cellStyle name="Normal 23 2 2 3 3 4 2" xfId="19770" xr:uid="{00000000-0005-0000-0000-000086230000}"/>
    <cellStyle name="Normal 23 2 2 3 3 5" xfId="12690" xr:uid="{00000000-0005-0000-0000-000087230000}"/>
    <cellStyle name="Normal 23 2 2 3 3 5 2" xfId="21370" xr:uid="{00000000-0005-0000-0000-000088230000}"/>
    <cellStyle name="Normal 23 2 2 3 3 6" xfId="14864" xr:uid="{00000000-0005-0000-0000-000089230000}"/>
    <cellStyle name="Normal 23 2 2 3 4" xfId="2641" xr:uid="{00000000-0005-0000-0000-00008A230000}"/>
    <cellStyle name="Normal 23 2 2 3 4 2" xfId="9474" xr:uid="{00000000-0005-0000-0000-00008B230000}"/>
    <cellStyle name="Normal 23 2 2 3 4 2 2" xfId="18224" xr:uid="{00000000-0005-0000-0000-00008C230000}"/>
    <cellStyle name="Normal 23 2 2 3 4 3" xfId="7872" xr:uid="{00000000-0005-0000-0000-00008D230000}"/>
    <cellStyle name="Normal 23 2 2 3 4 3 2" xfId="16625" xr:uid="{00000000-0005-0000-0000-00008E230000}"/>
    <cellStyle name="Normal 23 2 2 3 4 4" xfId="11084" xr:uid="{00000000-0005-0000-0000-00008F230000}"/>
    <cellStyle name="Normal 23 2 2 3 4 4 2" xfId="19771" xr:uid="{00000000-0005-0000-0000-000090230000}"/>
    <cellStyle name="Normal 23 2 2 3 4 5" xfId="12691" xr:uid="{00000000-0005-0000-0000-000091230000}"/>
    <cellStyle name="Normal 23 2 2 3 4 5 2" xfId="21371" xr:uid="{00000000-0005-0000-0000-000092230000}"/>
    <cellStyle name="Normal 23 2 2 3 4 6" xfId="14865" xr:uid="{00000000-0005-0000-0000-000093230000}"/>
    <cellStyle name="Normal 23 2 2 3 5" xfId="9471" xr:uid="{00000000-0005-0000-0000-000094230000}"/>
    <cellStyle name="Normal 23 2 2 3 5 2" xfId="18221" xr:uid="{00000000-0005-0000-0000-000095230000}"/>
    <cellStyle name="Normal 23 2 2 3 6" xfId="7869" xr:uid="{00000000-0005-0000-0000-000096230000}"/>
    <cellStyle name="Normal 23 2 2 3 6 2" xfId="16622" xr:uid="{00000000-0005-0000-0000-000097230000}"/>
    <cellStyle name="Normal 23 2 2 3 7" xfId="11081" xr:uid="{00000000-0005-0000-0000-000098230000}"/>
    <cellStyle name="Normal 23 2 2 3 7 2" xfId="19768" xr:uid="{00000000-0005-0000-0000-000099230000}"/>
    <cellStyle name="Normal 23 2 2 3 8" xfId="12688" xr:uid="{00000000-0005-0000-0000-00009A230000}"/>
    <cellStyle name="Normal 23 2 2 3 8 2" xfId="21368" xr:uid="{00000000-0005-0000-0000-00009B230000}"/>
    <cellStyle name="Normal 23 2 2 3 9" xfId="14862" xr:uid="{00000000-0005-0000-0000-00009C230000}"/>
    <cellStyle name="Normal 23 2 2 4" xfId="2642" xr:uid="{00000000-0005-0000-0000-00009D230000}"/>
    <cellStyle name="Normal 23 2 2 4 2" xfId="2643" xr:uid="{00000000-0005-0000-0000-00009E230000}"/>
    <cellStyle name="Normal 23 2 2 4 2 2" xfId="9476" xr:uid="{00000000-0005-0000-0000-00009F230000}"/>
    <cellStyle name="Normal 23 2 2 4 2 2 2" xfId="18226" xr:uid="{00000000-0005-0000-0000-0000A0230000}"/>
    <cellStyle name="Normal 23 2 2 4 2 3" xfId="7874" xr:uid="{00000000-0005-0000-0000-0000A1230000}"/>
    <cellStyle name="Normal 23 2 2 4 2 3 2" xfId="16627" xr:uid="{00000000-0005-0000-0000-0000A2230000}"/>
    <cellStyle name="Normal 23 2 2 4 2 4" xfId="11086" xr:uid="{00000000-0005-0000-0000-0000A3230000}"/>
    <cellStyle name="Normal 23 2 2 4 2 4 2" xfId="19773" xr:uid="{00000000-0005-0000-0000-0000A4230000}"/>
    <cellStyle name="Normal 23 2 2 4 2 5" xfId="12693" xr:uid="{00000000-0005-0000-0000-0000A5230000}"/>
    <cellStyle name="Normal 23 2 2 4 2 5 2" xfId="21373" xr:uid="{00000000-0005-0000-0000-0000A6230000}"/>
    <cellStyle name="Normal 23 2 2 4 2 6" xfId="14867" xr:uid="{00000000-0005-0000-0000-0000A7230000}"/>
    <cellStyle name="Normal 23 2 2 4 3" xfId="2644" xr:uid="{00000000-0005-0000-0000-0000A8230000}"/>
    <cellStyle name="Normal 23 2 2 4 3 2" xfId="9477" xr:uid="{00000000-0005-0000-0000-0000A9230000}"/>
    <cellStyle name="Normal 23 2 2 4 3 2 2" xfId="18227" xr:uid="{00000000-0005-0000-0000-0000AA230000}"/>
    <cellStyle name="Normal 23 2 2 4 3 3" xfId="7875" xr:uid="{00000000-0005-0000-0000-0000AB230000}"/>
    <cellStyle name="Normal 23 2 2 4 3 3 2" xfId="16628" xr:uid="{00000000-0005-0000-0000-0000AC230000}"/>
    <cellStyle name="Normal 23 2 2 4 3 4" xfId="11087" xr:uid="{00000000-0005-0000-0000-0000AD230000}"/>
    <cellStyle name="Normal 23 2 2 4 3 4 2" xfId="19774" xr:uid="{00000000-0005-0000-0000-0000AE230000}"/>
    <cellStyle name="Normal 23 2 2 4 3 5" xfId="12694" xr:uid="{00000000-0005-0000-0000-0000AF230000}"/>
    <cellStyle name="Normal 23 2 2 4 3 5 2" xfId="21374" xr:uid="{00000000-0005-0000-0000-0000B0230000}"/>
    <cellStyle name="Normal 23 2 2 4 3 6" xfId="14868" xr:uid="{00000000-0005-0000-0000-0000B1230000}"/>
    <cellStyle name="Normal 23 2 2 4 4" xfId="2645" xr:uid="{00000000-0005-0000-0000-0000B2230000}"/>
    <cellStyle name="Normal 23 2 2 4 4 2" xfId="9478" xr:uid="{00000000-0005-0000-0000-0000B3230000}"/>
    <cellStyle name="Normal 23 2 2 4 4 2 2" xfId="18228" xr:uid="{00000000-0005-0000-0000-0000B4230000}"/>
    <cellStyle name="Normal 23 2 2 4 4 3" xfId="7876" xr:uid="{00000000-0005-0000-0000-0000B5230000}"/>
    <cellStyle name="Normal 23 2 2 4 4 3 2" xfId="16629" xr:uid="{00000000-0005-0000-0000-0000B6230000}"/>
    <cellStyle name="Normal 23 2 2 4 4 4" xfId="11088" xr:uid="{00000000-0005-0000-0000-0000B7230000}"/>
    <cellStyle name="Normal 23 2 2 4 4 4 2" xfId="19775" xr:uid="{00000000-0005-0000-0000-0000B8230000}"/>
    <cellStyle name="Normal 23 2 2 4 4 5" xfId="12695" xr:uid="{00000000-0005-0000-0000-0000B9230000}"/>
    <cellStyle name="Normal 23 2 2 4 4 5 2" xfId="21375" xr:uid="{00000000-0005-0000-0000-0000BA230000}"/>
    <cellStyle name="Normal 23 2 2 4 4 6" xfId="14869" xr:uid="{00000000-0005-0000-0000-0000BB230000}"/>
    <cellStyle name="Normal 23 2 2 4 5" xfId="9475" xr:uid="{00000000-0005-0000-0000-0000BC230000}"/>
    <cellStyle name="Normal 23 2 2 4 5 2" xfId="18225" xr:uid="{00000000-0005-0000-0000-0000BD230000}"/>
    <cellStyle name="Normal 23 2 2 4 6" xfId="7873" xr:uid="{00000000-0005-0000-0000-0000BE230000}"/>
    <cellStyle name="Normal 23 2 2 4 6 2" xfId="16626" xr:uid="{00000000-0005-0000-0000-0000BF230000}"/>
    <cellStyle name="Normal 23 2 2 4 7" xfId="11085" xr:uid="{00000000-0005-0000-0000-0000C0230000}"/>
    <cellStyle name="Normal 23 2 2 4 7 2" xfId="19772" xr:uid="{00000000-0005-0000-0000-0000C1230000}"/>
    <cellStyle name="Normal 23 2 2 4 8" xfId="12692" xr:uid="{00000000-0005-0000-0000-0000C2230000}"/>
    <cellStyle name="Normal 23 2 2 4 8 2" xfId="21372" xr:uid="{00000000-0005-0000-0000-0000C3230000}"/>
    <cellStyle name="Normal 23 2 2 4 9" xfId="14866" xr:uid="{00000000-0005-0000-0000-0000C4230000}"/>
    <cellStyle name="Normal 23 2 2 5" xfId="2646" xr:uid="{00000000-0005-0000-0000-0000C5230000}"/>
    <cellStyle name="Normal 23 2 2 5 2" xfId="9479" xr:uid="{00000000-0005-0000-0000-0000C6230000}"/>
    <cellStyle name="Normal 23 2 2 5 2 2" xfId="18229" xr:uid="{00000000-0005-0000-0000-0000C7230000}"/>
    <cellStyle name="Normal 23 2 2 5 3" xfId="7877" xr:uid="{00000000-0005-0000-0000-0000C8230000}"/>
    <cellStyle name="Normal 23 2 2 5 3 2" xfId="16630" xr:uid="{00000000-0005-0000-0000-0000C9230000}"/>
    <cellStyle name="Normal 23 2 2 5 4" xfId="11089" xr:uid="{00000000-0005-0000-0000-0000CA230000}"/>
    <cellStyle name="Normal 23 2 2 5 4 2" xfId="19776" xr:uid="{00000000-0005-0000-0000-0000CB230000}"/>
    <cellStyle name="Normal 23 2 2 5 5" xfId="12696" xr:uid="{00000000-0005-0000-0000-0000CC230000}"/>
    <cellStyle name="Normal 23 2 2 5 5 2" xfId="21376" xr:uid="{00000000-0005-0000-0000-0000CD230000}"/>
    <cellStyle name="Normal 23 2 2 5 6" xfId="14870" xr:uid="{00000000-0005-0000-0000-0000CE230000}"/>
    <cellStyle name="Normal 23 2 2 6" xfId="2647" xr:uid="{00000000-0005-0000-0000-0000CF230000}"/>
    <cellStyle name="Normal 23 2 2 6 2" xfId="9480" xr:uid="{00000000-0005-0000-0000-0000D0230000}"/>
    <cellStyle name="Normal 23 2 2 6 2 2" xfId="18230" xr:uid="{00000000-0005-0000-0000-0000D1230000}"/>
    <cellStyle name="Normal 23 2 2 6 3" xfId="7878" xr:uid="{00000000-0005-0000-0000-0000D2230000}"/>
    <cellStyle name="Normal 23 2 2 6 3 2" xfId="16631" xr:uid="{00000000-0005-0000-0000-0000D3230000}"/>
    <cellStyle name="Normal 23 2 2 6 4" xfId="11090" xr:uid="{00000000-0005-0000-0000-0000D4230000}"/>
    <cellStyle name="Normal 23 2 2 6 4 2" xfId="19777" xr:uid="{00000000-0005-0000-0000-0000D5230000}"/>
    <cellStyle name="Normal 23 2 2 6 5" xfId="12697" xr:uid="{00000000-0005-0000-0000-0000D6230000}"/>
    <cellStyle name="Normal 23 2 2 6 5 2" xfId="21377" xr:uid="{00000000-0005-0000-0000-0000D7230000}"/>
    <cellStyle name="Normal 23 2 2 6 6" xfId="14871" xr:uid="{00000000-0005-0000-0000-0000D8230000}"/>
    <cellStyle name="Normal 23 2 2 7" xfId="2648" xr:uid="{00000000-0005-0000-0000-0000D9230000}"/>
    <cellStyle name="Normal 23 2 2 7 2" xfId="9481" xr:uid="{00000000-0005-0000-0000-0000DA230000}"/>
    <cellStyle name="Normal 23 2 2 7 2 2" xfId="18231" xr:uid="{00000000-0005-0000-0000-0000DB230000}"/>
    <cellStyle name="Normal 23 2 2 7 3" xfId="7879" xr:uid="{00000000-0005-0000-0000-0000DC230000}"/>
    <cellStyle name="Normal 23 2 2 7 3 2" xfId="16632" xr:uid="{00000000-0005-0000-0000-0000DD230000}"/>
    <cellStyle name="Normal 23 2 2 7 4" xfId="11091" xr:uid="{00000000-0005-0000-0000-0000DE230000}"/>
    <cellStyle name="Normal 23 2 2 7 4 2" xfId="19778" xr:uid="{00000000-0005-0000-0000-0000DF230000}"/>
    <cellStyle name="Normal 23 2 2 7 5" xfId="12698" xr:uid="{00000000-0005-0000-0000-0000E0230000}"/>
    <cellStyle name="Normal 23 2 2 7 5 2" xfId="21378" xr:uid="{00000000-0005-0000-0000-0000E1230000}"/>
    <cellStyle name="Normal 23 2 2 7 6" xfId="14872" xr:uid="{00000000-0005-0000-0000-0000E2230000}"/>
    <cellStyle name="Normal 23 2 3" xfId="2649" xr:uid="{00000000-0005-0000-0000-0000E3230000}"/>
    <cellStyle name="Normal 23 2 3 2" xfId="2650" xr:uid="{00000000-0005-0000-0000-0000E4230000}"/>
    <cellStyle name="Normal 23 2 3 2 2" xfId="9483" xr:uid="{00000000-0005-0000-0000-0000E5230000}"/>
    <cellStyle name="Normal 23 2 3 2 2 2" xfId="18233" xr:uid="{00000000-0005-0000-0000-0000E6230000}"/>
    <cellStyle name="Normal 23 2 3 2 3" xfId="7881" xr:uid="{00000000-0005-0000-0000-0000E7230000}"/>
    <cellStyle name="Normal 23 2 3 2 3 2" xfId="16634" xr:uid="{00000000-0005-0000-0000-0000E8230000}"/>
    <cellStyle name="Normal 23 2 3 2 4" xfId="11093" xr:uid="{00000000-0005-0000-0000-0000E9230000}"/>
    <cellStyle name="Normal 23 2 3 2 4 2" xfId="19780" xr:uid="{00000000-0005-0000-0000-0000EA230000}"/>
    <cellStyle name="Normal 23 2 3 2 5" xfId="12700" xr:uid="{00000000-0005-0000-0000-0000EB230000}"/>
    <cellStyle name="Normal 23 2 3 2 5 2" xfId="21380" xr:uid="{00000000-0005-0000-0000-0000EC230000}"/>
    <cellStyle name="Normal 23 2 3 2 6" xfId="14874" xr:uid="{00000000-0005-0000-0000-0000ED230000}"/>
    <cellStyle name="Normal 23 2 3 3" xfId="2651" xr:uid="{00000000-0005-0000-0000-0000EE230000}"/>
    <cellStyle name="Normal 23 2 3 3 2" xfId="9484" xr:uid="{00000000-0005-0000-0000-0000EF230000}"/>
    <cellStyle name="Normal 23 2 3 3 2 2" xfId="18234" xr:uid="{00000000-0005-0000-0000-0000F0230000}"/>
    <cellStyle name="Normal 23 2 3 3 3" xfId="7882" xr:uid="{00000000-0005-0000-0000-0000F1230000}"/>
    <cellStyle name="Normal 23 2 3 3 3 2" xfId="16635" xr:uid="{00000000-0005-0000-0000-0000F2230000}"/>
    <cellStyle name="Normal 23 2 3 3 4" xfId="11094" xr:uid="{00000000-0005-0000-0000-0000F3230000}"/>
    <cellStyle name="Normal 23 2 3 3 4 2" xfId="19781" xr:uid="{00000000-0005-0000-0000-0000F4230000}"/>
    <cellStyle name="Normal 23 2 3 3 5" xfId="12701" xr:uid="{00000000-0005-0000-0000-0000F5230000}"/>
    <cellStyle name="Normal 23 2 3 3 5 2" xfId="21381" xr:uid="{00000000-0005-0000-0000-0000F6230000}"/>
    <cellStyle name="Normal 23 2 3 3 6" xfId="14875" xr:uid="{00000000-0005-0000-0000-0000F7230000}"/>
    <cellStyle name="Normal 23 2 3 4" xfId="2652" xr:uid="{00000000-0005-0000-0000-0000F8230000}"/>
    <cellStyle name="Normal 23 2 3 4 2" xfId="9485" xr:uid="{00000000-0005-0000-0000-0000F9230000}"/>
    <cellStyle name="Normal 23 2 3 4 2 2" xfId="18235" xr:uid="{00000000-0005-0000-0000-0000FA230000}"/>
    <cellStyle name="Normal 23 2 3 4 3" xfId="7883" xr:uid="{00000000-0005-0000-0000-0000FB230000}"/>
    <cellStyle name="Normal 23 2 3 4 3 2" xfId="16636" xr:uid="{00000000-0005-0000-0000-0000FC230000}"/>
    <cellStyle name="Normal 23 2 3 4 4" xfId="11095" xr:uid="{00000000-0005-0000-0000-0000FD230000}"/>
    <cellStyle name="Normal 23 2 3 4 4 2" xfId="19782" xr:uid="{00000000-0005-0000-0000-0000FE230000}"/>
    <cellStyle name="Normal 23 2 3 4 5" xfId="12702" xr:uid="{00000000-0005-0000-0000-0000FF230000}"/>
    <cellStyle name="Normal 23 2 3 4 5 2" xfId="21382" xr:uid="{00000000-0005-0000-0000-000000240000}"/>
    <cellStyle name="Normal 23 2 3 4 6" xfId="14876" xr:uid="{00000000-0005-0000-0000-000001240000}"/>
    <cellStyle name="Normal 23 2 3 5" xfId="9482" xr:uid="{00000000-0005-0000-0000-000002240000}"/>
    <cellStyle name="Normal 23 2 3 5 2" xfId="18232" xr:uid="{00000000-0005-0000-0000-000003240000}"/>
    <cellStyle name="Normal 23 2 3 6" xfId="7880" xr:uid="{00000000-0005-0000-0000-000004240000}"/>
    <cellStyle name="Normal 23 2 3 6 2" xfId="16633" xr:uid="{00000000-0005-0000-0000-000005240000}"/>
    <cellStyle name="Normal 23 2 3 7" xfId="11092" xr:uid="{00000000-0005-0000-0000-000006240000}"/>
    <cellStyle name="Normal 23 2 3 7 2" xfId="19779" xr:uid="{00000000-0005-0000-0000-000007240000}"/>
    <cellStyle name="Normal 23 2 3 8" xfId="12699" xr:uid="{00000000-0005-0000-0000-000008240000}"/>
    <cellStyle name="Normal 23 2 3 8 2" xfId="21379" xr:uid="{00000000-0005-0000-0000-000009240000}"/>
    <cellStyle name="Normal 23 2 3 9" xfId="14873" xr:uid="{00000000-0005-0000-0000-00000A240000}"/>
    <cellStyle name="Normal 23 2 4" xfId="2653" xr:uid="{00000000-0005-0000-0000-00000B240000}"/>
    <cellStyle name="Normal 23 2 5" xfId="2654" xr:uid="{00000000-0005-0000-0000-00000C240000}"/>
    <cellStyle name="Normal 23 2 6" xfId="2655" xr:uid="{00000000-0005-0000-0000-00000D240000}"/>
    <cellStyle name="Normal 23 2 6 2" xfId="9486" xr:uid="{00000000-0005-0000-0000-00000E240000}"/>
    <cellStyle name="Normal 23 2 6 2 2" xfId="18236" xr:uid="{00000000-0005-0000-0000-00000F240000}"/>
    <cellStyle name="Normal 23 2 6 3" xfId="7884" xr:uid="{00000000-0005-0000-0000-000010240000}"/>
    <cellStyle name="Normal 23 2 6 3 2" xfId="16637" xr:uid="{00000000-0005-0000-0000-000011240000}"/>
    <cellStyle name="Normal 23 2 6 4" xfId="11096" xr:uid="{00000000-0005-0000-0000-000012240000}"/>
    <cellStyle name="Normal 23 2 6 4 2" xfId="19783" xr:uid="{00000000-0005-0000-0000-000013240000}"/>
    <cellStyle name="Normal 23 2 6 5" xfId="12703" xr:uid="{00000000-0005-0000-0000-000014240000}"/>
    <cellStyle name="Normal 23 2 6 5 2" xfId="21383" xr:uid="{00000000-0005-0000-0000-000015240000}"/>
    <cellStyle name="Normal 23 2 6 6" xfId="14877" xr:uid="{00000000-0005-0000-0000-000016240000}"/>
    <cellStyle name="Normal 23 2 7" xfId="2656" xr:uid="{00000000-0005-0000-0000-000017240000}"/>
    <cellStyle name="Normal 23 2 7 2" xfId="9487" xr:uid="{00000000-0005-0000-0000-000018240000}"/>
    <cellStyle name="Normal 23 2 7 2 2" xfId="18237" xr:uid="{00000000-0005-0000-0000-000019240000}"/>
    <cellStyle name="Normal 23 2 7 3" xfId="7885" xr:uid="{00000000-0005-0000-0000-00001A240000}"/>
    <cellStyle name="Normal 23 2 7 3 2" xfId="16638" xr:uid="{00000000-0005-0000-0000-00001B240000}"/>
    <cellStyle name="Normal 23 2 7 4" xfId="11097" xr:uid="{00000000-0005-0000-0000-00001C240000}"/>
    <cellStyle name="Normal 23 2 7 4 2" xfId="19784" xr:uid="{00000000-0005-0000-0000-00001D240000}"/>
    <cellStyle name="Normal 23 2 7 5" xfId="12704" xr:uid="{00000000-0005-0000-0000-00001E240000}"/>
    <cellStyle name="Normal 23 2 7 5 2" xfId="21384" xr:uid="{00000000-0005-0000-0000-00001F240000}"/>
    <cellStyle name="Normal 23 2 7 6" xfId="14878" xr:uid="{00000000-0005-0000-0000-000020240000}"/>
    <cellStyle name="Normal 23 2 8" xfId="2657" xr:uid="{00000000-0005-0000-0000-000021240000}"/>
    <cellStyle name="Normal 23 2 8 2" xfId="9488" xr:uid="{00000000-0005-0000-0000-000022240000}"/>
    <cellStyle name="Normal 23 2 8 2 2" xfId="18238" xr:uid="{00000000-0005-0000-0000-000023240000}"/>
    <cellStyle name="Normal 23 2 8 3" xfId="7886" xr:uid="{00000000-0005-0000-0000-000024240000}"/>
    <cellStyle name="Normal 23 2 8 3 2" xfId="16639" xr:uid="{00000000-0005-0000-0000-000025240000}"/>
    <cellStyle name="Normal 23 2 8 4" xfId="11098" xr:uid="{00000000-0005-0000-0000-000026240000}"/>
    <cellStyle name="Normal 23 2 8 4 2" xfId="19785" xr:uid="{00000000-0005-0000-0000-000027240000}"/>
    <cellStyle name="Normal 23 2 8 5" xfId="12705" xr:uid="{00000000-0005-0000-0000-000028240000}"/>
    <cellStyle name="Normal 23 2 8 5 2" xfId="21385" xr:uid="{00000000-0005-0000-0000-000029240000}"/>
    <cellStyle name="Normal 23 2 8 6" xfId="14879" xr:uid="{00000000-0005-0000-0000-00002A240000}"/>
    <cellStyle name="Normal 23 2 9" xfId="9466" xr:uid="{00000000-0005-0000-0000-00002B240000}"/>
    <cellStyle name="Normal 23 2 9 2" xfId="18216" xr:uid="{00000000-0005-0000-0000-00002C240000}"/>
    <cellStyle name="Normal 23 3" xfId="2658" xr:uid="{00000000-0005-0000-0000-00002D240000}"/>
    <cellStyle name="Normal 23 4" xfId="2628" xr:uid="{00000000-0005-0000-0000-00002E240000}"/>
    <cellStyle name="Normal 23 5" xfId="10638" xr:uid="{00000000-0005-0000-0000-00002F240000}"/>
    <cellStyle name="Normal 24" xfId="162" xr:uid="{00000000-0005-0000-0000-000030240000}"/>
    <cellStyle name="Normal 24 2" xfId="2660" xr:uid="{00000000-0005-0000-0000-000031240000}"/>
    <cellStyle name="Normal 24 2 10" xfId="7887" xr:uid="{00000000-0005-0000-0000-000032240000}"/>
    <cellStyle name="Normal 24 2 10 2" xfId="16640" xr:uid="{00000000-0005-0000-0000-000033240000}"/>
    <cellStyle name="Normal 24 2 11" xfId="11099" xr:uid="{00000000-0005-0000-0000-000034240000}"/>
    <cellStyle name="Normal 24 2 11 2" xfId="19786" xr:uid="{00000000-0005-0000-0000-000035240000}"/>
    <cellStyle name="Normal 24 2 12" xfId="12706" xr:uid="{00000000-0005-0000-0000-000036240000}"/>
    <cellStyle name="Normal 24 2 12 2" xfId="21386" xr:uid="{00000000-0005-0000-0000-000037240000}"/>
    <cellStyle name="Normal 24 2 13" xfId="14880" xr:uid="{00000000-0005-0000-0000-000038240000}"/>
    <cellStyle name="Normal 24 2 2" xfId="2661" xr:uid="{00000000-0005-0000-0000-000039240000}"/>
    <cellStyle name="Normal 24 2 2 2" xfId="2662" xr:uid="{00000000-0005-0000-0000-00003A240000}"/>
    <cellStyle name="Normal 24 2 2 2 2" xfId="2663" xr:uid="{00000000-0005-0000-0000-00003B240000}"/>
    <cellStyle name="Normal 24 2 2 2 2 2" xfId="2664" xr:uid="{00000000-0005-0000-0000-00003C240000}"/>
    <cellStyle name="Normal 24 2 2 2 2 2 2" xfId="9491" xr:uid="{00000000-0005-0000-0000-00003D240000}"/>
    <cellStyle name="Normal 24 2 2 2 2 2 2 2" xfId="18241" xr:uid="{00000000-0005-0000-0000-00003E240000}"/>
    <cellStyle name="Normal 24 2 2 2 2 2 3" xfId="7889" xr:uid="{00000000-0005-0000-0000-00003F240000}"/>
    <cellStyle name="Normal 24 2 2 2 2 2 3 2" xfId="16642" xr:uid="{00000000-0005-0000-0000-000040240000}"/>
    <cellStyle name="Normal 24 2 2 2 2 2 4" xfId="11101" xr:uid="{00000000-0005-0000-0000-000041240000}"/>
    <cellStyle name="Normal 24 2 2 2 2 2 4 2" xfId="19788" xr:uid="{00000000-0005-0000-0000-000042240000}"/>
    <cellStyle name="Normal 24 2 2 2 2 2 5" xfId="12708" xr:uid="{00000000-0005-0000-0000-000043240000}"/>
    <cellStyle name="Normal 24 2 2 2 2 2 5 2" xfId="21388" xr:uid="{00000000-0005-0000-0000-000044240000}"/>
    <cellStyle name="Normal 24 2 2 2 2 2 6" xfId="14882" xr:uid="{00000000-0005-0000-0000-000045240000}"/>
    <cellStyle name="Normal 24 2 2 2 2 3" xfId="2665" xr:uid="{00000000-0005-0000-0000-000046240000}"/>
    <cellStyle name="Normal 24 2 2 2 2 3 2" xfId="9492" xr:uid="{00000000-0005-0000-0000-000047240000}"/>
    <cellStyle name="Normal 24 2 2 2 2 3 2 2" xfId="18242" xr:uid="{00000000-0005-0000-0000-000048240000}"/>
    <cellStyle name="Normal 24 2 2 2 2 3 3" xfId="7890" xr:uid="{00000000-0005-0000-0000-000049240000}"/>
    <cellStyle name="Normal 24 2 2 2 2 3 3 2" xfId="16643" xr:uid="{00000000-0005-0000-0000-00004A240000}"/>
    <cellStyle name="Normal 24 2 2 2 2 3 4" xfId="11102" xr:uid="{00000000-0005-0000-0000-00004B240000}"/>
    <cellStyle name="Normal 24 2 2 2 2 3 4 2" xfId="19789" xr:uid="{00000000-0005-0000-0000-00004C240000}"/>
    <cellStyle name="Normal 24 2 2 2 2 3 5" xfId="12709" xr:uid="{00000000-0005-0000-0000-00004D240000}"/>
    <cellStyle name="Normal 24 2 2 2 2 3 5 2" xfId="21389" xr:uid="{00000000-0005-0000-0000-00004E240000}"/>
    <cellStyle name="Normal 24 2 2 2 2 3 6" xfId="14883" xr:uid="{00000000-0005-0000-0000-00004F240000}"/>
    <cellStyle name="Normal 24 2 2 2 2 4" xfId="2666" xr:uid="{00000000-0005-0000-0000-000050240000}"/>
    <cellStyle name="Normal 24 2 2 2 2 4 2" xfId="9493" xr:uid="{00000000-0005-0000-0000-000051240000}"/>
    <cellStyle name="Normal 24 2 2 2 2 4 2 2" xfId="18243" xr:uid="{00000000-0005-0000-0000-000052240000}"/>
    <cellStyle name="Normal 24 2 2 2 2 4 3" xfId="7891" xr:uid="{00000000-0005-0000-0000-000053240000}"/>
    <cellStyle name="Normal 24 2 2 2 2 4 3 2" xfId="16644" xr:uid="{00000000-0005-0000-0000-000054240000}"/>
    <cellStyle name="Normal 24 2 2 2 2 4 4" xfId="11103" xr:uid="{00000000-0005-0000-0000-000055240000}"/>
    <cellStyle name="Normal 24 2 2 2 2 4 4 2" xfId="19790" xr:uid="{00000000-0005-0000-0000-000056240000}"/>
    <cellStyle name="Normal 24 2 2 2 2 4 5" xfId="12710" xr:uid="{00000000-0005-0000-0000-000057240000}"/>
    <cellStyle name="Normal 24 2 2 2 2 4 5 2" xfId="21390" xr:uid="{00000000-0005-0000-0000-000058240000}"/>
    <cellStyle name="Normal 24 2 2 2 2 4 6" xfId="14884" xr:uid="{00000000-0005-0000-0000-000059240000}"/>
    <cellStyle name="Normal 24 2 2 2 3" xfId="2667" xr:uid="{00000000-0005-0000-0000-00005A240000}"/>
    <cellStyle name="Normal 24 2 2 2 4" xfId="2668" xr:uid="{00000000-0005-0000-0000-00005B240000}"/>
    <cellStyle name="Normal 24 2 2 2 5" xfId="9490" xr:uid="{00000000-0005-0000-0000-00005C240000}"/>
    <cellStyle name="Normal 24 2 2 2 5 2" xfId="18240" xr:uid="{00000000-0005-0000-0000-00005D240000}"/>
    <cellStyle name="Normal 24 2 2 2 6" xfId="7888" xr:uid="{00000000-0005-0000-0000-00005E240000}"/>
    <cellStyle name="Normal 24 2 2 2 6 2" xfId="16641" xr:uid="{00000000-0005-0000-0000-00005F240000}"/>
    <cellStyle name="Normal 24 2 2 2 7" xfId="11100" xr:uid="{00000000-0005-0000-0000-000060240000}"/>
    <cellStyle name="Normal 24 2 2 2 7 2" xfId="19787" xr:uid="{00000000-0005-0000-0000-000061240000}"/>
    <cellStyle name="Normal 24 2 2 2 8" xfId="12707" xr:uid="{00000000-0005-0000-0000-000062240000}"/>
    <cellStyle name="Normal 24 2 2 2 8 2" xfId="21387" xr:uid="{00000000-0005-0000-0000-000063240000}"/>
    <cellStyle name="Normal 24 2 2 2 9" xfId="14881" xr:uid="{00000000-0005-0000-0000-000064240000}"/>
    <cellStyle name="Normal 24 2 2 3" xfId="2669" xr:uid="{00000000-0005-0000-0000-000065240000}"/>
    <cellStyle name="Normal 24 2 2 3 2" xfId="2670" xr:uid="{00000000-0005-0000-0000-000066240000}"/>
    <cellStyle name="Normal 24 2 2 3 2 2" xfId="9495" xr:uid="{00000000-0005-0000-0000-000067240000}"/>
    <cellStyle name="Normal 24 2 2 3 2 2 2" xfId="18245" xr:uid="{00000000-0005-0000-0000-000068240000}"/>
    <cellStyle name="Normal 24 2 2 3 2 3" xfId="7893" xr:uid="{00000000-0005-0000-0000-000069240000}"/>
    <cellStyle name="Normal 24 2 2 3 2 3 2" xfId="16646" xr:uid="{00000000-0005-0000-0000-00006A240000}"/>
    <cellStyle name="Normal 24 2 2 3 2 4" xfId="11105" xr:uid="{00000000-0005-0000-0000-00006B240000}"/>
    <cellStyle name="Normal 24 2 2 3 2 4 2" xfId="19792" xr:uid="{00000000-0005-0000-0000-00006C240000}"/>
    <cellStyle name="Normal 24 2 2 3 2 5" xfId="12712" xr:uid="{00000000-0005-0000-0000-00006D240000}"/>
    <cellStyle name="Normal 24 2 2 3 2 5 2" xfId="21392" xr:uid="{00000000-0005-0000-0000-00006E240000}"/>
    <cellStyle name="Normal 24 2 2 3 2 6" xfId="14886" xr:uid="{00000000-0005-0000-0000-00006F240000}"/>
    <cellStyle name="Normal 24 2 2 3 3" xfId="2671" xr:uid="{00000000-0005-0000-0000-000070240000}"/>
    <cellStyle name="Normal 24 2 2 3 3 2" xfId="9496" xr:uid="{00000000-0005-0000-0000-000071240000}"/>
    <cellStyle name="Normal 24 2 2 3 3 2 2" xfId="18246" xr:uid="{00000000-0005-0000-0000-000072240000}"/>
    <cellStyle name="Normal 24 2 2 3 3 3" xfId="7894" xr:uid="{00000000-0005-0000-0000-000073240000}"/>
    <cellStyle name="Normal 24 2 2 3 3 3 2" xfId="16647" xr:uid="{00000000-0005-0000-0000-000074240000}"/>
    <cellStyle name="Normal 24 2 2 3 3 4" xfId="11106" xr:uid="{00000000-0005-0000-0000-000075240000}"/>
    <cellStyle name="Normal 24 2 2 3 3 4 2" xfId="19793" xr:uid="{00000000-0005-0000-0000-000076240000}"/>
    <cellStyle name="Normal 24 2 2 3 3 5" xfId="12713" xr:uid="{00000000-0005-0000-0000-000077240000}"/>
    <cellStyle name="Normal 24 2 2 3 3 5 2" xfId="21393" xr:uid="{00000000-0005-0000-0000-000078240000}"/>
    <cellStyle name="Normal 24 2 2 3 3 6" xfId="14887" xr:uid="{00000000-0005-0000-0000-000079240000}"/>
    <cellStyle name="Normal 24 2 2 3 4" xfId="2672" xr:uid="{00000000-0005-0000-0000-00007A240000}"/>
    <cellStyle name="Normal 24 2 2 3 4 2" xfId="9497" xr:uid="{00000000-0005-0000-0000-00007B240000}"/>
    <cellStyle name="Normal 24 2 2 3 4 2 2" xfId="18247" xr:uid="{00000000-0005-0000-0000-00007C240000}"/>
    <cellStyle name="Normal 24 2 2 3 4 3" xfId="7895" xr:uid="{00000000-0005-0000-0000-00007D240000}"/>
    <cellStyle name="Normal 24 2 2 3 4 3 2" xfId="16648" xr:uid="{00000000-0005-0000-0000-00007E240000}"/>
    <cellStyle name="Normal 24 2 2 3 4 4" xfId="11107" xr:uid="{00000000-0005-0000-0000-00007F240000}"/>
    <cellStyle name="Normal 24 2 2 3 4 4 2" xfId="19794" xr:uid="{00000000-0005-0000-0000-000080240000}"/>
    <cellStyle name="Normal 24 2 2 3 4 5" xfId="12714" xr:uid="{00000000-0005-0000-0000-000081240000}"/>
    <cellStyle name="Normal 24 2 2 3 4 5 2" xfId="21394" xr:uid="{00000000-0005-0000-0000-000082240000}"/>
    <cellStyle name="Normal 24 2 2 3 4 6" xfId="14888" xr:uid="{00000000-0005-0000-0000-000083240000}"/>
    <cellStyle name="Normal 24 2 2 3 5" xfId="9494" xr:uid="{00000000-0005-0000-0000-000084240000}"/>
    <cellStyle name="Normal 24 2 2 3 5 2" xfId="18244" xr:uid="{00000000-0005-0000-0000-000085240000}"/>
    <cellStyle name="Normal 24 2 2 3 6" xfId="7892" xr:uid="{00000000-0005-0000-0000-000086240000}"/>
    <cellStyle name="Normal 24 2 2 3 6 2" xfId="16645" xr:uid="{00000000-0005-0000-0000-000087240000}"/>
    <cellStyle name="Normal 24 2 2 3 7" xfId="11104" xr:uid="{00000000-0005-0000-0000-000088240000}"/>
    <cellStyle name="Normal 24 2 2 3 7 2" xfId="19791" xr:uid="{00000000-0005-0000-0000-000089240000}"/>
    <cellStyle name="Normal 24 2 2 3 8" xfId="12711" xr:uid="{00000000-0005-0000-0000-00008A240000}"/>
    <cellStyle name="Normal 24 2 2 3 8 2" xfId="21391" xr:uid="{00000000-0005-0000-0000-00008B240000}"/>
    <cellStyle name="Normal 24 2 2 3 9" xfId="14885" xr:uid="{00000000-0005-0000-0000-00008C240000}"/>
    <cellStyle name="Normal 24 2 2 4" xfId="2673" xr:uid="{00000000-0005-0000-0000-00008D240000}"/>
    <cellStyle name="Normal 24 2 2 4 2" xfId="2674" xr:uid="{00000000-0005-0000-0000-00008E240000}"/>
    <cellStyle name="Normal 24 2 2 4 2 2" xfId="9499" xr:uid="{00000000-0005-0000-0000-00008F240000}"/>
    <cellStyle name="Normal 24 2 2 4 2 2 2" xfId="18249" xr:uid="{00000000-0005-0000-0000-000090240000}"/>
    <cellStyle name="Normal 24 2 2 4 2 3" xfId="7897" xr:uid="{00000000-0005-0000-0000-000091240000}"/>
    <cellStyle name="Normal 24 2 2 4 2 3 2" xfId="16650" xr:uid="{00000000-0005-0000-0000-000092240000}"/>
    <cellStyle name="Normal 24 2 2 4 2 4" xfId="11109" xr:uid="{00000000-0005-0000-0000-000093240000}"/>
    <cellStyle name="Normal 24 2 2 4 2 4 2" xfId="19796" xr:uid="{00000000-0005-0000-0000-000094240000}"/>
    <cellStyle name="Normal 24 2 2 4 2 5" xfId="12716" xr:uid="{00000000-0005-0000-0000-000095240000}"/>
    <cellStyle name="Normal 24 2 2 4 2 5 2" xfId="21396" xr:uid="{00000000-0005-0000-0000-000096240000}"/>
    <cellStyle name="Normal 24 2 2 4 2 6" xfId="14890" xr:uid="{00000000-0005-0000-0000-000097240000}"/>
    <cellStyle name="Normal 24 2 2 4 3" xfId="2675" xr:uid="{00000000-0005-0000-0000-000098240000}"/>
    <cellStyle name="Normal 24 2 2 4 3 2" xfId="9500" xr:uid="{00000000-0005-0000-0000-000099240000}"/>
    <cellStyle name="Normal 24 2 2 4 3 2 2" xfId="18250" xr:uid="{00000000-0005-0000-0000-00009A240000}"/>
    <cellStyle name="Normal 24 2 2 4 3 3" xfId="7898" xr:uid="{00000000-0005-0000-0000-00009B240000}"/>
    <cellStyle name="Normal 24 2 2 4 3 3 2" xfId="16651" xr:uid="{00000000-0005-0000-0000-00009C240000}"/>
    <cellStyle name="Normal 24 2 2 4 3 4" xfId="11110" xr:uid="{00000000-0005-0000-0000-00009D240000}"/>
    <cellStyle name="Normal 24 2 2 4 3 4 2" xfId="19797" xr:uid="{00000000-0005-0000-0000-00009E240000}"/>
    <cellStyle name="Normal 24 2 2 4 3 5" xfId="12717" xr:uid="{00000000-0005-0000-0000-00009F240000}"/>
    <cellStyle name="Normal 24 2 2 4 3 5 2" xfId="21397" xr:uid="{00000000-0005-0000-0000-0000A0240000}"/>
    <cellStyle name="Normal 24 2 2 4 3 6" xfId="14891" xr:uid="{00000000-0005-0000-0000-0000A1240000}"/>
    <cellStyle name="Normal 24 2 2 4 4" xfId="2676" xr:uid="{00000000-0005-0000-0000-0000A2240000}"/>
    <cellStyle name="Normal 24 2 2 4 4 2" xfId="9501" xr:uid="{00000000-0005-0000-0000-0000A3240000}"/>
    <cellStyle name="Normal 24 2 2 4 4 2 2" xfId="18251" xr:uid="{00000000-0005-0000-0000-0000A4240000}"/>
    <cellStyle name="Normal 24 2 2 4 4 3" xfId="7899" xr:uid="{00000000-0005-0000-0000-0000A5240000}"/>
    <cellStyle name="Normal 24 2 2 4 4 3 2" xfId="16652" xr:uid="{00000000-0005-0000-0000-0000A6240000}"/>
    <cellStyle name="Normal 24 2 2 4 4 4" xfId="11111" xr:uid="{00000000-0005-0000-0000-0000A7240000}"/>
    <cellStyle name="Normal 24 2 2 4 4 4 2" xfId="19798" xr:uid="{00000000-0005-0000-0000-0000A8240000}"/>
    <cellStyle name="Normal 24 2 2 4 4 5" xfId="12718" xr:uid="{00000000-0005-0000-0000-0000A9240000}"/>
    <cellStyle name="Normal 24 2 2 4 4 5 2" xfId="21398" xr:uid="{00000000-0005-0000-0000-0000AA240000}"/>
    <cellStyle name="Normal 24 2 2 4 4 6" xfId="14892" xr:uid="{00000000-0005-0000-0000-0000AB240000}"/>
    <cellStyle name="Normal 24 2 2 4 5" xfId="9498" xr:uid="{00000000-0005-0000-0000-0000AC240000}"/>
    <cellStyle name="Normal 24 2 2 4 5 2" xfId="18248" xr:uid="{00000000-0005-0000-0000-0000AD240000}"/>
    <cellStyle name="Normal 24 2 2 4 6" xfId="7896" xr:uid="{00000000-0005-0000-0000-0000AE240000}"/>
    <cellStyle name="Normal 24 2 2 4 6 2" xfId="16649" xr:uid="{00000000-0005-0000-0000-0000AF240000}"/>
    <cellStyle name="Normal 24 2 2 4 7" xfId="11108" xr:uid="{00000000-0005-0000-0000-0000B0240000}"/>
    <cellStyle name="Normal 24 2 2 4 7 2" xfId="19795" xr:uid="{00000000-0005-0000-0000-0000B1240000}"/>
    <cellStyle name="Normal 24 2 2 4 8" xfId="12715" xr:uid="{00000000-0005-0000-0000-0000B2240000}"/>
    <cellStyle name="Normal 24 2 2 4 8 2" xfId="21395" xr:uid="{00000000-0005-0000-0000-0000B3240000}"/>
    <cellStyle name="Normal 24 2 2 4 9" xfId="14889" xr:uid="{00000000-0005-0000-0000-0000B4240000}"/>
    <cellStyle name="Normal 24 2 2 5" xfId="2677" xr:uid="{00000000-0005-0000-0000-0000B5240000}"/>
    <cellStyle name="Normal 24 2 2 5 2" xfId="9502" xr:uid="{00000000-0005-0000-0000-0000B6240000}"/>
    <cellStyle name="Normal 24 2 2 5 2 2" xfId="18252" xr:uid="{00000000-0005-0000-0000-0000B7240000}"/>
    <cellStyle name="Normal 24 2 2 5 3" xfId="7900" xr:uid="{00000000-0005-0000-0000-0000B8240000}"/>
    <cellStyle name="Normal 24 2 2 5 3 2" xfId="16653" xr:uid="{00000000-0005-0000-0000-0000B9240000}"/>
    <cellStyle name="Normal 24 2 2 5 4" xfId="11112" xr:uid="{00000000-0005-0000-0000-0000BA240000}"/>
    <cellStyle name="Normal 24 2 2 5 4 2" xfId="19799" xr:uid="{00000000-0005-0000-0000-0000BB240000}"/>
    <cellStyle name="Normal 24 2 2 5 5" xfId="12719" xr:uid="{00000000-0005-0000-0000-0000BC240000}"/>
    <cellStyle name="Normal 24 2 2 5 5 2" xfId="21399" xr:uid="{00000000-0005-0000-0000-0000BD240000}"/>
    <cellStyle name="Normal 24 2 2 5 6" xfId="14893" xr:uid="{00000000-0005-0000-0000-0000BE240000}"/>
    <cellStyle name="Normal 24 2 2 6" xfId="2678" xr:uid="{00000000-0005-0000-0000-0000BF240000}"/>
    <cellStyle name="Normal 24 2 2 6 2" xfId="9503" xr:uid="{00000000-0005-0000-0000-0000C0240000}"/>
    <cellStyle name="Normal 24 2 2 6 2 2" xfId="18253" xr:uid="{00000000-0005-0000-0000-0000C1240000}"/>
    <cellStyle name="Normal 24 2 2 6 3" xfId="7901" xr:uid="{00000000-0005-0000-0000-0000C2240000}"/>
    <cellStyle name="Normal 24 2 2 6 3 2" xfId="16654" xr:uid="{00000000-0005-0000-0000-0000C3240000}"/>
    <cellStyle name="Normal 24 2 2 6 4" xfId="11113" xr:uid="{00000000-0005-0000-0000-0000C4240000}"/>
    <cellStyle name="Normal 24 2 2 6 4 2" xfId="19800" xr:uid="{00000000-0005-0000-0000-0000C5240000}"/>
    <cellStyle name="Normal 24 2 2 6 5" xfId="12720" xr:uid="{00000000-0005-0000-0000-0000C6240000}"/>
    <cellStyle name="Normal 24 2 2 6 5 2" xfId="21400" xr:uid="{00000000-0005-0000-0000-0000C7240000}"/>
    <cellStyle name="Normal 24 2 2 6 6" xfId="14894" xr:uid="{00000000-0005-0000-0000-0000C8240000}"/>
    <cellStyle name="Normal 24 2 2 7" xfId="2679" xr:uid="{00000000-0005-0000-0000-0000C9240000}"/>
    <cellStyle name="Normal 24 2 2 7 2" xfId="9504" xr:uid="{00000000-0005-0000-0000-0000CA240000}"/>
    <cellStyle name="Normal 24 2 2 7 2 2" xfId="18254" xr:uid="{00000000-0005-0000-0000-0000CB240000}"/>
    <cellStyle name="Normal 24 2 2 7 3" xfId="7902" xr:uid="{00000000-0005-0000-0000-0000CC240000}"/>
    <cellStyle name="Normal 24 2 2 7 3 2" xfId="16655" xr:uid="{00000000-0005-0000-0000-0000CD240000}"/>
    <cellStyle name="Normal 24 2 2 7 4" xfId="11114" xr:uid="{00000000-0005-0000-0000-0000CE240000}"/>
    <cellStyle name="Normal 24 2 2 7 4 2" xfId="19801" xr:uid="{00000000-0005-0000-0000-0000CF240000}"/>
    <cellStyle name="Normal 24 2 2 7 5" xfId="12721" xr:uid="{00000000-0005-0000-0000-0000D0240000}"/>
    <cellStyle name="Normal 24 2 2 7 5 2" xfId="21401" xr:uid="{00000000-0005-0000-0000-0000D1240000}"/>
    <cellStyle name="Normal 24 2 2 7 6" xfId="14895" xr:uid="{00000000-0005-0000-0000-0000D2240000}"/>
    <cellStyle name="Normal 24 2 3" xfId="2680" xr:uid="{00000000-0005-0000-0000-0000D3240000}"/>
    <cellStyle name="Normal 24 2 3 2" xfId="2681" xr:uid="{00000000-0005-0000-0000-0000D4240000}"/>
    <cellStyle name="Normal 24 2 3 2 2" xfId="9506" xr:uid="{00000000-0005-0000-0000-0000D5240000}"/>
    <cellStyle name="Normal 24 2 3 2 2 2" xfId="18256" xr:uid="{00000000-0005-0000-0000-0000D6240000}"/>
    <cellStyle name="Normal 24 2 3 2 3" xfId="7904" xr:uid="{00000000-0005-0000-0000-0000D7240000}"/>
    <cellStyle name="Normal 24 2 3 2 3 2" xfId="16657" xr:uid="{00000000-0005-0000-0000-0000D8240000}"/>
    <cellStyle name="Normal 24 2 3 2 4" xfId="11116" xr:uid="{00000000-0005-0000-0000-0000D9240000}"/>
    <cellStyle name="Normal 24 2 3 2 4 2" xfId="19803" xr:uid="{00000000-0005-0000-0000-0000DA240000}"/>
    <cellStyle name="Normal 24 2 3 2 5" xfId="12723" xr:uid="{00000000-0005-0000-0000-0000DB240000}"/>
    <cellStyle name="Normal 24 2 3 2 5 2" xfId="21403" xr:uid="{00000000-0005-0000-0000-0000DC240000}"/>
    <cellStyle name="Normal 24 2 3 2 6" xfId="14897" xr:uid="{00000000-0005-0000-0000-0000DD240000}"/>
    <cellStyle name="Normal 24 2 3 3" xfId="2682" xr:uid="{00000000-0005-0000-0000-0000DE240000}"/>
    <cellStyle name="Normal 24 2 3 3 2" xfId="9507" xr:uid="{00000000-0005-0000-0000-0000DF240000}"/>
    <cellStyle name="Normal 24 2 3 3 2 2" xfId="18257" xr:uid="{00000000-0005-0000-0000-0000E0240000}"/>
    <cellStyle name="Normal 24 2 3 3 3" xfId="7905" xr:uid="{00000000-0005-0000-0000-0000E1240000}"/>
    <cellStyle name="Normal 24 2 3 3 3 2" xfId="16658" xr:uid="{00000000-0005-0000-0000-0000E2240000}"/>
    <cellStyle name="Normal 24 2 3 3 4" xfId="11117" xr:uid="{00000000-0005-0000-0000-0000E3240000}"/>
    <cellStyle name="Normal 24 2 3 3 4 2" xfId="19804" xr:uid="{00000000-0005-0000-0000-0000E4240000}"/>
    <cellStyle name="Normal 24 2 3 3 5" xfId="12724" xr:uid="{00000000-0005-0000-0000-0000E5240000}"/>
    <cellStyle name="Normal 24 2 3 3 5 2" xfId="21404" xr:uid="{00000000-0005-0000-0000-0000E6240000}"/>
    <cellStyle name="Normal 24 2 3 3 6" xfId="14898" xr:uid="{00000000-0005-0000-0000-0000E7240000}"/>
    <cellStyle name="Normal 24 2 3 4" xfId="2683" xr:uid="{00000000-0005-0000-0000-0000E8240000}"/>
    <cellStyle name="Normal 24 2 3 4 2" xfId="9508" xr:uid="{00000000-0005-0000-0000-0000E9240000}"/>
    <cellStyle name="Normal 24 2 3 4 2 2" xfId="18258" xr:uid="{00000000-0005-0000-0000-0000EA240000}"/>
    <cellStyle name="Normal 24 2 3 4 3" xfId="7906" xr:uid="{00000000-0005-0000-0000-0000EB240000}"/>
    <cellStyle name="Normal 24 2 3 4 3 2" xfId="16659" xr:uid="{00000000-0005-0000-0000-0000EC240000}"/>
    <cellStyle name="Normal 24 2 3 4 4" xfId="11118" xr:uid="{00000000-0005-0000-0000-0000ED240000}"/>
    <cellStyle name="Normal 24 2 3 4 4 2" xfId="19805" xr:uid="{00000000-0005-0000-0000-0000EE240000}"/>
    <cellStyle name="Normal 24 2 3 4 5" xfId="12725" xr:uid="{00000000-0005-0000-0000-0000EF240000}"/>
    <cellStyle name="Normal 24 2 3 4 5 2" xfId="21405" xr:uid="{00000000-0005-0000-0000-0000F0240000}"/>
    <cellStyle name="Normal 24 2 3 4 6" xfId="14899" xr:uid="{00000000-0005-0000-0000-0000F1240000}"/>
    <cellStyle name="Normal 24 2 3 5" xfId="9505" xr:uid="{00000000-0005-0000-0000-0000F2240000}"/>
    <cellStyle name="Normal 24 2 3 5 2" xfId="18255" xr:uid="{00000000-0005-0000-0000-0000F3240000}"/>
    <cellStyle name="Normal 24 2 3 6" xfId="7903" xr:uid="{00000000-0005-0000-0000-0000F4240000}"/>
    <cellStyle name="Normal 24 2 3 6 2" xfId="16656" xr:uid="{00000000-0005-0000-0000-0000F5240000}"/>
    <cellStyle name="Normal 24 2 3 7" xfId="11115" xr:uid="{00000000-0005-0000-0000-0000F6240000}"/>
    <cellStyle name="Normal 24 2 3 7 2" xfId="19802" xr:uid="{00000000-0005-0000-0000-0000F7240000}"/>
    <cellStyle name="Normal 24 2 3 8" xfId="12722" xr:uid="{00000000-0005-0000-0000-0000F8240000}"/>
    <cellStyle name="Normal 24 2 3 8 2" xfId="21402" xr:uid="{00000000-0005-0000-0000-0000F9240000}"/>
    <cellStyle name="Normal 24 2 3 9" xfId="14896" xr:uid="{00000000-0005-0000-0000-0000FA240000}"/>
    <cellStyle name="Normal 24 2 4" xfId="2684" xr:uid="{00000000-0005-0000-0000-0000FB240000}"/>
    <cellStyle name="Normal 24 2 5" xfId="2685" xr:uid="{00000000-0005-0000-0000-0000FC240000}"/>
    <cellStyle name="Normal 24 2 6" xfId="2686" xr:uid="{00000000-0005-0000-0000-0000FD240000}"/>
    <cellStyle name="Normal 24 2 6 2" xfId="9509" xr:uid="{00000000-0005-0000-0000-0000FE240000}"/>
    <cellStyle name="Normal 24 2 6 2 2" xfId="18259" xr:uid="{00000000-0005-0000-0000-0000FF240000}"/>
    <cellStyle name="Normal 24 2 6 3" xfId="7907" xr:uid="{00000000-0005-0000-0000-000000250000}"/>
    <cellStyle name="Normal 24 2 6 3 2" xfId="16660" xr:uid="{00000000-0005-0000-0000-000001250000}"/>
    <cellStyle name="Normal 24 2 6 4" xfId="11119" xr:uid="{00000000-0005-0000-0000-000002250000}"/>
    <cellStyle name="Normal 24 2 6 4 2" xfId="19806" xr:uid="{00000000-0005-0000-0000-000003250000}"/>
    <cellStyle name="Normal 24 2 6 5" xfId="12726" xr:uid="{00000000-0005-0000-0000-000004250000}"/>
    <cellStyle name="Normal 24 2 6 5 2" xfId="21406" xr:uid="{00000000-0005-0000-0000-000005250000}"/>
    <cellStyle name="Normal 24 2 6 6" xfId="14900" xr:uid="{00000000-0005-0000-0000-000006250000}"/>
    <cellStyle name="Normal 24 2 7" xfId="2687" xr:uid="{00000000-0005-0000-0000-000007250000}"/>
    <cellStyle name="Normal 24 2 7 2" xfId="9510" xr:uid="{00000000-0005-0000-0000-000008250000}"/>
    <cellStyle name="Normal 24 2 7 2 2" xfId="18260" xr:uid="{00000000-0005-0000-0000-000009250000}"/>
    <cellStyle name="Normal 24 2 7 3" xfId="7908" xr:uid="{00000000-0005-0000-0000-00000A250000}"/>
    <cellStyle name="Normal 24 2 7 3 2" xfId="16661" xr:uid="{00000000-0005-0000-0000-00000B250000}"/>
    <cellStyle name="Normal 24 2 7 4" xfId="11120" xr:uid="{00000000-0005-0000-0000-00000C250000}"/>
    <cellStyle name="Normal 24 2 7 4 2" xfId="19807" xr:uid="{00000000-0005-0000-0000-00000D250000}"/>
    <cellStyle name="Normal 24 2 7 5" xfId="12727" xr:uid="{00000000-0005-0000-0000-00000E250000}"/>
    <cellStyle name="Normal 24 2 7 5 2" xfId="21407" xr:uid="{00000000-0005-0000-0000-00000F250000}"/>
    <cellStyle name="Normal 24 2 7 6" xfId="14901" xr:uid="{00000000-0005-0000-0000-000010250000}"/>
    <cellStyle name="Normal 24 2 8" xfId="2688" xr:uid="{00000000-0005-0000-0000-000011250000}"/>
    <cellStyle name="Normal 24 2 8 2" xfId="9511" xr:uid="{00000000-0005-0000-0000-000012250000}"/>
    <cellStyle name="Normal 24 2 8 2 2" xfId="18261" xr:uid="{00000000-0005-0000-0000-000013250000}"/>
    <cellStyle name="Normal 24 2 8 3" xfId="7909" xr:uid="{00000000-0005-0000-0000-000014250000}"/>
    <cellStyle name="Normal 24 2 8 3 2" xfId="16662" xr:uid="{00000000-0005-0000-0000-000015250000}"/>
    <cellStyle name="Normal 24 2 8 4" xfId="11121" xr:uid="{00000000-0005-0000-0000-000016250000}"/>
    <cellStyle name="Normal 24 2 8 4 2" xfId="19808" xr:uid="{00000000-0005-0000-0000-000017250000}"/>
    <cellStyle name="Normal 24 2 8 5" xfId="12728" xr:uid="{00000000-0005-0000-0000-000018250000}"/>
    <cellStyle name="Normal 24 2 8 5 2" xfId="21408" xr:uid="{00000000-0005-0000-0000-000019250000}"/>
    <cellStyle name="Normal 24 2 8 6" xfId="14902" xr:uid="{00000000-0005-0000-0000-00001A250000}"/>
    <cellStyle name="Normal 24 2 9" xfId="9489" xr:uid="{00000000-0005-0000-0000-00001B250000}"/>
    <cellStyle name="Normal 24 2 9 2" xfId="18239" xr:uid="{00000000-0005-0000-0000-00001C250000}"/>
    <cellStyle name="Normal 24 3" xfId="2689" xr:uid="{00000000-0005-0000-0000-00001D250000}"/>
    <cellStyle name="Normal 24 4" xfId="2659" xr:uid="{00000000-0005-0000-0000-00001E250000}"/>
    <cellStyle name="Normal 24 5" xfId="10644" xr:uid="{00000000-0005-0000-0000-00001F250000}"/>
    <cellStyle name="Normal 25" xfId="159" xr:uid="{00000000-0005-0000-0000-000020250000}"/>
    <cellStyle name="Normal 25 2" xfId="2691" xr:uid="{00000000-0005-0000-0000-000021250000}"/>
    <cellStyle name="Normal 25 2 10" xfId="7910" xr:uid="{00000000-0005-0000-0000-000022250000}"/>
    <cellStyle name="Normal 25 2 10 2" xfId="16663" xr:uid="{00000000-0005-0000-0000-000023250000}"/>
    <cellStyle name="Normal 25 2 11" xfId="11122" xr:uid="{00000000-0005-0000-0000-000024250000}"/>
    <cellStyle name="Normal 25 2 11 2" xfId="19809" xr:uid="{00000000-0005-0000-0000-000025250000}"/>
    <cellStyle name="Normal 25 2 12" xfId="12729" xr:uid="{00000000-0005-0000-0000-000026250000}"/>
    <cellStyle name="Normal 25 2 12 2" xfId="21409" xr:uid="{00000000-0005-0000-0000-000027250000}"/>
    <cellStyle name="Normal 25 2 13" xfId="14903" xr:uid="{00000000-0005-0000-0000-000028250000}"/>
    <cellStyle name="Normal 25 2 2" xfId="2692" xr:uid="{00000000-0005-0000-0000-000029250000}"/>
    <cellStyle name="Normal 25 2 2 2" xfId="2693" xr:uid="{00000000-0005-0000-0000-00002A250000}"/>
    <cellStyle name="Normal 25 2 2 2 2" xfId="2694" xr:uid="{00000000-0005-0000-0000-00002B250000}"/>
    <cellStyle name="Normal 25 2 2 2 2 2" xfId="2695" xr:uid="{00000000-0005-0000-0000-00002C250000}"/>
    <cellStyle name="Normal 25 2 2 2 2 2 2" xfId="9514" xr:uid="{00000000-0005-0000-0000-00002D250000}"/>
    <cellStyle name="Normal 25 2 2 2 2 2 2 2" xfId="18264" xr:uid="{00000000-0005-0000-0000-00002E250000}"/>
    <cellStyle name="Normal 25 2 2 2 2 2 3" xfId="7912" xr:uid="{00000000-0005-0000-0000-00002F250000}"/>
    <cellStyle name="Normal 25 2 2 2 2 2 3 2" xfId="16665" xr:uid="{00000000-0005-0000-0000-000030250000}"/>
    <cellStyle name="Normal 25 2 2 2 2 2 4" xfId="11124" xr:uid="{00000000-0005-0000-0000-000031250000}"/>
    <cellStyle name="Normal 25 2 2 2 2 2 4 2" xfId="19811" xr:uid="{00000000-0005-0000-0000-000032250000}"/>
    <cellStyle name="Normal 25 2 2 2 2 2 5" xfId="12731" xr:uid="{00000000-0005-0000-0000-000033250000}"/>
    <cellStyle name="Normal 25 2 2 2 2 2 5 2" xfId="21411" xr:uid="{00000000-0005-0000-0000-000034250000}"/>
    <cellStyle name="Normal 25 2 2 2 2 2 6" xfId="14905" xr:uid="{00000000-0005-0000-0000-000035250000}"/>
    <cellStyle name="Normal 25 2 2 2 2 3" xfId="2696" xr:uid="{00000000-0005-0000-0000-000036250000}"/>
    <cellStyle name="Normal 25 2 2 2 2 3 2" xfId="9515" xr:uid="{00000000-0005-0000-0000-000037250000}"/>
    <cellStyle name="Normal 25 2 2 2 2 3 2 2" xfId="18265" xr:uid="{00000000-0005-0000-0000-000038250000}"/>
    <cellStyle name="Normal 25 2 2 2 2 3 3" xfId="7913" xr:uid="{00000000-0005-0000-0000-000039250000}"/>
    <cellStyle name="Normal 25 2 2 2 2 3 3 2" xfId="16666" xr:uid="{00000000-0005-0000-0000-00003A250000}"/>
    <cellStyle name="Normal 25 2 2 2 2 3 4" xfId="11125" xr:uid="{00000000-0005-0000-0000-00003B250000}"/>
    <cellStyle name="Normal 25 2 2 2 2 3 4 2" xfId="19812" xr:uid="{00000000-0005-0000-0000-00003C250000}"/>
    <cellStyle name="Normal 25 2 2 2 2 3 5" xfId="12732" xr:uid="{00000000-0005-0000-0000-00003D250000}"/>
    <cellStyle name="Normal 25 2 2 2 2 3 5 2" xfId="21412" xr:uid="{00000000-0005-0000-0000-00003E250000}"/>
    <cellStyle name="Normal 25 2 2 2 2 3 6" xfId="14906" xr:uid="{00000000-0005-0000-0000-00003F250000}"/>
    <cellStyle name="Normal 25 2 2 2 2 4" xfId="2697" xr:uid="{00000000-0005-0000-0000-000040250000}"/>
    <cellStyle name="Normal 25 2 2 2 2 4 2" xfId="9516" xr:uid="{00000000-0005-0000-0000-000041250000}"/>
    <cellStyle name="Normal 25 2 2 2 2 4 2 2" xfId="18266" xr:uid="{00000000-0005-0000-0000-000042250000}"/>
    <cellStyle name="Normal 25 2 2 2 2 4 3" xfId="7914" xr:uid="{00000000-0005-0000-0000-000043250000}"/>
    <cellStyle name="Normal 25 2 2 2 2 4 3 2" xfId="16667" xr:uid="{00000000-0005-0000-0000-000044250000}"/>
    <cellStyle name="Normal 25 2 2 2 2 4 4" xfId="11126" xr:uid="{00000000-0005-0000-0000-000045250000}"/>
    <cellStyle name="Normal 25 2 2 2 2 4 4 2" xfId="19813" xr:uid="{00000000-0005-0000-0000-000046250000}"/>
    <cellStyle name="Normal 25 2 2 2 2 4 5" xfId="12733" xr:uid="{00000000-0005-0000-0000-000047250000}"/>
    <cellStyle name="Normal 25 2 2 2 2 4 5 2" xfId="21413" xr:uid="{00000000-0005-0000-0000-000048250000}"/>
    <cellStyle name="Normal 25 2 2 2 2 4 6" xfId="14907" xr:uid="{00000000-0005-0000-0000-000049250000}"/>
    <cellStyle name="Normal 25 2 2 2 3" xfId="2698" xr:uid="{00000000-0005-0000-0000-00004A250000}"/>
    <cellStyle name="Normal 25 2 2 2 4" xfId="2699" xr:uid="{00000000-0005-0000-0000-00004B250000}"/>
    <cellStyle name="Normal 25 2 2 2 5" xfId="9513" xr:uid="{00000000-0005-0000-0000-00004C250000}"/>
    <cellStyle name="Normal 25 2 2 2 5 2" xfId="18263" xr:uid="{00000000-0005-0000-0000-00004D250000}"/>
    <cellStyle name="Normal 25 2 2 2 6" xfId="7911" xr:uid="{00000000-0005-0000-0000-00004E250000}"/>
    <cellStyle name="Normal 25 2 2 2 6 2" xfId="16664" xr:uid="{00000000-0005-0000-0000-00004F250000}"/>
    <cellStyle name="Normal 25 2 2 2 7" xfId="11123" xr:uid="{00000000-0005-0000-0000-000050250000}"/>
    <cellStyle name="Normal 25 2 2 2 7 2" xfId="19810" xr:uid="{00000000-0005-0000-0000-000051250000}"/>
    <cellStyle name="Normal 25 2 2 2 8" xfId="12730" xr:uid="{00000000-0005-0000-0000-000052250000}"/>
    <cellStyle name="Normal 25 2 2 2 8 2" xfId="21410" xr:uid="{00000000-0005-0000-0000-000053250000}"/>
    <cellStyle name="Normal 25 2 2 2 9" xfId="14904" xr:uid="{00000000-0005-0000-0000-000054250000}"/>
    <cellStyle name="Normal 25 2 2 3" xfId="2700" xr:uid="{00000000-0005-0000-0000-000055250000}"/>
    <cellStyle name="Normal 25 2 2 3 2" xfId="2701" xr:uid="{00000000-0005-0000-0000-000056250000}"/>
    <cellStyle name="Normal 25 2 2 3 2 2" xfId="9518" xr:uid="{00000000-0005-0000-0000-000057250000}"/>
    <cellStyle name="Normal 25 2 2 3 2 2 2" xfId="18268" xr:uid="{00000000-0005-0000-0000-000058250000}"/>
    <cellStyle name="Normal 25 2 2 3 2 3" xfId="7916" xr:uid="{00000000-0005-0000-0000-000059250000}"/>
    <cellStyle name="Normal 25 2 2 3 2 3 2" xfId="16669" xr:uid="{00000000-0005-0000-0000-00005A250000}"/>
    <cellStyle name="Normal 25 2 2 3 2 4" xfId="11128" xr:uid="{00000000-0005-0000-0000-00005B250000}"/>
    <cellStyle name="Normal 25 2 2 3 2 4 2" xfId="19815" xr:uid="{00000000-0005-0000-0000-00005C250000}"/>
    <cellStyle name="Normal 25 2 2 3 2 5" xfId="12735" xr:uid="{00000000-0005-0000-0000-00005D250000}"/>
    <cellStyle name="Normal 25 2 2 3 2 5 2" xfId="21415" xr:uid="{00000000-0005-0000-0000-00005E250000}"/>
    <cellStyle name="Normal 25 2 2 3 2 6" xfId="14909" xr:uid="{00000000-0005-0000-0000-00005F250000}"/>
    <cellStyle name="Normal 25 2 2 3 3" xfId="2702" xr:uid="{00000000-0005-0000-0000-000060250000}"/>
    <cellStyle name="Normal 25 2 2 3 3 2" xfId="9519" xr:uid="{00000000-0005-0000-0000-000061250000}"/>
    <cellStyle name="Normal 25 2 2 3 3 2 2" xfId="18269" xr:uid="{00000000-0005-0000-0000-000062250000}"/>
    <cellStyle name="Normal 25 2 2 3 3 3" xfId="7917" xr:uid="{00000000-0005-0000-0000-000063250000}"/>
    <cellStyle name="Normal 25 2 2 3 3 3 2" xfId="16670" xr:uid="{00000000-0005-0000-0000-000064250000}"/>
    <cellStyle name="Normal 25 2 2 3 3 4" xfId="11129" xr:uid="{00000000-0005-0000-0000-000065250000}"/>
    <cellStyle name="Normal 25 2 2 3 3 4 2" xfId="19816" xr:uid="{00000000-0005-0000-0000-000066250000}"/>
    <cellStyle name="Normal 25 2 2 3 3 5" xfId="12736" xr:uid="{00000000-0005-0000-0000-000067250000}"/>
    <cellStyle name="Normal 25 2 2 3 3 5 2" xfId="21416" xr:uid="{00000000-0005-0000-0000-000068250000}"/>
    <cellStyle name="Normal 25 2 2 3 3 6" xfId="14910" xr:uid="{00000000-0005-0000-0000-000069250000}"/>
    <cellStyle name="Normal 25 2 2 3 4" xfId="2703" xr:uid="{00000000-0005-0000-0000-00006A250000}"/>
    <cellStyle name="Normal 25 2 2 3 4 2" xfId="9520" xr:uid="{00000000-0005-0000-0000-00006B250000}"/>
    <cellStyle name="Normal 25 2 2 3 4 2 2" xfId="18270" xr:uid="{00000000-0005-0000-0000-00006C250000}"/>
    <cellStyle name="Normal 25 2 2 3 4 3" xfId="7918" xr:uid="{00000000-0005-0000-0000-00006D250000}"/>
    <cellStyle name="Normal 25 2 2 3 4 3 2" xfId="16671" xr:uid="{00000000-0005-0000-0000-00006E250000}"/>
    <cellStyle name="Normal 25 2 2 3 4 4" xfId="11130" xr:uid="{00000000-0005-0000-0000-00006F250000}"/>
    <cellStyle name="Normal 25 2 2 3 4 4 2" xfId="19817" xr:uid="{00000000-0005-0000-0000-000070250000}"/>
    <cellStyle name="Normal 25 2 2 3 4 5" xfId="12737" xr:uid="{00000000-0005-0000-0000-000071250000}"/>
    <cellStyle name="Normal 25 2 2 3 4 5 2" xfId="21417" xr:uid="{00000000-0005-0000-0000-000072250000}"/>
    <cellStyle name="Normal 25 2 2 3 4 6" xfId="14911" xr:uid="{00000000-0005-0000-0000-000073250000}"/>
    <cellStyle name="Normal 25 2 2 3 5" xfId="9517" xr:uid="{00000000-0005-0000-0000-000074250000}"/>
    <cellStyle name="Normal 25 2 2 3 5 2" xfId="18267" xr:uid="{00000000-0005-0000-0000-000075250000}"/>
    <cellStyle name="Normal 25 2 2 3 6" xfId="7915" xr:uid="{00000000-0005-0000-0000-000076250000}"/>
    <cellStyle name="Normal 25 2 2 3 6 2" xfId="16668" xr:uid="{00000000-0005-0000-0000-000077250000}"/>
    <cellStyle name="Normal 25 2 2 3 7" xfId="11127" xr:uid="{00000000-0005-0000-0000-000078250000}"/>
    <cellStyle name="Normal 25 2 2 3 7 2" xfId="19814" xr:uid="{00000000-0005-0000-0000-000079250000}"/>
    <cellStyle name="Normal 25 2 2 3 8" xfId="12734" xr:uid="{00000000-0005-0000-0000-00007A250000}"/>
    <cellStyle name="Normal 25 2 2 3 8 2" xfId="21414" xr:uid="{00000000-0005-0000-0000-00007B250000}"/>
    <cellStyle name="Normal 25 2 2 3 9" xfId="14908" xr:uid="{00000000-0005-0000-0000-00007C250000}"/>
    <cellStyle name="Normal 25 2 2 4" xfId="2704" xr:uid="{00000000-0005-0000-0000-00007D250000}"/>
    <cellStyle name="Normal 25 2 2 4 2" xfId="2705" xr:uid="{00000000-0005-0000-0000-00007E250000}"/>
    <cellStyle name="Normal 25 2 2 4 2 2" xfId="9522" xr:uid="{00000000-0005-0000-0000-00007F250000}"/>
    <cellStyle name="Normal 25 2 2 4 2 2 2" xfId="18272" xr:uid="{00000000-0005-0000-0000-000080250000}"/>
    <cellStyle name="Normal 25 2 2 4 2 3" xfId="7920" xr:uid="{00000000-0005-0000-0000-000081250000}"/>
    <cellStyle name="Normal 25 2 2 4 2 3 2" xfId="16673" xr:uid="{00000000-0005-0000-0000-000082250000}"/>
    <cellStyle name="Normal 25 2 2 4 2 4" xfId="11132" xr:uid="{00000000-0005-0000-0000-000083250000}"/>
    <cellStyle name="Normal 25 2 2 4 2 4 2" xfId="19819" xr:uid="{00000000-0005-0000-0000-000084250000}"/>
    <cellStyle name="Normal 25 2 2 4 2 5" xfId="12739" xr:uid="{00000000-0005-0000-0000-000085250000}"/>
    <cellStyle name="Normal 25 2 2 4 2 5 2" xfId="21419" xr:uid="{00000000-0005-0000-0000-000086250000}"/>
    <cellStyle name="Normal 25 2 2 4 2 6" xfId="14913" xr:uid="{00000000-0005-0000-0000-000087250000}"/>
    <cellStyle name="Normal 25 2 2 4 3" xfId="2706" xr:uid="{00000000-0005-0000-0000-000088250000}"/>
    <cellStyle name="Normal 25 2 2 4 3 2" xfId="9523" xr:uid="{00000000-0005-0000-0000-000089250000}"/>
    <cellStyle name="Normal 25 2 2 4 3 2 2" xfId="18273" xr:uid="{00000000-0005-0000-0000-00008A250000}"/>
    <cellStyle name="Normal 25 2 2 4 3 3" xfId="7921" xr:uid="{00000000-0005-0000-0000-00008B250000}"/>
    <cellStyle name="Normal 25 2 2 4 3 3 2" xfId="16674" xr:uid="{00000000-0005-0000-0000-00008C250000}"/>
    <cellStyle name="Normal 25 2 2 4 3 4" xfId="11133" xr:uid="{00000000-0005-0000-0000-00008D250000}"/>
    <cellStyle name="Normal 25 2 2 4 3 4 2" xfId="19820" xr:uid="{00000000-0005-0000-0000-00008E250000}"/>
    <cellStyle name="Normal 25 2 2 4 3 5" xfId="12740" xr:uid="{00000000-0005-0000-0000-00008F250000}"/>
    <cellStyle name="Normal 25 2 2 4 3 5 2" xfId="21420" xr:uid="{00000000-0005-0000-0000-000090250000}"/>
    <cellStyle name="Normal 25 2 2 4 3 6" xfId="14914" xr:uid="{00000000-0005-0000-0000-000091250000}"/>
    <cellStyle name="Normal 25 2 2 4 4" xfId="2707" xr:uid="{00000000-0005-0000-0000-000092250000}"/>
    <cellStyle name="Normal 25 2 2 4 4 2" xfId="9524" xr:uid="{00000000-0005-0000-0000-000093250000}"/>
    <cellStyle name="Normal 25 2 2 4 4 2 2" xfId="18274" xr:uid="{00000000-0005-0000-0000-000094250000}"/>
    <cellStyle name="Normal 25 2 2 4 4 3" xfId="7922" xr:uid="{00000000-0005-0000-0000-000095250000}"/>
    <cellStyle name="Normal 25 2 2 4 4 3 2" xfId="16675" xr:uid="{00000000-0005-0000-0000-000096250000}"/>
    <cellStyle name="Normal 25 2 2 4 4 4" xfId="11134" xr:uid="{00000000-0005-0000-0000-000097250000}"/>
    <cellStyle name="Normal 25 2 2 4 4 4 2" xfId="19821" xr:uid="{00000000-0005-0000-0000-000098250000}"/>
    <cellStyle name="Normal 25 2 2 4 4 5" xfId="12741" xr:uid="{00000000-0005-0000-0000-000099250000}"/>
    <cellStyle name="Normal 25 2 2 4 4 5 2" xfId="21421" xr:uid="{00000000-0005-0000-0000-00009A250000}"/>
    <cellStyle name="Normal 25 2 2 4 4 6" xfId="14915" xr:uid="{00000000-0005-0000-0000-00009B250000}"/>
    <cellStyle name="Normal 25 2 2 4 5" xfId="9521" xr:uid="{00000000-0005-0000-0000-00009C250000}"/>
    <cellStyle name="Normal 25 2 2 4 5 2" xfId="18271" xr:uid="{00000000-0005-0000-0000-00009D250000}"/>
    <cellStyle name="Normal 25 2 2 4 6" xfId="7919" xr:uid="{00000000-0005-0000-0000-00009E250000}"/>
    <cellStyle name="Normal 25 2 2 4 6 2" xfId="16672" xr:uid="{00000000-0005-0000-0000-00009F250000}"/>
    <cellStyle name="Normal 25 2 2 4 7" xfId="11131" xr:uid="{00000000-0005-0000-0000-0000A0250000}"/>
    <cellStyle name="Normal 25 2 2 4 7 2" xfId="19818" xr:uid="{00000000-0005-0000-0000-0000A1250000}"/>
    <cellStyle name="Normal 25 2 2 4 8" xfId="12738" xr:uid="{00000000-0005-0000-0000-0000A2250000}"/>
    <cellStyle name="Normal 25 2 2 4 8 2" xfId="21418" xr:uid="{00000000-0005-0000-0000-0000A3250000}"/>
    <cellStyle name="Normal 25 2 2 4 9" xfId="14912" xr:uid="{00000000-0005-0000-0000-0000A4250000}"/>
    <cellStyle name="Normal 25 2 2 5" xfId="2708" xr:uid="{00000000-0005-0000-0000-0000A5250000}"/>
    <cellStyle name="Normal 25 2 2 5 2" xfId="9525" xr:uid="{00000000-0005-0000-0000-0000A6250000}"/>
    <cellStyle name="Normal 25 2 2 5 2 2" xfId="18275" xr:uid="{00000000-0005-0000-0000-0000A7250000}"/>
    <cellStyle name="Normal 25 2 2 5 3" xfId="7923" xr:uid="{00000000-0005-0000-0000-0000A8250000}"/>
    <cellStyle name="Normal 25 2 2 5 3 2" xfId="16676" xr:uid="{00000000-0005-0000-0000-0000A9250000}"/>
    <cellStyle name="Normal 25 2 2 5 4" xfId="11135" xr:uid="{00000000-0005-0000-0000-0000AA250000}"/>
    <cellStyle name="Normal 25 2 2 5 4 2" xfId="19822" xr:uid="{00000000-0005-0000-0000-0000AB250000}"/>
    <cellStyle name="Normal 25 2 2 5 5" xfId="12742" xr:uid="{00000000-0005-0000-0000-0000AC250000}"/>
    <cellStyle name="Normal 25 2 2 5 5 2" xfId="21422" xr:uid="{00000000-0005-0000-0000-0000AD250000}"/>
    <cellStyle name="Normal 25 2 2 5 6" xfId="14916" xr:uid="{00000000-0005-0000-0000-0000AE250000}"/>
    <cellStyle name="Normal 25 2 2 6" xfId="2709" xr:uid="{00000000-0005-0000-0000-0000AF250000}"/>
    <cellStyle name="Normal 25 2 2 6 2" xfId="9526" xr:uid="{00000000-0005-0000-0000-0000B0250000}"/>
    <cellStyle name="Normal 25 2 2 6 2 2" xfId="18276" xr:uid="{00000000-0005-0000-0000-0000B1250000}"/>
    <cellStyle name="Normal 25 2 2 6 3" xfId="7924" xr:uid="{00000000-0005-0000-0000-0000B2250000}"/>
    <cellStyle name="Normal 25 2 2 6 3 2" xfId="16677" xr:uid="{00000000-0005-0000-0000-0000B3250000}"/>
    <cellStyle name="Normal 25 2 2 6 4" xfId="11136" xr:uid="{00000000-0005-0000-0000-0000B4250000}"/>
    <cellStyle name="Normal 25 2 2 6 4 2" xfId="19823" xr:uid="{00000000-0005-0000-0000-0000B5250000}"/>
    <cellStyle name="Normal 25 2 2 6 5" xfId="12743" xr:uid="{00000000-0005-0000-0000-0000B6250000}"/>
    <cellStyle name="Normal 25 2 2 6 5 2" xfId="21423" xr:uid="{00000000-0005-0000-0000-0000B7250000}"/>
    <cellStyle name="Normal 25 2 2 6 6" xfId="14917" xr:uid="{00000000-0005-0000-0000-0000B8250000}"/>
    <cellStyle name="Normal 25 2 2 7" xfId="2710" xr:uid="{00000000-0005-0000-0000-0000B9250000}"/>
    <cellStyle name="Normal 25 2 2 7 2" xfId="9527" xr:uid="{00000000-0005-0000-0000-0000BA250000}"/>
    <cellStyle name="Normal 25 2 2 7 2 2" xfId="18277" xr:uid="{00000000-0005-0000-0000-0000BB250000}"/>
    <cellStyle name="Normal 25 2 2 7 3" xfId="7925" xr:uid="{00000000-0005-0000-0000-0000BC250000}"/>
    <cellStyle name="Normal 25 2 2 7 3 2" xfId="16678" xr:uid="{00000000-0005-0000-0000-0000BD250000}"/>
    <cellStyle name="Normal 25 2 2 7 4" xfId="11137" xr:uid="{00000000-0005-0000-0000-0000BE250000}"/>
    <cellStyle name="Normal 25 2 2 7 4 2" xfId="19824" xr:uid="{00000000-0005-0000-0000-0000BF250000}"/>
    <cellStyle name="Normal 25 2 2 7 5" xfId="12744" xr:uid="{00000000-0005-0000-0000-0000C0250000}"/>
    <cellStyle name="Normal 25 2 2 7 5 2" xfId="21424" xr:uid="{00000000-0005-0000-0000-0000C1250000}"/>
    <cellStyle name="Normal 25 2 2 7 6" xfId="14918" xr:uid="{00000000-0005-0000-0000-0000C2250000}"/>
    <cellStyle name="Normal 25 2 3" xfId="2711" xr:uid="{00000000-0005-0000-0000-0000C3250000}"/>
    <cellStyle name="Normal 25 2 3 2" xfId="2712" xr:uid="{00000000-0005-0000-0000-0000C4250000}"/>
    <cellStyle name="Normal 25 2 3 2 2" xfId="9529" xr:uid="{00000000-0005-0000-0000-0000C5250000}"/>
    <cellStyle name="Normal 25 2 3 2 2 2" xfId="18279" xr:uid="{00000000-0005-0000-0000-0000C6250000}"/>
    <cellStyle name="Normal 25 2 3 2 3" xfId="7927" xr:uid="{00000000-0005-0000-0000-0000C7250000}"/>
    <cellStyle name="Normal 25 2 3 2 3 2" xfId="16680" xr:uid="{00000000-0005-0000-0000-0000C8250000}"/>
    <cellStyle name="Normal 25 2 3 2 4" xfId="11139" xr:uid="{00000000-0005-0000-0000-0000C9250000}"/>
    <cellStyle name="Normal 25 2 3 2 4 2" xfId="19826" xr:uid="{00000000-0005-0000-0000-0000CA250000}"/>
    <cellStyle name="Normal 25 2 3 2 5" xfId="12746" xr:uid="{00000000-0005-0000-0000-0000CB250000}"/>
    <cellStyle name="Normal 25 2 3 2 5 2" xfId="21426" xr:uid="{00000000-0005-0000-0000-0000CC250000}"/>
    <cellStyle name="Normal 25 2 3 2 6" xfId="14920" xr:uid="{00000000-0005-0000-0000-0000CD250000}"/>
    <cellStyle name="Normal 25 2 3 3" xfId="2713" xr:uid="{00000000-0005-0000-0000-0000CE250000}"/>
    <cellStyle name="Normal 25 2 3 3 2" xfId="9530" xr:uid="{00000000-0005-0000-0000-0000CF250000}"/>
    <cellStyle name="Normal 25 2 3 3 2 2" xfId="18280" xr:uid="{00000000-0005-0000-0000-0000D0250000}"/>
    <cellStyle name="Normal 25 2 3 3 3" xfId="7928" xr:uid="{00000000-0005-0000-0000-0000D1250000}"/>
    <cellStyle name="Normal 25 2 3 3 3 2" xfId="16681" xr:uid="{00000000-0005-0000-0000-0000D2250000}"/>
    <cellStyle name="Normal 25 2 3 3 4" xfId="11140" xr:uid="{00000000-0005-0000-0000-0000D3250000}"/>
    <cellStyle name="Normal 25 2 3 3 4 2" xfId="19827" xr:uid="{00000000-0005-0000-0000-0000D4250000}"/>
    <cellStyle name="Normal 25 2 3 3 5" xfId="12747" xr:uid="{00000000-0005-0000-0000-0000D5250000}"/>
    <cellStyle name="Normal 25 2 3 3 5 2" xfId="21427" xr:uid="{00000000-0005-0000-0000-0000D6250000}"/>
    <cellStyle name="Normal 25 2 3 3 6" xfId="14921" xr:uid="{00000000-0005-0000-0000-0000D7250000}"/>
    <cellStyle name="Normal 25 2 3 4" xfId="2714" xr:uid="{00000000-0005-0000-0000-0000D8250000}"/>
    <cellStyle name="Normal 25 2 3 4 2" xfId="9531" xr:uid="{00000000-0005-0000-0000-0000D9250000}"/>
    <cellStyle name="Normal 25 2 3 4 2 2" xfId="18281" xr:uid="{00000000-0005-0000-0000-0000DA250000}"/>
    <cellStyle name="Normal 25 2 3 4 3" xfId="7929" xr:uid="{00000000-0005-0000-0000-0000DB250000}"/>
    <cellStyle name="Normal 25 2 3 4 3 2" xfId="16682" xr:uid="{00000000-0005-0000-0000-0000DC250000}"/>
    <cellStyle name="Normal 25 2 3 4 4" xfId="11141" xr:uid="{00000000-0005-0000-0000-0000DD250000}"/>
    <cellStyle name="Normal 25 2 3 4 4 2" xfId="19828" xr:uid="{00000000-0005-0000-0000-0000DE250000}"/>
    <cellStyle name="Normal 25 2 3 4 5" xfId="12748" xr:uid="{00000000-0005-0000-0000-0000DF250000}"/>
    <cellStyle name="Normal 25 2 3 4 5 2" xfId="21428" xr:uid="{00000000-0005-0000-0000-0000E0250000}"/>
    <cellStyle name="Normal 25 2 3 4 6" xfId="14922" xr:uid="{00000000-0005-0000-0000-0000E1250000}"/>
    <cellStyle name="Normal 25 2 3 5" xfId="9528" xr:uid="{00000000-0005-0000-0000-0000E2250000}"/>
    <cellStyle name="Normal 25 2 3 5 2" xfId="18278" xr:uid="{00000000-0005-0000-0000-0000E3250000}"/>
    <cellStyle name="Normal 25 2 3 6" xfId="7926" xr:uid="{00000000-0005-0000-0000-0000E4250000}"/>
    <cellStyle name="Normal 25 2 3 6 2" xfId="16679" xr:uid="{00000000-0005-0000-0000-0000E5250000}"/>
    <cellStyle name="Normal 25 2 3 7" xfId="11138" xr:uid="{00000000-0005-0000-0000-0000E6250000}"/>
    <cellStyle name="Normal 25 2 3 7 2" xfId="19825" xr:uid="{00000000-0005-0000-0000-0000E7250000}"/>
    <cellStyle name="Normal 25 2 3 8" xfId="12745" xr:uid="{00000000-0005-0000-0000-0000E8250000}"/>
    <cellStyle name="Normal 25 2 3 8 2" xfId="21425" xr:uid="{00000000-0005-0000-0000-0000E9250000}"/>
    <cellStyle name="Normal 25 2 3 9" xfId="14919" xr:uid="{00000000-0005-0000-0000-0000EA250000}"/>
    <cellStyle name="Normal 25 2 4" xfId="2715" xr:uid="{00000000-0005-0000-0000-0000EB250000}"/>
    <cellStyle name="Normal 25 2 5" xfId="2716" xr:uid="{00000000-0005-0000-0000-0000EC250000}"/>
    <cellStyle name="Normal 25 2 6" xfId="2717" xr:uid="{00000000-0005-0000-0000-0000ED250000}"/>
    <cellStyle name="Normal 25 2 6 2" xfId="9532" xr:uid="{00000000-0005-0000-0000-0000EE250000}"/>
    <cellStyle name="Normal 25 2 6 2 2" xfId="18282" xr:uid="{00000000-0005-0000-0000-0000EF250000}"/>
    <cellStyle name="Normal 25 2 6 3" xfId="7930" xr:uid="{00000000-0005-0000-0000-0000F0250000}"/>
    <cellStyle name="Normal 25 2 6 3 2" xfId="16683" xr:uid="{00000000-0005-0000-0000-0000F1250000}"/>
    <cellStyle name="Normal 25 2 6 4" xfId="11142" xr:uid="{00000000-0005-0000-0000-0000F2250000}"/>
    <cellStyle name="Normal 25 2 6 4 2" xfId="19829" xr:uid="{00000000-0005-0000-0000-0000F3250000}"/>
    <cellStyle name="Normal 25 2 6 5" xfId="12749" xr:uid="{00000000-0005-0000-0000-0000F4250000}"/>
    <cellStyle name="Normal 25 2 6 5 2" xfId="21429" xr:uid="{00000000-0005-0000-0000-0000F5250000}"/>
    <cellStyle name="Normal 25 2 6 6" xfId="14923" xr:uid="{00000000-0005-0000-0000-0000F6250000}"/>
    <cellStyle name="Normal 25 2 7" xfId="2718" xr:uid="{00000000-0005-0000-0000-0000F7250000}"/>
    <cellStyle name="Normal 25 2 7 2" xfId="9533" xr:uid="{00000000-0005-0000-0000-0000F8250000}"/>
    <cellStyle name="Normal 25 2 7 2 2" xfId="18283" xr:uid="{00000000-0005-0000-0000-0000F9250000}"/>
    <cellStyle name="Normal 25 2 7 3" xfId="7931" xr:uid="{00000000-0005-0000-0000-0000FA250000}"/>
    <cellStyle name="Normal 25 2 7 3 2" xfId="16684" xr:uid="{00000000-0005-0000-0000-0000FB250000}"/>
    <cellStyle name="Normal 25 2 7 4" xfId="11143" xr:uid="{00000000-0005-0000-0000-0000FC250000}"/>
    <cellStyle name="Normal 25 2 7 4 2" xfId="19830" xr:uid="{00000000-0005-0000-0000-0000FD250000}"/>
    <cellStyle name="Normal 25 2 7 5" xfId="12750" xr:uid="{00000000-0005-0000-0000-0000FE250000}"/>
    <cellStyle name="Normal 25 2 7 5 2" xfId="21430" xr:uid="{00000000-0005-0000-0000-0000FF250000}"/>
    <cellStyle name="Normal 25 2 7 6" xfId="14924" xr:uid="{00000000-0005-0000-0000-000000260000}"/>
    <cellStyle name="Normal 25 2 8" xfId="2719" xr:uid="{00000000-0005-0000-0000-000001260000}"/>
    <cellStyle name="Normal 25 2 8 2" xfId="9534" xr:uid="{00000000-0005-0000-0000-000002260000}"/>
    <cellStyle name="Normal 25 2 8 2 2" xfId="18284" xr:uid="{00000000-0005-0000-0000-000003260000}"/>
    <cellStyle name="Normal 25 2 8 3" xfId="7932" xr:uid="{00000000-0005-0000-0000-000004260000}"/>
    <cellStyle name="Normal 25 2 8 3 2" xfId="16685" xr:uid="{00000000-0005-0000-0000-000005260000}"/>
    <cellStyle name="Normal 25 2 8 4" xfId="11144" xr:uid="{00000000-0005-0000-0000-000006260000}"/>
    <cellStyle name="Normal 25 2 8 4 2" xfId="19831" xr:uid="{00000000-0005-0000-0000-000007260000}"/>
    <cellStyle name="Normal 25 2 8 5" xfId="12751" xr:uid="{00000000-0005-0000-0000-000008260000}"/>
    <cellStyle name="Normal 25 2 8 5 2" xfId="21431" xr:uid="{00000000-0005-0000-0000-000009260000}"/>
    <cellStyle name="Normal 25 2 8 6" xfId="14925" xr:uid="{00000000-0005-0000-0000-00000A260000}"/>
    <cellStyle name="Normal 25 2 9" xfId="9512" xr:uid="{00000000-0005-0000-0000-00000B260000}"/>
    <cellStyle name="Normal 25 2 9 2" xfId="18262" xr:uid="{00000000-0005-0000-0000-00000C260000}"/>
    <cellStyle name="Normal 25 3" xfId="2720" xr:uid="{00000000-0005-0000-0000-00000D260000}"/>
    <cellStyle name="Normal 25 4" xfId="2690" xr:uid="{00000000-0005-0000-0000-00000E260000}"/>
    <cellStyle name="Normal 25 5" xfId="10641" xr:uid="{00000000-0005-0000-0000-00000F260000}"/>
    <cellStyle name="Normal 256" xfId="146" xr:uid="{00000000-0005-0000-0000-000010260000}"/>
    <cellStyle name="Normal 26" xfId="161" xr:uid="{00000000-0005-0000-0000-000011260000}"/>
    <cellStyle name="Normal 26 2" xfId="2722" xr:uid="{00000000-0005-0000-0000-000012260000}"/>
    <cellStyle name="Normal 26 2 10" xfId="7933" xr:uid="{00000000-0005-0000-0000-000013260000}"/>
    <cellStyle name="Normal 26 2 10 2" xfId="16686" xr:uid="{00000000-0005-0000-0000-000014260000}"/>
    <cellStyle name="Normal 26 2 11" xfId="11145" xr:uid="{00000000-0005-0000-0000-000015260000}"/>
    <cellStyle name="Normal 26 2 11 2" xfId="19832" xr:uid="{00000000-0005-0000-0000-000016260000}"/>
    <cellStyle name="Normal 26 2 12" xfId="12752" xr:uid="{00000000-0005-0000-0000-000017260000}"/>
    <cellStyle name="Normal 26 2 12 2" xfId="21432" xr:uid="{00000000-0005-0000-0000-000018260000}"/>
    <cellStyle name="Normal 26 2 13" xfId="14926" xr:uid="{00000000-0005-0000-0000-000019260000}"/>
    <cellStyle name="Normal 26 2 2" xfId="2723" xr:uid="{00000000-0005-0000-0000-00001A260000}"/>
    <cellStyle name="Normal 26 2 2 2" xfId="2724" xr:uid="{00000000-0005-0000-0000-00001B260000}"/>
    <cellStyle name="Normal 26 2 2 2 2" xfId="2725" xr:uid="{00000000-0005-0000-0000-00001C260000}"/>
    <cellStyle name="Normal 26 2 2 2 2 2" xfId="2726" xr:uid="{00000000-0005-0000-0000-00001D260000}"/>
    <cellStyle name="Normal 26 2 2 2 2 2 2" xfId="9537" xr:uid="{00000000-0005-0000-0000-00001E260000}"/>
    <cellStyle name="Normal 26 2 2 2 2 2 2 2" xfId="18287" xr:uid="{00000000-0005-0000-0000-00001F260000}"/>
    <cellStyle name="Normal 26 2 2 2 2 2 3" xfId="7935" xr:uid="{00000000-0005-0000-0000-000020260000}"/>
    <cellStyle name="Normal 26 2 2 2 2 2 3 2" xfId="16688" xr:uid="{00000000-0005-0000-0000-000021260000}"/>
    <cellStyle name="Normal 26 2 2 2 2 2 4" xfId="11147" xr:uid="{00000000-0005-0000-0000-000022260000}"/>
    <cellStyle name="Normal 26 2 2 2 2 2 4 2" xfId="19834" xr:uid="{00000000-0005-0000-0000-000023260000}"/>
    <cellStyle name="Normal 26 2 2 2 2 2 5" xfId="12754" xr:uid="{00000000-0005-0000-0000-000024260000}"/>
    <cellStyle name="Normal 26 2 2 2 2 2 5 2" xfId="21434" xr:uid="{00000000-0005-0000-0000-000025260000}"/>
    <cellStyle name="Normal 26 2 2 2 2 2 6" xfId="14928" xr:uid="{00000000-0005-0000-0000-000026260000}"/>
    <cellStyle name="Normal 26 2 2 2 2 3" xfId="2727" xr:uid="{00000000-0005-0000-0000-000027260000}"/>
    <cellStyle name="Normal 26 2 2 2 2 3 2" xfId="9538" xr:uid="{00000000-0005-0000-0000-000028260000}"/>
    <cellStyle name="Normal 26 2 2 2 2 3 2 2" xfId="18288" xr:uid="{00000000-0005-0000-0000-000029260000}"/>
    <cellStyle name="Normal 26 2 2 2 2 3 3" xfId="7936" xr:uid="{00000000-0005-0000-0000-00002A260000}"/>
    <cellStyle name="Normal 26 2 2 2 2 3 3 2" xfId="16689" xr:uid="{00000000-0005-0000-0000-00002B260000}"/>
    <cellStyle name="Normal 26 2 2 2 2 3 4" xfId="11148" xr:uid="{00000000-0005-0000-0000-00002C260000}"/>
    <cellStyle name="Normal 26 2 2 2 2 3 4 2" xfId="19835" xr:uid="{00000000-0005-0000-0000-00002D260000}"/>
    <cellStyle name="Normal 26 2 2 2 2 3 5" xfId="12755" xr:uid="{00000000-0005-0000-0000-00002E260000}"/>
    <cellStyle name="Normal 26 2 2 2 2 3 5 2" xfId="21435" xr:uid="{00000000-0005-0000-0000-00002F260000}"/>
    <cellStyle name="Normal 26 2 2 2 2 3 6" xfId="14929" xr:uid="{00000000-0005-0000-0000-000030260000}"/>
    <cellStyle name="Normal 26 2 2 2 2 4" xfId="2728" xr:uid="{00000000-0005-0000-0000-000031260000}"/>
    <cellStyle name="Normal 26 2 2 2 2 4 2" xfId="9539" xr:uid="{00000000-0005-0000-0000-000032260000}"/>
    <cellStyle name="Normal 26 2 2 2 2 4 2 2" xfId="18289" xr:uid="{00000000-0005-0000-0000-000033260000}"/>
    <cellStyle name="Normal 26 2 2 2 2 4 3" xfId="7937" xr:uid="{00000000-0005-0000-0000-000034260000}"/>
    <cellStyle name="Normal 26 2 2 2 2 4 3 2" xfId="16690" xr:uid="{00000000-0005-0000-0000-000035260000}"/>
    <cellStyle name="Normal 26 2 2 2 2 4 4" xfId="11149" xr:uid="{00000000-0005-0000-0000-000036260000}"/>
    <cellStyle name="Normal 26 2 2 2 2 4 4 2" xfId="19836" xr:uid="{00000000-0005-0000-0000-000037260000}"/>
    <cellStyle name="Normal 26 2 2 2 2 4 5" xfId="12756" xr:uid="{00000000-0005-0000-0000-000038260000}"/>
    <cellStyle name="Normal 26 2 2 2 2 4 5 2" xfId="21436" xr:uid="{00000000-0005-0000-0000-000039260000}"/>
    <cellStyle name="Normal 26 2 2 2 2 4 6" xfId="14930" xr:uid="{00000000-0005-0000-0000-00003A260000}"/>
    <cellStyle name="Normal 26 2 2 2 3" xfId="2729" xr:uid="{00000000-0005-0000-0000-00003B260000}"/>
    <cellStyle name="Normal 26 2 2 2 4" xfId="2730" xr:uid="{00000000-0005-0000-0000-00003C260000}"/>
    <cellStyle name="Normal 26 2 2 2 5" xfId="9536" xr:uid="{00000000-0005-0000-0000-00003D260000}"/>
    <cellStyle name="Normal 26 2 2 2 5 2" xfId="18286" xr:uid="{00000000-0005-0000-0000-00003E260000}"/>
    <cellStyle name="Normal 26 2 2 2 6" xfId="7934" xr:uid="{00000000-0005-0000-0000-00003F260000}"/>
    <cellStyle name="Normal 26 2 2 2 6 2" xfId="16687" xr:uid="{00000000-0005-0000-0000-000040260000}"/>
    <cellStyle name="Normal 26 2 2 2 7" xfId="11146" xr:uid="{00000000-0005-0000-0000-000041260000}"/>
    <cellStyle name="Normal 26 2 2 2 7 2" xfId="19833" xr:uid="{00000000-0005-0000-0000-000042260000}"/>
    <cellStyle name="Normal 26 2 2 2 8" xfId="12753" xr:uid="{00000000-0005-0000-0000-000043260000}"/>
    <cellStyle name="Normal 26 2 2 2 8 2" xfId="21433" xr:uid="{00000000-0005-0000-0000-000044260000}"/>
    <cellStyle name="Normal 26 2 2 2 9" xfId="14927" xr:uid="{00000000-0005-0000-0000-000045260000}"/>
    <cellStyle name="Normal 26 2 2 3" xfId="2731" xr:uid="{00000000-0005-0000-0000-000046260000}"/>
    <cellStyle name="Normal 26 2 2 3 2" xfId="2732" xr:uid="{00000000-0005-0000-0000-000047260000}"/>
    <cellStyle name="Normal 26 2 2 3 2 2" xfId="9541" xr:uid="{00000000-0005-0000-0000-000048260000}"/>
    <cellStyle name="Normal 26 2 2 3 2 2 2" xfId="18291" xr:uid="{00000000-0005-0000-0000-000049260000}"/>
    <cellStyle name="Normal 26 2 2 3 2 3" xfId="7939" xr:uid="{00000000-0005-0000-0000-00004A260000}"/>
    <cellStyle name="Normal 26 2 2 3 2 3 2" xfId="16692" xr:uid="{00000000-0005-0000-0000-00004B260000}"/>
    <cellStyle name="Normal 26 2 2 3 2 4" xfId="11151" xr:uid="{00000000-0005-0000-0000-00004C260000}"/>
    <cellStyle name="Normal 26 2 2 3 2 4 2" xfId="19838" xr:uid="{00000000-0005-0000-0000-00004D260000}"/>
    <cellStyle name="Normal 26 2 2 3 2 5" xfId="12758" xr:uid="{00000000-0005-0000-0000-00004E260000}"/>
    <cellStyle name="Normal 26 2 2 3 2 5 2" xfId="21438" xr:uid="{00000000-0005-0000-0000-00004F260000}"/>
    <cellStyle name="Normal 26 2 2 3 2 6" xfId="14932" xr:uid="{00000000-0005-0000-0000-000050260000}"/>
    <cellStyle name="Normal 26 2 2 3 3" xfId="2733" xr:uid="{00000000-0005-0000-0000-000051260000}"/>
    <cellStyle name="Normal 26 2 2 3 3 2" xfId="9542" xr:uid="{00000000-0005-0000-0000-000052260000}"/>
    <cellStyle name="Normal 26 2 2 3 3 2 2" xfId="18292" xr:uid="{00000000-0005-0000-0000-000053260000}"/>
    <cellStyle name="Normal 26 2 2 3 3 3" xfId="7940" xr:uid="{00000000-0005-0000-0000-000054260000}"/>
    <cellStyle name="Normal 26 2 2 3 3 3 2" xfId="16693" xr:uid="{00000000-0005-0000-0000-000055260000}"/>
    <cellStyle name="Normal 26 2 2 3 3 4" xfId="11152" xr:uid="{00000000-0005-0000-0000-000056260000}"/>
    <cellStyle name="Normal 26 2 2 3 3 4 2" xfId="19839" xr:uid="{00000000-0005-0000-0000-000057260000}"/>
    <cellStyle name="Normal 26 2 2 3 3 5" xfId="12759" xr:uid="{00000000-0005-0000-0000-000058260000}"/>
    <cellStyle name="Normal 26 2 2 3 3 5 2" xfId="21439" xr:uid="{00000000-0005-0000-0000-000059260000}"/>
    <cellStyle name="Normal 26 2 2 3 3 6" xfId="14933" xr:uid="{00000000-0005-0000-0000-00005A260000}"/>
    <cellStyle name="Normal 26 2 2 3 4" xfId="2734" xr:uid="{00000000-0005-0000-0000-00005B260000}"/>
    <cellStyle name="Normal 26 2 2 3 4 2" xfId="9543" xr:uid="{00000000-0005-0000-0000-00005C260000}"/>
    <cellStyle name="Normal 26 2 2 3 4 2 2" xfId="18293" xr:uid="{00000000-0005-0000-0000-00005D260000}"/>
    <cellStyle name="Normal 26 2 2 3 4 3" xfId="7941" xr:uid="{00000000-0005-0000-0000-00005E260000}"/>
    <cellStyle name="Normal 26 2 2 3 4 3 2" xfId="16694" xr:uid="{00000000-0005-0000-0000-00005F260000}"/>
    <cellStyle name="Normal 26 2 2 3 4 4" xfId="11153" xr:uid="{00000000-0005-0000-0000-000060260000}"/>
    <cellStyle name="Normal 26 2 2 3 4 4 2" xfId="19840" xr:uid="{00000000-0005-0000-0000-000061260000}"/>
    <cellStyle name="Normal 26 2 2 3 4 5" xfId="12760" xr:uid="{00000000-0005-0000-0000-000062260000}"/>
    <cellStyle name="Normal 26 2 2 3 4 5 2" xfId="21440" xr:uid="{00000000-0005-0000-0000-000063260000}"/>
    <cellStyle name="Normal 26 2 2 3 4 6" xfId="14934" xr:uid="{00000000-0005-0000-0000-000064260000}"/>
    <cellStyle name="Normal 26 2 2 3 5" xfId="9540" xr:uid="{00000000-0005-0000-0000-000065260000}"/>
    <cellStyle name="Normal 26 2 2 3 5 2" xfId="18290" xr:uid="{00000000-0005-0000-0000-000066260000}"/>
    <cellStyle name="Normal 26 2 2 3 6" xfId="7938" xr:uid="{00000000-0005-0000-0000-000067260000}"/>
    <cellStyle name="Normal 26 2 2 3 6 2" xfId="16691" xr:uid="{00000000-0005-0000-0000-000068260000}"/>
    <cellStyle name="Normal 26 2 2 3 7" xfId="11150" xr:uid="{00000000-0005-0000-0000-000069260000}"/>
    <cellStyle name="Normal 26 2 2 3 7 2" xfId="19837" xr:uid="{00000000-0005-0000-0000-00006A260000}"/>
    <cellStyle name="Normal 26 2 2 3 8" xfId="12757" xr:uid="{00000000-0005-0000-0000-00006B260000}"/>
    <cellStyle name="Normal 26 2 2 3 8 2" xfId="21437" xr:uid="{00000000-0005-0000-0000-00006C260000}"/>
    <cellStyle name="Normal 26 2 2 3 9" xfId="14931" xr:uid="{00000000-0005-0000-0000-00006D260000}"/>
    <cellStyle name="Normal 26 2 2 4" xfId="2735" xr:uid="{00000000-0005-0000-0000-00006E260000}"/>
    <cellStyle name="Normal 26 2 2 4 2" xfId="2736" xr:uid="{00000000-0005-0000-0000-00006F260000}"/>
    <cellStyle name="Normal 26 2 2 4 2 2" xfId="9545" xr:uid="{00000000-0005-0000-0000-000070260000}"/>
    <cellStyle name="Normal 26 2 2 4 2 2 2" xfId="18295" xr:uid="{00000000-0005-0000-0000-000071260000}"/>
    <cellStyle name="Normal 26 2 2 4 2 3" xfId="7943" xr:uid="{00000000-0005-0000-0000-000072260000}"/>
    <cellStyle name="Normal 26 2 2 4 2 3 2" xfId="16696" xr:uid="{00000000-0005-0000-0000-000073260000}"/>
    <cellStyle name="Normal 26 2 2 4 2 4" xfId="11155" xr:uid="{00000000-0005-0000-0000-000074260000}"/>
    <cellStyle name="Normal 26 2 2 4 2 4 2" xfId="19842" xr:uid="{00000000-0005-0000-0000-000075260000}"/>
    <cellStyle name="Normal 26 2 2 4 2 5" xfId="12762" xr:uid="{00000000-0005-0000-0000-000076260000}"/>
    <cellStyle name="Normal 26 2 2 4 2 5 2" xfId="21442" xr:uid="{00000000-0005-0000-0000-000077260000}"/>
    <cellStyle name="Normal 26 2 2 4 2 6" xfId="14936" xr:uid="{00000000-0005-0000-0000-000078260000}"/>
    <cellStyle name="Normal 26 2 2 4 3" xfId="2737" xr:uid="{00000000-0005-0000-0000-000079260000}"/>
    <cellStyle name="Normal 26 2 2 4 3 2" xfId="9546" xr:uid="{00000000-0005-0000-0000-00007A260000}"/>
    <cellStyle name="Normal 26 2 2 4 3 2 2" xfId="18296" xr:uid="{00000000-0005-0000-0000-00007B260000}"/>
    <cellStyle name="Normal 26 2 2 4 3 3" xfId="7944" xr:uid="{00000000-0005-0000-0000-00007C260000}"/>
    <cellStyle name="Normal 26 2 2 4 3 3 2" xfId="16697" xr:uid="{00000000-0005-0000-0000-00007D260000}"/>
    <cellStyle name="Normal 26 2 2 4 3 4" xfId="11156" xr:uid="{00000000-0005-0000-0000-00007E260000}"/>
    <cellStyle name="Normal 26 2 2 4 3 4 2" xfId="19843" xr:uid="{00000000-0005-0000-0000-00007F260000}"/>
    <cellStyle name="Normal 26 2 2 4 3 5" xfId="12763" xr:uid="{00000000-0005-0000-0000-000080260000}"/>
    <cellStyle name="Normal 26 2 2 4 3 5 2" xfId="21443" xr:uid="{00000000-0005-0000-0000-000081260000}"/>
    <cellStyle name="Normal 26 2 2 4 3 6" xfId="14937" xr:uid="{00000000-0005-0000-0000-000082260000}"/>
    <cellStyle name="Normal 26 2 2 4 4" xfId="2738" xr:uid="{00000000-0005-0000-0000-000083260000}"/>
    <cellStyle name="Normal 26 2 2 4 4 2" xfId="9547" xr:uid="{00000000-0005-0000-0000-000084260000}"/>
    <cellStyle name="Normal 26 2 2 4 4 2 2" xfId="18297" xr:uid="{00000000-0005-0000-0000-000085260000}"/>
    <cellStyle name="Normal 26 2 2 4 4 3" xfId="7945" xr:uid="{00000000-0005-0000-0000-000086260000}"/>
    <cellStyle name="Normal 26 2 2 4 4 3 2" xfId="16698" xr:uid="{00000000-0005-0000-0000-000087260000}"/>
    <cellStyle name="Normal 26 2 2 4 4 4" xfId="11157" xr:uid="{00000000-0005-0000-0000-000088260000}"/>
    <cellStyle name="Normal 26 2 2 4 4 4 2" xfId="19844" xr:uid="{00000000-0005-0000-0000-000089260000}"/>
    <cellStyle name="Normal 26 2 2 4 4 5" xfId="12764" xr:uid="{00000000-0005-0000-0000-00008A260000}"/>
    <cellStyle name="Normal 26 2 2 4 4 5 2" xfId="21444" xr:uid="{00000000-0005-0000-0000-00008B260000}"/>
    <cellStyle name="Normal 26 2 2 4 4 6" xfId="14938" xr:uid="{00000000-0005-0000-0000-00008C260000}"/>
    <cellStyle name="Normal 26 2 2 4 5" xfId="9544" xr:uid="{00000000-0005-0000-0000-00008D260000}"/>
    <cellStyle name="Normal 26 2 2 4 5 2" xfId="18294" xr:uid="{00000000-0005-0000-0000-00008E260000}"/>
    <cellStyle name="Normal 26 2 2 4 6" xfId="7942" xr:uid="{00000000-0005-0000-0000-00008F260000}"/>
    <cellStyle name="Normal 26 2 2 4 6 2" xfId="16695" xr:uid="{00000000-0005-0000-0000-000090260000}"/>
    <cellStyle name="Normal 26 2 2 4 7" xfId="11154" xr:uid="{00000000-0005-0000-0000-000091260000}"/>
    <cellStyle name="Normal 26 2 2 4 7 2" xfId="19841" xr:uid="{00000000-0005-0000-0000-000092260000}"/>
    <cellStyle name="Normal 26 2 2 4 8" xfId="12761" xr:uid="{00000000-0005-0000-0000-000093260000}"/>
    <cellStyle name="Normal 26 2 2 4 8 2" xfId="21441" xr:uid="{00000000-0005-0000-0000-000094260000}"/>
    <cellStyle name="Normal 26 2 2 4 9" xfId="14935" xr:uid="{00000000-0005-0000-0000-000095260000}"/>
    <cellStyle name="Normal 26 2 2 5" xfId="2739" xr:uid="{00000000-0005-0000-0000-000096260000}"/>
    <cellStyle name="Normal 26 2 2 5 2" xfId="9548" xr:uid="{00000000-0005-0000-0000-000097260000}"/>
    <cellStyle name="Normal 26 2 2 5 2 2" xfId="18298" xr:uid="{00000000-0005-0000-0000-000098260000}"/>
    <cellStyle name="Normal 26 2 2 5 3" xfId="7946" xr:uid="{00000000-0005-0000-0000-000099260000}"/>
    <cellStyle name="Normal 26 2 2 5 3 2" xfId="16699" xr:uid="{00000000-0005-0000-0000-00009A260000}"/>
    <cellStyle name="Normal 26 2 2 5 4" xfId="11158" xr:uid="{00000000-0005-0000-0000-00009B260000}"/>
    <cellStyle name="Normal 26 2 2 5 4 2" xfId="19845" xr:uid="{00000000-0005-0000-0000-00009C260000}"/>
    <cellStyle name="Normal 26 2 2 5 5" xfId="12765" xr:uid="{00000000-0005-0000-0000-00009D260000}"/>
    <cellStyle name="Normal 26 2 2 5 5 2" xfId="21445" xr:uid="{00000000-0005-0000-0000-00009E260000}"/>
    <cellStyle name="Normal 26 2 2 5 6" xfId="14939" xr:uid="{00000000-0005-0000-0000-00009F260000}"/>
    <cellStyle name="Normal 26 2 2 6" xfId="2740" xr:uid="{00000000-0005-0000-0000-0000A0260000}"/>
    <cellStyle name="Normal 26 2 2 6 2" xfId="9549" xr:uid="{00000000-0005-0000-0000-0000A1260000}"/>
    <cellStyle name="Normal 26 2 2 6 2 2" xfId="18299" xr:uid="{00000000-0005-0000-0000-0000A2260000}"/>
    <cellStyle name="Normal 26 2 2 6 3" xfId="7947" xr:uid="{00000000-0005-0000-0000-0000A3260000}"/>
    <cellStyle name="Normal 26 2 2 6 3 2" xfId="16700" xr:uid="{00000000-0005-0000-0000-0000A4260000}"/>
    <cellStyle name="Normal 26 2 2 6 4" xfId="11159" xr:uid="{00000000-0005-0000-0000-0000A5260000}"/>
    <cellStyle name="Normal 26 2 2 6 4 2" xfId="19846" xr:uid="{00000000-0005-0000-0000-0000A6260000}"/>
    <cellStyle name="Normal 26 2 2 6 5" xfId="12766" xr:uid="{00000000-0005-0000-0000-0000A7260000}"/>
    <cellStyle name="Normal 26 2 2 6 5 2" xfId="21446" xr:uid="{00000000-0005-0000-0000-0000A8260000}"/>
    <cellStyle name="Normal 26 2 2 6 6" xfId="14940" xr:uid="{00000000-0005-0000-0000-0000A9260000}"/>
    <cellStyle name="Normal 26 2 2 7" xfId="2741" xr:uid="{00000000-0005-0000-0000-0000AA260000}"/>
    <cellStyle name="Normal 26 2 2 7 2" xfId="9550" xr:uid="{00000000-0005-0000-0000-0000AB260000}"/>
    <cellStyle name="Normal 26 2 2 7 2 2" xfId="18300" xr:uid="{00000000-0005-0000-0000-0000AC260000}"/>
    <cellStyle name="Normal 26 2 2 7 3" xfId="7948" xr:uid="{00000000-0005-0000-0000-0000AD260000}"/>
    <cellStyle name="Normal 26 2 2 7 3 2" xfId="16701" xr:uid="{00000000-0005-0000-0000-0000AE260000}"/>
    <cellStyle name="Normal 26 2 2 7 4" xfId="11160" xr:uid="{00000000-0005-0000-0000-0000AF260000}"/>
    <cellStyle name="Normal 26 2 2 7 4 2" xfId="19847" xr:uid="{00000000-0005-0000-0000-0000B0260000}"/>
    <cellStyle name="Normal 26 2 2 7 5" xfId="12767" xr:uid="{00000000-0005-0000-0000-0000B1260000}"/>
    <cellStyle name="Normal 26 2 2 7 5 2" xfId="21447" xr:uid="{00000000-0005-0000-0000-0000B2260000}"/>
    <cellStyle name="Normal 26 2 2 7 6" xfId="14941" xr:uid="{00000000-0005-0000-0000-0000B3260000}"/>
    <cellStyle name="Normal 26 2 3" xfId="2742" xr:uid="{00000000-0005-0000-0000-0000B4260000}"/>
    <cellStyle name="Normal 26 2 3 2" xfId="2743" xr:uid="{00000000-0005-0000-0000-0000B5260000}"/>
    <cellStyle name="Normal 26 2 3 2 2" xfId="9552" xr:uid="{00000000-0005-0000-0000-0000B6260000}"/>
    <cellStyle name="Normal 26 2 3 2 2 2" xfId="18302" xr:uid="{00000000-0005-0000-0000-0000B7260000}"/>
    <cellStyle name="Normal 26 2 3 2 3" xfId="7950" xr:uid="{00000000-0005-0000-0000-0000B8260000}"/>
    <cellStyle name="Normal 26 2 3 2 3 2" xfId="16703" xr:uid="{00000000-0005-0000-0000-0000B9260000}"/>
    <cellStyle name="Normal 26 2 3 2 4" xfId="11162" xr:uid="{00000000-0005-0000-0000-0000BA260000}"/>
    <cellStyle name="Normal 26 2 3 2 4 2" xfId="19849" xr:uid="{00000000-0005-0000-0000-0000BB260000}"/>
    <cellStyle name="Normal 26 2 3 2 5" xfId="12769" xr:uid="{00000000-0005-0000-0000-0000BC260000}"/>
    <cellStyle name="Normal 26 2 3 2 5 2" xfId="21449" xr:uid="{00000000-0005-0000-0000-0000BD260000}"/>
    <cellStyle name="Normal 26 2 3 2 6" xfId="14943" xr:uid="{00000000-0005-0000-0000-0000BE260000}"/>
    <cellStyle name="Normal 26 2 3 3" xfId="2744" xr:uid="{00000000-0005-0000-0000-0000BF260000}"/>
    <cellStyle name="Normal 26 2 3 3 2" xfId="9553" xr:uid="{00000000-0005-0000-0000-0000C0260000}"/>
    <cellStyle name="Normal 26 2 3 3 2 2" xfId="18303" xr:uid="{00000000-0005-0000-0000-0000C1260000}"/>
    <cellStyle name="Normal 26 2 3 3 3" xfId="7951" xr:uid="{00000000-0005-0000-0000-0000C2260000}"/>
    <cellStyle name="Normal 26 2 3 3 3 2" xfId="16704" xr:uid="{00000000-0005-0000-0000-0000C3260000}"/>
    <cellStyle name="Normal 26 2 3 3 4" xfId="11163" xr:uid="{00000000-0005-0000-0000-0000C4260000}"/>
    <cellStyle name="Normal 26 2 3 3 4 2" xfId="19850" xr:uid="{00000000-0005-0000-0000-0000C5260000}"/>
    <cellStyle name="Normal 26 2 3 3 5" xfId="12770" xr:uid="{00000000-0005-0000-0000-0000C6260000}"/>
    <cellStyle name="Normal 26 2 3 3 5 2" xfId="21450" xr:uid="{00000000-0005-0000-0000-0000C7260000}"/>
    <cellStyle name="Normal 26 2 3 3 6" xfId="14944" xr:uid="{00000000-0005-0000-0000-0000C8260000}"/>
    <cellStyle name="Normal 26 2 3 4" xfId="2745" xr:uid="{00000000-0005-0000-0000-0000C9260000}"/>
    <cellStyle name="Normal 26 2 3 4 2" xfId="9554" xr:uid="{00000000-0005-0000-0000-0000CA260000}"/>
    <cellStyle name="Normal 26 2 3 4 2 2" xfId="18304" xr:uid="{00000000-0005-0000-0000-0000CB260000}"/>
    <cellStyle name="Normal 26 2 3 4 3" xfId="7952" xr:uid="{00000000-0005-0000-0000-0000CC260000}"/>
    <cellStyle name="Normal 26 2 3 4 3 2" xfId="16705" xr:uid="{00000000-0005-0000-0000-0000CD260000}"/>
    <cellStyle name="Normal 26 2 3 4 4" xfId="11164" xr:uid="{00000000-0005-0000-0000-0000CE260000}"/>
    <cellStyle name="Normal 26 2 3 4 4 2" xfId="19851" xr:uid="{00000000-0005-0000-0000-0000CF260000}"/>
    <cellStyle name="Normal 26 2 3 4 5" xfId="12771" xr:uid="{00000000-0005-0000-0000-0000D0260000}"/>
    <cellStyle name="Normal 26 2 3 4 5 2" xfId="21451" xr:uid="{00000000-0005-0000-0000-0000D1260000}"/>
    <cellStyle name="Normal 26 2 3 4 6" xfId="14945" xr:uid="{00000000-0005-0000-0000-0000D2260000}"/>
    <cellStyle name="Normal 26 2 3 5" xfId="9551" xr:uid="{00000000-0005-0000-0000-0000D3260000}"/>
    <cellStyle name="Normal 26 2 3 5 2" xfId="18301" xr:uid="{00000000-0005-0000-0000-0000D4260000}"/>
    <cellStyle name="Normal 26 2 3 6" xfId="7949" xr:uid="{00000000-0005-0000-0000-0000D5260000}"/>
    <cellStyle name="Normal 26 2 3 6 2" xfId="16702" xr:uid="{00000000-0005-0000-0000-0000D6260000}"/>
    <cellStyle name="Normal 26 2 3 7" xfId="11161" xr:uid="{00000000-0005-0000-0000-0000D7260000}"/>
    <cellStyle name="Normal 26 2 3 7 2" xfId="19848" xr:uid="{00000000-0005-0000-0000-0000D8260000}"/>
    <cellStyle name="Normal 26 2 3 8" xfId="12768" xr:uid="{00000000-0005-0000-0000-0000D9260000}"/>
    <cellStyle name="Normal 26 2 3 8 2" xfId="21448" xr:uid="{00000000-0005-0000-0000-0000DA260000}"/>
    <cellStyle name="Normal 26 2 3 9" xfId="14942" xr:uid="{00000000-0005-0000-0000-0000DB260000}"/>
    <cellStyle name="Normal 26 2 4" xfId="2746" xr:uid="{00000000-0005-0000-0000-0000DC260000}"/>
    <cellStyle name="Normal 26 2 5" xfId="2747" xr:uid="{00000000-0005-0000-0000-0000DD260000}"/>
    <cellStyle name="Normal 26 2 6" xfId="2748" xr:uid="{00000000-0005-0000-0000-0000DE260000}"/>
    <cellStyle name="Normal 26 2 6 2" xfId="9555" xr:uid="{00000000-0005-0000-0000-0000DF260000}"/>
    <cellStyle name="Normal 26 2 6 2 2" xfId="18305" xr:uid="{00000000-0005-0000-0000-0000E0260000}"/>
    <cellStyle name="Normal 26 2 6 3" xfId="7953" xr:uid="{00000000-0005-0000-0000-0000E1260000}"/>
    <cellStyle name="Normal 26 2 6 3 2" xfId="16706" xr:uid="{00000000-0005-0000-0000-0000E2260000}"/>
    <cellStyle name="Normal 26 2 6 4" xfId="11165" xr:uid="{00000000-0005-0000-0000-0000E3260000}"/>
    <cellStyle name="Normal 26 2 6 4 2" xfId="19852" xr:uid="{00000000-0005-0000-0000-0000E4260000}"/>
    <cellStyle name="Normal 26 2 6 5" xfId="12772" xr:uid="{00000000-0005-0000-0000-0000E5260000}"/>
    <cellStyle name="Normal 26 2 6 5 2" xfId="21452" xr:uid="{00000000-0005-0000-0000-0000E6260000}"/>
    <cellStyle name="Normal 26 2 6 6" xfId="14946" xr:uid="{00000000-0005-0000-0000-0000E7260000}"/>
    <cellStyle name="Normal 26 2 7" xfId="2749" xr:uid="{00000000-0005-0000-0000-0000E8260000}"/>
    <cellStyle name="Normal 26 2 7 2" xfId="9556" xr:uid="{00000000-0005-0000-0000-0000E9260000}"/>
    <cellStyle name="Normal 26 2 7 2 2" xfId="18306" xr:uid="{00000000-0005-0000-0000-0000EA260000}"/>
    <cellStyle name="Normal 26 2 7 3" xfId="7954" xr:uid="{00000000-0005-0000-0000-0000EB260000}"/>
    <cellStyle name="Normal 26 2 7 3 2" xfId="16707" xr:uid="{00000000-0005-0000-0000-0000EC260000}"/>
    <cellStyle name="Normal 26 2 7 4" xfId="11166" xr:uid="{00000000-0005-0000-0000-0000ED260000}"/>
    <cellStyle name="Normal 26 2 7 4 2" xfId="19853" xr:uid="{00000000-0005-0000-0000-0000EE260000}"/>
    <cellStyle name="Normal 26 2 7 5" xfId="12773" xr:uid="{00000000-0005-0000-0000-0000EF260000}"/>
    <cellStyle name="Normal 26 2 7 5 2" xfId="21453" xr:uid="{00000000-0005-0000-0000-0000F0260000}"/>
    <cellStyle name="Normal 26 2 7 6" xfId="14947" xr:uid="{00000000-0005-0000-0000-0000F1260000}"/>
    <cellStyle name="Normal 26 2 8" xfId="2750" xr:uid="{00000000-0005-0000-0000-0000F2260000}"/>
    <cellStyle name="Normal 26 2 8 2" xfId="9557" xr:uid="{00000000-0005-0000-0000-0000F3260000}"/>
    <cellStyle name="Normal 26 2 8 2 2" xfId="18307" xr:uid="{00000000-0005-0000-0000-0000F4260000}"/>
    <cellStyle name="Normal 26 2 8 3" xfId="7955" xr:uid="{00000000-0005-0000-0000-0000F5260000}"/>
    <cellStyle name="Normal 26 2 8 3 2" xfId="16708" xr:uid="{00000000-0005-0000-0000-0000F6260000}"/>
    <cellStyle name="Normal 26 2 8 4" xfId="11167" xr:uid="{00000000-0005-0000-0000-0000F7260000}"/>
    <cellStyle name="Normal 26 2 8 4 2" xfId="19854" xr:uid="{00000000-0005-0000-0000-0000F8260000}"/>
    <cellStyle name="Normal 26 2 8 5" xfId="12774" xr:uid="{00000000-0005-0000-0000-0000F9260000}"/>
    <cellStyle name="Normal 26 2 8 5 2" xfId="21454" xr:uid="{00000000-0005-0000-0000-0000FA260000}"/>
    <cellStyle name="Normal 26 2 8 6" xfId="14948" xr:uid="{00000000-0005-0000-0000-0000FB260000}"/>
    <cellStyle name="Normal 26 2 9" xfId="9535" xr:uid="{00000000-0005-0000-0000-0000FC260000}"/>
    <cellStyle name="Normal 26 2 9 2" xfId="18285" xr:uid="{00000000-0005-0000-0000-0000FD260000}"/>
    <cellStyle name="Normal 26 3" xfId="2751" xr:uid="{00000000-0005-0000-0000-0000FE260000}"/>
    <cellStyle name="Normal 26 4" xfId="2721" xr:uid="{00000000-0005-0000-0000-0000FF260000}"/>
    <cellStyle name="Normal 26 5" xfId="10643" xr:uid="{00000000-0005-0000-0000-000000270000}"/>
    <cellStyle name="Normal 27" xfId="160" xr:uid="{00000000-0005-0000-0000-000001270000}"/>
    <cellStyle name="Normal 27 2" xfId="2753" xr:uid="{00000000-0005-0000-0000-000002270000}"/>
    <cellStyle name="Normal 27 2 10" xfId="7956" xr:uid="{00000000-0005-0000-0000-000003270000}"/>
    <cellStyle name="Normal 27 2 10 2" xfId="16709" xr:uid="{00000000-0005-0000-0000-000004270000}"/>
    <cellStyle name="Normal 27 2 11" xfId="11168" xr:uid="{00000000-0005-0000-0000-000005270000}"/>
    <cellStyle name="Normal 27 2 11 2" xfId="19855" xr:uid="{00000000-0005-0000-0000-000006270000}"/>
    <cellStyle name="Normal 27 2 12" xfId="12775" xr:uid="{00000000-0005-0000-0000-000007270000}"/>
    <cellStyle name="Normal 27 2 12 2" xfId="21455" xr:uid="{00000000-0005-0000-0000-000008270000}"/>
    <cellStyle name="Normal 27 2 13" xfId="14949" xr:uid="{00000000-0005-0000-0000-000009270000}"/>
    <cellStyle name="Normal 27 2 2" xfId="2754" xr:uid="{00000000-0005-0000-0000-00000A270000}"/>
    <cellStyle name="Normal 27 2 2 2" xfId="2755" xr:uid="{00000000-0005-0000-0000-00000B270000}"/>
    <cellStyle name="Normal 27 2 2 2 2" xfId="2756" xr:uid="{00000000-0005-0000-0000-00000C270000}"/>
    <cellStyle name="Normal 27 2 2 2 2 2" xfId="2757" xr:uid="{00000000-0005-0000-0000-00000D270000}"/>
    <cellStyle name="Normal 27 2 2 2 2 2 2" xfId="9560" xr:uid="{00000000-0005-0000-0000-00000E270000}"/>
    <cellStyle name="Normal 27 2 2 2 2 2 2 2" xfId="18310" xr:uid="{00000000-0005-0000-0000-00000F270000}"/>
    <cellStyle name="Normal 27 2 2 2 2 2 3" xfId="7958" xr:uid="{00000000-0005-0000-0000-000010270000}"/>
    <cellStyle name="Normal 27 2 2 2 2 2 3 2" xfId="16711" xr:uid="{00000000-0005-0000-0000-000011270000}"/>
    <cellStyle name="Normal 27 2 2 2 2 2 4" xfId="11170" xr:uid="{00000000-0005-0000-0000-000012270000}"/>
    <cellStyle name="Normal 27 2 2 2 2 2 4 2" xfId="19857" xr:uid="{00000000-0005-0000-0000-000013270000}"/>
    <cellStyle name="Normal 27 2 2 2 2 2 5" xfId="12777" xr:uid="{00000000-0005-0000-0000-000014270000}"/>
    <cellStyle name="Normal 27 2 2 2 2 2 5 2" xfId="21457" xr:uid="{00000000-0005-0000-0000-000015270000}"/>
    <cellStyle name="Normal 27 2 2 2 2 2 6" xfId="14951" xr:uid="{00000000-0005-0000-0000-000016270000}"/>
    <cellStyle name="Normal 27 2 2 2 2 3" xfId="2758" xr:uid="{00000000-0005-0000-0000-000017270000}"/>
    <cellStyle name="Normal 27 2 2 2 2 3 2" xfId="9561" xr:uid="{00000000-0005-0000-0000-000018270000}"/>
    <cellStyle name="Normal 27 2 2 2 2 3 2 2" xfId="18311" xr:uid="{00000000-0005-0000-0000-000019270000}"/>
    <cellStyle name="Normal 27 2 2 2 2 3 3" xfId="7959" xr:uid="{00000000-0005-0000-0000-00001A270000}"/>
    <cellStyle name="Normal 27 2 2 2 2 3 3 2" xfId="16712" xr:uid="{00000000-0005-0000-0000-00001B270000}"/>
    <cellStyle name="Normal 27 2 2 2 2 3 4" xfId="11171" xr:uid="{00000000-0005-0000-0000-00001C270000}"/>
    <cellStyle name="Normal 27 2 2 2 2 3 4 2" xfId="19858" xr:uid="{00000000-0005-0000-0000-00001D270000}"/>
    <cellStyle name="Normal 27 2 2 2 2 3 5" xfId="12778" xr:uid="{00000000-0005-0000-0000-00001E270000}"/>
    <cellStyle name="Normal 27 2 2 2 2 3 5 2" xfId="21458" xr:uid="{00000000-0005-0000-0000-00001F270000}"/>
    <cellStyle name="Normal 27 2 2 2 2 3 6" xfId="14952" xr:uid="{00000000-0005-0000-0000-000020270000}"/>
    <cellStyle name="Normal 27 2 2 2 2 4" xfId="2759" xr:uid="{00000000-0005-0000-0000-000021270000}"/>
    <cellStyle name="Normal 27 2 2 2 2 4 2" xfId="9562" xr:uid="{00000000-0005-0000-0000-000022270000}"/>
    <cellStyle name="Normal 27 2 2 2 2 4 2 2" xfId="18312" xr:uid="{00000000-0005-0000-0000-000023270000}"/>
    <cellStyle name="Normal 27 2 2 2 2 4 3" xfId="7960" xr:uid="{00000000-0005-0000-0000-000024270000}"/>
    <cellStyle name="Normal 27 2 2 2 2 4 3 2" xfId="16713" xr:uid="{00000000-0005-0000-0000-000025270000}"/>
    <cellStyle name="Normal 27 2 2 2 2 4 4" xfId="11172" xr:uid="{00000000-0005-0000-0000-000026270000}"/>
    <cellStyle name="Normal 27 2 2 2 2 4 4 2" xfId="19859" xr:uid="{00000000-0005-0000-0000-000027270000}"/>
    <cellStyle name="Normal 27 2 2 2 2 4 5" xfId="12779" xr:uid="{00000000-0005-0000-0000-000028270000}"/>
    <cellStyle name="Normal 27 2 2 2 2 4 5 2" xfId="21459" xr:uid="{00000000-0005-0000-0000-000029270000}"/>
    <cellStyle name="Normal 27 2 2 2 2 4 6" xfId="14953" xr:uid="{00000000-0005-0000-0000-00002A270000}"/>
    <cellStyle name="Normal 27 2 2 2 3" xfId="2760" xr:uid="{00000000-0005-0000-0000-00002B270000}"/>
    <cellStyle name="Normal 27 2 2 2 4" xfId="2761" xr:uid="{00000000-0005-0000-0000-00002C270000}"/>
    <cellStyle name="Normal 27 2 2 2 5" xfId="9559" xr:uid="{00000000-0005-0000-0000-00002D270000}"/>
    <cellStyle name="Normal 27 2 2 2 5 2" xfId="18309" xr:uid="{00000000-0005-0000-0000-00002E270000}"/>
    <cellStyle name="Normal 27 2 2 2 6" xfId="7957" xr:uid="{00000000-0005-0000-0000-00002F270000}"/>
    <cellStyle name="Normal 27 2 2 2 6 2" xfId="16710" xr:uid="{00000000-0005-0000-0000-000030270000}"/>
    <cellStyle name="Normal 27 2 2 2 7" xfId="11169" xr:uid="{00000000-0005-0000-0000-000031270000}"/>
    <cellStyle name="Normal 27 2 2 2 7 2" xfId="19856" xr:uid="{00000000-0005-0000-0000-000032270000}"/>
    <cellStyle name="Normal 27 2 2 2 8" xfId="12776" xr:uid="{00000000-0005-0000-0000-000033270000}"/>
    <cellStyle name="Normal 27 2 2 2 8 2" xfId="21456" xr:uid="{00000000-0005-0000-0000-000034270000}"/>
    <cellStyle name="Normal 27 2 2 2 9" xfId="14950" xr:uid="{00000000-0005-0000-0000-000035270000}"/>
    <cellStyle name="Normal 27 2 2 3" xfId="2762" xr:uid="{00000000-0005-0000-0000-000036270000}"/>
    <cellStyle name="Normal 27 2 2 3 2" xfId="2763" xr:uid="{00000000-0005-0000-0000-000037270000}"/>
    <cellStyle name="Normal 27 2 2 3 2 2" xfId="9564" xr:uid="{00000000-0005-0000-0000-000038270000}"/>
    <cellStyle name="Normal 27 2 2 3 2 2 2" xfId="18314" xr:uid="{00000000-0005-0000-0000-000039270000}"/>
    <cellStyle name="Normal 27 2 2 3 2 3" xfId="7962" xr:uid="{00000000-0005-0000-0000-00003A270000}"/>
    <cellStyle name="Normal 27 2 2 3 2 3 2" xfId="16715" xr:uid="{00000000-0005-0000-0000-00003B270000}"/>
    <cellStyle name="Normal 27 2 2 3 2 4" xfId="11174" xr:uid="{00000000-0005-0000-0000-00003C270000}"/>
    <cellStyle name="Normal 27 2 2 3 2 4 2" xfId="19861" xr:uid="{00000000-0005-0000-0000-00003D270000}"/>
    <cellStyle name="Normal 27 2 2 3 2 5" xfId="12781" xr:uid="{00000000-0005-0000-0000-00003E270000}"/>
    <cellStyle name="Normal 27 2 2 3 2 5 2" xfId="21461" xr:uid="{00000000-0005-0000-0000-00003F270000}"/>
    <cellStyle name="Normal 27 2 2 3 2 6" xfId="14955" xr:uid="{00000000-0005-0000-0000-000040270000}"/>
    <cellStyle name="Normal 27 2 2 3 3" xfId="2764" xr:uid="{00000000-0005-0000-0000-000041270000}"/>
    <cellStyle name="Normal 27 2 2 3 3 2" xfId="9565" xr:uid="{00000000-0005-0000-0000-000042270000}"/>
    <cellStyle name="Normal 27 2 2 3 3 2 2" xfId="18315" xr:uid="{00000000-0005-0000-0000-000043270000}"/>
    <cellStyle name="Normal 27 2 2 3 3 3" xfId="7963" xr:uid="{00000000-0005-0000-0000-000044270000}"/>
    <cellStyle name="Normal 27 2 2 3 3 3 2" xfId="16716" xr:uid="{00000000-0005-0000-0000-000045270000}"/>
    <cellStyle name="Normal 27 2 2 3 3 4" xfId="11175" xr:uid="{00000000-0005-0000-0000-000046270000}"/>
    <cellStyle name="Normal 27 2 2 3 3 4 2" xfId="19862" xr:uid="{00000000-0005-0000-0000-000047270000}"/>
    <cellStyle name="Normal 27 2 2 3 3 5" xfId="12782" xr:uid="{00000000-0005-0000-0000-000048270000}"/>
    <cellStyle name="Normal 27 2 2 3 3 5 2" xfId="21462" xr:uid="{00000000-0005-0000-0000-000049270000}"/>
    <cellStyle name="Normal 27 2 2 3 3 6" xfId="14956" xr:uid="{00000000-0005-0000-0000-00004A270000}"/>
    <cellStyle name="Normal 27 2 2 3 4" xfId="2765" xr:uid="{00000000-0005-0000-0000-00004B270000}"/>
    <cellStyle name="Normal 27 2 2 3 4 2" xfId="9566" xr:uid="{00000000-0005-0000-0000-00004C270000}"/>
    <cellStyle name="Normal 27 2 2 3 4 2 2" xfId="18316" xr:uid="{00000000-0005-0000-0000-00004D270000}"/>
    <cellStyle name="Normal 27 2 2 3 4 3" xfId="7964" xr:uid="{00000000-0005-0000-0000-00004E270000}"/>
    <cellStyle name="Normal 27 2 2 3 4 3 2" xfId="16717" xr:uid="{00000000-0005-0000-0000-00004F270000}"/>
    <cellStyle name="Normal 27 2 2 3 4 4" xfId="11176" xr:uid="{00000000-0005-0000-0000-000050270000}"/>
    <cellStyle name="Normal 27 2 2 3 4 4 2" xfId="19863" xr:uid="{00000000-0005-0000-0000-000051270000}"/>
    <cellStyle name="Normal 27 2 2 3 4 5" xfId="12783" xr:uid="{00000000-0005-0000-0000-000052270000}"/>
    <cellStyle name="Normal 27 2 2 3 4 5 2" xfId="21463" xr:uid="{00000000-0005-0000-0000-000053270000}"/>
    <cellStyle name="Normal 27 2 2 3 4 6" xfId="14957" xr:uid="{00000000-0005-0000-0000-000054270000}"/>
    <cellStyle name="Normal 27 2 2 3 5" xfId="9563" xr:uid="{00000000-0005-0000-0000-000055270000}"/>
    <cellStyle name="Normal 27 2 2 3 5 2" xfId="18313" xr:uid="{00000000-0005-0000-0000-000056270000}"/>
    <cellStyle name="Normal 27 2 2 3 6" xfId="7961" xr:uid="{00000000-0005-0000-0000-000057270000}"/>
    <cellStyle name="Normal 27 2 2 3 6 2" xfId="16714" xr:uid="{00000000-0005-0000-0000-000058270000}"/>
    <cellStyle name="Normal 27 2 2 3 7" xfId="11173" xr:uid="{00000000-0005-0000-0000-000059270000}"/>
    <cellStyle name="Normal 27 2 2 3 7 2" xfId="19860" xr:uid="{00000000-0005-0000-0000-00005A270000}"/>
    <cellStyle name="Normal 27 2 2 3 8" xfId="12780" xr:uid="{00000000-0005-0000-0000-00005B270000}"/>
    <cellStyle name="Normal 27 2 2 3 8 2" xfId="21460" xr:uid="{00000000-0005-0000-0000-00005C270000}"/>
    <cellStyle name="Normal 27 2 2 3 9" xfId="14954" xr:uid="{00000000-0005-0000-0000-00005D270000}"/>
    <cellStyle name="Normal 27 2 2 4" xfId="2766" xr:uid="{00000000-0005-0000-0000-00005E270000}"/>
    <cellStyle name="Normal 27 2 2 4 2" xfId="2767" xr:uid="{00000000-0005-0000-0000-00005F270000}"/>
    <cellStyle name="Normal 27 2 2 4 2 2" xfId="9568" xr:uid="{00000000-0005-0000-0000-000060270000}"/>
    <cellStyle name="Normal 27 2 2 4 2 2 2" xfId="18318" xr:uid="{00000000-0005-0000-0000-000061270000}"/>
    <cellStyle name="Normal 27 2 2 4 2 3" xfId="7966" xr:uid="{00000000-0005-0000-0000-000062270000}"/>
    <cellStyle name="Normal 27 2 2 4 2 3 2" xfId="16719" xr:uid="{00000000-0005-0000-0000-000063270000}"/>
    <cellStyle name="Normal 27 2 2 4 2 4" xfId="11178" xr:uid="{00000000-0005-0000-0000-000064270000}"/>
    <cellStyle name="Normal 27 2 2 4 2 4 2" xfId="19865" xr:uid="{00000000-0005-0000-0000-000065270000}"/>
    <cellStyle name="Normal 27 2 2 4 2 5" xfId="12785" xr:uid="{00000000-0005-0000-0000-000066270000}"/>
    <cellStyle name="Normal 27 2 2 4 2 5 2" xfId="21465" xr:uid="{00000000-0005-0000-0000-000067270000}"/>
    <cellStyle name="Normal 27 2 2 4 2 6" xfId="14959" xr:uid="{00000000-0005-0000-0000-000068270000}"/>
    <cellStyle name="Normal 27 2 2 4 3" xfId="2768" xr:uid="{00000000-0005-0000-0000-000069270000}"/>
    <cellStyle name="Normal 27 2 2 4 3 2" xfId="9569" xr:uid="{00000000-0005-0000-0000-00006A270000}"/>
    <cellStyle name="Normal 27 2 2 4 3 2 2" xfId="18319" xr:uid="{00000000-0005-0000-0000-00006B270000}"/>
    <cellStyle name="Normal 27 2 2 4 3 3" xfId="7967" xr:uid="{00000000-0005-0000-0000-00006C270000}"/>
    <cellStyle name="Normal 27 2 2 4 3 3 2" xfId="16720" xr:uid="{00000000-0005-0000-0000-00006D270000}"/>
    <cellStyle name="Normal 27 2 2 4 3 4" xfId="11179" xr:uid="{00000000-0005-0000-0000-00006E270000}"/>
    <cellStyle name="Normal 27 2 2 4 3 4 2" xfId="19866" xr:uid="{00000000-0005-0000-0000-00006F270000}"/>
    <cellStyle name="Normal 27 2 2 4 3 5" xfId="12786" xr:uid="{00000000-0005-0000-0000-000070270000}"/>
    <cellStyle name="Normal 27 2 2 4 3 5 2" xfId="21466" xr:uid="{00000000-0005-0000-0000-000071270000}"/>
    <cellStyle name="Normal 27 2 2 4 3 6" xfId="14960" xr:uid="{00000000-0005-0000-0000-000072270000}"/>
    <cellStyle name="Normal 27 2 2 4 4" xfId="2769" xr:uid="{00000000-0005-0000-0000-000073270000}"/>
    <cellStyle name="Normal 27 2 2 4 4 2" xfId="9570" xr:uid="{00000000-0005-0000-0000-000074270000}"/>
    <cellStyle name="Normal 27 2 2 4 4 2 2" xfId="18320" xr:uid="{00000000-0005-0000-0000-000075270000}"/>
    <cellStyle name="Normal 27 2 2 4 4 3" xfId="7968" xr:uid="{00000000-0005-0000-0000-000076270000}"/>
    <cellStyle name="Normal 27 2 2 4 4 3 2" xfId="16721" xr:uid="{00000000-0005-0000-0000-000077270000}"/>
    <cellStyle name="Normal 27 2 2 4 4 4" xfId="11180" xr:uid="{00000000-0005-0000-0000-000078270000}"/>
    <cellStyle name="Normal 27 2 2 4 4 4 2" xfId="19867" xr:uid="{00000000-0005-0000-0000-000079270000}"/>
    <cellStyle name="Normal 27 2 2 4 4 5" xfId="12787" xr:uid="{00000000-0005-0000-0000-00007A270000}"/>
    <cellStyle name="Normal 27 2 2 4 4 5 2" xfId="21467" xr:uid="{00000000-0005-0000-0000-00007B270000}"/>
    <cellStyle name="Normal 27 2 2 4 4 6" xfId="14961" xr:uid="{00000000-0005-0000-0000-00007C270000}"/>
    <cellStyle name="Normal 27 2 2 4 5" xfId="9567" xr:uid="{00000000-0005-0000-0000-00007D270000}"/>
    <cellStyle name="Normal 27 2 2 4 5 2" xfId="18317" xr:uid="{00000000-0005-0000-0000-00007E270000}"/>
    <cellStyle name="Normal 27 2 2 4 6" xfId="7965" xr:uid="{00000000-0005-0000-0000-00007F270000}"/>
    <cellStyle name="Normal 27 2 2 4 6 2" xfId="16718" xr:uid="{00000000-0005-0000-0000-000080270000}"/>
    <cellStyle name="Normal 27 2 2 4 7" xfId="11177" xr:uid="{00000000-0005-0000-0000-000081270000}"/>
    <cellStyle name="Normal 27 2 2 4 7 2" xfId="19864" xr:uid="{00000000-0005-0000-0000-000082270000}"/>
    <cellStyle name="Normal 27 2 2 4 8" xfId="12784" xr:uid="{00000000-0005-0000-0000-000083270000}"/>
    <cellStyle name="Normal 27 2 2 4 8 2" xfId="21464" xr:uid="{00000000-0005-0000-0000-000084270000}"/>
    <cellStyle name="Normal 27 2 2 4 9" xfId="14958" xr:uid="{00000000-0005-0000-0000-000085270000}"/>
    <cellStyle name="Normal 27 2 2 5" xfId="2770" xr:uid="{00000000-0005-0000-0000-000086270000}"/>
    <cellStyle name="Normal 27 2 2 5 2" xfId="9571" xr:uid="{00000000-0005-0000-0000-000087270000}"/>
    <cellStyle name="Normal 27 2 2 5 2 2" xfId="18321" xr:uid="{00000000-0005-0000-0000-000088270000}"/>
    <cellStyle name="Normal 27 2 2 5 3" xfId="7969" xr:uid="{00000000-0005-0000-0000-000089270000}"/>
    <cellStyle name="Normal 27 2 2 5 3 2" xfId="16722" xr:uid="{00000000-0005-0000-0000-00008A270000}"/>
    <cellStyle name="Normal 27 2 2 5 4" xfId="11181" xr:uid="{00000000-0005-0000-0000-00008B270000}"/>
    <cellStyle name="Normal 27 2 2 5 4 2" xfId="19868" xr:uid="{00000000-0005-0000-0000-00008C270000}"/>
    <cellStyle name="Normal 27 2 2 5 5" xfId="12788" xr:uid="{00000000-0005-0000-0000-00008D270000}"/>
    <cellStyle name="Normal 27 2 2 5 5 2" xfId="21468" xr:uid="{00000000-0005-0000-0000-00008E270000}"/>
    <cellStyle name="Normal 27 2 2 5 6" xfId="14962" xr:uid="{00000000-0005-0000-0000-00008F270000}"/>
    <cellStyle name="Normal 27 2 2 6" xfId="2771" xr:uid="{00000000-0005-0000-0000-000090270000}"/>
    <cellStyle name="Normal 27 2 2 6 2" xfId="9572" xr:uid="{00000000-0005-0000-0000-000091270000}"/>
    <cellStyle name="Normal 27 2 2 6 2 2" xfId="18322" xr:uid="{00000000-0005-0000-0000-000092270000}"/>
    <cellStyle name="Normal 27 2 2 6 3" xfId="7970" xr:uid="{00000000-0005-0000-0000-000093270000}"/>
    <cellStyle name="Normal 27 2 2 6 3 2" xfId="16723" xr:uid="{00000000-0005-0000-0000-000094270000}"/>
    <cellStyle name="Normal 27 2 2 6 4" xfId="11182" xr:uid="{00000000-0005-0000-0000-000095270000}"/>
    <cellStyle name="Normal 27 2 2 6 4 2" xfId="19869" xr:uid="{00000000-0005-0000-0000-000096270000}"/>
    <cellStyle name="Normal 27 2 2 6 5" xfId="12789" xr:uid="{00000000-0005-0000-0000-000097270000}"/>
    <cellStyle name="Normal 27 2 2 6 5 2" xfId="21469" xr:uid="{00000000-0005-0000-0000-000098270000}"/>
    <cellStyle name="Normal 27 2 2 6 6" xfId="14963" xr:uid="{00000000-0005-0000-0000-000099270000}"/>
    <cellStyle name="Normal 27 2 2 7" xfId="2772" xr:uid="{00000000-0005-0000-0000-00009A270000}"/>
    <cellStyle name="Normal 27 2 2 7 2" xfId="9573" xr:uid="{00000000-0005-0000-0000-00009B270000}"/>
    <cellStyle name="Normal 27 2 2 7 2 2" xfId="18323" xr:uid="{00000000-0005-0000-0000-00009C270000}"/>
    <cellStyle name="Normal 27 2 2 7 3" xfId="7971" xr:uid="{00000000-0005-0000-0000-00009D270000}"/>
    <cellStyle name="Normal 27 2 2 7 3 2" xfId="16724" xr:uid="{00000000-0005-0000-0000-00009E270000}"/>
    <cellStyle name="Normal 27 2 2 7 4" xfId="11183" xr:uid="{00000000-0005-0000-0000-00009F270000}"/>
    <cellStyle name="Normal 27 2 2 7 4 2" xfId="19870" xr:uid="{00000000-0005-0000-0000-0000A0270000}"/>
    <cellStyle name="Normal 27 2 2 7 5" xfId="12790" xr:uid="{00000000-0005-0000-0000-0000A1270000}"/>
    <cellStyle name="Normal 27 2 2 7 5 2" xfId="21470" xr:uid="{00000000-0005-0000-0000-0000A2270000}"/>
    <cellStyle name="Normal 27 2 2 7 6" xfId="14964" xr:uid="{00000000-0005-0000-0000-0000A3270000}"/>
    <cellStyle name="Normal 27 2 3" xfId="2773" xr:uid="{00000000-0005-0000-0000-0000A4270000}"/>
    <cellStyle name="Normal 27 2 3 2" xfId="2774" xr:uid="{00000000-0005-0000-0000-0000A5270000}"/>
    <cellStyle name="Normal 27 2 3 2 2" xfId="9575" xr:uid="{00000000-0005-0000-0000-0000A6270000}"/>
    <cellStyle name="Normal 27 2 3 2 2 2" xfId="18325" xr:uid="{00000000-0005-0000-0000-0000A7270000}"/>
    <cellStyle name="Normal 27 2 3 2 3" xfId="7973" xr:uid="{00000000-0005-0000-0000-0000A8270000}"/>
    <cellStyle name="Normal 27 2 3 2 3 2" xfId="16726" xr:uid="{00000000-0005-0000-0000-0000A9270000}"/>
    <cellStyle name="Normal 27 2 3 2 4" xfId="11185" xr:uid="{00000000-0005-0000-0000-0000AA270000}"/>
    <cellStyle name="Normal 27 2 3 2 4 2" xfId="19872" xr:uid="{00000000-0005-0000-0000-0000AB270000}"/>
    <cellStyle name="Normal 27 2 3 2 5" xfId="12792" xr:uid="{00000000-0005-0000-0000-0000AC270000}"/>
    <cellStyle name="Normal 27 2 3 2 5 2" xfId="21472" xr:uid="{00000000-0005-0000-0000-0000AD270000}"/>
    <cellStyle name="Normal 27 2 3 2 6" xfId="14966" xr:uid="{00000000-0005-0000-0000-0000AE270000}"/>
    <cellStyle name="Normal 27 2 3 3" xfId="2775" xr:uid="{00000000-0005-0000-0000-0000AF270000}"/>
    <cellStyle name="Normal 27 2 3 3 2" xfId="9576" xr:uid="{00000000-0005-0000-0000-0000B0270000}"/>
    <cellStyle name="Normal 27 2 3 3 2 2" xfId="18326" xr:uid="{00000000-0005-0000-0000-0000B1270000}"/>
    <cellStyle name="Normal 27 2 3 3 3" xfId="7974" xr:uid="{00000000-0005-0000-0000-0000B2270000}"/>
    <cellStyle name="Normal 27 2 3 3 3 2" xfId="16727" xr:uid="{00000000-0005-0000-0000-0000B3270000}"/>
    <cellStyle name="Normal 27 2 3 3 4" xfId="11186" xr:uid="{00000000-0005-0000-0000-0000B4270000}"/>
    <cellStyle name="Normal 27 2 3 3 4 2" xfId="19873" xr:uid="{00000000-0005-0000-0000-0000B5270000}"/>
    <cellStyle name="Normal 27 2 3 3 5" xfId="12793" xr:uid="{00000000-0005-0000-0000-0000B6270000}"/>
    <cellStyle name="Normal 27 2 3 3 5 2" xfId="21473" xr:uid="{00000000-0005-0000-0000-0000B7270000}"/>
    <cellStyle name="Normal 27 2 3 3 6" xfId="14967" xr:uid="{00000000-0005-0000-0000-0000B8270000}"/>
    <cellStyle name="Normal 27 2 3 4" xfId="2776" xr:uid="{00000000-0005-0000-0000-0000B9270000}"/>
    <cellStyle name="Normal 27 2 3 4 2" xfId="9577" xr:uid="{00000000-0005-0000-0000-0000BA270000}"/>
    <cellStyle name="Normal 27 2 3 4 2 2" xfId="18327" xr:uid="{00000000-0005-0000-0000-0000BB270000}"/>
    <cellStyle name="Normal 27 2 3 4 3" xfId="7975" xr:uid="{00000000-0005-0000-0000-0000BC270000}"/>
    <cellStyle name="Normal 27 2 3 4 3 2" xfId="16728" xr:uid="{00000000-0005-0000-0000-0000BD270000}"/>
    <cellStyle name="Normal 27 2 3 4 4" xfId="11187" xr:uid="{00000000-0005-0000-0000-0000BE270000}"/>
    <cellStyle name="Normal 27 2 3 4 4 2" xfId="19874" xr:uid="{00000000-0005-0000-0000-0000BF270000}"/>
    <cellStyle name="Normal 27 2 3 4 5" xfId="12794" xr:uid="{00000000-0005-0000-0000-0000C0270000}"/>
    <cellStyle name="Normal 27 2 3 4 5 2" xfId="21474" xr:uid="{00000000-0005-0000-0000-0000C1270000}"/>
    <cellStyle name="Normal 27 2 3 4 6" xfId="14968" xr:uid="{00000000-0005-0000-0000-0000C2270000}"/>
    <cellStyle name="Normal 27 2 3 5" xfId="9574" xr:uid="{00000000-0005-0000-0000-0000C3270000}"/>
    <cellStyle name="Normal 27 2 3 5 2" xfId="18324" xr:uid="{00000000-0005-0000-0000-0000C4270000}"/>
    <cellStyle name="Normal 27 2 3 6" xfId="7972" xr:uid="{00000000-0005-0000-0000-0000C5270000}"/>
    <cellStyle name="Normal 27 2 3 6 2" xfId="16725" xr:uid="{00000000-0005-0000-0000-0000C6270000}"/>
    <cellStyle name="Normal 27 2 3 7" xfId="11184" xr:uid="{00000000-0005-0000-0000-0000C7270000}"/>
    <cellStyle name="Normal 27 2 3 7 2" xfId="19871" xr:uid="{00000000-0005-0000-0000-0000C8270000}"/>
    <cellStyle name="Normal 27 2 3 8" xfId="12791" xr:uid="{00000000-0005-0000-0000-0000C9270000}"/>
    <cellStyle name="Normal 27 2 3 8 2" xfId="21471" xr:uid="{00000000-0005-0000-0000-0000CA270000}"/>
    <cellStyle name="Normal 27 2 3 9" xfId="14965" xr:uid="{00000000-0005-0000-0000-0000CB270000}"/>
    <cellStyle name="Normal 27 2 4" xfId="2777" xr:uid="{00000000-0005-0000-0000-0000CC270000}"/>
    <cellStyle name="Normal 27 2 5" xfId="2778" xr:uid="{00000000-0005-0000-0000-0000CD270000}"/>
    <cellStyle name="Normal 27 2 6" xfId="2779" xr:uid="{00000000-0005-0000-0000-0000CE270000}"/>
    <cellStyle name="Normal 27 2 6 2" xfId="9578" xr:uid="{00000000-0005-0000-0000-0000CF270000}"/>
    <cellStyle name="Normal 27 2 6 2 2" xfId="18328" xr:uid="{00000000-0005-0000-0000-0000D0270000}"/>
    <cellStyle name="Normal 27 2 6 3" xfId="7976" xr:uid="{00000000-0005-0000-0000-0000D1270000}"/>
    <cellStyle name="Normal 27 2 6 3 2" xfId="16729" xr:uid="{00000000-0005-0000-0000-0000D2270000}"/>
    <cellStyle name="Normal 27 2 6 4" xfId="11188" xr:uid="{00000000-0005-0000-0000-0000D3270000}"/>
    <cellStyle name="Normal 27 2 6 4 2" xfId="19875" xr:uid="{00000000-0005-0000-0000-0000D4270000}"/>
    <cellStyle name="Normal 27 2 6 5" xfId="12795" xr:uid="{00000000-0005-0000-0000-0000D5270000}"/>
    <cellStyle name="Normal 27 2 6 5 2" xfId="21475" xr:uid="{00000000-0005-0000-0000-0000D6270000}"/>
    <cellStyle name="Normal 27 2 6 6" xfId="14969" xr:uid="{00000000-0005-0000-0000-0000D7270000}"/>
    <cellStyle name="Normal 27 2 7" xfId="2780" xr:uid="{00000000-0005-0000-0000-0000D8270000}"/>
    <cellStyle name="Normal 27 2 7 2" xfId="9579" xr:uid="{00000000-0005-0000-0000-0000D9270000}"/>
    <cellStyle name="Normal 27 2 7 2 2" xfId="18329" xr:uid="{00000000-0005-0000-0000-0000DA270000}"/>
    <cellStyle name="Normal 27 2 7 3" xfId="7977" xr:uid="{00000000-0005-0000-0000-0000DB270000}"/>
    <cellStyle name="Normal 27 2 7 3 2" xfId="16730" xr:uid="{00000000-0005-0000-0000-0000DC270000}"/>
    <cellStyle name="Normal 27 2 7 4" xfId="11189" xr:uid="{00000000-0005-0000-0000-0000DD270000}"/>
    <cellStyle name="Normal 27 2 7 4 2" xfId="19876" xr:uid="{00000000-0005-0000-0000-0000DE270000}"/>
    <cellStyle name="Normal 27 2 7 5" xfId="12796" xr:uid="{00000000-0005-0000-0000-0000DF270000}"/>
    <cellStyle name="Normal 27 2 7 5 2" xfId="21476" xr:uid="{00000000-0005-0000-0000-0000E0270000}"/>
    <cellStyle name="Normal 27 2 7 6" xfId="14970" xr:uid="{00000000-0005-0000-0000-0000E1270000}"/>
    <cellStyle name="Normal 27 2 8" xfId="2781" xr:uid="{00000000-0005-0000-0000-0000E2270000}"/>
    <cellStyle name="Normal 27 2 8 2" xfId="9580" xr:uid="{00000000-0005-0000-0000-0000E3270000}"/>
    <cellStyle name="Normal 27 2 8 2 2" xfId="18330" xr:uid="{00000000-0005-0000-0000-0000E4270000}"/>
    <cellStyle name="Normal 27 2 8 3" xfId="7978" xr:uid="{00000000-0005-0000-0000-0000E5270000}"/>
    <cellStyle name="Normal 27 2 8 3 2" xfId="16731" xr:uid="{00000000-0005-0000-0000-0000E6270000}"/>
    <cellStyle name="Normal 27 2 8 4" xfId="11190" xr:uid="{00000000-0005-0000-0000-0000E7270000}"/>
    <cellStyle name="Normal 27 2 8 4 2" xfId="19877" xr:uid="{00000000-0005-0000-0000-0000E8270000}"/>
    <cellStyle name="Normal 27 2 8 5" xfId="12797" xr:uid="{00000000-0005-0000-0000-0000E9270000}"/>
    <cellStyle name="Normal 27 2 8 5 2" xfId="21477" xr:uid="{00000000-0005-0000-0000-0000EA270000}"/>
    <cellStyle name="Normal 27 2 8 6" xfId="14971" xr:uid="{00000000-0005-0000-0000-0000EB270000}"/>
    <cellStyle name="Normal 27 2 9" xfId="9558" xr:uid="{00000000-0005-0000-0000-0000EC270000}"/>
    <cellStyle name="Normal 27 2 9 2" xfId="18308" xr:uid="{00000000-0005-0000-0000-0000ED270000}"/>
    <cellStyle name="Normal 27 3" xfId="2782" xr:uid="{00000000-0005-0000-0000-0000EE270000}"/>
    <cellStyle name="Normal 27 4" xfId="2752" xr:uid="{00000000-0005-0000-0000-0000EF270000}"/>
    <cellStyle name="Normal 27 5" xfId="10642" xr:uid="{00000000-0005-0000-0000-0000F0270000}"/>
    <cellStyle name="Normal 28" xfId="2783" xr:uid="{00000000-0005-0000-0000-0000F1270000}"/>
    <cellStyle name="Normal 28 2" xfId="2784" xr:uid="{00000000-0005-0000-0000-0000F2270000}"/>
    <cellStyle name="Normal 28 2 10" xfId="9581" xr:uid="{00000000-0005-0000-0000-0000F3270000}"/>
    <cellStyle name="Normal 28 2 10 2" xfId="18331" xr:uid="{00000000-0005-0000-0000-0000F4270000}"/>
    <cellStyle name="Normal 28 2 11" xfId="7979" xr:uid="{00000000-0005-0000-0000-0000F5270000}"/>
    <cellStyle name="Normal 28 2 11 2" xfId="16732" xr:uid="{00000000-0005-0000-0000-0000F6270000}"/>
    <cellStyle name="Normal 28 2 12" xfId="11191" xr:uid="{00000000-0005-0000-0000-0000F7270000}"/>
    <cellStyle name="Normal 28 2 12 2" xfId="19878" xr:uid="{00000000-0005-0000-0000-0000F8270000}"/>
    <cellStyle name="Normal 28 2 13" xfId="12798" xr:uid="{00000000-0005-0000-0000-0000F9270000}"/>
    <cellStyle name="Normal 28 2 13 2" xfId="21478" xr:uid="{00000000-0005-0000-0000-0000FA270000}"/>
    <cellStyle name="Normal 28 2 14" xfId="14972" xr:uid="{00000000-0005-0000-0000-0000FB270000}"/>
    <cellStyle name="Normal 28 2 2" xfId="2785" xr:uid="{00000000-0005-0000-0000-0000FC270000}"/>
    <cellStyle name="Normal 28 2 2 2" xfId="2786" xr:uid="{00000000-0005-0000-0000-0000FD270000}"/>
    <cellStyle name="Normal 28 2 2 2 2" xfId="9583" xr:uid="{00000000-0005-0000-0000-0000FE270000}"/>
    <cellStyle name="Normal 28 2 2 2 2 2" xfId="18333" xr:uid="{00000000-0005-0000-0000-0000FF270000}"/>
    <cellStyle name="Normal 28 2 2 2 3" xfId="7981" xr:uid="{00000000-0005-0000-0000-000000280000}"/>
    <cellStyle name="Normal 28 2 2 2 3 2" xfId="16734" xr:uid="{00000000-0005-0000-0000-000001280000}"/>
    <cellStyle name="Normal 28 2 2 2 4" xfId="11193" xr:uid="{00000000-0005-0000-0000-000002280000}"/>
    <cellStyle name="Normal 28 2 2 2 4 2" xfId="19880" xr:uid="{00000000-0005-0000-0000-000003280000}"/>
    <cellStyle name="Normal 28 2 2 2 5" xfId="12800" xr:uid="{00000000-0005-0000-0000-000004280000}"/>
    <cellStyle name="Normal 28 2 2 2 5 2" xfId="21480" xr:uid="{00000000-0005-0000-0000-000005280000}"/>
    <cellStyle name="Normal 28 2 2 2 6" xfId="14974" xr:uid="{00000000-0005-0000-0000-000006280000}"/>
    <cellStyle name="Normal 28 2 2 3" xfId="2787" xr:uid="{00000000-0005-0000-0000-000007280000}"/>
    <cellStyle name="Normal 28 2 2 3 2" xfId="9584" xr:uid="{00000000-0005-0000-0000-000008280000}"/>
    <cellStyle name="Normal 28 2 2 3 2 2" xfId="18334" xr:uid="{00000000-0005-0000-0000-000009280000}"/>
    <cellStyle name="Normal 28 2 2 3 3" xfId="7982" xr:uid="{00000000-0005-0000-0000-00000A280000}"/>
    <cellStyle name="Normal 28 2 2 3 3 2" xfId="16735" xr:uid="{00000000-0005-0000-0000-00000B280000}"/>
    <cellStyle name="Normal 28 2 2 3 4" xfId="11194" xr:uid="{00000000-0005-0000-0000-00000C280000}"/>
    <cellStyle name="Normal 28 2 2 3 4 2" xfId="19881" xr:uid="{00000000-0005-0000-0000-00000D280000}"/>
    <cellStyle name="Normal 28 2 2 3 5" xfId="12801" xr:uid="{00000000-0005-0000-0000-00000E280000}"/>
    <cellStyle name="Normal 28 2 2 3 5 2" xfId="21481" xr:uid="{00000000-0005-0000-0000-00000F280000}"/>
    <cellStyle name="Normal 28 2 2 3 6" xfId="14975" xr:uid="{00000000-0005-0000-0000-000010280000}"/>
    <cellStyle name="Normal 28 2 2 4" xfId="2788" xr:uid="{00000000-0005-0000-0000-000011280000}"/>
    <cellStyle name="Normal 28 2 2 4 2" xfId="9585" xr:uid="{00000000-0005-0000-0000-000012280000}"/>
    <cellStyle name="Normal 28 2 2 4 2 2" xfId="18335" xr:uid="{00000000-0005-0000-0000-000013280000}"/>
    <cellStyle name="Normal 28 2 2 4 3" xfId="7983" xr:uid="{00000000-0005-0000-0000-000014280000}"/>
    <cellStyle name="Normal 28 2 2 4 3 2" xfId="16736" xr:uid="{00000000-0005-0000-0000-000015280000}"/>
    <cellStyle name="Normal 28 2 2 4 4" xfId="11195" xr:uid="{00000000-0005-0000-0000-000016280000}"/>
    <cellStyle name="Normal 28 2 2 4 4 2" xfId="19882" xr:uid="{00000000-0005-0000-0000-000017280000}"/>
    <cellStyle name="Normal 28 2 2 4 5" xfId="12802" xr:uid="{00000000-0005-0000-0000-000018280000}"/>
    <cellStyle name="Normal 28 2 2 4 5 2" xfId="21482" xr:uid="{00000000-0005-0000-0000-000019280000}"/>
    <cellStyle name="Normal 28 2 2 4 6" xfId="14976" xr:uid="{00000000-0005-0000-0000-00001A280000}"/>
    <cellStyle name="Normal 28 2 2 5" xfId="9582" xr:uid="{00000000-0005-0000-0000-00001B280000}"/>
    <cellStyle name="Normal 28 2 2 5 2" xfId="18332" xr:uid="{00000000-0005-0000-0000-00001C280000}"/>
    <cellStyle name="Normal 28 2 2 6" xfId="7980" xr:uid="{00000000-0005-0000-0000-00001D280000}"/>
    <cellStyle name="Normal 28 2 2 6 2" xfId="16733" xr:uid="{00000000-0005-0000-0000-00001E280000}"/>
    <cellStyle name="Normal 28 2 2 7" xfId="11192" xr:uid="{00000000-0005-0000-0000-00001F280000}"/>
    <cellStyle name="Normal 28 2 2 7 2" xfId="19879" xr:uid="{00000000-0005-0000-0000-000020280000}"/>
    <cellStyle name="Normal 28 2 2 8" xfId="12799" xr:uid="{00000000-0005-0000-0000-000021280000}"/>
    <cellStyle name="Normal 28 2 2 8 2" xfId="21479" xr:uid="{00000000-0005-0000-0000-000022280000}"/>
    <cellStyle name="Normal 28 2 2 9" xfId="14973" xr:uid="{00000000-0005-0000-0000-000023280000}"/>
    <cellStyle name="Normal 28 2 3" xfId="2789" xr:uid="{00000000-0005-0000-0000-000024280000}"/>
    <cellStyle name="Normal 28 2 3 2" xfId="2790" xr:uid="{00000000-0005-0000-0000-000025280000}"/>
    <cellStyle name="Normal 28 2 3 2 2" xfId="9587" xr:uid="{00000000-0005-0000-0000-000026280000}"/>
    <cellStyle name="Normal 28 2 3 2 2 2" xfId="18337" xr:uid="{00000000-0005-0000-0000-000027280000}"/>
    <cellStyle name="Normal 28 2 3 2 3" xfId="7985" xr:uid="{00000000-0005-0000-0000-000028280000}"/>
    <cellStyle name="Normal 28 2 3 2 3 2" xfId="16738" xr:uid="{00000000-0005-0000-0000-000029280000}"/>
    <cellStyle name="Normal 28 2 3 2 4" xfId="11197" xr:uid="{00000000-0005-0000-0000-00002A280000}"/>
    <cellStyle name="Normal 28 2 3 2 4 2" xfId="19884" xr:uid="{00000000-0005-0000-0000-00002B280000}"/>
    <cellStyle name="Normal 28 2 3 2 5" xfId="12804" xr:uid="{00000000-0005-0000-0000-00002C280000}"/>
    <cellStyle name="Normal 28 2 3 2 5 2" xfId="21484" xr:uid="{00000000-0005-0000-0000-00002D280000}"/>
    <cellStyle name="Normal 28 2 3 2 6" xfId="14978" xr:uid="{00000000-0005-0000-0000-00002E280000}"/>
    <cellStyle name="Normal 28 2 3 3" xfId="2791" xr:uid="{00000000-0005-0000-0000-00002F280000}"/>
    <cellStyle name="Normal 28 2 3 3 2" xfId="9588" xr:uid="{00000000-0005-0000-0000-000030280000}"/>
    <cellStyle name="Normal 28 2 3 3 2 2" xfId="18338" xr:uid="{00000000-0005-0000-0000-000031280000}"/>
    <cellStyle name="Normal 28 2 3 3 3" xfId="7986" xr:uid="{00000000-0005-0000-0000-000032280000}"/>
    <cellStyle name="Normal 28 2 3 3 3 2" xfId="16739" xr:uid="{00000000-0005-0000-0000-000033280000}"/>
    <cellStyle name="Normal 28 2 3 3 4" xfId="11198" xr:uid="{00000000-0005-0000-0000-000034280000}"/>
    <cellStyle name="Normal 28 2 3 3 4 2" xfId="19885" xr:uid="{00000000-0005-0000-0000-000035280000}"/>
    <cellStyle name="Normal 28 2 3 3 5" xfId="12805" xr:uid="{00000000-0005-0000-0000-000036280000}"/>
    <cellStyle name="Normal 28 2 3 3 5 2" xfId="21485" xr:uid="{00000000-0005-0000-0000-000037280000}"/>
    <cellStyle name="Normal 28 2 3 3 6" xfId="14979" xr:uid="{00000000-0005-0000-0000-000038280000}"/>
    <cellStyle name="Normal 28 2 3 4" xfId="2792" xr:uid="{00000000-0005-0000-0000-000039280000}"/>
    <cellStyle name="Normal 28 2 3 4 2" xfId="9589" xr:uid="{00000000-0005-0000-0000-00003A280000}"/>
    <cellStyle name="Normal 28 2 3 4 2 2" xfId="18339" xr:uid="{00000000-0005-0000-0000-00003B280000}"/>
    <cellStyle name="Normal 28 2 3 4 3" xfId="7987" xr:uid="{00000000-0005-0000-0000-00003C280000}"/>
    <cellStyle name="Normal 28 2 3 4 3 2" xfId="16740" xr:uid="{00000000-0005-0000-0000-00003D280000}"/>
    <cellStyle name="Normal 28 2 3 4 4" xfId="11199" xr:uid="{00000000-0005-0000-0000-00003E280000}"/>
    <cellStyle name="Normal 28 2 3 4 4 2" xfId="19886" xr:uid="{00000000-0005-0000-0000-00003F280000}"/>
    <cellStyle name="Normal 28 2 3 4 5" xfId="12806" xr:uid="{00000000-0005-0000-0000-000040280000}"/>
    <cellStyle name="Normal 28 2 3 4 5 2" xfId="21486" xr:uid="{00000000-0005-0000-0000-000041280000}"/>
    <cellStyle name="Normal 28 2 3 4 6" xfId="14980" xr:uid="{00000000-0005-0000-0000-000042280000}"/>
    <cellStyle name="Normal 28 2 3 5" xfId="9586" xr:uid="{00000000-0005-0000-0000-000043280000}"/>
    <cellStyle name="Normal 28 2 3 5 2" xfId="18336" xr:uid="{00000000-0005-0000-0000-000044280000}"/>
    <cellStyle name="Normal 28 2 3 6" xfId="7984" xr:uid="{00000000-0005-0000-0000-000045280000}"/>
    <cellStyle name="Normal 28 2 3 6 2" xfId="16737" xr:uid="{00000000-0005-0000-0000-000046280000}"/>
    <cellStyle name="Normal 28 2 3 7" xfId="11196" xr:uid="{00000000-0005-0000-0000-000047280000}"/>
    <cellStyle name="Normal 28 2 3 7 2" xfId="19883" xr:uid="{00000000-0005-0000-0000-000048280000}"/>
    <cellStyle name="Normal 28 2 3 8" xfId="12803" xr:uid="{00000000-0005-0000-0000-000049280000}"/>
    <cellStyle name="Normal 28 2 3 8 2" xfId="21483" xr:uid="{00000000-0005-0000-0000-00004A280000}"/>
    <cellStyle name="Normal 28 2 3 9" xfId="14977" xr:uid="{00000000-0005-0000-0000-00004B280000}"/>
    <cellStyle name="Normal 28 2 4" xfId="2793" xr:uid="{00000000-0005-0000-0000-00004C280000}"/>
    <cellStyle name="Normal 28 2 4 2" xfId="2794" xr:uid="{00000000-0005-0000-0000-00004D280000}"/>
    <cellStyle name="Normal 28 2 4 2 2" xfId="2795" xr:uid="{00000000-0005-0000-0000-00004E280000}"/>
    <cellStyle name="Normal 28 2 4 2 2 2" xfId="2796" xr:uid="{00000000-0005-0000-0000-00004F280000}"/>
    <cellStyle name="Normal 28 2 4 2 2 2 2" xfId="9591" xr:uid="{00000000-0005-0000-0000-000050280000}"/>
    <cellStyle name="Normal 28 2 4 2 2 2 2 2" xfId="18341" xr:uid="{00000000-0005-0000-0000-000051280000}"/>
    <cellStyle name="Normal 28 2 4 2 2 2 3" xfId="7989" xr:uid="{00000000-0005-0000-0000-000052280000}"/>
    <cellStyle name="Normal 28 2 4 2 2 2 3 2" xfId="16742" xr:uid="{00000000-0005-0000-0000-000053280000}"/>
    <cellStyle name="Normal 28 2 4 2 2 2 4" xfId="11201" xr:uid="{00000000-0005-0000-0000-000054280000}"/>
    <cellStyle name="Normal 28 2 4 2 2 2 4 2" xfId="19888" xr:uid="{00000000-0005-0000-0000-000055280000}"/>
    <cellStyle name="Normal 28 2 4 2 2 2 5" xfId="12808" xr:uid="{00000000-0005-0000-0000-000056280000}"/>
    <cellStyle name="Normal 28 2 4 2 2 2 5 2" xfId="21488" xr:uid="{00000000-0005-0000-0000-000057280000}"/>
    <cellStyle name="Normal 28 2 4 2 2 2 6" xfId="14982" xr:uid="{00000000-0005-0000-0000-000058280000}"/>
    <cellStyle name="Normal 28 2 4 2 2 3" xfId="2797" xr:uid="{00000000-0005-0000-0000-000059280000}"/>
    <cellStyle name="Normal 28 2 4 2 2 3 2" xfId="9592" xr:uid="{00000000-0005-0000-0000-00005A280000}"/>
    <cellStyle name="Normal 28 2 4 2 2 3 2 2" xfId="18342" xr:uid="{00000000-0005-0000-0000-00005B280000}"/>
    <cellStyle name="Normal 28 2 4 2 2 3 3" xfId="7990" xr:uid="{00000000-0005-0000-0000-00005C280000}"/>
    <cellStyle name="Normal 28 2 4 2 2 3 3 2" xfId="16743" xr:uid="{00000000-0005-0000-0000-00005D280000}"/>
    <cellStyle name="Normal 28 2 4 2 2 3 4" xfId="11202" xr:uid="{00000000-0005-0000-0000-00005E280000}"/>
    <cellStyle name="Normal 28 2 4 2 2 3 4 2" xfId="19889" xr:uid="{00000000-0005-0000-0000-00005F280000}"/>
    <cellStyle name="Normal 28 2 4 2 2 3 5" xfId="12809" xr:uid="{00000000-0005-0000-0000-000060280000}"/>
    <cellStyle name="Normal 28 2 4 2 2 3 5 2" xfId="21489" xr:uid="{00000000-0005-0000-0000-000061280000}"/>
    <cellStyle name="Normal 28 2 4 2 2 3 6" xfId="14983" xr:uid="{00000000-0005-0000-0000-000062280000}"/>
    <cellStyle name="Normal 28 2 4 2 2 4" xfId="2798" xr:uid="{00000000-0005-0000-0000-000063280000}"/>
    <cellStyle name="Normal 28 2 4 2 2 4 2" xfId="9593" xr:uid="{00000000-0005-0000-0000-000064280000}"/>
    <cellStyle name="Normal 28 2 4 2 2 4 2 2" xfId="18343" xr:uid="{00000000-0005-0000-0000-000065280000}"/>
    <cellStyle name="Normal 28 2 4 2 2 4 3" xfId="7991" xr:uid="{00000000-0005-0000-0000-000066280000}"/>
    <cellStyle name="Normal 28 2 4 2 2 4 3 2" xfId="16744" xr:uid="{00000000-0005-0000-0000-000067280000}"/>
    <cellStyle name="Normal 28 2 4 2 2 4 4" xfId="11203" xr:uid="{00000000-0005-0000-0000-000068280000}"/>
    <cellStyle name="Normal 28 2 4 2 2 4 4 2" xfId="19890" xr:uid="{00000000-0005-0000-0000-000069280000}"/>
    <cellStyle name="Normal 28 2 4 2 2 4 5" xfId="12810" xr:uid="{00000000-0005-0000-0000-00006A280000}"/>
    <cellStyle name="Normal 28 2 4 2 2 4 5 2" xfId="21490" xr:uid="{00000000-0005-0000-0000-00006B280000}"/>
    <cellStyle name="Normal 28 2 4 2 2 4 6" xfId="14984" xr:uid="{00000000-0005-0000-0000-00006C280000}"/>
    <cellStyle name="Normal 28 2 4 2 3" xfId="2799" xr:uid="{00000000-0005-0000-0000-00006D280000}"/>
    <cellStyle name="Normal 28 2 4 2 4" xfId="2800" xr:uid="{00000000-0005-0000-0000-00006E280000}"/>
    <cellStyle name="Normal 28 2 4 2 5" xfId="9590" xr:uid="{00000000-0005-0000-0000-00006F280000}"/>
    <cellStyle name="Normal 28 2 4 2 5 2" xfId="18340" xr:uid="{00000000-0005-0000-0000-000070280000}"/>
    <cellStyle name="Normal 28 2 4 2 6" xfId="7988" xr:uid="{00000000-0005-0000-0000-000071280000}"/>
    <cellStyle name="Normal 28 2 4 2 6 2" xfId="16741" xr:uid="{00000000-0005-0000-0000-000072280000}"/>
    <cellStyle name="Normal 28 2 4 2 7" xfId="11200" xr:uid="{00000000-0005-0000-0000-000073280000}"/>
    <cellStyle name="Normal 28 2 4 2 7 2" xfId="19887" xr:uid="{00000000-0005-0000-0000-000074280000}"/>
    <cellStyle name="Normal 28 2 4 2 8" xfId="12807" xr:uid="{00000000-0005-0000-0000-000075280000}"/>
    <cellStyle name="Normal 28 2 4 2 8 2" xfId="21487" xr:uid="{00000000-0005-0000-0000-000076280000}"/>
    <cellStyle name="Normal 28 2 4 2 9" xfId="14981" xr:uid="{00000000-0005-0000-0000-000077280000}"/>
    <cellStyle name="Normal 28 2 4 3" xfId="2801" xr:uid="{00000000-0005-0000-0000-000078280000}"/>
    <cellStyle name="Normal 28 2 4 3 2" xfId="2802" xr:uid="{00000000-0005-0000-0000-000079280000}"/>
    <cellStyle name="Normal 28 2 4 3 2 2" xfId="9595" xr:uid="{00000000-0005-0000-0000-00007A280000}"/>
    <cellStyle name="Normal 28 2 4 3 2 2 2" xfId="18345" xr:uid="{00000000-0005-0000-0000-00007B280000}"/>
    <cellStyle name="Normal 28 2 4 3 2 3" xfId="7993" xr:uid="{00000000-0005-0000-0000-00007C280000}"/>
    <cellStyle name="Normal 28 2 4 3 2 3 2" xfId="16746" xr:uid="{00000000-0005-0000-0000-00007D280000}"/>
    <cellStyle name="Normal 28 2 4 3 2 4" xfId="11205" xr:uid="{00000000-0005-0000-0000-00007E280000}"/>
    <cellStyle name="Normal 28 2 4 3 2 4 2" xfId="19892" xr:uid="{00000000-0005-0000-0000-00007F280000}"/>
    <cellStyle name="Normal 28 2 4 3 2 5" xfId="12812" xr:uid="{00000000-0005-0000-0000-000080280000}"/>
    <cellStyle name="Normal 28 2 4 3 2 5 2" xfId="21492" xr:uid="{00000000-0005-0000-0000-000081280000}"/>
    <cellStyle name="Normal 28 2 4 3 2 6" xfId="14986" xr:uid="{00000000-0005-0000-0000-000082280000}"/>
    <cellStyle name="Normal 28 2 4 3 3" xfId="2803" xr:uid="{00000000-0005-0000-0000-000083280000}"/>
    <cellStyle name="Normal 28 2 4 3 3 2" xfId="9596" xr:uid="{00000000-0005-0000-0000-000084280000}"/>
    <cellStyle name="Normal 28 2 4 3 3 2 2" xfId="18346" xr:uid="{00000000-0005-0000-0000-000085280000}"/>
    <cellStyle name="Normal 28 2 4 3 3 3" xfId="7994" xr:uid="{00000000-0005-0000-0000-000086280000}"/>
    <cellStyle name="Normal 28 2 4 3 3 3 2" xfId="16747" xr:uid="{00000000-0005-0000-0000-000087280000}"/>
    <cellStyle name="Normal 28 2 4 3 3 4" xfId="11206" xr:uid="{00000000-0005-0000-0000-000088280000}"/>
    <cellStyle name="Normal 28 2 4 3 3 4 2" xfId="19893" xr:uid="{00000000-0005-0000-0000-000089280000}"/>
    <cellStyle name="Normal 28 2 4 3 3 5" xfId="12813" xr:uid="{00000000-0005-0000-0000-00008A280000}"/>
    <cellStyle name="Normal 28 2 4 3 3 5 2" xfId="21493" xr:uid="{00000000-0005-0000-0000-00008B280000}"/>
    <cellStyle name="Normal 28 2 4 3 3 6" xfId="14987" xr:uid="{00000000-0005-0000-0000-00008C280000}"/>
    <cellStyle name="Normal 28 2 4 3 4" xfId="2804" xr:uid="{00000000-0005-0000-0000-00008D280000}"/>
    <cellStyle name="Normal 28 2 4 3 4 2" xfId="9597" xr:uid="{00000000-0005-0000-0000-00008E280000}"/>
    <cellStyle name="Normal 28 2 4 3 4 2 2" xfId="18347" xr:uid="{00000000-0005-0000-0000-00008F280000}"/>
    <cellStyle name="Normal 28 2 4 3 4 3" xfId="7995" xr:uid="{00000000-0005-0000-0000-000090280000}"/>
    <cellStyle name="Normal 28 2 4 3 4 3 2" xfId="16748" xr:uid="{00000000-0005-0000-0000-000091280000}"/>
    <cellStyle name="Normal 28 2 4 3 4 4" xfId="11207" xr:uid="{00000000-0005-0000-0000-000092280000}"/>
    <cellStyle name="Normal 28 2 4 3 4 4 2" xfId="19894" xr:uid="{00000000-0005-0000-0000-000093280000}"/>
    <cellStyle name="Normal 28 2 4 3 4 5" xfId="12814" xr:uid="{00000000-0005-0000-0000-000094280000}"/>
    <cellStyle name="Normal 28 2 4 3 4 5 2" xfId="21494" xr:uid="{00000000-0005-0000-0000-000095280000}"/>
    <cellStyle name="Normal 28 2 4 3 4 6" xfId="14988" xr:uid="{00000000-0005-0000-0000-000096280000}"/>
    <cellStyle name="Normal 28 2 4 3 5" xfId="9594" xr:uid="{00000000-0005-0000-0000-000097280000}"/>
    <cellStyle name="Normal 28 2 4 3 5 2" xfId="18344" xr:uid="{00000000-0005-0000-0000-000098280000}"/>
    <cellStyle name="Normal 28 2 4 3 6" xfId="7992" xr:uid="{00000000-0005-0000-0000-000099280000}"/>
    <cellStyle name="Normal 28 2 4 3 6 2" xfId="16745" xr:uid="{00000000-0005-0000-0000-00009A280000}"/>
    <cellStyle name="Normal 28 2 4 3 7" xfId="11204" xr:uid="{00000000-0005-0000-0000-00009B280000}"/>
    <cellStyle name="Normal 28 2 4 3 7 2" xfId="19891" xr:uid="{00000000-0005-0000-0000-00009C280000}"/>
    <cellStyle name="Normal 28 2 4 3 8" xfId="12811" xr:uid="{00000000-0005-0000-0000-00009D280000}"/>
    <cellStyle name="Normal 28 2 4 3 8 2" xfId="21491" xr:uid="{00000000-0005-0000-0000-00009E280000}"/>
    <cellStyle name="Normal 28 2 4 3 9" xfId="14985" xr:uid="{00000000-0005-0000-0000-00009F280000}"/>
    <cellStyle name="Normal 28 2 4 4" xfId="2805" xr:uid="{00000000-0005-0000-0000-0000A0280000}"/>
    <cellStyle name="Normal 28 2 4 4 2" xfId="2806" xr:uid="{00000000-0005-0000-0000-0000A1280000}"/>
    <cellStyle name="Normal 28 2 4 4 2 2" xfId="9599" xr:uid="{00000000-0005-0000-0000-0000A2280000}"/>
    <cellStyle name="Normal 28 2 4 4 2 2 2" xfId="18349" xr:uid="{00000000-0005-0000-0000-0000A3280000}"/>
    <cellStyle name="Normal 28 2 4 4 2 3" xfId="7997" xr:uid="{00000000-0005-0000-0000-0000A4280000}"/>
    <cellStyle name="Normal 28 2 4 4 2 3 2" xfId="16750" xr:uid="{00000000-0005-0000-0000-0000A5280000}"/>
    <cellStyle name="Normal 28 2 4 4 2 4" xfId="11209" xr:uid="{00000000-0005-0000-0000-0000A6280000}"/>
    <cellStyle name="Normal 28 2 4 4 2 4 2" xfId="19896" xr:uid="{00000000-0005-0000-0000-0000A7280000}"/>
    <cellStyle name="Normal 28 2 4 4 2 5" xfId="12816" xr:uid="{00000000-0005-0000-0000-0000A8280000}"/>
    <cellStyle name="Normal 28 2 4 4 2 5 2" xfId="21496" xr:uid="{00000000-0005-0000-0000-0000A9280000}"/>
    <cellStyle name="Normal 28 2 4 4 2 6" xfId="14990" xr:uid="{00000000-0005-0000-0000-0000AA280000}"/>
    <cellStyle name="Normal 28 2 4 4 3" xfId="2807" xr:uid="{00000000-0005-0000-0000-0000AB280000}"/>
    <cellStyle name="Normal 28 2 4 4 3 2" xfId="9600" xr:uid="{00000000-0005-0000-0000-0000AC280000}"/>
    <cellStyle name="Normal 28 2 4 4 3 2 2" xfId="18350" xr:uid="{00000000-0005-0000-0000-0000AD280000}"/>
    <cellStyle name="Normal 28 2 4 4 3 3" xfId="7998" xr:uid="{00000000-0005-0000-0000-0000AE280000}"/>
    <cellStyle name="Normal 28 2 4 4 3 3 2" xfId="16751" xr:uid="{00000000-0005-0000-0000-0000AF280000}"/>
    <cellStyle name="Normal 28 2 4 4 3 4" xfId="11210" xr:uid="{00000000-0005-0000-0000-0000B0280000}"/>
    <cellStyle name="Normal 28 2 4 4 3 4 2" xfId="19897" xr:uid="{00000000-0005-0000-0000-0000B1280000}"/>
    <cellStyle name="Normal 28 2 4 4 3 5" xfId="12817" xr:uid="{00000000-0005-0000-0000-0000B2280000}"/>
    <cellStyle name="Normal 28 2 4 4 3 5 2" xfId="21497" xr:uid="{00000000-0005-0000-0000-0000B3280000}"/>
    <cellStyle name="Normal 28 2 4 4 3 6" xfId="14991" xr:uid="{00000000-0005-0000-0000-0000B4280000}"/>
    <cellStyle name="Normal 28 2 4 4 4" xfId="2808" xr:uid="{00000000-0005-0000-0000-0000B5280000}"/>
    <cellStyle name="Normal 28 2 4 4 4 2" xfId="9601" xr:uid="{00000000-0005-0000-0000-0000B6280000}"/>
    <cellStyle name="Normal 28 2 4 4 4 2 2" xfId="18351" xr:uid="{00000000-0005-0000-0000-0000B7280000}"/>
    <cellStyle name="Normal 28 2 4 4 4 3" xfId="7999" xr:uid="{00000000-0005-0000-0000-0000B8280000}"/>
    <cellStyle name="Normal 28 2 4 4 4 3 2" xfId="16752" xr:uid="{00000000-0005-0000-0000-0000B9280000}"/>
    <cellStyle name="Normal 28 2 4 4 4 4" xfId="11211" xr:uid="{00000000-0005-0000-0000-0000BA280000}"/>
    <cellStyle name="Normal 28 2 4 4 4 4 2" xfId="19898" xr:uid="{00000000-0005-0000-0000-0000BB280000}"/>
    <cellStyle name="Normal 28 2 4 4 4 5" xfId="12818" xr:uid="{00000000-0005-0000-0000-0000BC280000}"/>
    <cellStyle name="Normal 28 2 4 4 4 5 2" xfId="21498" xr:uid="{00000000-0005-0000-0000-0000BD280000}"/>
    <cellStyle name="Normal 28 2 4 4 4 6" xfId="14992" xr:uid="{00000000-0005-0000-0000-0000BE280000}"/>
    <cellStyle name="Normal 28 2 4 4 5" xfId="9598" xr:uid="{00000000-0005-0000-0000-0000BF280000}"/>
    <cellStyle name="Normal 28 2 4 4 5 2" xfId="18348" xr:uid="{00000000-0005-0000-0000-0000C0280000}"/>
    <cellStyle name="Normal 28 2 4 4 6" xfId="7996" xr:uid="{00000000-0005-0000-0000-0000C1280000}"/>
    <cellStyle name="Normal 28 2 4 4 6 2" xfId="16749" xr:uid="{00000000-0005-0000-0000-0000C2280000}"/>
    <cellStyle name="Normal 28 2 4 4 7" xfId="11208" xr:uid="{00000000-0005-0000-0000-0000C3280000}"/>
    <cellStyle name="Normal 28 2 4 4 7 2" xfId="19895" xr:uid="{00000000-0005-0000-0000-0000C4280000}"/>
    <cellStyle name="Normal 28 2 4 4 8" xfId="12815" xr:uid="{00000000-0005-0000-0000-0000C5280000}"/>
    <cellStyle name="Normal 28 2 4 4 8 2" xfId="21495" xr:uid="{00000000-0005-0000-0000-0000C6280000}"/>
    <cellStyle name="Normal 28 2 4 4 9" xfId="14989" xr:uid="{00000000-0005-0000-0000-0000C7280000}"/>
    <cellStyle name="Normal 28 2 4 5" xfId="2809" xr:uid="{00000000-0005-0000-0000-0000C8280000}"/>
    <cellStyle name="Normal 28 2 4 5 2" xfId="9602" xr:uid="{00000000-0005-0000-0000-0000C9280000}"/>
    <cellStyle name="Normal 28 2 4 5 2 2" xfId="18352" xr:uid="{00000000-0005-0000-0000-0000CA280000}"/>
    <cellStyle name="Normal 28 2 4 5 3" xfId="8000" xr:uid="{00000000-0005-0000-0000-0000CB280000}"/>
    <cellStyle name="Normal 28 2 4 5 3 2" xfId="16753" xr:uid="{00000000-0005-0000-0000-0000CC280000}"/>
    <cellStyle name="Normal 28 2 4 5 4" xfId="11212" xr:uid="{00000000-0005-0000-0000-0000CD280000}"/>
    <cellStyle name="Normal 28 2 4 5 4 2" xfId="19899" xr:uid="{00000000-0005-0000-0000-0000CE280000}"/>
    <cellStyle name="Normal 28 2 4 5 5" xfId="12819" xr:uid="{00000000-0005-0000-0000-0000CF280000}"/>
    <cellStyle name="Normal 28 2 4 5 5 2" xfId="21499" xr:uid="{00000000-0005-0000-0000-0000D0280000}"/>
    <cellStyle name="Normal 28 2 4 5 6" xfId="14993" xr:uid="{00000000-0005-0000-0000-0000D1280000}"/>
    <cellStyle name="Normal 28 2 4 6" xfId="2810" xr:uid="{00000000-0005-0000-0000-0000D2280000}"/>
    <cellStyle name="Normal 28 2 4 6 2" xfId="9603" xr:uid="{00000000-0005-0000-0000-0000D3280000}"/>
    <cellStyle name="Normal 28 2 4 6 2 2" xfId="18353" xr:uid="{00000000-0005-0000-0000-0000D4280000}"/>
    <cellStyle name="Normal 28 2 4 6 3" xfId="8001" xr:uid="{00000000-0005-0000-0000-0000D5280000}"/>
    <cellStyle name="Normal 28 2 4 6 3 2" xfId="16754" xr:uid="{00000000-0005-0000-0000-0000D6280000}"/>
    <cellStyle name="Normal 28 2 4 6 4" xfId="11213" xr:uid="{00000000-0005-0000-0000-0000D7280000}"/>
    <cellStyle name="Normal 28 2 4 6 4 2" xfId="19900" xr:uid="{00000000-0005-0000-0000-0000D8280000}"/>
    <cellStyle name="Normal 28 2 4 6 5" xfId="12820" xr:uid="{00000000-0005-0000-0000-0000D9280000}"/>
    <cellStyle name="Normal 28 2 4 6 5 2" xfId="21500" xr:uid="{00000000-0005-0000-0000-0000DA280000}"/>
    <cellStyle name="Normal 28 2 4 6 6" xfId="14994" xr:uid="{00000000-0005-0000-0000-0000DB280000}"/>
    <cellStyle name="Normal 28 2 4 7" xfId="2811" xr:uid="{00000000-0005-0000-0000-0000DC280000}"/>
    <cellStyle name="Normal 28 2 4 7 2" xfId="9604" xr:uid="{00000000-0005-0000-0000-0000DD280000}"/>
    <cellStyle name="Normal 28 2 4 7 2 2" xfId="18354" xr:uid="{00000000-0005-0000-0000-0000DE280000}"/>
    <cellStyle name="Normal 28 2 4 7 3" xfId="8002" xr:uid="{00000000-0005-0000-0000-0000DF280000}"/>
    <cellStyle name="Normal 28 2 4 7 3 2" xfId="16755" xr:uid="{00000000-0005-0000-0000-0000E0280000}"/>
    <cellStyle name="Normal 28 2 4 7 4" xfId="11214" xr:uid="{00000000-0005-0000-0000-0000E1280000}"/>
    <cellStyle name="Normal 28 2 4 7 4 2" xfId="19901" xr:uid="{00000000-0005-0000-0000-0000E2280000}"/>
    <cellStyle name="Normal 28 2 4 7 5" xfId="12821" xr:uid="{00000000-0005-0000-0000-0000E3280000}"/>
    <cellStyle name="Normal 28 2 4 7 5 2" xfId="21501" xr:uid="{00000000-0005-0000-0000-0000E4280000}"/>
    <cellStyle name="Normal 28 2 4 7 6" xfId="14995" xr:uid="{00000000-0005-0000-0000-0000E5280000}"/>
    <cellStyle name="Normal 28 2 5" xfId="2812" xr:uid="{00000000-0005-0000-0000-0000E6280000}"/>
    <cellStyle name="Normal 28 2 6" xfId="2813" xr:uid="{00000000-0005-0000-0000-0000E7280000}"/>
    <cellStyle name="Normal 28 2 7" xfId="2814" xr:uid="{00000000-0005-0000-0000-0000E8280000}"/>
    <cellStyle name="Normal 28 2 7 2" xfId="9605" xr:uid="{00000000-0005-0000-0000-0000E9280000}"/>
    <cellStyle name="Normal 28 2 7 2 2" xfId="18355" xr:uid="{00000000-0005-0000-0000-0000EA280000}"/>
    <cellStyle name="Normal 28 2 7 3" xfId="8003" xr:uid="{00000000-0005-0000-0000-0000EB280000}"/>
    <cellStyle name="Normal 28 2 7 3 2" xfId="16756" xr:uid="{00000000-0005-0000-0000-0000EC280000}"/>
    <cellStyle name="Normal 28 2 7 4" xfId="11215" xr:uid="{00000000-0005-0000-0000-0000ED280000}"/>
    <cellStyle name="Normal 28 2 7 4 2" xfId="19902" xr:uid="{00000000-0005-0000-0000-0000EE280000}"/>
    <cellStyle name="Normal 28 2 7 5" xfId="12822" xr:uid="{00000000-0005-0000-0000-0000EF280000}"/>
    <cellStyle name="Normal 28 2 7 5 2" xfId="21502" xr:uid="{00000000-0005-0000-0000-0000F0280000}"/>
    <cellStyle name="Normal 28 2 7 6" xfId="14996" xr:uid="{00000000-0005-0000-0000-0000F1280000}"/>
    <cellStyle name="Normal 28 2 8" xfId="2815" xr:uid="{00000000-0005-0000-0000-0000F2280000}"/>
    <cellStyle name="Normal 28 2 8 2" xfId="9606" xr:uid="{00000000-0005-0000-0000-0000F3280000}"/>
    <cellStyle name="Normal 28 2 8 2 2" xfId="18356" xr:uid="{00000000-0005-0000-0000-0000F4280000}"/>
    <cellStyle name="Normal 28 2 8 3" xfId="8004" xr:uid="{00000000-0005-0000-0000-0000F5280000}"/>
    <cellStyle name="Normal 28 2 8 3 2" xfId="16757" xr:uid="{00000000-0005-0000-0000-0000F6280000}"/>
    <cellStyle name="Normal 28 2 8 4" xfId="11216" xr:uid="{00000000-0005-0000-0000-0000F7280000}"/>
    <cellStyle name="Normal 28 2 8 4 2" xfId="19903" xr:uid="{00000000-0005-0000-0000-0000F8280000}"/>
    <cellStyle name="Normal 28 2 8 5" xfId="12823" xr:uid="{00000000-0005-0000-0000-0000F9280000}"/>
    <cellStyle name="Normal 28 2 8 5 2" xfId="21503" xr:uid="{00000000-0005-0000-0000-0000FA280000}"/>
    <cellStyle name="Normal 28 2 8 6" xfId="14997" xr:uid="{00000000-0005-0000-0000-0000FB280000}"/>
    <cellStyle name="Normal 28 2 9" xfId="2816" xr:uid="{00000000-0005-0000-0000-0000FC280000}"/>
    <cellStyle name="Normal 28 2 9 2" xfId="9607" xr:uid="{00000000-0005-0000-0000-0000FD280000}"/>
    <cellStyle name="Normal 28 2 9 2 2" xfId="18357" xr:uid="{00000000-0005-0000-0000-0000FE280000}"/>
    <cellStyle name="Normal 28 2 9 3" xfId="8005" xr:uid="{00000000-0005-0000-0000-0000FF280000}"/>
    <cellStyle name="Normal 28 2 9 3 2" xfId="16758" xr:uid="{00000000-0005-0000-0000-000000290000}"/>
    <cellStyle name="Normal 28 2 9 4" xfId="11217" xr:uid="{00000000-0005-0000-0000-000001290000}"/>
    <cellStyle name="Normal 28 2 9 4 2" xfId="19904" xr:uid="{00000000-0005-0000-0000-000002290000}"/>
    <cellStyle name="Normal 28 2 9 5" xfId="12824" xr:uid="{00000000-0005-0000-0000-000003290000}"/>
    <cellStyle name="Normal 28 2 9 5 2" xfId="21504" xr:uid="{00000000-0005-0000-0000-000004290000}"/>
    <cellStyle name="Normal 28 2 9 6" xfId="14998" xr:uid="{00000000-0005-0000-0000-000005290000}"/>
    <cellStyle name="Normal 28 3" xfId="2817" xr:uid="{00000000-0005-0000-0000-000006290000}"/>
    <cellStyle name="Normal 28 3 2" xfId="2818" xr:uid="{00000000-0005-0000-0000-000007290000}"/>
    <cellStyle name="Normal 28 3 2 2" xfId="9609" xr:uid="{00000000-0005-0000-0000-000008290000}"/>
    <cellStyle name="Normal 28 3 2 2 2" xfId="18359" xr:uid="{00000000-0005-0000-0000-000009290000}"/>
    <cellStyle name="Normal 28 3 2 3" xfId="8007" xr:uid="{00000000-0005-0000-0000-00000A290000}"/>
    <cellStyle name="Normal 28 3 2 3 2" xfId="16760" xr:uid="{00000000-0005-0000-0000-00000B290000}"/>
    <cellStyle name="Normal 28 3 2 4" xfId="11219" xr:uid="{00000000-0005-0000-0000-00000C290000}"/>
    <cellStyle name="Normal 28 3 2 4 2" xfId="19906" xr:uid="{00000000-0005-0000-0000-00000D290000}"/>
    <cellStyle name="Normal 28 3 2 5" xfId="12826" xr:uid="{00000000-0005-0000-0000-00000E290000}"/>
    <cellStyle name="Normal 28 3 2 5 2" xfId="21506" xr:uid="{00000000-0005-0000-0000-00000F290000}"/>
    <cellStyle name="Normal 28 3 2 6" xfId="15000" xr:uid="{00000000-0005-0000-0000-000010290000}"/>
    <cellStyle name="Normal 28 3 3" xfId="2819" xr:uid="{00000000-0005-0000-0000-000011290000}"/>
    <cellStyle name="Normal 28 3 3 2" xfId="9610" xr:uid="{00000000-0005-0000-0000-000012290000}"/>
    <cellStyle name="Normal 28 3 3 2 2" xfId="18360" xr:uid="{00000000-0005-0000-0000-000013290000}"/>
    <cellStyle name="Normal 28 3 3 3" xfId="8008" xr:uid="{00000000-0005-0000-0000-000014290000}"/>
    <cellStyle name="Normal 28 3 3 3 2" xfId="16761" xr:uid="{00000000-0005-0000-0000-000015290000}"/>
    <cellStyle name="Normal 28 3 3 4" xfId="11220" xr:uid="{00000000-0005-0000-0000-000016290000}"/>
    <cellStyle name="Normal 28 3 3 4 2" xfId="19907" xr:uid="{00000000-0005-0000-0000-000017290000}"/>
    <cellStyle name="Normal 28 3 3 5" xfId="12827" xr:uid="{00000000-0005-0000-0000-000018290000}"/>
    <cellStyle name="Normal 28 3 3 5 2" xfId="21507" xr:uid="{00000000-0005-0000-0000-000019290000}"/>
    <cellStyle name="Normal 28 3 3 6" xfId="15001" xr:uid="{00000000-0005-0000-0000-00001A290000}"/>
    <cellStyle name="Normal 28 3 4" xfId="2820" xr:uid="{00000000-0005-0000-0000-00001B290000}"/>
    <cellStyle name="Normal 28 3 4 2" xfId="9611" xr:uid="{00000000-0005-0000-0000-00001C290000}"/>
    <cellStyle name="Normal 28 3 4 2 2" xfId="18361" xr:uid="{00000000-0005-0000-0000-00001D290000}"/>
    <cellStyle name="Normal 28 3 4 3" xfId="8009" xr:uid="{00000000-0005-0000-0000-00001E290000}"/>
    <cellStyle name="Normal 28 3 4 3 2" xfId="16762" xr:uid="{00000000-0005-0000-0000-00001F290000}"/>
    <cellStyle name="Normal 28 3 4 4" xfId="11221" xr:uid="{00000000-0005-0000-0000-000020290000}"/>
    <cellStyle name="Normal 28 3 4 4 2" xfId="19908" xr:uid="{00000000-0005-0000-0000-000021290000}"/>
    <cellStyle name="Normal 28 3 4 5" xfId="12828" xr:uid="{00000000-0005-0000-0000-000022290000}"/>
    <cellStyle name="Normal 28 3 4 5 2" xfId="21508" xr:uid="{00000000-0005-0000-0000-000023290000}"/>
    <cellStyle name="Normal 28 3 4 6" xfId="15002" xr:uid="{00000000-0005-0000-0000-000024290000}"/>
    <cellStyle name="Normal 28 3 5" xfId="9608" xr:uid="{00000000-0005-0000-0000-000025290000}"/>
    <cellStyle name="Normal 28 3 5 2" xfId="18358" xr:uid="{00000000-0005-0000-0000-000026290000}"/>
    <cellStyle name="Normal 28 3 6" xfId="8006" xr:uid="{00000000-0005-0000-0000-000027290000}"/>
    <cellStyle name="Normal 28 3 6 2" xfId="16759" xr:uid="{00000000-0005-0000-0000-000028290000}"/>
    <cellStyle name="Normal 28 3 7" xfId="11218" xr:uid="{00000000-0005-0000-0000-000029290000}"/>
    <cellStyle name="Normal 28 3 7 2" xfId="19905" xr:uid="{00000000-0005-0000-0000-00002A290000}"/>
    <cellStyle name="Normal 28 3 8" xfId="12825" xr:uid="{00000000-0005-0000-0000-00002B290000}"/>
    <cellStyle name="Normal 28 3 8 2" xfId="21505" xr:uid="{00000000-0005-0000-0000-00002C290000}"/>
    <cellStyle name="Normal 28 3 9" xfId="14999" xr:uid="{00000000-0005-0000-0000-00002D290000}"/>
    <cellStyle name="Normal 28 4" xfId="2821" xr:uid="{00000000-0005-0000-0000-00002E290000}"/>
    <cellStyle name="Normal 29" xfId="2822" xr:uid="{00000000-0005-0000-0000-00002F290000}"/>
    <cellStyle name="Normal 29 2" xfId="2823" xr:uid="{00000000-0005-0000-0000-000030290000}"/>
    <cellStyle name="Normal 29 2 10" xfId="8010" xr:uid="{00000000-0005-0000-0000-000031290000}"/>
    <cellStyle name="Normal 29 2 10 2" xfId="16763" xr:uid="{00000000-0005-0000-0000-000032290000}"/>
    <cellStyle name="Normal 29 2 11" xfId="11222" xr:uid="{00000000-0005-0000-0000-000033290000}"/>
    <cellStyle name="Normal 29 2 11 2" xfId="19909" xr:uid="{00000000-0005-0000-0000-000034290000}"/>
    <cellStyle name="Normal 29 2 12" xfId="12829" xr:uid="{00000000-0005-0000-0000-000035290000}"/>
    <cellStyle name="Normal 29 2 12 2" xfId="21509" xr:uid="{00000000-0005-0000-0000-000036290000}"/>
    <cellStyle name="Normal 29 2 13" xfId="15003" xr:uid="{00000000-0005-0000-0000-000037290000}"/>
    <cellStyle name="Normal 29 2 2" xfId="2824" xr:uid="{00000000-0005-0000-0000-000038290000}"/>
    <cellStyle name="Normal 29 2 2 2" xfId="2825" xr:uid="{00000000-0005-0000-0000-000039290000}"/>
    <cellStyle name="Normal 29 2 2 2 2" xfId="2826" xr:uid="{00000000-0005-0000-0000-00003A290000}"/>
    <cellStyle name="Normal 29 2 2 2 2 2" xfId="2827" xr:uid="{00000000-0005-0000-0000-00003B290000}"/>
    <cellStyle name="Normal 29 2 2 2 2 2 2" xfId="9614" xr:uid="{00000000-0005-0000-0000-00003C290000}"/>
    <cellStyle name="Normal 29 2 2 2 2 2 2 2" xfId="18364" xr:uid="{00000000-0005-0000-0000-00003D290000}"/>
    <cellStyle name="Normal 29 2 2 2 2 2 3" xfId="8012" xr:uid="{00000000-0005-0000-0000-00003E290000}"/>
    <cellStyle name="Normal 29 2 2 2 2 2 3 2" xfId="16765" xr:uid="{00000000-0005-0000-0000-00003F290000}"/>
    <cellStyle name="Normal 29 2 2 2 2 2 4" xfId="11224" xr:uid="{00000000-0005-0000-0000-000040290000}"/>
    <cellStyle name="Normal 29 2 2 2 2 2 4 2" xfId="19911" xr:uid="{00000000-0005-0000-0000-000041290000}"/>
    <cellStyle name="Normal 29 2 2 2 2 2 5" xfId="12831" xr:uid="{00000000-0005-0000-0000-000042290000}"/>
    <cellStyle name="Normal 29 2 2 2 2 2 5 2" xfId="21511" xr:uid="{00000000-0005-0000-0000-000043290000}"/>
    <cellStyle name="Normal 29 2 2 2 2 2 6" xfId="15005" xr:uid="{00000000-0005-0000-0000-000044290000}"/>
    <cellStyle name="Normal 29 2 2 2 2 3" xfId="2828" xr:uid="{00000000-0005-0000-0000-000045290000}"/>
    <cellStyle name="Normal 29 2 2 2 2 3 2" xfId="9615" xr:uid="{00000000-0005-0000-0000-000046290000}"/>
    <cellStyle name="Normal 29 2 2 2 2 3 2 2" xfId="18365" xr:uid="{00000000-0005-0000-0000-000047290000}"/>
    <cellStyle name="Normal 29 2 2 2 2 3 3" xfId="8013" xr:uid="{00000000-0005-0000-0000-000048290000}"/>
    <cellStyle name="Normal 29 2 2 2 2 3 3 2" xfId="16766" xr:uid="{00000000-0005-0000-0000-000049290000}"/>
    <cellStyle name="Normal 29 2 2 2 2 3 4" xfId="11225" xr:uid="{00000000-0005-0000-0000-00004A290000}"/>
    <cellStyle name="Normal 29 2 2 2 2 3 4 2" xfId="19912" xr:uid="{00000000-0005-0000-0000-00004B290000}"/>
    <cellStyle name="Normal 29 2 2 2 2 3 5" xfId="12832" xr:uid="{00000000-0005-0000-0000-00004C290000}"/>
    <cellStyle name="Normal 29 2 2 2 2 3 5 2" xfId="21512" xr:uid="{00000000-0005-0000-0000-00004D290000}"/>
    <cellStyle name="Normal 29 2 2 2 2 3 6" xfId="15006" xr:uid="{00000000-0005-0000-0000-00004E290000}"/>
    <cellStyle name="Normal 29 2 2 2 2 4" xfId="2829" xr:uid="{00000000-0005-0000-0000-00004F290000}"/>
    <cellStyle name="Normal 29 2 2 2 2 4 2" xfId="9616" xr:uid="{00000000-0005-0000-0000-000050290000}"/>
    <cellStyle name="Normal 29 2 2 2 2 4 2 2" xfId="18366" xr:uid="{00000000-0005-0000-0000-000051290000}"/>
    <cellStyle name="Normal 29 2 2 2 2 4 3" xfId="8014" xr:uid="{00000000-0005-0000-0000-000052290000}"/>
    <cellStyle name="Normal 29 2 2 2 2 4 3 2" xfId="16767" xr:uid="{00000000-0005-0000-0000-000053290000}"/>
    <cellStyle name="Normal 29 2 2 2 2 4 4" xfId="11226" xr:uid="{00000000-0005-0000-0000-000054290000}"/>
    <cellStyle name="Normal 29 2 2 2 2 4 4 2" xfId="19913" xr:uid="{00000000-0005-0000-0000-000055290000}"/>
    <cellStyle name="Normal 29 2 2 2 2 4 5" xfId="12833" xr:uid="{00000000-0005-0000-0000-000056290000}"/>
    <cellStyle name="Normal 29 2 2 2 2 4 5 2" xfId="21513" xr:uid="{00000000-0005-0000-0000-000057290000}"/>
    <cellStyle name="Normal 29 2 2 2 2 4 6" xfId="15007" xr:uid="{00000000-0005-0000-0000-000058290000}"/>
    <cellStyle name="Normal 29 2 2 2 3" xfId="2830" xr:uid="{00000000-0005-0000-0000-000059290000}"/>
    <cellStyle name="Normal 29 2 2 2 4" xfId="2831" xr:uid="{00000000-0005-0000-0000-00005A290000}"/>
    <cellStyle name="Normal 29 2 2 2 5" xfId="9613" xr:uid="{00000000-0005-0000-0000-00005B290000}"/>
    <cellStyle name="Normal 29 2 2 2 5 2" xfId="18363" xr:uid="{00000000-0005-0000-0000-00005C290000}"/>
    <cellStyle name="Normal 29 2 2 2 6" xfId="8011" xr:uid="{00000000-0005-0000-0000-00005D290000}"/>
    <cellStyle name="Normal 29 2 2 2 6 2" xfId="16764" xr:uid="{00000000-0005-0000-0000-00005E290000}"/>
    <cellStyle name="Normal 29 2 2 2 7" xfId="11223" xr:uid="{00000000-0005-0000-0000-00005F290000}"/>
    <cellStyle name="Normal 29 2 2 2 7 2" xfId="19910" xr:uid="{00000000-0005-0000-0000-000060290000}"/>
    <cellStyle name="Normal 29 2 2 2 8" xfId="12830" xr:uid="{00000000-0005-0000-0000-000061290000}"/>
    <cellStyle name="Normal 29 2 2 2 8 2" xfId="21510" xr:uid="{00000000-0005-0000-0000-000062290000}"/>
    <cellStyle name="Normal 29 2 2 2 9" xfId="15004" xr:uid="{00000000-0005-0000-0000-000063290000}"/>
    <cellStyle name="Normal 29 2 2 3" xfId="2832" xr:uid="{00000000-0005-0000-0000-000064290000}"/>
    <cellStyle name="Normal 29 2 2 3 2" xfId="2833" xr:uid="{00000000-0005-0000-0000-000065290000}"/>
    <cellStyle name="Normal 29 2 2 3 2 2" xfId="9618" xr:uid="{00000000-0005-0000-0000-000066290000}"/>
    <cellStyle name="Normal 29 2 2 3 2 2 2" xfId="18368" xr:uid="{00000000-0005-0000-0000-000067290000}"/>
    <cellStyle name="Normal 29 2 2 3 2 3" xfId="8016" xr:uid="{00000000-0005-0000-0000-000068290000}"/>
    <cellStyle name="Normal 29 2 2 3 2 3 2" xfId="16769" xr:uid="{00000000-0005-0000-0000-000069290000}"/>
    <cellStyle name="Normal 29 2 2 3 2 4" xfId="11228" xr:uid="{00000000-0005-0000-0000-00006A290000}"/>
    <cellStyle name="Normal 29 2 2 3 2 4 2" xfId="19915" xr:uid="{00000000-0005-0000-0000-00006B290000}"/>
    <cellStyle name="Normal 29 2 2 3 2 5" xfId="12835" xr:uid="{00000000-0005-0000-0000-00006C290000}"/>
    <cellStyle name="Normal 29 2 2 3 2 5 2" xfId="21515" xr:uid="{00000000-0005-0000-0000-00006D290000}"/>
    <cellStyle name="Normal 29 2 2 3 2 6" xfId="15009" xr:uid="{00000000-0005-0000-0000-00006E290000}"/>
    <cellStyle name="Normal 29 2 2 3 3" xfId="2834" xr:uid="{00000000-0005-0000-0000-00006F290000}"/>
    <cellStyle name="Normal 29 2 2 3 3 2" xfId="9619" xr:uid="{00000000-0005-0000-0000-000070290000}"/>
    <cellStyle name="Normal 29 2 2 3 3 2 2" xfId="18369" xr:uid="{00000000-0005-0000-0000-000071290000}"/>
    <cellStyle name="Normal 29 2 2 3 3 3" xfId="8017" xr:uid="{00000000-0005-0000-0000-000072290000}"/>
    <cellStyle name="Normal 29 2 2 3 3 3 2" xfId="16770" xr:uid="{00000000-0005-0000-0000-000073290000}"/>
    <cellStyle name="Normal 29 2 2 3 3 4" xfId="11229" xr:uid="{00000000-0005-0000-0000-000074290000}"/>
    <cellStyle name="Normal 29 2 2 3 3 4 2" xfId="19916" xr:uid="{00000000-0005-0000-0000-000075290000}"/>
    <cellStyle name="Normal 29 2 2 3 3 5" xfId="12836" xr:uid="{00000000-0005-0000-0000-000076290000}"/>
    <cellStyle name="Normal 29 2 2 3 3 5 2" xfId="21516" xr:uid="{00000000-0005-0000-0000-000077290000}"/>
    <cellStyle name="Normal 29 2 2 3 3 6" xfId="15010" xr:uid="{00000000-0005-0000-0000-000078290000}"/>
    <cellStyle name="Normal 29 2 2 3 4" xfId="2835" xr:uid="{00000000-0005-0000-0000-000079290000}"/>
    <cellStyle name="Normal 29 2 2 3 4 2" xfId="9620" xr:uid="{00000000-0005-0000-0000-00007A290000}"/>
    <cellStyle name="Normal 29 2 2 3 4 2 2" xfId="18370" xr:uid="{00000000-0005-0000-0000-00007B290000}"/>
    <cellStyle name="Normal 29 2 2 3 4 3" xfId="8018" xr:uid="{00000000-0005-0000-0000-00007C290000}"/>
    <cellStyle name="Normal 29 2 2 3 4 3 2" xfId="16771" xr:uid="{00000000-0005-0000-0000-00007D290000}"/>
    <cellStyle name="Normal 29 2 2 3 4 4" xfId="11230" xr:uid="{00000000-0005-0000-0000-00007E290000}"/>
    <cellStyle name="Normal 29 2 2 3 4 4 2" xfId="19917" xr:uid="{00000000-0005-0000-0000-00007F290000}"/>
    <cellStyle name="Normal 29 2 2 3 4 5" xfId="12837" xr:uid="{00000000-0005-0000-0000-000080290000}"/>
    <cellStyle name="Normal 29 2 2 3 4 5 2" xfId="21517" xr:uid="{00000000-0005-0000-0000-000081290000}"/>
    <cellStyle name="Normal 29 2 2 3 4 6" xfId="15011" xr:uid="{00000000-0005-0000-0000-000082290000}"/>
    <cellStyle name="Normal 29 2 2 3 5" xfId="9617" xr:uid="{00000000-0005-0000-0000-000083290000}"/>
    <cellStyle name="Normal 29 2 2 3 5 2" xfId="18367" xr:uid="{00000000-0005-0000-0000-000084290000}"/>
    <cellStyle name="Normal 29 2 2 3 6" xfId="8015" xr:uid="{00000000-0005-0000-0000-000085290000}"/>
    <cellStyle name="Normal 29 2 2 3 6 2" xfId="16768" xr:uid="{00000000-0005-0000-0000-000086290000}"/>
    <cellStyle name="Normal 29 2 2 3 7" xfId="11227" xr:uid="{00000000-0005-0000-0000-000087290000}"/>
    <cellStyle name="Normal 29 2 2 3 7 2" xfId="19914" xr:uid="{00000000-0005-0000-0000-000088290000}"/>
    <cellStyle name="Normal 29 2 2 3 8" xfId="12834" xr:uid="{00000000-0005-0000-0000-000089290000}"/>
    <cellStyle name="Normal 29 2 2 3 8 2" xfId="21514" xr:uid="{00000000-0005-0000-0000-00008A290000}"/>
    <cellStyle name="Normal 29 2 2 3 9" xfId="15008" xr:uid="{00000000-0005-0000-0000-00008B290000}"/>
    <cellStyle name="Normal 29 2 2 4" xfId="2836" xr:uid="{00000000-0005-0000-0000-00008C290000}"/>
    <cellStyle name="Normal 29 2 2 4 2" xfId="2837" xr:uid="{00000000-0005-0000-0000-00008D290000}"/>
    <cellStyle name="Normal 29 2 2 4 2 2" xfId="9622" xr:uid="{00000000-0005-0000-0000-00008E290000}"/>
    <cellStyle name="Normal 29 2 2 4 2 2 2" xfId="18372" xr:uid="{00000000-0005-0000-0000-00008F290000}"/>
    <cellStyle name="Normal 29 2 2 4 2 3" xfId="8020" xr:uid="{00000000-0005-0000-0000-000090290000}"/>
    <cellStyle name="Normal 29 2 2 4 2 3 2" xfId="16773" xr:uid="{00000000-0005-0000-0000-000091290000}"/>
    <cellStyle name="Normal 29 2 2 4 2 4" xfId="11232" xr:uid="{00000000-0005-0000-0000-000092290000}"/>
    <cellStyle name="Normal 29 2 2 4 2 4 2" xfId="19919" xr:uid="{00000000-0005-0000-0000-000093290000}"/>
    <cellStyle name="Normal 29 2 2 4 2 5" xfId="12839" xr:uid="{00000000-0005-0000-0000-000094290000}"/>
    <cellStyle name="Normal 29 2 2 4 2 5 2" xfId="21519" xr:uid="{00000000-0005-0000-0000-000095290000}"/>
    <cellStyle name="Normal 29 2 2 4 2 6" xfId="15013" xr:uid="{00000000-0005-0000-0000-000096290000}"/>
    <cellStyle name="Normal 29 2 2 4 3" xfId="2838" xr:uid="{00000000-0005-0000-0000-000097290000}"/>
    <cellStyle name="Normal 29 2 2 4 3 2" xfId="9623" xr:uid="{00000000-0005-0000-0000-000098290000}"/>
    <cellStyle name="Normal 29 2 2 4 3 2 2" xfId="18373" xr:uid="{00000000-0005-0000-0000-000099290000}"/>
    <cellStyle name="Normal 29 2 2 4 3 3" xfId="8021" xr:uid="{00000000-0005-0000-0000-00009A290000}"/>
    <cellStyle name="Normal 29 2 2 4 3 3 2" xfId="16774" xr:uid="{00000000-0005-0000-0000-00009B290000}"/>
    <cellStyle name="Normal 29 2 2 4 3 4" xfId="11233" xr:uid="{00000000-0005-0000-0000-00009C290000}"/>
    <cellStyle name="Normal 29 2 2 4 3 4 2" xfId="19920" xr:uid="{00000000-0005-0000-0000-00009D290000}"/>
    <cellStyle name="Normal 29 2 2 4 3 5" xfId="12840" xr:uid="{00000000-0005-0000-0000-00009E290000}"/>
    <cellStyle name="Normal 29 2 2 4 3 5 2" xfId="21520" xr:uid="{00000000-0005-0000-0000-00009F290000}"/>
    <cellStyle name="Normal 29 2 2 4 3 6" xfId="15014" xr:uid="{00000000-0005-0000-0000-0000A0290000}"/>
    <cellStyle name="Normal 29 2 2 4 4" xfId="2839" xr:uid="{00000000-0005-0000-0000-0000A1290000}"/>
    <cellStyle name="Normal 29 2 2 4 4 2" xfId="9624" xr:uid="{00000000-0005-0000-0000-0000A2290000}"/>
    <cellStyle name="Normal 29 2 2 4 4 2 2" xfId="18374" xr:uid="{00000000-0005-0000-0000-0000A3290000}"/>
    <cellStyle name="Normal 29 2 2 4 4 3" xfId="8022" xr:uid="{00000000-0005-0000-0000-0000A4290000}"/>
    <cellStyle name="Normal 29 2 2 4 4 3 2" xfId="16775" xr:uid="{00000000-0005-0000-0000-0000A5290000}"/>
    <cellStyle name="Normal 29 2 2 4 4 4" xfId="11234" xr:uid="{00000000-0005-0000-0000-0000A6290000}"/>
    <cellStyle name="Normal 29 2 2 4 4 4 2" xfId="19921" xr:uid="{00000000-0005-0000-0000-0000A7290000}"/>
    <cellStyle name="Normal 29 2 2 4 4 5" xfId="12841" xr:uid="{00000000-0005-0000-0000-0000A8290000}"/>
    <cellStyle name="Normal 29 2 2 4 4 5 2" xfId="21521" xr:uid="{00000000-0005-0000-0000-0000A9290000}"/>
    <cellStyle name="Normal 29 2 2 4 4 6" xfId="15015" xr:uid="{00000000-0005-0000-0000-0000AA290000}"/>
    <cellStyle name="Normal 29 2 2 4 5" xfId="9621" xr:uid="{00000000-0005-0000-0000-0000AB290000}"/>
    <cellStyle name="Normal 29 2 2 4 5 2" xfId="18371" xr:uid="{00000000-0005-0000-0000-0000AC290000}"/>
    <cellStyle name="Normal 29 2 2 4 6" xfId="8019" xr:uid="{00000000-0005-0000-0000-0000AD290000}"/>
    <cellStyle name="Normal 29 2 2 4 6 2" xfId="16772" xr:uid="{00000000-0005-0000-0000-0000AE290000}"/>
    <cellStyle name="Normal 29 2 2 4 7" xfId="11231" xr:uid="{00000000-0005-0000-0000-0000AF290000}"/>
    <cellStyle name="Normal 29 2 2 4 7 2" xfId="19918" xr:uid="{00000000-0005-0000-0000-0000B0290000}"/>
    <cellStyle name="Normal 29 2 2 4 8" xfId="12838" xr:uid="{00000000-0005-0000-0000-0000B1290000}"/>
    <cellStyle name="Normal 29 2 2 4 8 2" xfId="21518" xr:uid="{00000000-0005-0000-0000-0000B2290000}"/>
    <cellStyle name="Normal 29 2 2 4 9" xfId="15012" xr:uid="{00000000-0005-0000-0000-0000B3290000}"/>
    <cellStyle name="Normal 29 2 2 5" xfId="2840" xr:uid="{00000000-0005-0000-0000-0000B4290000}"/>
    <cellStyle name="Normal 29 2 2 5 2" xfId="9625" xr:uid="{00000000-0005-0000-0000-0000B5290000}"/>
    <cellStyle name="Normal 29 2 2 5 2 2" xfId="18375" xr:uid="{00000000-0005-0000-0000-0000B6290000}"/>
    <cellStyle name="Normal 29 2 2 5 3" xfId="8023" xr:uid="{00000000-0005-0000-0000-0000B7290000}"/>
    <cellStyle name="Normal 29 2 2 5 3 2" xfId="16776" xr:uid="{00000000-0005-0000-0000-0000B8290000}"/>
    <cellStyle name="Normal 29 2 2 5 4" xfId="11235" xr:uid="{00000000-0005-0000-0000-0000B9290000}"/>
    <cellStyle name="Normal 29 2 2 5 4 2" xfId="19922" xr:uid="{00000000-0005-0000-0000-0000BA290000}"/>
    <cellStyle name="Normal 29 2 2 5 5" xfId="12842" xr:uid="{00000000-0005-0000-0000-0000BB290000}"/>
    <cellStyle name="Normal 29 2 2 5 5 2" xfId="21522" xr:uid="{00000000-0005-0000-0000-0000BC290000}"/>
    <cellStyle name="Normal 29 2 2 5 6" xfId="15016" xr:uid="{00000000-0005-0000-0000-0000BD290000}"/>
    <cellStyle name="Normal 29 2 2 6" xfId="2841" xr:uid="{00000000-0005-0000-0000-0000BE290000}"/>
    <cellStyle name="Normal 29 2 2 6 2" xfId="9626" xr:uid="{00000000-0005-0000-0000-0000BF290000}"/>
    <cellStyle name="Normal 29 2 2 6 2 2" xfId="18376" xr:uid="{00000000-0005-0000-0000-0000C0290000}"/>
    <cellStyle name="Normal 29 2 2 6 3" xfId="8024" xr:uid="{00000000-0005-0000-0000-0000C1290000}"/>
    <cellStyle name="Normal 29 2 2 6 3 2" xfId="16777" xr:uid="{00000000-0005-0000-0000-0000C2290000}"/>
    <cellStyle name="Normal 29 2 2 6 4" xfId="11236" xr:uid="{00000000-0005-0000-0000-0000C3290000}"/>
    <cellStyle name="Normal 29 2 2 6 4 2" xfId="19923" xr:uid="{00000000-0005-0000-0000-0000C4290000}"/>
    <cellStyle name="Normal 29 2 2 6 5" xfId="12843" xr:uid="{00000000-0005-0000-0000-0000C5290000}"/>
    <cellStyle name="Normal 29 2 2 6 5 2" xfId="21523" xr:uid="{00000000-0005-0000-0000-0000C6290000}"/>
    <cellStyle name="Normal 29 2 2 6 6" xfId="15017" xr:uid="{00000000-0005-0000-0000-0000C7290000}"/>
    <cellStyle name="Normal 29 2 2 7" xfId="2842" xr:uid="{00000000-0005-0000-0000-0000C8290000}"/>
    <cellStyle name="Normal 29 2 2 7 2" xfId="9627" xr:uid="{00000000-0005-0000-0000-0000C9290000}"/>
    <cellStyle name="Normal 29 2 2 7 2 2" xfId="18377" xr:uid="{00000000-0005-0000-0000-0000CA290000}"/>
    <cellStyle name="Normal 29 2 2 7 3" xfId="8025" xr:uid="{00000000-0005-0000-0000-0000CB290000}"/>
    <cellStyle name="Normal 29 2 2 7 3 2" xfId="16778" xr:uid="{00000000-0005-0000-0000-0000CC290000}"/>
    <cellStyle name="Normal 29 2 2 7 4" xfId="11237" xr:uid="{00000000-0005-0000-0000-0000CD290000}"/>
    <cellStyle name="Normal 29 2 2 7 4 2" xfId="19924" xr:uid="{00000000-0005-0000-0000-0000CE290000}"/>
    <cellStyle name="Normal 29 2 2 7 5" xfId="12844" xr:uid="{00000000-0005-0000-0000-0000CF290000}"/>
    <cellStyle name="Normal 29 2 2 7 5 2" xfId="21524" xr:uid="{00000000-0005-0000-0000-0000D0290000}"/>
    <cellStyle name="Normal 29 2 2 7 6" xfId="15018" xr:uid="{00000000-0005-0000-0000-0000D1290000}"/>
    <cellStyle name="Normal 29 2 3" xfId="2843" xr:uid="{00000000-0005-0000-0000-0000D2290000}"/>
    <cellStyle name="Normal 29 2 3 2" xfId="2844" xr:uid="{00000000-0005-0000-0000-0000D3290000}"/>
    <cellStyle name="Normal 29 2 3 2 2" xfId="9629" xr:uid="{00000000-0005-0000-0000-0000D4290000}"/>
    <cellStyle name="Normal 29 2 3 2 2 2" xfId="18379" xr:uid="{00000000-0005-0000-0000-0000D5290000}"/>
    <cellStyle name="Normal 29 2 3 2 3" xfId="8027" xr:uid="{00000000-0005-0000-0000-0000D6290000}"/>
    <cellStyle name="Normal 29 2 3 2 3 2" xfId="16780" xr:uid="{00000000-0005-0000-0000-0000D7290000}"/>
    <cellStyle name="Normal 29 2 3 2 4" xfId="11239" xr:uid="{00000000-0005-0000-0000-0000D8290000}"/>
    <cellStyle name="Normal 29 2 3 2 4 2" xfId="19926" xr:uid="{00000000-0005-0000-0000-0000D9290000}"/>
    <cellStyle name="Normal 29 2 3 2 5" xfId="12846" xr:uid="{00000000-0005-0000-0000-0000DA290000}"/>
    <cellStyle name="Normal 29 2 3 2 5 2" xfId="21526" xr:uid="{00000000-0005-0000-0000-0000DB290000}"/>
    <cellStyle name="Normal 29 2 3 2 6" xfId="15020" xr:uid="{00000000-0005-0000-0000-0000DC290000}"/>
    <cellStyle name="Normal 29 2 3 3" xfId="2845" xr:uid="{00000000-0005-0000-0000-0000DD290000}"/>
    <cellStyle name="Normal 29 2 3 3 2" xfId="9630" xr:uid="{00000000-0005-0000-0000-0000DE290000}"/>
    <cellStyle name="Normal 29 2 3 3 2 2" xfId="18380" xr:uid="{00000000-0005-0000-0000-0000DF290000}"/>
    <cellStyle name="Normal 29 2 3 3 3" xfId="8028" xr:uid="{00000000-0005-0000-0000-0000E0290000}"/>
    <cellStyle name="Normal 29 2 3 3 3 2" xfId="16781" xr:uid="{00000000-0005-0000-0000-0000E1290000}"/>
    <cellStyle name="Normal 29 2 3 3 4" xfId="11240" xr:uid="{00000000-0005-0000-0000-0000E2290000}"/>
    <cellStyle name="Normal 29 2 3 3 4 2" xfId="19927" xr:uid="{00000000-0005-0000-0000-0000E3290000}"/>
    <cellStyle name="Normal 29 2 3 3 5" xfId="12847" xr:uid="{00000000-0005-0000-0000-0000E4290000}"/>
    <cellStyle name="Normal 29 2 3 3 5 2" xfId="21527" xr:uid="{00000000-0005-0000-0000-0000E5290000}"/>
    <cellStyle name="Normal 29 2 3 3 6" xfId="15021" xr:uid="{00000000-0005-0000-0000-0000E6290000}"/>
    <cellStyle name="Normal 29 2 3 4" xfId="2846" xr:uid="{00000000-0005-0000-0000-0000E7290000}"/>
    <cellStyle name="Normal 29 2 3 4 2" xfId="9631" xr:uid="{00000000-0005-0000-0000-0000E8290000}"/>
    <cellStyle name="Normal 29 2 3 4 2 2" xfId="18381" xr:uid="{00000000-0005-0000-0000-0000E9290000}"/>
    <cellStyle name="Normal 29 2 3 4 3" xfId="8029" xr:uid="{00000000-0005-0000-0000-0000EA290000}"/>
    <cellStyle name="Normal 29 2 3 4 3 2" xfId="16782" xr:uid="{00000000-0005-0000-0000-0000EB290000}"/>
    <cellStyle name="Normal 29 2 3 4 4" xfId="11241" xr:uid="{00000000-0005-0000-0000-0000EC290000}"/>
    <cellStyle name="Normal 29 2 3 4 4 2" xfId="19928" xr:uid="{00000000-0005-0000-0000-0000ED290000}"/>
    <cellStyle name="Normal 29 2 3 4 5" xfId="12848" xr:uid="{00000000-0005-0000-0000-0000EE290000}"/>
    <cellStyle name="Normal 29 2 3 4 5 2" xfId="21528" xr:uid="{00000000-0005-0000-0000-0000EF290000}"/>
    <cellStyle name="Normal 29 2 3 4 6" xfId="15022" xr:uid="{00000000-0005-0000-0000-0000F0290000}"/>
    <cellStyle name="Normal 29 2 3 5" xfId="9628" xr:uid="{00000000-0005-0000-0000-0000F1290000}"/>
    <cellStyle name="Normal 29 2 3 5 2" xfId="18378" xr:uid="{00000000-0005-0000-0000-0000F2290000}"/>
    <cellStyle name="Normal 29 2 3 6" xfId="8026" xr:uid="{00000000-0005-0000-0000-0000F3290000}"/>
    <cellStyle name="Normal 29 2 3 6 2" xfId="16779" xr:uid="{00000000-0005-0000-0000-0000F4290000}"/>
    <cellStyle name="Normal 29 2 3 7" xfId="11238" xr:uid="{00000000-0005-0000-0000-0000F5290000}"/>
    <cellStyle name="Normal 29 2 3 7 2" xfId="19925" xr:uid="{00000000-0005-0000-0000-0000F6290000}"/>
    <cellStyle name="Normal 29 2 3 8" xfId="12845" xr:uid="{00000000-0005-0000-0000-0000F7290000}"/>
    <cellStyle name="Normal 29 2 3 8 2" xfId="21525" xr:uid="{00000000-0005-0000-0000-0000F8290000}"/>
    <cellStyle name="Normal 29 2 3 9" xfId="15019" xr:uid="{00000000-0005-0000-0000-0000F9290000}"/>
    <cellStyle name="Normal 29 2 4" xfId="2847" xr:uid="{00000000-0005-0000-0000-0000FA290000}"/>
    <cellStyle name="Normal 29 2 5" xfId="2848" xr:uid="{00000000-0005-0000-0000-0000FB290000}"/>
    <cellStyle name="Normal 29 2 6" xfId="2849" xr:uid="{00000000-0005-0000-0000-0000FC290000}"/>
    <cellStyle name="Normal 29 2 6 2" xfId="9632" xr:uid="{00000000-0005-0000-0000-0000FD290000}"/>
    <cellStyle name="Normal 29 2 6 2 2" xfId="18382" xr:uid="{00000000-0005-0000-0000-0000FE290000}"/>
    <cellStyle name="Normal 29 2 6 3" xfId="8030" xr:uid="{00000000-0005-0000-0000-0000FF290000}"/>
    <cellStyle name="Normal 29 2 6 3 2" xfId="16783" xr:uid="{00000000-0005-0000-0000-0000002A0000}"/>
    <cellStyle name="Normal 29 2 6 4" xfId="11242" xr:uid="{00000000-0005-0000-0000-0000012A0000}"/>
    <cellStyle name="Normal 29 2 6 4 2" xfId="19929" xr:uid="{00000000-0005-0000-0000-0000022A0000}"/>
    <cellStyle name="Normal 29 2 6 5" xfId="12849" xr:uid="{00000000-0005-0000-0000-0000032A0000}"/>
    <cellStyle name="Normal 29 2 6 5 2" xfId="21529" xr:uid="{00000000-0005-0000-0000-0000042A0000}"/>
    <cellStyle name="Normal 29 2 6 6" xfId="15023" xr:uid="{00000000-0005-0000-0000-0000052A0000}"/>
    <cellStyle name="Normal 29 2 7" xfId="2850" xr:uid="{00000000-0005-0000-0000-0000062A0000}"/>
    <cellStyle name="Normal 29 2 7 2" xfId="9633" xr:uid="{00000000-0005-0000-0000-0000072A0000}"/>
    <cellStyle name="Normal 29 2 7 2 2" xfId="18383" xr:uid="{00000000-0005-0000-0000-0000082A0000}"/>
    <cellStyle name="Normal 29 2 7 3" xfId="8031" xr:uid="{00000000-0005-0000-0000-0000092A0000}"/>
    <cellStyle name="Normal 29 2 7 3 2" xfId="16784" xr:uid="{00000000-0005-0000-0000-00000A2A0000}"/>
    <cellStyle name="Normal 29 2 7 4" xfId="11243" xr:uid="{00000000-0005-0000-0000-00000B2A0000}"/>
    <cellStyle name="Normal 29 2 7 4 2" xfId="19930" xr:uid="{00000000-0005-0000-0000-00000C2A0000}"/>
    <cellStyle name="Normal 29 2 7 5" xfId="12850" xr:uid="{00000000-0005-0000-0000-00000D2A0000}"/>
    <cellStyle name="Normal 29 2 7 5 2" xfId="21530" xr:uid="{00000000-0005-0000-0000-00000E2A0000}"/>
    <cellStyle name="Normal 29 2 7 6" xfId="15024" xr:uid="{00000000-0005-0000-0000-00000F2A0000}"/>
    <cellStyle name="Normal 29 2 8" xfId="2851" xr:uid="{00000000-0005-0000-0000-0000102A0000}"/>
    <cellStyle name="Normal 29 2 8 2" xfId="9634" xr:uid="{00000000-0005-0000-0000-0000112A0000}"/>
    <cellStyle name="Normal 29 2 8 2 2" xfId="18384" xr:uid="{00000000-0005-0000-0000-0000122A0000}"/>
    <cellStyle name="Normal 29 2 8 3" xfId="8032" xr:uid="{00000000-0005-0000-0000-0000132A0000}"/>
    <cellStyle name="Normal 29 2 8 3 2" xfId="16785" xr:uid="{00000000-0005-0000-0000-0000142A0000}"/>
    <cellStyle name="Normal 29 2 8 4" xfId="11244" xr:uid="{00000000-0005-0000-0000-0000152A0000}"/>
    <cellStyle name="Normal 29 2 8 4 2" xfId="19931" xr:uid="{00000000-0005-0000-0000-0000162A0000}"/>
    <cellStyle name="Normal 29 2 8 5" xfId="12851" xr:uid="{00000000-0005-0000-0000-0000172A0000}"/>
    <cellStyle name="Normal 29 2 8 5 2" xfId="21531" xr:uid="{00000000-0005-0000-0000-0000182A0000}"/>
    <cellStyle name="Normal 29 2 8 6" xfId="15025" xr:uid="{00000000-0005-0000-0000-0000192A0000}"/>
    <cellStyle name="Normal 29 2 9" xfId="9612" xr:uid="{00000000-0005-0000-0000-00001A2A0000}"/>
    <cellStyle name="Normal 29 2 9 2" xfId="18362" xr:uid="{00000000-0005-0000-0000-00001B2A0000}"/>
    <cellStyle name="Normal 29 3" xfId="2852" xr:uid="{00000000-0005-0000-0000-00001C2A0000}"/>
    <cellStyle name="Normal 3" xfId="92" xr:uid="{00000000-0005-0000-0000-00001D2A0000}"/>
    <cellStyle name="Normal 3 10" xfId="5090" xr:uid="{00000000-0005-0000-0000-00001E2A0000}"/>
    <cellStyle name="Normal 3 11" xfId="10605" xr:uid="{00000000-0005-0000-0000-00001F2A0000}"/>
    <cellStyle name="Normal 3 11 2" xfId="19308" xr:uid="{00000000-0005-0000-0000-0000202A0000}"/>
    <cellStyle name="Normal 3 2" xfId="122" xr:uid="{00000000-0005-0000-0000-0000212A0000}"/>
    <cellStyle name="Normal 3 2 10" xfId="2854" xr:uid="{00000000-0005-0000-0000-0000222A0000}"/>
    <cellStyle name="Normal 3 2 10 2" xfId="9635" xr:uid="{00000000-0005-0000-0000-0000232A0000}"/>
    <cellStyle name="Normal 3 2 10 2 2" xfId="18385" xr:uid="{00000000-0005-0000-0000-0000242A0000}"/>
    <cellStyle name="Normal 3 2 10 3" xfId="8033" xr:uid="{00000000-0005-0000-0000-0000252A0000}"/>
    <cellStyle name="Normal 3 2 10 3 2" xfId="16786" xr:uid="{00000000-0005-0000-0000-0000262A0000}"/>
    <cellStyle name="Normal 3 2 10 4" xfId="11245" xr:uid="{00000000-0005-0000-0000-0000272A0000}"/>
    <cellStyle name="Normal 3 2 10 4 2" xfId="19932" xr:uid="{00000000-0005-0000-0000-0000282A0000}"/>
    <cellStyle name="Normal 3 2 10 5" xfId="12852" xr:uid="{00000000-0005-0000-0000-0000292A0000}"/>
    <cellStyle name="Normal 3 2 10 5 2" xfId="21532" xr:uid="{00000000-0005-0000-0000-00002A2A0000}"/>
    <cellStyle name="Normal 3 2 10 6" xfId="15026" xr:uid="{00000000-0005-0000-0000-00002B2A0000}"/>
    <cellStyle name="Normal 3 2 11" xfId="7396" xr:uid="{00000000-0005-0000-0000-00002C2A0000}"/>
    <cellStyle name="Normal 3 2 11 2" xfId="16168" xr:uid="{00000000-0005-0000-0000-00002D2A0000}"/>
    <cellStyle name="Normal 3 2 12" xfId="14732" xr:uid="{00000000-0005-0000-0000-00002E2A0000}"/>
    <cellStyle name="Normal 3 2 2" xfId="2855" xr:uid="{00000000-0005-0000-0000-00002F2A0000}"/>
    <cellStyle name="Normal 3 2 2 2" xfId="2856" xr:uid="{00000000-0005-0000-0000-0000302A0000}"/>
    <cellStyle name="Normal 3 2 2 2 2" xfId="9637" xr:uid="{00000000-0005-0000-0000-0000312A0000}"/>
    <cellStyle name="Normal 3 2 2 2 2 2" xfId="18387" xr:uid="{00000000-0005-0000-0000-0000322A0000}"/>
    <cellStyle name="Normal 3 2 2 2 3" xfId="8035" xr:uid="{00000000-0005-0000-0000-0000332A0000}"/>
    <cellStyle name="Normal 3 2 2 2 3 2" xfId="16788" xr:uid="{00000000-0005-0000-0000-0000342A0000}"/>
    <cellStyle name="Normal 3 2 2 2 4" xfId="11247" xr:uid="{00000000-0005-0000-0000-0000352A0000}"/>
    <cellStyle name="Normal 3 2 2 2 4 2" xfId="19934" xr:uid="{00000000-0005-0000-0000-0000362A0000}"/>
    <cellStyle name="Normal 3 2 2 2 5" xfId="12854" xr:uid="{00000000-0005-0000-0000-0000372A0000}"/>
    <cellStyle name="Normal 3 2 2 2 5 2" xfId="21534" xr:uid="{00000000-0005-0000-0000-0000382A0000}"/>
    <cellStyle name="Normal 3 2 2 2 6" xfId="15028" xr:uid="{00000000-0005-0000-0000-0000392A0000}"/>
    <cellStyle name="Normal 3 2 2 3" xfId="2857" xr:uid="{00000000-0005-0000-0000-00003A2A0000}"/>
    <cellStyle name="Normal 3 2 2 3 2" xfId="9638" xr:uid="{00000000-0005-0000-0000-00003B2A0000}"/>
    <cellStyle name="Normal 3 2 2 3 2 2" xfId="18388" xr:uid="{00000000-0005-0000-0000-00003C2A0000}"/>
    <cellStyle name="Normal 3 2 2 3 3" xfId="8036" xr:uid="{00000000-0005-0000-0000-00003D2A0000}"/>
    <cellStyle name="Normal 3 2 2 3 3 2" xfId="16789" xr:uid="{00000000-0005-0000-0000-00003E2A0000}"/>
    <cellStyle name="Normal 3 2 2 3 4" xfId="11248" xr:uid="{00000000-0005-0000-0000-00003F2A0000}"/>
    <cellStyle name="Normal 3 2 2 3 4 2" xfId="19935" xr:uid="{00000000-0005-0000-0000-0000402A0000}"/>
    <cellStyle name="Normal 3 2 2 3 5" xfId="12855" xr:uid="{00000000-0005-0000-0000-0000412A0000}"/>
    <cellStyle name="Normal 3 2 2 3 5 2" xfId="21535" xr:uid="{00000000-0005-0000-0000-0000422A0000}"/>
    <cellStyle name="Normal 3 2 2 3 6" xfId="15029" xr:uid="{00000000-0005-0000-0000-0000432A0000}"/>
    <cellStyle name="Normal 3 2 2 4" xfId="2858" xr:uid="{00000000-0005-0000-0000-0000442A0000}"/>
    <cellStyle name="Normal 3 2 2 4 2" xfId="9639" xr:uid="{00000000-0005-0000-0000-0000452A0000}"/>
    <cellStyle name="Normal 3 2 2 4 2 2" xfId="18389" xr:uid="{00000000-0005-0000-0000-0000462A0000}"/>
    <cellStyle name="Normal 3 2 2 4 3" xfId="8037" xr:uid="{00000000-0005-0000-0000-0000472A0000}"/>
    <cellStyle name="Normal 3 2 2 4 3 2" xfId="16790" xr:uid="{00000000-0005-0000-0000-0000482A0000}"/>
    <cellStyle name="Normal 3 2 2 4 4" xfId="11249" xr:uid="{00000000-0005-0000-0000-0000492A0000}"/>
    <cellStyle name="Normal 3 2 2 4 4 2" xfId="19936" xr:uid="{00000000-0005-0000-0000-00004A2A0000}"/>
    <cellStyle name="Normal 3 2 2 4 5" xfId="12856" xr:uid="{00000000-0005-0000-0000-00004B2A0000}"/>
    <cellStyle name="Normal 3 2 2 4 5 2" xfId="21536" xr:uid="{00000000-0005-0000-0000-00004C2A0000}"/>
    <cellStyle name="Normal 3 2 2 4 6" xfId="15030" xr:uid="{00000000-0005-0000-0000-00004D2A0000}"/>
    <cellStyle name="Normal 3 2 2 5" xfId="9636" xr:uid="{00000000-0005-0000-0000-00004E2A0000}"/>
    <cellStyle name="Normal 3 2 2 5 2" xfId="18386" xr:uid="{00000000-0005-0000-0000-00004F2A0000}"/>
    <cellStyle name="Normal 3 2 2 6" xfId="8034" xr:uid="{00000000-0005-0000-0000-0000502A0000}"/>
    <cellStyle name="Normal 3 2 2 6 2" xfId="16787" xr:uid="{00000000-0005-0000-0000-0000512A0000}"/>
    <cellStyle name="Normal 3 2 2 7" xfId="11246" xr:uid="{00000000-0005-0000-0000-0000522A0000}"/>
    <cellStyle name="Normal 3 2 2 7 2" xfId="19933" xr:uid="{00000000-0005-0000-0000-0000532A0000}"/>
    <cellStyle name="Normal 3 2 2 8" xfId="12853" xr:uid="{00000000-0005-0000-0000-0000542A0000}"/>
    <cellStyle name="Normal 3 2 2 8 2" xfId="21533" xr:uid="{00000000-0005-0000-0000-0000552A0000}"/>
    <cellStyle name="Normal 3 2 2 9" xfId="15027" xr:uid="{00000000-0005-0000-0000-0000562A0000}"/>
    <cellStyle name="Normal 3 2 3" xfId="2859" xr:uid="{00000000-0005-0000-0000-0000572A0000}"/>
    <cellStyle name="Normal 3 2 3 2" xfId="2860" xr:uid="{00000000-0005-0000-0000-0000582A0000}"/>
    <cellStyle name="Normal 3 2 3 2 2" xfId="9641" xr:uid="{00000000-0005-0000-0000-0000592A0000}"/>
    <cellStyle name="Normal 3 2 3 2 2 2" xfId="18391" xr:uid="{00000000-0005-0000-0000-00005A2A0000}"/>
    <cellStyle name="Normal 3 2 3 2 3" xfId="8039" xr:uid="{00000000-0005-0000-0000-00005B2A0000}"/>
    <cellStyle name="Normal 3 2 3 2 3 2" xfId="16792" xr:uid="{00000000-0005-0000-0000-00005C2A0000}"/>
    <cellStyle name="Normal 3 2 3 2 4" xfId="11251" xr:uid="{00000000-0005-0000-0000-00005D2A0000}"/>
    <cellStyle name="Normal 3 2 3 2 4 2" xfId="19938" xr:uid="{00000000-0005-0000-0000-00005E2A0000}"/>
    <cellStyle name="Normal 3 2 3 2 5" xfId="12858" xr:uid="{00000000-0005-0000-0000-00005F2A0000}"/>
    <cellStyle name="Normal 3 2 3 2 5 2" xfId="21538" xr:uid="{00000000-0005-0000-0000-0000602A0000}"/>
    <cellStyle name="Normal 3 2 3 2 6" xfId="15032" xr:uid="{00000000-0005-0000-0000-0000612A0000}"/>
    <cellStyle name="Normal 3 2 3 3" xfId="2861" xr:uid="{00000000-0005-0000-0000-0000622A0000}"/>
    <cellStyle name="Normal 3 2 3 3 2" xfId="9642" xr:uid="{00000000-0005-0000-0000-0000632A0000}"/>
    <cellStyle name="Normal 3 2 3 3 2 2" xfId="18392" xr:uid="{00000000-0005-0000-0000-0000642A0000}"/>
    <cellStyle name="Normal 3 2 3 3 3" xfId="8040" xr:uid="{00000000-0005-0000-0000-0000652A0000}"/>
    <cellStyle name="Normal 3 2 3 3 3 2" xfId="16793" xr:uid="{00000000-0005-0000-0000-0000662A0000}"/>
    <cellStyle name="Normal 3 2 3 3 4" xfId="11252" xr:uid="{00000000-0005-0000-0000-0000672A0000}"/>
    <cellStyle name="Normal 3 2 3 3 4 2" xfId="19939" xr:uid="{00000000-0005-0000-0000-0000682A0000}"/>
    <cellStyle name="Normal 3 2 3 3 5" xfId="12859" xr:uid="{00000000-0005-0000-0000-0000692A0000}"/>
    <cellStyle name="Normal 3 2 3 3 5 2" xfId="21539" xr:uid="{00000000-0005-0000-0000-00006A2A0000}"/>
    <cellStyle name="Normal 3 2 3 3 6" xfId="15033" xr:uid="{00000000-0005-0000-0000-00006B2A0000}"/>
    <cellStyle name="Normal 3 2 3 4" xfId="2862" xr:uid="{00000000-0005-0000-0000-00006C2A0000}"/>
    <cellStyle name="Normal 3 2 3 4 2" xfId="9643" xr:uid="{00000000-0005-0000-0000-00006D2A0000}"/>
    <cellStyle name="Normal 3 2 3 4 2 2" xfId="18393" xr:uid="{00000000-0005-0000-0000-00006E2A0000}"/>
    <cellStyle name="Normal 3 2 3 4 3" xfId="8041" xr:uid="{00000000-0005-0000-0000-00006F2A0000}"/>
    <cellStyle name="Normal 3 2 3 4 3 2" xfId="16794" xr:uid="{00000000-0005-0000-0000-0000702A0000}"/>
    <cellStyle name="Normal 3 2 3 4 4" xfId="11253" xr:uid="{00000000-0005-0000-0000-0000712A0000}"/>
    <cellStyle name="Normal 3 2 3 4 4 2" xfId="19940" xr:uid="{00000000-0005-0000-0000-0000722A0000}"/>
    <cellStyle name="Normal 3 2 3 4 5" xfId="12860" xr:uid="{00000000-0005-0000-0000-0000732A0000}"/>
    <cellStyle name="Normal 3 2 3 4 5 2" xfId="21540" xr:uid="{00000000-0005-0000-0000-0000742A0000}"/>
    <cellStyle name="Normal 3 2 3 4 6" xfId="15034" xr:uid="{00000000-0005-0000-0000-0000752A0000}"/>
    <cellStyle name="Normal 3 2 3 5" xfId="9640" xr:uid="{00000000-0005-0000-0000-0000762A0000}"/>
    <cellStyle name="Normal 3 2 3 5 2" xfId="18390" xr:uid="{00000000-0005-0000-0000-0000772A0000}"/>
    <cellStyle name="Normal 3 2 3 6" xfId="8038" xr:uid="{00000000-0005-0000-0000-0000782A0000}"/>
    <cellStyle name="Normal 3 2 3 6 2" xfId="16791" xr:uid="{00000000-0005-0000-0000-0000792A0000}"/>
    <cellStyle name="Normal 3 2 3 7" xfId="11250" xr:uid="{00000000-0005-0000-0000-00007A2A0000}"/>
    <cellStyle name="Normal 3 2 3 7 2" xfId="19937" xr:uid="{00000000-0005-0000-0000-00007B2A0000}"/>
    <cellStyle name="Normal 3 2 3 8" xfId="12857" xr:uid="{00000000-0005-0000-0000-00007C2A0000}"/>
    <cellStyle name="Normal 3 2 3 8 2" xfId="21537" xr:uid="{00000000-0005-0000-0000-00007D2A0000}"/>
    <cellStyle name="Normal 3 2 3 9" xfId="15031" xr:uid="{00000000-0005-0000-0000-00007E2A0000}"/>
    <cellStyle name="Normal 3 2 4" xfId="2863" xr:uid="{00000000-0005-0000-0000-00007F2A0000}"/>
    <cellStyle name="Normal 3 2 4 2" xfId="2864" xr:uid="{00000000-0005-0000-0000-0000802A0000}"/>
    <cellStyle name="Normal 3 2 4 2 2" xfId="2865" xr:uid="{00000000-0005-0000-0000-0000812A0000}"/>
    <cellStyle name="Normal 3 2 4 2 2 2" xfId="2866" xr:uid="{00000000-0005-0000-0000-0000822A0000}"/>
    <cellStyle name="Normal 3 2 4 2 2 2 2" xfId="9645" xr:uid="{00000000-0005-0000-0000-0000832A0000}"/>
    <cellStyle name="Normal 3 2 4 2 2 2 2 2" xfId="18395" xr:uid="{00000000-0005-0000-0000-0000842A0000}"/>
    <cellStyle name="Normal 3 2 4 2 2 2 3" xfId="8043" xr:uid="{00000000-0005-0000-0000-0000852A0000}"/>
    <cellStyle name="Normal 3 2 4 2 2 2 3 2" xfId="16796" xr:uid="{00000000-0005-0000-0000-0000862A0000}"/>
    <cellStyle name="Normal 3 2 4 2 2 2 4" xfId="11255" xr:uid="{00000000-0005-0000-0000-0000872A0000}"/>
    <cellStyle name="Normal 3 2 4 2 2 2 4 2" xfId="19942" xr:uid="{00000000-0005-0000-0000-0000882A0000}"/>
    <cellStyle name="Normal 3 2 4 2 2 2 5" xfId="12862" xr:uid="{00000000-0005-0000-0000-0000892A0000}"/>
    <cellStyle name="Normal 3 2 4 2 2 2 5 2" xfId="21542" xr:uid="{00000000-0005-0000-0000-00008A2A0000}"/>
    <cellStyle name="Normal 3 2 4 2 2 2 6" xfId="15036" xr:uid="{00000000-0005-0000-0000-00008B2A0000}"/>
    <cellStyle name="Normal 3 2 4 2 2 3" xfId="2867" xr:uid="{00000000-0005-0000-0000-00008C2A0000}"/>
    <cellStyle name="Normal 3 2 4 2 2 3 2" xfId="9646" xr:uid="{00000000-0005-0000-0000-00008D2A0000}"/>
    <cellStyle name="Normal 3 2 4 2 2 3 2 2" xfId="18396" xr:uid="{00000000-0005-0000-0000-00008E2A0000}"/>
    <cellStyle name="Normal 3 2 4 2 2 3 3" xfId="8044" xr:uid="{00000000-0005-0000-0000-00008F2A0000}"/>
    <cellStyle name="Normal 3 2 4 2 2 3 3 2" xfId="16797" xr:uid="{00000000-0005-0000-0000-0000902A0000}"/>
    <cellStyle name="Normal 3 2 4 2 2 3 4" xfId="11256" xr:uid="{00000000-0005-0000-0000-0000912A0000}"/>
    <cellStyle name="Normal 3 2 4 2 2 3 4 2" xfId="19943" xr:uid="{00000000-0005-0000-0000-0000922A0000}"/>
    <cellStyle name="Normal 3 2 4 2 2 3 5" xfId="12863" xr:uid="{00000000-0005-0000-0000-0000932A0000}"/>
    <cellStyle name="Normal 3 2 4 2 2 3 5 2" xfId="21543" xr:uid="{00000000-0005-0000-0000-0000942A0000}"/>
    <cellStyle name="Normal 3 2 4 2 2 3 6" xfId="15037" xr:uid="{00000000-0005-0000-0000-0000952A0000}"/>
    <cellStyle name="Normal 3 2 4 2 2 4" xfId="2868" xr:uid="{00000000-0005-0000-0000-0000962A0000}"/>
    <cellStyle name="Normal 3 2 4 2 2 4 2" xfId="9647" xr:uid="{00000000-0005-0000-0000-0000972A0000}"/>
    <cellStyle name="Normal 3 2 4 2 2 4 2 2" xfId="18397" xr:uid="{00000000-0005-0000-0000-0000982A0000}"/>
    <cellStyle name="Normal 3 2 4 2 2 4 3" xfId="8045" xr:uid="{00000000-0005-0000-0000-0000992A0000}"/>
    <cellStyle name="Normal 3 2 4 2 2 4 3 2" xfId="16798" xr:uid="{00000000-0005-0000-0000-00009A2A0000}"/>
    <cellStyle name="Normal 3 2 4 2 2 4 4" xfId="11257" xr:uid="{00000000-0005-0000-0000-00009B2A0000}"/>
    <cellStyle name="Normal 3 2 4 2 2 4 4 2" xfId="19944" xr:uid="{00000000-0005-0000-0000-00009C2A0000}"/>
    <cellStyle name="Normal 3 2 4 2 2 4 5" xfId="12864" xr:uid="{00000000-0005-0000-0000-00009D2A0000}"/>
    <cellStyle name="Normal 3 2 4 2 2 4 5 2" xfId="21544" xr:uid="{00000000-0005-0000-0000-00009E2A0000}"/>
    <cellStyle name="Normal 3 2 4 2 2 4 6" xfId="15038" xr:uid="{00000000-0005-0000-0000-00009F2A0000}"/>
    <cellStyle name="Normal 3 2 4 2 3" xfId="2869" xr:uid="{00000000-0005-0000-0000-0000A02A0000}"/>
    <cellStyle name="Normal 3 2 4 2 4" xfId="2870" xr:uid="{00000000-0005-0000-0000-0000A12A0000}"/>
    <cellStyle name="Normal 3 2 4 2 5" xfId="9644" xr:uid="{00000000-0005-0000-0000-0000A22A0000}"/>
    <cellStyle name="Normal 3 2 4 2 5 2" xfId="18394" xr:uid="{00000000-0005-0000-0000-0000A32A0000}"/>
    <cellStyle name="Normal 3 2 4 2 6" xfId="8042" xr:uid="{00000000-0005-0000-0000-0000A42A0000}"/>
    <cellStyle name="Normal 3 2 4 2 6 2" xfId="16795" xr:uid="{00000000-0005-0000-0000-0000A52A0000}"/>
    <cellStyle name="Normal 3 2 4 2 7" xfId="11254" xr:uid="{00000000-0005-0000-0000-0000A62A0000}"/>
    <cellStyle name="Normal 3 2 4 2 7 2" xfId="19941" xr:uid="{00000000-0005-0000-0000-0000A72A0000}"/>
    <cellStyle name="Normal 3 2 4 2 8" xfId="12861" xr:uid="{00000000-0005-0000-0000-0000A82A0000}"/>
    <cellStyle name="Normal 3 2 4 2 8 2" xfId="21541" xr:uid="{00000000-0005-0000-0000-0000A92A0000}"/>
    <cellStyle name="Normal 3 2 4 2 9" xfId="15035" xr:uid="{00000000-0005-0000-0000-0000AA2A0000}"/>
    <cellStyle name="Normal 3 2 4 3" xfId="2871" xr:uid="{00000000-0005-0000-0000-0000AB2A0000}"/>
    <cellStyle name="Normal 3 2 4 3 2" xfId="2872" xr:uid="{00000000-0005-0000-0000-0000AC2A0000}"/>
    <cellStyle name="Normal 3 2 4 3 2 2" xfId="9649" xr:uid="{00000000-0005-0000-0000-0000AD2A0000}"/>
    <cellStyle name="Normal 3 2 4 3 2 2 2" xfId="18399" xr:uid="{00000000-0005-0000-0000-0000AE2A0000}"/>
    <cellStyle name="Normal 3 2 4 3 2 3" xfId="8047" xr:uid="{00000000-0005-0000-0000-0000AF2A0000}"/>
    <cellStyle name="Normal 3 2 4 3 2 3 2" xfId="16800" xr:uid="{00000000-0005-0000-0000-0000B02A0000}"/>
    <cellStyle name="Normal 3 2 4 3 2 4" xfId="11259" xr:uid="{00000000-0005-0000-0000-0000B12A0000}"/>
    <cellStyle name="Normal 3 2 4 3 2 4 2" xfId="19946" xr:uid="{00000000-0005-0000-0000-0000B22A0000}"/>
    <cellStyle name="Normal 3 2 4 3 2 5" xfId="12866" xr:uid="{00000000-0005-0000-0000-0000B32A0000}"/>
    <cellStyle name="Normal 3 2 4 3 2 5 2" xfId="21546" xr:uid="{00000000-0005-0000-0000-0000B42A0000}"/>
    <cellStyle name="Normal 3 2 4 3 2 6" xfId="15040" xr:uid="{00000000-0005-0000-0000-0000B52A0000}"/>
    <cellStyle name="Normal 3 2 4 3 3" xfId="2873" xr:uid="{00000000-0005-0000-0000-0000B62A0000}"/>
    <cellStyle name="Normal 3 2 4 3 3 2" xfId="9650" xr:uid="{00000000-0005-0000-0000-0000B72A0000}"/>
    <cellStyle name="Normal 3 2 4 3 3 2 2" xfId="18400" xr:uid="{00000000-0005-0000-0000-0000B82A0000}"/>
    <cellStyle name="Normal 3 2 4 3 3 3" xfId="8048" xr:uid="{00000000-0005-0000-0000-0000B92A0000}"/>
    <cellStyle name="Normal 3 2 4 3 3 3 2" xfId="16801" xr:uid="{00000000-0005-0000-0000-0000BA2A0000}"/>
    <cellStyle name="Normal 3 2 4 3 3 4" xfId="11260" xr:uid="{00000000-0005-0000-0000-0000BB2A0000}"/>
    <cellStyle name="Normal 3 2 4 3 3 4 2" xfId="19947" xr:uid="{00000000-0005-0000-0000-0000BC2A0000}"/>
    <cellStyle name="Normal 3 2 4 3 3 5" xfId="12867" xr:uid="{00000000-0005-0000-0000-0000BD2A0000}"/>
    <cellStyle name="Normal 3 2 4 3 3 5 2" xfId="21547" xr:uid="{00000000-0005-0000-0000-0000BE2A0000}"/>
    <cellStyle name="Normal 3 2 4 3 3 6" xfId="15041" xr:uid="{00000000-0005-0000-0000-0000BF2A0000}"/>
    <cellStyle name="Normal 3 2 4 3 4" xfId="2874" xr:uid="{00000000-0005-0000-0000-0000C02A0000}"/>
    <cellStyle name="Normal 3 2 4 3 4 2" xfId="9651" xr:uid="{00000000-0005-0000-0000-0000C12A0000}"/>
    <cellStyle name="Normal 3 2 4 3 4 2 2" xfId="18401" xr:uid="{00000000-0005-0000-0000-0000C22A0000}"/>
    <cellStyle name="Normal 3 2 4 3 4 3" xfId="8049" xr:uid="{00000000-0005-0000-0000-0000C32A0000}"/>
    <cellStyle name="Normal 3 2 4 3 4 3 2" xfId="16802" xr:uid="{00000000-0005-0000-0000-0000C42A0000}"/>
    <cellStyle name="Normal 3 2 4 3 4 4" xfId="11261" xr:uid="{00000000-0005-0000-0000-0000C52A0000}"/>
    <cellStyle name="Normal 3 2 4 3 4 4 2" xfId="19948" xr:uid="{00000000-0005-0000-0000-0000C62A0000}"/>
    <cellStyle name="Normal 3 2 4 3 4 5" xfId="12868" xr:uid="{00000000-0005-0000-0000-0000C72A0000}"/>
    <cellStyle name="Normal 3 2 4 3 4 5 2" xfId="21548" xr:uid="{00000000-0005-0000-0000-0000C82A0000}"/>
    <cellStyle name="Normal 3 2 4 3 4 6" xfId="15042" xr:uid="{00000000-0005-0000-0000-0000C92A0000}"/>
    <cellStyle name="Normal 3 2 4 3 5" xfId="9648" xr:uid="{00000000-0005-0000-0000-0000CA2A0000}"/>
    <cellStyle name="Normal 3 2 4 3 5 2" xfId="18398" xr:uid="{00000000-0005-0000-0000-0000CB2A0000}"/>
    <cellStyle name="Normal 3 2 4 3 6" xfId="8046" xr:uid="{00000000-0005-0000-0000-0000CC2A0000}"/>
    <cellStyle name="Normal 3 2 4 3 6 2" xfId="16799" xr:uid="{00000000-0005-0000-0000-0000CD2A0000}"/>
    <cellStyle name="Normal 3 2 4 3 7" xfId="11258" xr:uid="{00000000-0005-0000-0000-0000CE2A0000}"/>
    <cellStyle name="Normal 3 2 4 3 7 2" xfId="19945" xr:uid="{00000000-0005-0000-0000-0000CF2A0000}"/>
    <cellStyle name="Normal 3 2 4 3 8" xfId="12865" xr:uid="{00000000-0005-0000-0000-0000D02A0000}"/>
    <cellStyle name="Normal 3 2 4 3 8 2" xfId="21545" xr:uid="{00000000-0005-0000-0000-0000D12A0000}"/>
    <cellStyle name="Normal 3 2 4 3 9" xfId="15039" xr:uid="{00000000-0005-0000-0000-0000D22A0000}"/>
    <cellStyle name="Normal 3 2 4 4" xfId="2875" xr:uid="{00000000-0005-0000-0000-0000D32A0000}"/>
    <cellStyle name="Normal 3 2 4 4 2" xfId="2876" xr:uid="{00000000-0005-0000-0000-0000D42A0000}"/>
    <cellStyle name="Normal 3 2 4 4 2 2" xfId="9653" xr:uid="{00000000-0005-0000-0000-0000D52A0000}"/>
    <cellStyle name="Normal 3 2 4 4 2 2 2" xfId="18403" xr:uid="{00000000-0005-0000-0000-0000D62A0000}"/>
    <cellStyle name="Normal 3 2 4 4 2 3" xfId="8051" xr:uid="{00000000-0005-0000-0000-0000D72A0000}"/>
    <cellStyle name="Normal 3 2 4 4 2 3 2" xfId="16804" xr:uid="{00000000-0005-0000-0000-0000D82A0000}"/>
    <cellStyle name="Normal 3 2 4 4 2 4" xfId="11263" xr:uid="{00000000-0005-0000-0000-0000D92A0000}"/>
    <cellStyle name="Normal 3 2 4 4 2 4 2" xfId="19950" xr:uid="{00000000-0005-0000-0000-0000DA2A0000}"/>
    <cellStyle name="Normal 3 2 4 4 2 5" xfId="12870" xr:uid="{00000000-0005-0000-0000-0000DB2A0000}"/>
    <cellStyle name="Normal 3 2 4 4 2 5 2" xfId="21550" xr:uid="{00000000-0005-0000-0000-0000DC2A0000}"/>
    <cellStyle name="Normal 3 2 4 4 2 6" xfId="15044" xr:uid="{00000000-0005-0000-0000-0000DD2A0000}"/>
    <cellStyle name="Normal 3 2 4 4 3" xfId="2877" xr:uid="{00000000-0005-0000-0000-0000DE2A0000}"/>
    <cellStyle name="Normal 3 2 4 4 3 2" xfId="9654" xr:uid="{00000000-0005-0000-0000-0000DF2A0000}"/>
    <cellStyle name="Normal 3 2 4 4 3 2 2" xfId="18404" xr:uid="{00000000-0005-0000-0000-0000E02A0000}"/>
    <cellStyle name="Normal 3 2 4 4 3 3" xfId="8052" xr:uid="{00000000-0005-0000-0000-0000E12A0000}"/>
    <cellStyle name="Normal 3 2 4 4 3 3 2" xfId="16805" xr:uid="{00000000-0005-0000-0000-0000E22A0000}"/>
    <cellStyle name="Normal 3 2 4 4 3 4" xfId="11264" xr:uid="{00000000-0005-0000-0000-0000E32A0000}"/>
    <cellStyle name="Normal 3 2 4 4 3 4 2" xfId="19951" xr:uid="{00000000-0005-0000-0000-0000E42A0000}"/>
    <cellStyle name="Normal 3 2 4 4 3 5" xfId="12871" xr:uid="{00000000-0005-0000-0000-0000E52A0000}"/>
    <cellStyle name="Normal 3 2 4 4 3 5 2" xfId="21551" xr:uid="{00000000-0005-0000-0000-0000E62A0000}"/>
    <cellStyle name="Normal 3 2 4 4 3 6" xfId="15045" xr:uid="{00000000-0005-0000-0000-0000E72A0000}"/>
    <cellStyle name="Normal 3 2 4 4 4" xfId="2878" xr:uid="{00000000-0005-0000-0000-0000E82A0000}"/>
    <cellStyle name="Normal 3 2 4 4 4 2" xfId="9655" xr:uid="{00000000-0005-0000-0000-0000E92A0000}"/>
    <cellStyle name="Normal 3 2 4 4 4 2 2" xfId="18405" xr:uid="{00000000-0005-0000-0000-0000EA2A0000}"/>
    <cellStyle name="Normal 3 2 4 4 4 3" xfId="8053" xr:uid="{00000000-0005-0000-0000-0000EB2A0000}"/>
    <cellStyle name="Normal 3 2 4 4 4 3 2" xfId="16806" xr:uid="{00000000-0005-0000-0000-0000EC2A0000}"/>
    <cellStyle name="Normal 3 2 4 4 4 4" xfId="11265" xr:uid="{00000000-0005-0000-0000-0000ED2A0000}"/>
    <cellStyle name="Normal 3 2 4 4 4 4 2" xfId="19952" xr:uid="{00000000-0005-0000-0000-0000EE2A0000}"/>
    <cellStyle name="Normal 3 2 4 4 4 5" xfId="12872" xr:uid="{00000000-0005-0000-0000-0000EF2A0000}"/>
    <cellStyle name="Normal 3 2 4 4 4 5 2" xfId="21552" xr:uid="{00000000-0005-0000-0000-0000F02A0000}"/>
    <cellStyle name="Normal 3 2 4 4 4 6" xfId="15046" xr:uid="{00000000-0005-0000-0000-0000F12A0000}"/>
    <cellStyle name="Normal 3 2 4 4 5" xfId="9652" xr:uid="{00000000-0005-0000-0000-0000F22A0000}"/>
    <cellStyle name="Normal 3 2 4 4 5 2" xfId="18402" xr:uid="{00000000-0005-0000-0000-0000F32A0000}"/>
    <cellStyle name="Normal 3 2 4 4 6" xfId="8050" xr:uid="{00000000-0005-0000-0000-0000F42A0000}"/>
    <cellStyle name="Normal 3 2 4 4 6 2" xfId="16803" xr:uid="{00000000-0005-0000-0000-0000F52A0000}"/>
    <cellStyle name="Normal 3 2 4 4 7" xfId="11262" xr:uid="{00000000-0005-0000-0000-0000F62A0000}"/>
    <cellStyle name="Normal 3 2 4 4 7 2" xfId="19949" xr:uid="{00000000-0005-0000-0000-0000F72A0000}"/>
    <cellStyle name="Normal 3 2 4 4 8" xfId="12869" xr:uid="{00000000-0005-0000-0000-0000F82A0000}"/>
    <cellStyle name="Normal 3 2 4 4 8 2" xfId="21549" xr:uid="{00000000-0005-0000-0000-0000F92A0000}"/>
    <cellStyle name="Normal 3 2 4 4 9" xfId="15043" xr:uid="{00000000-0005-0000-0000-0000FA2A0000}"/>
    <cellStyle name="Normal 3 2 4 5" xfId="2879" xr:uid="{00000000-0005-0000-0000-0000FB2A0000}"/>
    <cellStyle name="Normal 3 2 4 5 2" xfId="9656" xr:uid="{00000000-0005-0000-0000-0000FC2A0000}"/>
    <cellStyle name="Normal 3 2 4 5 2 2" xfId="18406" xr:uid="{00000000-0005-0000-0000-0000FD2A0000}"/>
    <cellStyle name="Normal 3 2 4 5 3" xfId="8054" xr:uid="{00000000-0005-0000-0000-0000FE2A0000}"/>
    <cellStyle name="Normal 3 2 4 5 3 2" xfId="16807" xr:uid="{00000000-0005-0000-0000-0000FF2A0000}"/>
    <cellStyle name="Normal 3 2 4 5 4" xfId="11266" xr:uid="{00000000-0005-0000-0000-0000002B0000}"/>
    <cellStyle name="Normal 3 2 4 5 4 2" xfId="19953" xr:uid="{00000000-0005-0000-0000-0000012B0000}"/>
    <cellStyle name="Normal 3 2 4 5 5" xfId="12873" xr:uid="{00000000-0005-0000-0000-0000022B0000}"/>
    <cellStyle name="Normal 3 2 4 5 5 2" xfId="21553" xr:uid="{00000000-0005-0000-0000-0000032B0000}"/>
    <cellStyle name="Normal 3 2 4 5 6" xfId="15047" xr:uid="{00000000-0005-0000-0000-0000042B0000}"/>
    <cellStyle name="Normal 3 2 4 6" xfId="2880" xr:uid="{00000000-0005-0000-0000-0000052B0000}"/>
    <cellStyle name="Normal 3 2 4 6 2" xfId="9657" xr:uid="{00000000-0005-0000-0000-0000062B0000}"/>
    <cellStyle name="Normal 3 2 4 6 2 2" xfId="18407" xr:uid="{00000000-0005-0000-0000-0000072B0000}"/>
    <cellStyle name="Normal 3 2 4 6 3" xfId="8055" xr:uid="{00000000-0005-0000-0000-0000082B0000}"/>
    <cellStyle name="Normal 3 2 4 6 3 2" xfId="16808" xr:uid="{00000000-0005-0000-0000-0000092B0000}"/>
    <cellStyle name="Normal 3 2 4 6 4" xfId="11267" xr:uid="{00000000-0005-0000-0000-00000A2B0000}"/>
    <cellStyle name="Normal 3 2 4 6 4 2" xfId="19954" xr:uid="{00000000-0005-0000-0000-00000B2B0000}"/>
    <cellStyle name="Normal 3 2 4 6 5" xfId="12874" xr:uid="{00000000-0005-0000-0000-00000C2B0000}"/>
    <cellStyle name="Normal 3 2 4 6 5 2" xfId="21554" xr:uid="{00000000-0005-0000-0000-00000D2B0000}"/>
    <cellStyle name="Normal 3 2 4 6 6" xfId="15048" xr:uid="{00000000-0005-0000-0000-00000E2B0000}"/>
    <cellStyle name="Normal 3 2 4 7" xfId="2881" xr:uid="{00000000-0005-0000-0000-00000F2B0000}"/>
    <cellStyle name="Normal 3 2 4 7 2" xfId="9658" xr:uid="{00000000-0005-0000-0000-0000102B0000}"/>
    <cellStyle name="Normal 3 2 4 7 2 2" xfId="18408" xr:uid="{00000000-0005-0000-0000-0000112B0000}"/>
    <cellStyle name="Normal 3 2 4 7 3" xfId="8056" xr:uid="{00000000-0005-0000-0000-0000122B0000}"/>
    <cellStyle name="Normal 3 2 4 7 3 2" xfId="16809" xr:uid="{00000000-0005-0000-0000-0000132B0000}"/>
    <cellStyle name="Normal 3 2 4 7 4" xfId="11268" xr:uid="{00000000-0005-0000-0000-0000142B0000}"/>
    <cellStyle name="Normal 3 2 4 7 4 2" xfId="19955" xr:uid="{00000000-0005-0000-0000-0000152B0000}"/>
    <cellStyle name="Normal 3 2 4 7 5" xfId="12875" xr:uid="{00000000-0005-0000-0000-0000162B0000}"/>
    <cellStyle name="Normal 3 2 4 7 5 2" xfId="21555" xr:uid="{00000000-0005-0000-0000-0000172B0000}"/>
    <cellStyle name="Normal 3 2 4 7 6" xfId="15049" xr:uid="{00000000-0005-0000-0000-0000182B0000}"/>
    <cellStyle name="Normal 3 2 5" xfId="2882" xr:uid="{00000000-0005-0000-0000-0000192B0000}"/>
    <cellStyle name="Normal 3 2 6" xfId="2883" xr:uid="{00000000-0005-0000-0000-00001A2B0000}"/>
    <cellStyle name="Normal 3 2 7" xfId="2884" xr:uid="{00000000-0005-0000-0000-00001B2B0000}"/>
    <cellStyle name="Normal 3 2 7 2" xfId="9659" xr:uid="{00000000-0005-0000-0000-00001C2B0000}"/>
    <cellStyle name="Normal 3 2 7 2 2" xfId="18409" xr:uid="{00000000-0005-0000-0000-00001D2B0000}"/>
    <cellStyle name="Normal 3 2 7 3" xfId="8057" xr:uid="{00000000-0005-0000-0000-00001E2B0000}"/>
    <cellStyle name="Normal 3 2 7 3 2" xfId="16810" xr:uid="{00000000-0005-0000-0000-00001F2B0000}"/>
    <cellStyle name="Normal 3 2 7 4" xfId="11269" xr:uid="{00000000-0005-0000-0000-0000202B0000}"/>
    <cellStyle name="Normal 3 2 7 4 2" xfId="19956" xr:uid="{00000000-0005-0000-0000-0000212B0000}"/>
    <cellStyle name="Normal 3 2 7 5" xfId="12876" xr:uid="{00000000-0005-0000-0000-0000222B0000}"/>
    <cellStyle name="Normal 3 2 7 5 2" xfId="21556" xr:uid="{00000000-0005-0000-0000-0000232B0000}"/>
    <cellStyle name="Normal 3 2 7 6" xfId="15050" xr:uid="{00000000-0005-0000-0000-0000242B0000}"/>
    <cellStyle name="Normal 3 2 8" xfId="2885" xr:uid="{00000000-0005-0000-0000-0000252B0000}"/>
    <cellStyle name="Normal 3 2 8 2" xfId="9660" xr:uid="{00000000-0005-0000-0000-0000262B0000}"/>
    <cellStyle name="Normal 3 2 8 2 2" xfId="18410" xr:uid="{00000000-0005-0000-0000-0000272B0000}"/>
    <cellStyle name="Normal 3 2 8 3" xfId="8058" xr:uid="{00000000-0005-0000-0000-0000282B0000}"/>
    <cellStyle name="Normal 3 2 8 3 2" xfId="16811" xr:uid="{00000000-0005-0000-0000-0000292B0000}"/>
    <cellStyle name="Normal 3 2 8 4" xfId="11270" xr:uid="{00000000-0005-0000-0000-00002A2B0000}"/>
    <cellStyle name="Normal 3 2 8 4 2" xfId="19957" xr:uid="{00000000-0005-0000-0000-00002B2B0000}"/>
    <cellStyle name="Normal 3 2 8 5" xfId="12877" xr:uid="{00000000-0005-0000-0000-00002C2B0000}"/>
    <cellStyle name="Normal 3 2 8 5 2" xfId="21557" xr:uid="{00000000-0005-0000-0000-00002D2B0000}"/>
    <cellStyle name="Normal 3 2 8 6" xfId="15051" xr:uid="{00000000-0005-0000-0000-00002E2B0000}"/>
    <cellStyle name="Normal 3 2 9" xfId="2886" xr:uid="{00000000-0005-0000-0000-00002F2B0000}"/>
    <cellStyle name="Normal 3 2 9 2" xfId="9661" xr:uid="{00000000-0005-0000-0000-0000302B0000}"/>
    <cellStyle name="Normal 3 2 9 2 2" xfId="18411" xr:uid="{00000000-0005-0000-0000-0000312B0000}"/>
    <cellStyle name="Normal 3 2 9 3" xfId="8059" xr:uid="{00000000-0005-0000-0000-0000322B0000}"/>
    <cellStyle name="Normal 3 2 9 3 2" xfId="16812" xr:uid="{00000000-0005-0000-0000-0000332B0000}"/>
    <cellStyle name="Normal 3 2 9 4" xfId="11271" xr:uid="{00000000-0005-0000-0000-0000342B0000}"/>
    <cellStyle name="Normal 3 2 9 4 2" xfId="19958" xr:uid="{00000000-0005-0000-0000-0000352B0000}"/>
    <cellStyle name="Normal 3 2 9 5" xfId="12878" xr:uid="{00000000-0005-0000-0000-0000362B0000}"/>
    <cellStyle name="Normal 3 2 9 5 2" xfId="21558" xr:uid="{00000000-0005-0000-0000-0000372B0000}"/>
    <cellStyle name="Normal 3 2 9 6" xfId="15052" xr:uid="{00000000-0005-0000-0000-0000382B0000}"/>
    <cellStyle name="Normal 3 3" xfId="125" xr:uid="{00000000-0005-0000-0000-0000392B0000}"/>
    <cellStyle name="Normal 3 3 10" xfId="14067" xr:uid="{00000000-0005-0000-0000-00003A2B0000}"/>
    <cellStyle name="Normal 3 3 2" xfId="2888" xr:uid="{00000000-0005-0000-0000-00003B2B0000}"/>
    <cellStyle name="Normal 3 3 2 2" xfId="2889" xr:uid="{00000000-0005-0000-0000-00003C2B0000}"/>
    <cellStyle name="Normal 3 3 2 2 2" xfId="9663" xr:uid="{00000000-0005-0000-0000-00003D2B0000}"/>
    <cellStyle name="Normal 3 3 2 2 2 2" xfId="18413" xr:uid="{00000000-0005-0000-0000-00003E2B0000}"/>
    <cellStyle name="Normal 3 3 2 2 3" xfId="8061" xr:uid="{00000000-0005-0000-0000-00003F2B0000}"/>
    <cellStyle name="Normal 3 3 2 2 3 2" xfId="16814" xr:uid="{00000000-0005-0000-0000-0000402B0000}"/>
    <cellStyle name="Normal 3 3 2 2 4" xfId="11273" xr:uid="{00000000-0005-0000-0000-0000412B0000}"/>
    <cellStyle name="Normal 3 3 2 2 4 2" xfId="19960" xr:uid="{00000000-0005-0000-0000-0000422B0000}"/>
    <cellStyle name="Normal 3 3 2 2 5" xfId="12880" xr:uid="{00000000-0005-0000-0000-0000432B0000}"/>
    <cellStyle name="Normal 3 3 2 2 5 2" xfId="21560" xr:uid="{00000000-0005-0000-0000-0000442B0000}"/>
    <cellStyle name="Normal 3 3 2 2 6" xfId="15054" xr:uid="{00000000-0005-0000-0000-0000452B0000}"/>
    <cellStyle name="Normal 3 3 2 3" xfId="2890" xr:uid="{00000000-0005-0000-0000-0000462B0000}"/>
    <cellStyle name="Normal 3 3 2 3 2" xfId="9664" xr:uid="{00000000-0005-0000-0000-0000472B0000}"/>
    <cellStyle name="Normal 3 3 2 3 2 2" xfId="18414" xr:uid="{00000000-0005-0000-0000-0000482B0000}"/>
    <cellStyle name="Normal 3 3 2 3 3" xfId="8062" xr:uid="{00000000-0005-0000-0000-0000492B0000}"/>
    <cellStyle name="Normal 3 3 2 3 3 2" xfId="16815" xr:uid="{00000000-0005-0000-0000-00004A2B0000}"/>
    <cellStyle name="Normal 3 3 2 3 4" xfId="11274" xr:uid="{00000000-0005-0000-0000-00004B2B0000}"/>
    <cellStyle name="Normal 3 3 2 3 4 2" xfId="19961" xr:uid="{00000000-0005-0000-0000-00004C2B0000}"/>
    <cellStyle name="Normal 3 3 2 3 5" xfId="12881" xr:uid="{00000000-0005-0000-0000-00004D2B0000}"/>
    <cellStyle name="Normal 3 3 2 3 5 2" xfId="21561" xr:uid="{00000000-0005-0000-0000-00004E2B0000}"/>
    <cellStyle name="Normal 3 3 2 3 6" xfId="15055" xr:uid="{00000000-0005-0000-0000-00004F2B0000}"/>
    <cellStyle name="Normal 3 3 2 4" xfId="2891" xr:uid="{00000000-0005-0000-0000-0000502B0000}"/>
    <cellStyle name="Normal 3 3 2 4 2" xfId="9665" xr:uid="{00000000-0005-0000-0000-0000512B0000}"/>
    <cellStyle name="Normal 3 3 2 4 2 2" xfId="18415" xr:uid="{00000000-0005-0000-0000-0000522B0000}"/>
    <cellStyle name="Normal 3 3 2 4 3" xfId="8063" xr:uid="{00000000-0005-0000-0000-0000532B0000}"/>
    <cellStyle name="Normal 3 3 2 4 3 2" xfId="16816" xr:uid="{00000000-0005-0000-0000-0000542B0000}"/>
    <cellStyle name="Normal 3 3 2 4 4" xfId="11275" xr:uid="{00000000-0005-0000-0000-0000552B0000}"/>
    <cellStyle name="Normal 3 3 2 4 4 2" xfId="19962" xr:uid="{00000000-0005-0000-0000-0000562B0000}"/>
    <cellStyle name="Normal 3 3 2 4 5" xfId="12882" xr:uid="{00000000-0005-0000-0000-0000572B0000}"/>
    <cellStyle name="Normal 3 3 2 4 5 2" xfId="21562" xr:uid="{00000000-0005-0000-0000-0000582B0000}"/>
    <cellStyle name="Normal 3 3 2 4 6" xfId="15056" xr:uid="{00000000-0005-0000-0000-0000592B0000}"/>
    <cellStyle name="Normal 3 3 2 5" xfId="9662" xr:uid="{00000000-0005-0000-0000-00005A2B0000}"/>
    <cellStyle name="Normal 3 3 2 5 2" xfId="18412" xr:uid="{00000000-0005-0000-0000-00005B2B0000}"/>
    <cellStyle name="Normal 3 3 2 6" xfId="8060" xr:uid="{00000000-0005-0000-0000-00005C2B0000}"/>
    <cellStyle name="Normal 3 3 2 6 2" xfId="16813" xr:uid="{00000000-0005-0000-0000-00005D2B0000}"/>
    <cellStyle name="Normal 3 3 2 7" xfId="11272" xr:uid="{00000000-0005-0000-0000-00005E2B0000}"/>
    <cellStyle name="Normal 3 3 2 7 2" xfId="19959" xr:uid="{00000000-0005-0000-0000-00005F2B0000}"/>
    <cellStyle name="Normal 3 3 2 8" xfId="12879" xr:uid="{00000000-0005-0000-0000-0000602B0000}"/>
    <cellStyle name="Normal 3 3 2 8 2" xfId="21559" xr:uid="{00000000-0005-0000-0000-0000612B0000}"/>
    <cellStyle name="Normal 3 3 2 9" xfId="15053" xr:uid="{00000000-0005-0000-0000-0000622B0000}"/>
    <cellStyle name="Normal 3 3 3" xfId="2892" xr:uid="{00000000-0005-0000-0000-0000632B0000}"/>
    <cellStyle name="Normal 3 3 3 2" xfId="2893" xr:uid="{00000000-0005-0000-0000-0000642B0000}"/>
    <cellStyle name="Normal 3 3 3 2 2" xfId="9667" xr:uid="{00000000-0005-0000-0000-0000652B0000}"/>
    <cellStyle name="Normal 3 3 3 2 2 2" xfId="18417" xr:uid="{00000000-0005-0000-0000-0000662B0000}"/>
    <cellStyle name="Normal 3 3 3 2 3" xfId="8065" xr:uid="{00000000-0005-0000-0000-0000672B0000}"/>
    <cellStyle name="Normal 3 3 3 2 3 2" xfId="16818" xr:uid="{00000000-0005-0000-0000-0000682B0000}"/>
    <cellStyle name="Normal 3 3 3 2 4" xfId="11277" xr:uid="{00000000-0005-0000-0000-0000692B0000}"/>
    <cellStyle name="Normal 3 3 3 2 4 2" xfId="19964" xr:uid="{00000000-0005-0000-0000-00006A2B0000}"/>
    <cellStyle name="Normal 3 3 3 2 5" xfId="12884" xr:uid="{00000000-0005-0000-0000-00006B2B0000}"/>
    <cellStyle name="Normal 3 3 3 2 5 2" xfId="21564" xr:uid="{00000000-0005-0000-0000-00006C2B0000}"/>
    <cellStyle name="Normal 3 3 3 2 6" xfId="15058" xr:uid="{00000000-0005-0000-0000-00006D2B0000}"/>
    <cellStyle name="Normal 3 3 3 3" xfId="2894" xr:uid="{00000000-0005-0000-0000-00006E2B0000}"/>
    <cellStyle name="Normal 3 3 3 3 2" xfId="9668" xr:uid="{00000000-0005-0000-0000-00006F2B0000}"/>
    <cellStyle name="Normal 3 3 3 3 2 2" xfId="18418" xr:uid="{00000000-0005-0000-0000-0000702B0000}"/>
    <cellStyle name="Normal 3 3 3 3 3" xfId="8066" xr:uid="{00000000-0005-0000-0000-0000712B0000}"/>
    <cellStyle name="Normal 3 3 3 3 3 2" xfId="16819" xr:uid="{00000000-0005-0000-0000-0000722B0000}"/>
    <cellStyle name="Normal 3 3 3 3 4" xfId="11278" xr:uid="{00000000-0005-0000-0000-0000732B0000}"/>
    <cellStyle name="Normal 3 3 3 3 4 2" xfId="19965" xr:uid="{00000000-0005-0000-0000-0000742B0000}"/>
    <cellStyle name="Normal 3 3 3 3 5" xfId="12885" xr:uid="{00000000-0005-0000-0000-0000752B0000}"/>
    <cellStyle name="Normal 3 3 3 3 5 2" xfId="21565" xr:uid="{00000000-0005-0000-0000-0000762B0000}"/>
    <cellStyle name="Normal 3 3 3 3 6" xfId="15059" xr:uid="{00000000-0005-0000-0000-0000772B0000}"/>
    <cellStyle name="Normal 3 3 3 4" xfId="2895" xr:uid="{00000000-0005-0000-0000-0000782B0000}"/>
    <cellStyle name="Normal 3 3 3 4 2" xfId="9669" xr:uid="{00000000-0005-0000-0000-0000792B0000}"/>
    <cellStyle name="Normal 3 3 3 4 2 2" xfId="18419" xr:uid="{00000000-0005-0000-0000-00007A2B0000}"/>
    <cellStyle name="Normal 3 3 3 4 3" xfId="8067" xr:uid="{00000000-0005-0000-0000-00007B2B0000}"/>
    <cellStyle name="Normal 3 3 3 4 3 2" xfId="16820" xr:uid="{00000000-0005-0000-0000-00007C2B0000}"/>
    <cellStyle name="Normal 3 3 3 4 4" xfId="11279" xr:uid="{00000000-0005-0000-0000-00007D2B0000}"/>
    <cellStyle name="Normal 3 3 3 4 4 2" xfId="19966" xr:uid="{00000000-0005-0000-0000-00007E2B0000}"/>
    <cellStyle name="Normal 3 3 3 4 5" xfId="12886" xr:uid="{00000000-0005-0000-0000-00007F2B0000}"/>
    <cellStyle name="Normal 3 3 3 4 5 2" xfId="21566" xr:uid="{00000000-0005-0000-0000-0000802B0000}"/>
    <cellStyle name="Normal 3 3 3 4 6" xfId="15060" xr:uid="{00000000-0005-0000-0000-0000812B0000}"/>
    <cellStyle name="Normal 3 3 3 5" xfId="9666" xr:uid="{00000000-0005-0000-0000-0000822B0000}"/>
    <cellStyle name="Normal 3 3 3 5 2" xfId="18416" xr:uid="{00000000-0005-0000-0000-0000832B0000}"/>
    <cellStyle name="Normal 3 3 3 6" xfId="8064" xr:uid="{00000000-0005-0000-0000-0000842B0000}"/>
    <cellStyle name="Normal 3 3 3 6 2" xfId="16817" xr:uid="{00000000-0005-0000-0000-0000852B0000}"/>
    <cellStyle name="Normal 3 3 3 7" xfId="11276" xr:uid="{00000000-0005-0000-0000-0000862B0000}"/>
    <cellStyle name="Normal 3 3 3 7 2" xfId="19963" xr:uid="{00000000-0005-0000-0000-0000872B0000}"/>
    <cellStyle name="Normal 3 3 3 8" xfId="12883" xr:uid="{00000000-0005-0000-0000-0000882B0000}"/>
    <cellStyle name="Normal 3 3 3 8 2" xfId="21563" xr:uid="{00000000-0005-0000-0000-0000892B0000}"/>
    <cellStyle name="Normal 3 3 3 9" xfId="15057" xr:uid="{00000000-0005-0000-0000-00008A2B0000}"/>
    <cellStyle name="Normal 3 3 4" xfId="2896" xr:uid="{00000000-0005-0000-0000-00008B2B0000}"/>
    <cellStyle name="Normal 3 3 4 2" xfId="9670" xr:uid="{00000000-0005-0000-0000-00008C2B0000}"/>
    <cellStyle name="Normal 3 3 4 2 2" xfId="18420" xr:uid="{00000000-0005-0000-0000-00008D2B0000}"/>
    <cellStyle name="Normal 3 3 4 3" xfId="8068" xr:uid="{00000000-0005-0000-0000-00008E2B0000}"/>
    <cellStyle name="Normal 3 3 4 3 2" xfId="16821" xr:uid="{00000000-0005-0000-0000-00008F2B0000}"/>
    <cellStyle name="Normal 3 3 4 4" xfId="11280" xr:uid="{00000000-0005-0000-0000-0000902B0000}"/>
    <cellStyle name="Normal 3 3 4 4 2" xfId="19967" xr:uid="{00000000-0005-0000-0000-0000912B0000}"/>
    <cellStyle name="Normal 3 3 4 5" xfId="12887" xr:uid="{00000000-0005-0000-0000-0000922B0000}"/>
    <cellStyle name="Normal 3 3 4 5 2" xfId="21567" xr:uid="{00000000-0005-0000-0000-0000932B0000}"/>
    <cellStyle name="Normal 3 3 4 6" xfId="15061" xr:uid="{00000000-0005-0000-0000-0000942B0000}"/>
    <cellStyle name="Normal 3 3 5" xfId="2897" xr:uid="{00000000-0005-0000-0000-0000952B0000}"/>
    <cellStyle name="Normal 3 3 5 2" xfId="9671" xr:uid="{00000000-0005-0000-0000-0000962B0000}"/>
    <cellStyle name="Normal 3 3 5 2 2" xfId="18421" xr:uid="{00000000-0005-0000-0000-0000972B0000}"/>
    <cellStyle name="Normal 3 3 5 3" xfId="8069" xr:uid="{00000000-0005-0000-0000-0000982B0000}"/>
    <cellStyle name="Normal 3 3 5 3 2" xfId="16822" xr:uid="{00000000-0005-0000-0000-0000992B0000}"/>
    <cellStyle name="Normal 3 3 5 4" xfId="11281" xr:uid="{00000000-0005-0000-0000-00009A2B0000}"/>
    <cellStyle name="Normal 3 3 5 4 2" xfId="19968" xr:uid="{00000000-0005-0000-0000-00009B2B0000}"/>
    <cellStyle name="Normal 3 3 5 5" xfId="12888" xr:uid="{00000000-0005-0000-0000-00009C2B0000}"/>
    <cellStyle name="Normal 3 3 5 5 2" xfId="21568" xr:uid="{00000000-0005-0000-0000-00009D2B0000}"/>
    <cellStyle name="Normal 3 3 5 6" xfId="15062" xr:uid="{00000000-0005-0000-0000-00009E2B0000}"/>
    <cellStyle name="Normal 3 3 6" xfId="2898" xr:uid="{00000000-0005-0000-0000-00009F2B0000}"/>
    <cellStyle name="Normal 3 3 6 2" xfId="9672" xr:uid="{00000000-0005-0000-0000-0000A02B0000}"/>
    <cellStyle name="Normal 3 3 6 2 2" xfId="18422" xr:uid="{00000000-0005-0000-0000-0000A12B0000}"/>
    <cellStyle name="Normal 3 3 6 3" xfId="8070" xr:uid="{00000000-0005-0000-0000-0000A22B0000}"/>
    <cellStyle name="Normal 3 3 6 3 2" xfId="16823" xr:uid="{00000000-0005-0000-0000-0000A32B0000}"/>
    <cellStyle name="Normal 3 3 6 4" xfId="11282" xr:uid="{00000000-0005-0000-0000-0000A42B0000}"/>
    <cellStyle name="Normal 3 3 6 4 2" xfId="19969" xr:uid="{00000000-0005-0000-0000-0000A52B0000}"/>
    <cellStyle name="Normal 3 3 6 5" xfId="12889" xr:uid="{00000000-0005-0000-0000-0000A62B0000}"/>
    <cellStyle name="Normal 3 3 6 5 2" xfId="21569" xr:uid="{00000000-0005-0000-0000-0000A72B0000}"/>
    <cellStyle name="Normal 3 3 6 6" xfId="15063" xr:uid="{00000000-0005-0000-0000-0000A82B0000}"/>
    <cellStyle name="Normal 3 3 7" xfId="2899" xr:uid="{00000000-0005-0000-0000-0000A92B0000}"/>
    <cellStyle name="Normal 3 3 7 2" xfId="9673" xr:uid="{00000000-0005-0000-0000-0000AA2B0000}"/>
    <cellStyle name="Normal 3 3 7 2 2" xfId="18423" xr:uid="{00000000-0005-0000-0000-0000AB2B0000}"/>
    <cellStyle name="Normal 3 3 7 3" xfId="8071" xr:uid="{00000000-0005-0000-0000-0000AC2B0000}"/>
    <cellStyle name="Normal 3 3 7 3 2" xfId="16824" xr:uid="{00000000-0005-0000-0000-0000AD2B0000}"/>
    <cellStyle name="Normal 3 3 7 4" xfId="11283" xr:uid="{00000000-0005-0000-0000-0000AE2B0000}"/>
    <cellStyle name="Normal 3 3 7 4 2" xfId="19970" xr:uid="{00000000-0005-0000-0000-0000AF2B0000}"/>
    <cellStyle name="Normal 3 3 7 5" xfId="12890" xr:uid="{00000000-0005-0000-0000-0000B02B0000}"/>
    <cellStyle name="Normal 3 3 7 5 2" xfId="21570" xr:uid="{00000000-0005-0000-0000-0000B12B0000}"/>
    <cellStyle name="Normal 3 3 7 6" xfId="15064" xr:uid="{00000000-0005-0000-0000-0000B22B0000}"/>
    <cellStyle name="Normal 3 3 8" xfId="2887" xr:uid="{00000000-0005-0000-0000-0000B32B0000}"/>
    <cellStyle name="Normal 3 3 9" xfId="10616" xr:uid="{00000000-0005-0000-0000-0000B42B0000}"/>
    <cellStyle name="Normal 3 3 9 2" xfId="19319" xr:uid="{00000000-0005-0000-0000-0000B52B0000}"/>
    <cellStyle name="Normal 3 4" xfId="2900" xr:uid="{00000000-0005-0000-0000-0000B62B0000}"/>
    <cellStyle name="Normal 3 4 2" xfId="2901" xr:uid="{00000000-0005-0000-0000-0000B72B0000}"/>
    <cellStyle name="Normal 3 4 3" xfId="2902" xr:uid="{00000000-0005-0000-0000-0000B82B0000}"/>
    <cellStyle name="Normal 3 5" xfId="2903" xr:uid="{00000000-0005-0000-0000-0000B92B0000}"/>
    <cellStyle name="Normal 3 5 2" xfId="2904" xr:uid="{00000000-0005-0000-0000-0000BA2B0000}"/>
    <cellStyle name="Normal 3 5 2 2" xfId="9674" xr:uid="{00000000-0005-0000-0000-0000BB2B0000}"/>
    <cellStyle name="Normal 3 5 2 2 2" xfId="18424" xr:uid="{00000000-0005-0000-0000-0000BC2B0000}"/>
    <cellStyle name="Normal 3 5 2 3" xfId="8072" xr:uid="{00000000-0005-0000-0000-0000BD2B0000}"/>
    <cellStyle name="Normal 3 5 2 3 2" xfId="16825" xr:uid="{00000000-0005-0000-0000-0000BE2B0000}"/>
    <cellStyle name="Normal 3 5 2 4" xfId="11284" xr:uid="{00000000-0005-0000-0000-0000BF2B0000}"/>
    <cellStyle name="Normal 3 5 2 4 2" xfId="19971" xr:uid="{00000000-0005-0000-0000-0000C02B0000}"/>
    <cellStyle name="Normal 3 5 2 5" xfId="12891" xr:uid="{00000000-0005-0000-0000-0000C12B0000}"/>
    <cellStyle name="Normal 3 5 2 5 2" xfId="21571" xr:uid="{00000000-0005-0000-0000-0000C22B0000}"/>
    <cellStyle name="Normal 3 5 2 6" xfId="15065" xr:uid="{00000000-0005-0000-0000-0000C32B0000}"/>
    <cellStyle name="Normal 3 5 3" xfId="2905" xr:uid="{00000000-0005-0000-0000-0000C42B0000}"/>
    <cellStyle name="Normal 3 5 3 2" xfId="9675" xr:uid="{00000000-0005-0000-0000-0000C52B0000}"/>
    <cellStyle name="Normal 3 5 3 2 2" xfId="18425" xr:uid="{00000000-0005-0000-0000-0000C62B0000}"/>
    <cellStyle name="Normal 3 5 3 3" xfId="8073" xr:uid="{00000000-0005-0000-0000-0000C72B0000}"/>
    <cellStyle name="Normal 3 5 3 3 2" xfId="16826" xr:uid="{00000000-0005-0000-0000-0000C82B0000}"/>
    <cellStyle name="Normal 3 5 3 4" xfId="11285" xr:uid="{00000000-0005-0000-0000-0000C92B0000}"/>
    <cellStyle name="Normal 3 5 3 4 2" xfId="19972" xr:uid="{00000000-0005-0000-0000-0000CA2B0000}"/>
    <cellStyle name="Normal 3 5 3 5" xfId="12892" xr:uid="{00000000-0005-0000-0000-0000CB2B0000}"/>
    <cellStyle name="Normal 3 5 3 5 2" xfId="21572" xr:uid="{00000000-0005-0000-0000-0000CC2B0000}"/>
    <cellStyle name="Normal 3 5 3 6" xfId="15066" xr:uid="{00000000-0005-0000-0000-0000CD2B0000}"/>
    <cellStyle name="Normal 3 5 4" xfId="2906" xr:uid="{00000000-0005-0000-0000-0000CE2B0000}"/>
    <cellStyle name="Normal 3 5 4 2" xfId="9676" xr:uid="{00000000-0005-0000-0000-0000CF2B0000}"/>
    <cellStyle name="Normal 3 5 4 2 2" xfId="18426" xr:uid="{00000000-0005-0000-0000-0000D02B0000}"/>
    <cellStyle name="Normal 3 5 4 3" xfId="8074" xr:uid="{00000000-0005-0000-0000-0000D12B0000}"/>
    <cellStyle name="Normal 3 5 4 3 2" xfId="16827" xr:uid="{00000000-0005-0000-0000-0000D22B0000}"/>
    <cellStyle name="Normal 3 5 4 4" xfId="11286" xr:uid="{00000000-0005-0000-0000-0000D32B0000}"/>
    <cellStyle name="Normal 3 5 4 4 2" xfId="19973" xr:uid="{00000000-0005-0000-0000-0000D42B0000}"/>
    <cellStyle name="Normal 3 5 4 5" xfId="12893" xr:uid="{00000000-0005-0000-0000-0000D52B0000}"/>
    <cellStyle name="Normal 3 5 4 5 2" xfId="21573" xr:uid="{00000000-0005-0000-0000-0000D62B0000}"/>
    <cellStyle name="Normal 3 5 4 6" xfId="15067" xr:uid="{00000000-0005-0000-0000-0000D72B0000}"/>
    <cellStyle name="Normal 3 5 5" xfId="2907" xr:uid="{00000000-0005-0000-0000-0000D82B0000}"/>
    <cellStyle name="Normal 3 5 5 2" xfId="9677" xr:uid="{00000000-0005-0000-0000-0000D92B0000}"/>
    <cellStyle name="Normal 3 5 5 2 2" xfId="18427" xr:uid="{00000000-0005-0000-0000-0000DA2B0000}"/>
    <cellStyle name="Normal 3 5 5 3" xfId="8075" xr:uid="{00000000-0005-0000-0000-0000DB2B0000}"/>
    <cellStyle name="Normal 3 5 5 3 2" xfId="16828" xr:uid="{00000000-0005-0000-0000-0000DC2B0000}"/>
    <cellStyle name="Normal 3 5 5 4" xfId="11287" xr:uid="{00000000-0005-0000-0000-0000DD2B0000}"/>
    <cellStyle name="Normal 3 5 5 4 2" xfId="19974" xr:uid="{00000000-0005-0000-0000-0000DE2B0000}"/>
    <cellStyle name="Normal 3 5 5 5" xfId="12894" xr:uid="{00000000-0005-0000-0000-0000DF2B0000}"/>
    <cellStyle name="Normal 3 5 5 5 2" xfId="21574" xr:uid="{00000000-0005-0000-0000-0000E02B0000}"/>
    <cellStyle name="Normal 3 5 5 6" xfId="15068" xr:uid="{00000000-0005-0000-0000-0000E12B0000}"/>
    <cellStyle name="Normal 3 6" xfId="2908" xr:uid="{00000000-0005-0000-0000-0000E22B0000}"/>
    <cellStyle name="Normal 3 6 2" xfId="2909" xr:uid="{00000000-0005-0000-0000-0000E32B0000}"/>
    <cellStyle name="Normal 3 6 2 2" xfId="9678" xr:uid="{00000000-0005-0000-0000-0000E42B0000}"/>
    <cellStyle name="Normal 3 6 2 2 2" xfId="18428" xr:uid="{00000000-0005-0000-0000-0000E52B0000}"/>
    <cellStyle name="Normal 3 6 2 3" xfId="8076" xr:uid="{00000000-0005-0000-0000-0000E62B0000}"/>
    <cellStyle name="Normal 3 6 2 3 2" xfId="16829" xr:uid="{00000000-0005-0000-0000-0000E72B0000}"/>
    <cellStyle name="Normal 3 6 2 4" xfId="11288" xr:uid="{00000000-0005-0000-0000-0000E82B0000}"/>
    <cellStyle name="Normal 3 6 2 4 2" xfId="19975" xr:uid="{00000000-0005-0000-0000-0000E92B0000}"/>
    <cellStyle name="Normal 3 6 2 5" xfId="12895" xr:uid="{00000000-0005-0000-0000-0000EA2B0000}"/>
    <cellStyle name="Normal 3 6 2 5 2" xfId="21575" xr:uid="{00000000-0005-0000-0000-0000EB2B0000}"/>
    <cellStyle name="Normal 3 6 2 6" xfId="15069" xr:uid="{00000000-0005-0000-0000-0000EC2B0000}"/>
    <cellStyle name="Normal 3 6 3" xfId="2910" xr:uid="{00000000-0005-0000-0000-0000ED2B0000}"/>
    <cellStyle name="Normal 3 6 3 2" xfId="9679" xr:uid="{00000000-0005-0000-0000-0000EE2B0000}"/>
    <cellStyle name="Normal 3 6 3 2 2" xfId="18429" xr:uid="{00000000-0005-0000-0000-0000EF2B0000}"/>
    <cellStyle name="Normal 3 6 3 3" xfId="8077" xr:uid="{00000000-0005-0000-0000-0000F02B0000}"/>
    <cellStyle name="Normal 3 6 3 3 2" xfId="16830" xr:uid="{00000000-0005-0000-0000-0000F12B0000}"/>
    <cellStyle name="Normal 3 6 3 4" xfId="11289" xr:uid="{00000000-0005-0000-0000-0000F22B0000}"/>
    <cellStyle name="Normal 3 6 3 4 2" xfId="19976" xr:uid="{00000000-0005-0000-0000-0000F32B0000}"/>
    <cellStyle name="Normal 3 6 3 5" xfId="12896" xr:uid="{00000000-0005-0000-0000-0000F42B0000}"/>
    <cellStyle name="Normal 3 6 3 5 2" xfId="21576" xr:uid="{00000000-0005-0000-0000-0000F52B0000}"/>
    <cellStyle name="Normal 3 6 3 6" xfId="15070" xr:uid="{00000000-0005-0000-0000-0000F62B0000}"/>
    <cellStyle name="Normal 3 6 4" xfId="2911" xr:uid="{00000000-0005-0000-0000-0000F72B0000}"/>
    <cellStyle name="Normal 3 6 4 2" xfId="9680" xr:uid="{00000000-0005-0000-0000-0000F82B0000}"/>
    <cellStyle name="Normal 3 6 4 2 2" xfId="18430" xr:uid="{00000000-0005-0000-0000-0000F92B0000}"/>
    <cellStyle name="Normal 3 6 4 3" xfId="8078" xr:uid="{00000000-0005-0000-0000-0000FA2B0000}"/>
    <cellStyle name="Normal 3 6 4 3 2" xfId="16831" xr:uid="{00000000-0005-0000-0000-0000FB2B0000}"/>
    <cellStyle name="Normal 3 6 4 4" xfId="11290" xr:uid="{00000000-0005-0000-0000-0000FC2B0000}"/>
    <cellStyle name="Normal 3 6 4 4 2" xfId="19977" xr:uid="{00000000-0005-0000-0000-0000FD2B0000}"/>
    <cellStyle name="Normal 3 6 4 5" xfId="12897" xr:uid="{00000000-0005-0000-0000-0000FE2B0000}"/>
    <cellStyle name="Normal 3 6 4 5 2" xfId="21577" xr:uid="{00000000-0005-0000-0000-0000FF2B0000}"/>
    <cellStyle name="Normal 3 6 4 6" xfId="15071" xr:uid="{00000000-0005-0000-0000-0000002C0000}"/>
    <cellStyle name="Normal 3 6 5" xfId="2912" xr:uid="{00000000-0005-0000-0000-0000012C0000}"/>
    <cellStyle name="Normal 3 6 5 2" xfId="9681" xr:uid="{00000000-0005-0000-0000-0000022C0000}"/>
    <cellStyle name="Normal 3 6 5 2 2" xfId="18431" xr:uid="{00000000-0005-0000-0000-0000032C0000}"/>
    <cellStyle name="Normal 3 6 5 3" xfId="8079" xr:uid="{00000000-0005-0000-0000-0000042C0000}"/>
    <cellStyle name="Normal 3 6 5 3 2" xfId="16832" xr:uid="{00000000-0005-0000-0000-0000052C0000}"/>
    <cellStyle name="Normal 3 6 5 4" xfId="11291" xr:uid="{00000000-0005-0000-0000-0000062C0000}"/>
    <cellStyle name="Normal 3 6 5 4 2" xfId="19978" xr:uid="{00000000-0005-0000-0000-0000072C0000}"/>
    <cellStyle name="Normal 3 6 5 5" xfId="12898" xr:uid="{00000000-0005-0000-0000-0000082C0000}"/>
    <cellStyle name="Normal 3 6 5 5 2" xfId="21578" xr:uid="{00000000-0005-0000-0000-0000092C0000}"/>
    <cellStyle name="Normal 3 6 5 6" xfId="15072" xr:uid="{00000000-0005-0000-0000-00000A2C0000}"/>
    <cellStyle name="Normal 3 7" xfId="2913" xr:uid="{00000000-0005-0000-0000-00000B2C0000}"/>
    <cellStyle name="Normal 3 8" xfId="2914" xr:uid="{00000000-0005-0000-0000-00000C2C0000}"/>
    <cellStyle name="Normal 3 9" xfId="2853" xr:uid="{00000000-0005-0000-0000-00000D2C0000}"/>
    <cellStyle name="Normal 3 9 2" xfId="10455" xr:uid="{00000000-0005-0000-0000-00000E2C0000}"/>
    <cellStyle name="Normal 3 9 2 2" xfId="19202" xr:uid="{00000000-0005-0000-0000-00000F2C0000}"/>
    <cellStyle name="Normal 30" xfId="2915" xr:uid="{00000000-0005-0000-0000-0000102C0000}"/>
    <cellStyle name="Normal 30 2" xfId="2916" xr:uid="{00000000-0005-0000-0000-0000112C0000}"/>
    <cellStyle name="Normal 30 2 10" xfId="9682" xr:uid="{00000000-0005-0000-0000-0000122C0000}"/>
    <cellStyle name="Normal 30 2 10 2" xfId="18432" xr:uid="{00000000-0005-0000-0000-0000132C0000}"/>
    <cellStyle name="Normal 30 2 11" xfId="8080" xr:uid="{00000000-0005-0000-0000-0000142C0000}"/>
    <cellStyle name="Normal 30 2 11 2" xfId="16833" xr:uid="{00000000-0005-0000-0000-0000152C0000}"/>
    <cellStyle name="Normal 30 2 12" xfId="11292" xr:uid="{00000000-0005-0000-0000-0000162C0000}"/>
    <cellStyle name="Normal 30 2 12 2" xfId="19979" xr:uid="{00000000-0005-0000-0000-0000172C0000}"/>
    <cellStyle name="Normal 30 2 13" xfId="12899" xr:uid="{00000000-0005-0000-0000-0000182C0000}"/>
    <cellStyle name="Normal 30 2 13 2" xfId="21579" xr:uid="{00000000-0005-0000-0000-0000192C0000}"/>
    <cellStyle name="Normal 30 2 14" xfId="15073" xr:uid="{00000000-0005-0000-0000-00001A2C0000}"/>
    <cellStyle name="Normal 30 2 2" xfId="2917" xr:uid="{00000000-0005-0000-0000-00001B2C0000}"/>
    <cellStyle name="Normal 30 2 2 2" xfId="2918" xr:uid="{00000000-0005-0000-0000-00001C2C0000}"/>
    <cellStyle name="Normal 30 2 2 2 2" xfId="9684" xr:uid="{00000000-0005-0000-0000-00001D2C0000}"/>
    <cellStyle name="Normal 30 2 2 2 2 2" xfId="18434" xr:uid="{00000000-0005-0000-0000-00001E2C0000}"/>
    <cellStyle name="Normal 30 2 2 2 3" xfId="8082" xr:uid="{00000000-0005-0000-0000-00001F2C0000}"/>
    <cellStyle name="Normal 30 2 2 2 3 2" xfId="16835" xr:uid="{00000000-0005-0000-0000-0000202C0000}"/>
    <cellStyle name="Normal 30 2 2 2 4" xfId="11294" xr:uid="{00000000-0005-0000-0000-0000212C0000}"/>
    <cellStyle name="Normal 30 2 2 2 4 2" xfId="19981" xr:uid="{00000000-0005-0000-0000-0000222C0000}"/>
    <cellStyle name="Normal 30 2 2 2 5" xfId="12901" xr:uid="{00000000-0005-0000-0000-0000232C0000}"/>
    <cellStyle name="Normal 30 2 2 2 5 2" xfId="21581" xr:uid="{00000000-0005-0000-0000-0000242C0000}"/>
    <cellStyle name="Normal 30 2 2 2 6" xfId="15075" xr:uid="{00000000-0005-0000-0000-0000252C0000}"/>
    <cellStyle name="Normal 30 2 2 3" xfId="2919" xr:uid="{00000000-0005-0000-0000-0000262C0000}"/>
    <cellStyle name="Normal 30 2 2 3 2" xfId="9685" xr:uid="{00000000-0005-0000-0000-0000272C0000}"/>
    <cellStyle name="Normal 30 2 2 3 2 2" xfId="18435" xr:uid="{00000000-0005-0000-0000-0000282C0000}"/>
    <cellStyle name="Normal 30 2 2 3 3" xfId="8083" xr:uid="{00000000-0005-0000-0000-0000292C0000}"/>
    <cellStyle name="Normal 30 2 2 3 3 2" xfId="16836" xr:uid="{00000000-0005-0000-0000-00002A2C0000}"/>
    <cellStyle name="Normal 30 2 2 3 4" xfId="11295" xr:uid="{00000000-0005-0000-0000-00002B2C0000}"/>
    <cellStyle name="Normal 30 2 2 3 4 2" xfId="19982" xr:uid="{00000000-0005-0000-0000-00002C2C0000}"/>
    <cellStyle name="Normal 30 2 2 3 5" xfId="12902" xr:uid="{00000000-0005-0000-0000-00002D2C0000}"/>
    <cellStyle name="Normal 30 2 2 3 5 2" xfId="21582" xr:uid="{00000000-0005-0000-0000-00002E2C0000}"/>
    <cellStyle name="Normal 30 2 2 3 6" xfId="15076" xr:uid="{00000000-0005-0000-0000-00002F2C0000}"/>
    <cellStyle name="Normal 30 2 2 4" xfId="2920" xr:uid="{00000000-0005-0000-0000-0000302C0000}"/>
    <cellStyle name="Normal 30 2 2 4 2" xfId="9686" xr:uid="{00000000-0005-0000-0000-0000312C0000}"/>
    <cellStyle name="Normal 30 2 2 4 2 2" xfId="18436" xr:uid="{00000000-0005-0000-0000-0000322C0000}"/>
    <cellStyle name="Normal 30 2 2 4 3" xfId="8084" xr:uid="{00000000-0005-0000-0000-0000332C0000}"/>
    <cellStyle name="Normal 30 2 2 4 3 2" xfId="16837" xr:uid="{00000000-0005-0000-0000-0000342C0000}"/>
    <cellStyle name="Normal 30 2 2 4 4" xfId="11296" xr:uid="{00000000-0005-0000-0000-0000352C0000}"/>
    <cellStyle name="Normal 30 2 2 4 4 2" xfId="19983" xr:uid="{00000000-0005-0000-0000-0000362C0000}"/>
    <cellStyle name="Normal 30 2 2 4 5" xfId="12903" xr:uid="{00000000-0005-0000-0000-0000372C0000}"/>
    <cellStyle name="Normal 30 2 2 4 5 2" xfId="21583" xr:uid="{00000000-0005-0000-0000-0000382C0000}"/>
    <cellStyle name="Normal 30 2 2 4 6" xfId="15077" xr:uid="{00000000-0005-0000-0000-0000392C0000}"/>
    <cellStyle name="Normal 30 2 2 5" xfId="9683" xr:uid="{00000000-0005-0000-0000-00003A2C0000}"/>
    <cellStyle name="Normal 30 2 2 5 2" xfId="18433" xr:uid="{00000000-0005-0000-0000-00003B2C0000}"/>
    <cellStyle name="Normal 30 2 2 6" xfId="8081" xr:uid="{00000000-0005-0000-0000-00003C2C0000}"/>
    <cellStyle name="Normal 30 2 2 6 2" xfId="16834" xr:uid="{00000000-0005-0000-0000-00003D2C0000}"/>
    <cellStyle name="Normal 30 2 2 7" xfId="11293" xr:uid="{00000000-0005-0000-0000-00003E2C0000}"/>
    <cellStyle name="Normal 30 2 2 7 2" xfId="19980" xr:uid="{00000000-0005-0000-0000-00003F2C0000}"/>
    <cellStyle name="Normal 30 2 2 8" xfId="12900" xr:uid="{00000000-0005-0000-0000-0000402C0000}"/>
    <cellStyle name="Normal 30 2 2 8 2" xfId="21580" xr:uid="{00000000-0005-0000-0000-0000412C0000}"/>
    <cellStyle name="Normal 30 2 2 9" xfId="15074" xr:uid="{00000000-0005-0000-0000-0000422C0000}"/>
    <cellStyle name="Normal 30 2 3" xfId="2921" xr:uid="{00000000-0005-0000-0000-0000432C0000}"/>
    <cellStyle name="Normal 30 2 3 2" xfId="2922" xr:uid="{00000000-0005-0000-0000-0000442C0000}"/>
    <cellStyle name="Normal 30 2 3 2 2" xfId="9688" xr:uid="{00000000-0005-0000-0000-0000452C0000}"/>
    <cellStyle name="Normal 30 2 3 2 2 2" xfId="18438" xr:uid="{00000000-0005-0000-0000-0000462C0000}"/>
    <cellStyle name="Normal 30 2 3 2 3" xfId="8086" xr:uid="{00000000-0005-0000-0000-0000472C0000}"/>
    <cellStyle name="Normal 30 2 3 2 3 2" xfId="16839" xr:uid="{00000000-0005-0000-0000-0000482C0000}"/>
    <cellStyle name="Normal 30 2 3 2 4" xfId="11298" xr:uid="{00000000-0005-0000-0000-0000492C0000}"/>
    <cellStyle name="Normal 30 2 3 2 4 2" xfId="19985" xr:uid="{00000000-0005-0000-0000-00004A2C0000}"/>
    <cellStyle name="Normal 30 2 3 2 5" xfId="12905" xr:uid="{00000000-0005-0000-0000-00004B2C0000}"/>
    <cellStyle name="Normal 30 2 3 2 5 2" xfId="21585" xr:uid="{00000000-0005-0000-0000-00004C2C0000}"/>
    <cellStyle name="Normal 30 2 3 2 6" xfId="15079" xr:uid="{00000000-0005-0000-0000-00004D2C0000}"/>
    <cellStyle name="Normal 30 2 3 3" xfId="2923" xr:uid="{00000000-0005-0000-0000-00004E2C0000}"/>
    <cellStyle name="Normal 30 2 3 3 2" xfId="9689" xr:uid="{00000000-0005-0000-0000-00004F2C0000}"/>
    <cellStyle name="Normal 30 2 3 3 2 2" xfId="18439" xr:uid="{00000000-0005-0000-0000-0000502C0000}"/>
    <cellStyle name="Normal 30 2 3 3 3" xfId="8087" xr:uid="{00000000-0005-0000-0000-0000512C0000}"/>
    <cellStyle name="Normal 30 2 3 3 3 2" xfId="16840" xr:uid="{00000000-0005-0000-0000-0000522C0000}"/>
    <cellStyle name="Normal 30 2 3 3 4" xfId="11299" xr:uid="{00000000-0005-0000-0000-0000532C0000}"/>
    <cellStyle name="Normal 30 2 3 3 4 2" xfId="19986" xr:uid="{00000000-0005-0000-0000-0000542C0000}"/>
    <cellStyle name="Normal 30 2 3 3 5" xfId="12906" xr:uid="{00000000-0005-0000-0000-0000552C0000}"/>
    <cellStyle name="Normal 30 2 3 3 5 2" xfId="21586" xr:uid="{00000000-0005-0000-0000-0000562C0000}"/>
    <cellStyle name="Normal 30 2 3 3 6" xfId="15080" xr:uid="{00000000-0005-0000-0000-0000572C0000}"/>
    <cellStyle name="Normal 30 2 3 4" xfId="2924" xr:uid="{00000000-0005-0000-0000-0000582C0000}"/>
    <cellStyle name="Normal 30 2 3 4 2" xfId="9690" xr:uid="{00000000-0005-0000-0000-0000592C0000}"/>
    <cellStyle name="Normal 30 2 3 4 2 2" xfId="18440" xr:uid="{00000000-0005-0000-0000-00005A2C0000}"/>
    <cellStyle name="Normal 30 2 3 4 3" xfId="8088" xr:uid="{00000000-0005-0000-0000-00005B2C0000}"/>
    <cellStyle name="Normal 30 2 3 4 3 2" xfId="16841" xr:uid="{00000000-0005-0000-0000-00005C2C0000}"/>
    <cellStyle name="Normal 30 2 3 4 4" xfId="11300" xr:uid="{00000000-0005-0000-0000-00005D2C0000}"/>
    <cellStyle name="Normal 30 2 3 4 4 2" xfId="19987" xr:uid="{00000000-0005-0000-0000-00005E2C0000}"/>
    <cellStyle name="Normal 30 2 3 4 5" xfId="12907" xr:uid="{00000000-0005-0000-0000-00005F2C0000}"/>
    <cellStyle name="Normal 30 2 3 4 5 2" xfId="21587" xr:uid="{00000000-0005-0000-0000-0000602C0000}"/>
    <cellStyle name="Normal 30 2 3 4 6" xfId="15081" xr:uid="{00000000-0005-0000-0000-0000612C0000}"/>
    <cellStyle name="Normal 30 2 3 5" xfId="9687" xr:uid="{00000000-0005-0000-0000-0000622C0000}"/>
    <cellStyle name="Normal 30 2 3 5 2" xfId="18437" xr:uid="{00000000-0005-0000-0000-0000632C0000}"/>
    <cellStyle name="Normal 30 2 3 6" xfId="8085" xr:uid="{00000000-0005-0000-0000-0000642C0000}"/>
    <cellStyle name="Normal 30 2 3 6 2" xfId="16838" xr:uid="{00000000-0005-0000-0000-0000652C0000}"/>
    <cellStyle name="Normal 30 2 3 7" xfId="11297" xr:uid="{00000000-0005-0000-0000-0000662C0000}"/>
    <cellStyle name="Normal 30 2 3 7 2" xfId="19984" xr:uid="{00000000-0005-0000-0000-0000672C0000}"/>
    <cellStyle name="Normal 30 2 3 8" xfId="12904" xr:uid="{00000000-0005-0000-0000-0000682C0000}"/>
    <cellStyle name="Normal 30 2 3 8 2" xfId="21584" xr:uid="{00000000-0005-0000-0000-0000692C0000}"/>
    <cellStyle name="Normal 30 2 3 9" xfId="15078" xr:uid="{00000000-0005-0000-0000-00006A2C0000}"/>
    <cellStyle name="Normal 30 2 4" xfId="2925" xr:uid="{00000000-0005-0000-0000-00006B2C0000}"/>
    <cellStyle name="Normal 30 2 4 2" xfId="2926" xr:uid="{00000000-0005-0000-0000-00006C2C0000}"/>
    <cellStyle name="Normal 30 2 4 2 2" xfId="2927" xr:uid="{00000000-0005-0000-0000-00006D2C0000}"/>
    <cellStyle name="Normal 30 2 4 2 2 2" xfId="2928" xr:uid="{00000000-0005-0000-0000-00006E2C0000}"/>
    <cellStyle name="Normal 30 2 4 2 2 2 2" xfId="9692" xr:uid="{00000000-0005-0000-0000-00006F2C0000}"/>
    <cellStyle name="Normal 30 2 4 2 2 2 2 2" xfId="18442" xr:uid="{00000000-0005-0000-0000-0000702C0000}"/>
    <cellStyle name="Normal 30 2 4 2 2 2 3" xfId="8090" xr:uid="{00000000-0005-0000-0000-0000712C0000}"/>
    <cellStyle name="Normal 30 2 4 2 2 2 3 2" xfId="16843" xr:uid="{00000000-0005-0000-0000-0000722C0000}"/>
    <cellStyle name="Normal 30 2 4 2 2 2 4" xfId="11302" xr:uid="{00000000-0005-0000-0000-0000732C0000}"/>
    <cellStyle name="Normal 30 2 4 2 2 2 4 2" xfId="19989" xr:uid="{00000000-0005-0000-0000-0000742C0000}"/>
    <cellStyle name="Normal 30 2 4 2 2 2 5" xfId="12909" xr:uid="{00000000-0005-0000-0000-0000752C0000}"/>
    <cellStyle name="Normal 30 2 4 2 2 2 5 2" xfId="21589" xr:uid="{00000000-0005-0000-0000-0000762C0000}"/>
    <cellStyle name="Normal 30 2 4 2 2 2 6" xfId="15083" xr:uid="{00000000-0005-0000-0000-0000772C0000}"/>
    <cellStyle name="Normal 30 2 4 2 2 3" xfId="2929" xr:uid="{00000000-0005-0000-0000-0000782C0000}"/>
    <cellStyle name="Normal 30 2 4 2 2 3 2" xfId="9693" xr:uid="{00000000-0005-0000-0000-0000792C0000}"/>
    <cellStyle name="Normal 30 2 4 2 2 3 2 2" xfId="18443" xr:uid="{00000000-0005-0000-0000-00007A2C0000}"/>
    <cellStyle name="Normal 30 2 4 2 2 3 3" xfId="8091" xr:uid="{00000000-0005-0000-0000-00007B2C0000}"/>
    <cellStyle name="Normal 30 2 4 2 2 3 3 2" xfId="16844" xr:uid="{00000000-0005-0000-0000-00007C2C0000}"/>
    <cellStyle name="Normal 30 2 4 2 2 3 4" xfId="11303" xr:uid="{00000000-0005-0000-0000-00007D2C0000}"/>
    <cellStyle name="Normal 30 2 4 2 2 3 4 2" xfId="19990" xr:uid="{00000000-0005-0000-0000-00007E2C0000}"/>
    <cellStyle name="Normal 30 2 4 2 2 3 5" xfId="12910" xr:uid="{00000000-0005-0000-0000-00007F2C0000}"/>
    <cellStyle name="Normal 30 2 4 2 2 3 5 2" xfId="21590" xr:uid="{00000000-0005-0000-0000-0000802C0000}"/>
    <cellStyle name="Normal 30 2 4 2 2 3 6" xfId="15084" xr:uid="{00000000-0005-0000-0000-0000812C0000}"/>
    <cellStyle name="Normal 30 2 4 2 2 4" xfId="2930" xr:uid="{00000000-0005-0000-0000-0000822C0000}"/>
    <cellStyle name="Normal 30 2 4 2 2 4 2" xfId="9694" xr:uid="{00000000-0005-0000-0000-0000832C0000}"/>
    <cellStyle name="Normal 30 2 4 2 2 4 2 2" xfId="18444" xr:uid="{00000000-0005-0000-0000-0000842C0000}"/>
    <cellStyle name="Normal 30 2 4 2 2 4 3" xfId="8092" xr:uid="{00000000-0005-0000-0000-0000852C0000}"/>
    <cellStyle name="Normal 30 2 4 2 2 4 3 2" xfId="16845" xr:uid="{00000000-0005-0000-0000-0000862C0000}"/>
    <cellStyle name="Normal 30 2 4 2 2 4 4" xfId="11304" xr:uid="{00000000-0005-0000-0000-0000872C0000}"/>
    <cellStyle name="Normal 30 2 4 2 2 4 4 2" xfId="19991" xr:uid="{00000000-0005-0000-0000-0000882C0000}"/>
    <cellStyle name="Normal 30 2 4 2 2 4 5" xfId="12911" xr:uid="{00000000-0005-0000-0000-0000892C0000}"/>
    <cellStyle name="Normal 30 2 4 2 2 4 5 2" xfId="21591" xr:uid="{00000000-0005-0000-0000-00008A2C0000}"/>
    <cellStyle name="Normal 30 2 4 2 2 4 6" xfId="15085" xr:uid="{00000000-0005-0000-0000-00008B2C0000}"/>
    <cellStyle name="Normal 30 2 4 2 3" xfId="2931" xr:uid="{00000000-0005-0000-0000-00008C2C0000}"/>
    <cellStyle name="Normal 30 2 4 2 4" xfId="2932" xr:uid="{00000000-0005-0000-0000-00008D2C0000}"/>
    <cellStyle name="Normal 30 2 4 2 5" xfId="9691" xr:uid="{00000000-0005-0000-0000-00008E2C0000}"/>
    <cellStyle name="Normal 30 2 4 2 5 2" xfId="18441" xr:uid="{00000000-0005-0000-0000-00008F2C0000}"/>
    <cellStyle name="Normal 30 2 4 2 6" xfId="8089" xr:uid="{00000000-0005-0000-0000-0000902C0000}"/>
    <cellStyle name="Normal 30 2 4 2 6 2" xfId="16842" xr:uid="{00000000-0005-0000-0000-0000912C0000}"/>
    <cellStyle name="Normal 30 2 4 2 7" xfId="11301" xr:uid="{00000000-0005-0000-0000-0000922C0000}"/>
    <cellStyle name="Normal 30 2 4 2 7 2" xfId="19988" xr:uid="{00000000-0005-0000-0000-0000932C0000}"/>
    <cellStyle name="Normal 30 2 4 2 8" xfId="12908" xr:uid="{00000000-0005-0000-0000-0000942C0000}"/>
    <cellStyle name="Normal 30 2 4 2 8 2" xfId="21588" xr:uid="{00000000-0005-0000-0000-0000952C0000}"/>
    <cellStyle name="Normal 30 2 4 2 9" xfId="15082" xr:uid="{00000000-0005-0000-0000-0000962C0000}"/>
    <cellStyle name="Normal 30 2 4 3" xfId="2933" xr:uid="{00000000-0005-0000-0000-0000972C0000}"/>
    <cellStyle name="Normal 30 2 4 3 2" xfId="2934" xr:uid="{00000000-0005-0000-0000-0000982C0000}"/>
    <cellStyle name="Normal 30 2 4 3 2 2" xfId="9696" xr:uid="{00000000-0005-0000-0000-0000992C0000}"/>
    <cellStyle name="Normal 30 2 4 3 2 2 2" xfId="18446" xr:uid="{00000000-0005-0000-0000-00009A2C0000}"/>
    <cellStyle name="Normal 30 2 4 3 2 3" xfId="8094" xr:uid="{00000000-0005-0000-0000-00009B2C0000}"/>
    <cellStyle name="Normal 30 2 4 3 2 3 2" xfId="16847" xr:uid="{00000000-0005-0000-0000-00009C2C0000}"/>
    <cellStyle name="Normal 30 2 4 3 2 4" xfId="11306" xr:uid="{00000000-0005-0000-0000-00009D2C0000}"/>
    <cellStyle name="Normal 30 2 4 3 2 4 2" xfId="19993" xr:uid="{00000000-0005-0000-0000-00009E2C0000}"/>
    <cellStyle name="Normal 30 2 4 3 2 5" xfId="12913" xr:uid="{00000000-0005-0000-0000-00009F2C0000}"/>
    <cellStyle name="Normal 30 2 4 3 2 5 2" xfId="21593" xr:uid="{00000000-0005-0000-0000-0000A02C0000}"/>
    <cellStyle name="Normal 30 2 4 3 2 6" xfId="15087" xr:uid="{00000000-0005-0000-0000-0000A12C0000}"/>
    <cellStyle name="Normal 30 2 4 3 3" xfId="2935" xr:uid="{00000000-0005-0000-0000-0000A22C0000}"/>
    <cellStyle name="Normal 30 2 4 3 3 2" xfId="9697" xr:uid="{00000000-0005-0000-0000-0000A32C0000}"/>
    <cellStyle name="Normal 30 2 4 3 3 2 2" xfId="18447" xr:uid="{00000000-0005-0000-0000-0000A42C0000}"/>
    <cellStyle name="Normal 30 2 4 3 3 3" xfId="8095" xr:uid="{00000000-0005-0000-0000-0000A52C0000}"/>
    <cellStyle name="Normal 30 2 4 3 3 3 2" xfId="16848" xr:uid="{00000000-0005-0000-0000-0000A62C0000}"/>
    <cellStyle name="Normal 30 2 4 3 3 4" xfId="11307" xr:uid="{00000000-0005-0000-0000-0000A72C0000}"/>
    <cellStyle name="Normal 30 2 4 3 3 4 2" xfId="19994" xr:uid="{00000000-0005-0000-0000-0000A82C0000}"/>
    <cellStyle name="Normal 30 2 4 3 3 5" xfId="12914" xr:uid="{00000000-0005-0000-0000-0000A92C0000}"/>
    <cellStyle name="Normal 30 2 4 3 3 5 2" xfId="21594" xr:uid="{00000000-0005-0000-0000-0000AA2C0000}"/>
    <cellStyle name="Normal 30 2 4 3 3 6" xfId="15088" xr:uid="{00000000-0005-0000-0000-0000AB2C0000}"/>
    <cellStyle name="Normal 30 2 4 3 4" xfId="2936" xr:uid="{00000000-0005-0000-0000-0000AC2C0000}"/>
    <cellStyle name="Normal 30 2 4 3 4 2" xfId="9698" xr:uid="{00000000-0005-0000-0000-0000AD2C0000}"/>
    <cellStyle name="Normal 30 2 4 3 4 2 2" xfId="18448" xr:uid="{00000000-0005-0000-0000-0000AE2C0000}"/>
    <cellStyle name="Normal 30 2 4 3 4 3" xfId="8096" xr:uid="{00000000-0005-0000-0000-0000AF2C0000}"/>
    <cellStyle name="Normal 30 2 4 3 4 3 2" xfId="16849" xr:uid="{00000000-0005-0000-0000-0000B02C0000}"/>
    <cellStyle name="Normal 30 2 4 3 4 4" xfId="11308" xr:uid="{00000000-0005-0000-0000-0000B12C0000}"/>
    <cellStyle name="Normal 30 2 4 3 4 4 2" xfId="19995" xr:uid="{00000000-0005-0000-0000-0000B22C0000}"/>
    <cellStyle name="Normal 30 2 4 3 4 5" xfId="12915" xr:uid="{00000000-0005-0000-0000-0000B32C0000}"/>
    <cellStyle name="Normal 30 2 4 3 4 5 2" xfId="21595" xr:uid="{00000000-0005-0000-0000-0000B42C0000}"/>
    <cellStyle name="Normal 30 2 4 3 4 6" xfId="15089" xr:uid="{00000000-0005-0000-0000-0000B52C0000}"/>
    <cellStyle name="Normal 30 2 4 3 5" xfId="9695" xr:uid="{00000000-0005-0000-0000-0000B62C0000}"/>
    <cellStyle name="Normal 30 2 4 3 5 2" xfId="18445" xr:uid="{00000000-0005-0000-0000-0000B72C0000}"/>
    <cellStyle name="Normal 30 2 4 3 6" xfId="8093" xr:uid="{00000000-0005-0000-0000-0000B82C0000}"/>
    <cellStyle name="Normal 30 2 4 3 6 2" xfId="16846" xr:uid="{00000000-0005-0000-0000-0000B92C0000}"/>
    <cellStyle name="Normal 30 2 4 3 7" xfId="11305" xr:uid="{00000000-0005-0000-0000-0000BA2C0000}"/>
    <cellStyle name="Normal 30 2 4 3 7 2" xfId="19992" xr:uid="{00000000-0005-0000-0000-0000BB2C0000}"/>
    <cellStyle name="Normal 30 2 4 3 8" xfId="12912" xr:uid="{00000000-0005-0000-0000-0000BC2C0000}"/>
    <cellStyle name="Normal 30 2 4 3 8 2" xfId="21592" xr:uid="{00000000-0005-0000-0000-0000BD2C0000}"/>
    <cellStyle name="Normal 30 2 4 3 9" xfId="15086" xr:uid="{00000000-0005-0000-0000-0000BE2C0000}"/>
    <cellStyle name="Normal 30 2 4 4" xfId="2937" xr:uid="{00000000-0005-0000-0000-0000BF2C0000}"/>
    <cellStyle name="Normal 30 2 4 4 2" xfId="2938" xr:uid="{00000000-0005-0000-0000-0000C02C0000}"/>
    <cellStyle name="Normal 30 2 4 4 2 2" xfId="9700" xr:uid="{00000000-0005-0000-0000-0000C12C0000}"/>
    <cellStyle name="Normal 30 2 4 4 2 2 2" xfId="18450" xr:uid="{00000000-0005-0000-0000-0000C22C0000}"/>
    <cellStyle name="Normal 30 2 4 4 2 3" xfId="8098" xr:uid="{00000000-0005-0000-0000-0000C32C0000}"/>
    <cellStyle name="Normal 30 2 4 4 2 3 2" xfId="16851" xr:uid="{00000000-0005-0000-0000-0000C42C0000}"/>
    <cellStyle name="Normal 30 2 4 4 2 4" xfId="11310" xr:uid="{00000000-0005-0000-0000-0000C52C0000}"/>
    <cellStyle name="Normal 30 2 4 4 2 4 2" xfId="19997" xr:uid="{00000000-0005-0000-0000-0000C62C0000}"/>
    <cellStyle name="Normal 30 2 4 4 2 5" xfId="12917" xr:uid="{00000000-0005-0000-0000-0000C72C0000}"/>
    <cellStyle name="Normal 30 2 4 4 2 5 2" xfId="21597" xr:uid="{00000000-0005-0000-0000-0000C82C0000}"/>
    <cellStyle name="Normal 30 2 4 4 2 6" xfId="15091" xr:uid="{00000000-0005-0000-0000-0000C92C0000}"/>
    <cellStyle name="Normal 30 2 4 4 3" xfId="2939" xr:uid="{00000000-0005-0000-0000-0000CA2C0000}"/>
    <cellStyle name="Normal 30 2 4 4 3 2" xfId="9701" xr:uid="{00000000-0005-0000-0000-0000CB2C0000}"/>
    <cellStyle name="Normal 30 2 4 4 3 2 2" xfId="18451" xr:uid="{00000000-0005-0000-0000-0000CC2C0000}"/>
    <cellStyle name="Normal 30 2 4 4 3 3" xfId="8099" xr:uid="{00000000-0005-0000-0000-0000CD2C0000}"/>
    <cellStyle name="Normal 30 2 4 4 3 3 2" xfId="16852" xr:uid="{00000000-0005-0000-0000-0000CE2C0000}"/>
    <cellStyle name="Normal 30 2 4 4 3 4" xfId="11311" xr:uid="{00000000-0005-0000-0000-0000CF2C0000}"/>
    <cellStyle name="Normal 30 2 4 4 3 4 2" xfId="19998" xr:uid="{00000000-0005-0000-0000-0000D02C0000}"/>
    <cellStyle name="Normal 30 2 4 4 3 5" xfId="12918" xr:uid="{00000000-0005-0000-0000-0000D12C0000}"/>
    <cellStyle name="Normal 30 2 4 4 3 5 2" xfId="21598" xr:uid="{00000000-0005-0000-0000-0000D22C0000}"/>
    <cellStyle name="Normal 30 2 4 4 3 6" xfId="15092" xr:uid="{00000000-0005-0000-0000-0000D32C0000}"/>
    <cellStyle name="Normal 30 2 4 4 4" xfId="2940" xr:uid="{00000000-0005-0000-0000-0000D42C0000}"/>
    <cellStyle name="Normal 30 2 4 4 4 2" xfId="9702" xr:uid="{00000000-0005-0000-0000-0000D52C0000}"/>
    <cellStyle name="Normal 30 2 4 4 4 2 2" xfId="18452" xr:uid="{00000000-0005-0000-0000-0000D62C0000}"/>
    <cellStyle name="Normal 30 2 4 4 4 3" xfId="8100" xr:uid="{00000000-0005-0000-0000-0000D72C0000}"/>
    <cellStyle name="Normal 30 2 4 4 4 3 2" xfId="16853" xr:uid="{00000000-0005-0000-0000-0000D82C0000}"/>
    <cellStyle name="Normal 30 2 4 4 4 4" xfId="11312" xr:uid="{00000000-0005-0000-0000-0000D92C0000}"/>
    <cellStyle name="Normal 30 2 4 4 4 4 2" xfId="19999" xr:uid="{00000000-0005-0000-0000-0000DA2C0000}"/>
    <cellStyle name="Normal 30 2 4 4 4 5" xfId="12919" xr:uid="{00000000-0005-0000-0000-0000DB2C0000}"/>
    <cellStyle name="Normal 30 2 4 4 4 5 2" xfId="21599" xr:uid="{00000000-0005-0000-0000-0000DC2C0000}"/>
    <cellStyle name="Normal 30 2 4 4 4 6" xfId="15093" xr:uid="{00000000-0005-0000-0000-0000DD2C0000}"/>
    <cellStyle name="Normal 30 2 4 4 5" xfId="9699" xr:uid="{00000000-0005-0000-0000-0000DE2C0000}"/>
    <cellStyle name="Normal 30 2 4 4 5 2" xfId="18449" xr:uid="{00000000-0005-0000-0000-0000DF2C0000}"/>
    <cellStyle name="Normal 30 2 4 4 6" xfId="8097" xr:uid="{00000000-0005-0000-0000-0000E02C0000}"/>
    <cellStyle name="Normal 30 2 4 4 6 2" xfId="16850" xr:uid="{00000000-0005-0000-0000-0000E12C0000}"/>
    <cellStyle name="Normal 30 2 4 4 7" xfId="11309" xr:uid="{00000000-0005-0000-0000-0000E22C0000}"/>
    <cellStyle name="Normal 30 2 4 4 7 2" xfId="19996" xr:uid="{00000000-0005-0000-0000-0000E32C0000}"/>
    <cellStyle name="Normal 30 2 4 4 8" xfId="12916" xr:uid="{00000000-0005-0000-0000-0000E42C0000}"/>
    <cellStyle name="Normal 30 2 4 4 8 2" xfId="21596" xr:uid="{00000000-0005-0000-0000-0000E52C0000}"/>
    <cellStyle name="Normal 30 2 4 4 9" xfId="15090" xr:uid="{00000000-0005-0000-0000-0000E62C0000}"/>
    <cellStyle name="Normal 30 2 4 5" xfId="2941" xr:uid="{00000000-0005-0000-0000-0000E72C0000}"/>
    <cellStyle name="Normal 30 2 4 5 2" xfId="9703" xr:uid="{00000000-0005-0000-0000-0000E82C0000}"/>
    <cellStyle name="Normal 30 2 4 5 2 2" xfId="18453" xr:uid="{00000000-0005-0000-0000-0000E92C0000}"/>
    <cellStyle name="Normal 30 2 4 5 3" xfId="8101" xr:uid="{00000000-0005-0000-0000-0000EA2C0000}"/>
    <cellStyle name="Normal 30 2 4 5 3 2" xfId="16854" xr:uid="{00000000-0005-0000-0000-0000EB2C0000}"/>
    <cellStyle name="Normal 30 2 4 5 4" xfId="11313" xr:uid="{00000000-0005-0000-0000-0000EC2C0000}"/>
    <cellStyle name="Normal 30 2 4 5 4 2" xfId="20000" xr:uid="{00000000-0005-0000-0000-0000ED2C0000}"/>
    <cellStyle name="Normal 30 2 4 5 5" xfId="12920" xr:uid="{00000000-0005-0000-0000-0000EE2C0000}"/>
    <cellStyle name="Normal 30 2 4 5 5 2" xfId="21600" xr:uid="{00000000-0005-0000-0000-0000EF2C0000}"/>
    <cellStyle name="Normal 30 2 4 5 6" xfId="15094" xr:uid="{00000000-0005-0000-0000-0000F02C0000}"/>
    <cellStyle name="Normal 30 2 4 6" xfId="2942" xr:uid="{00000000-0005-0000-0000-0000F12C0000}"/>
    <cellStyle name="Normal 30 2 4 6 2" xfId="9704" xr:uid="{00000000-0005-0000-0000-0000F22C0000}"/>
    <cellStyle name="Normal 30 2 4 6 2 2" xfId="18454" xr:uid="{00000000-0005-0000-0000-0000F32C0000}"/>
    <cellStyle name="Normal 30 2 4 6 3" xfId="8102" xr:uid="{00000000-0005-0000-0000-0000F42C0000}"/>
    <cellStyle name="Normal 30 2 4 6 3 2" xfId="16855" xr:uid="{00000000-0005-0000-0000-0000F52C0000}"/>
    <cellStyle name="Normal 30 2 4 6 4" xfId="11314" xr:uid="{00000000-0005-0000-0000-0000F62C0000}"/>
    <cellStyle name="Normal 30 2 4 6 4 2" xfId="20001" xr:uid="{00000000-0005-0000-0000-0000F72C0000}"/>
    <cellStyle name="Normal 30 2 4 6 5" xfId="12921" xr:uid="{00000000-0005-0000-0000-0000F82C0000}"/>
    <cellStyle name="Normal 30 2 4 6 5 2" xfId="21601" xr:uid="{00000000-0005-0000-0000-0000F92C0000}"/>
    <cellStyle name="Normal 30 2 4 6 6" xfId="15095" xr:uid="{00000000-0005-0000-0000-0000FA2C0000}"/>
    <cellStyle name="Normal 30 2 4 7" xfId="2943" xr:uid="{00000000-0005-0000-0000-0000FB2C0000}"/>
    <cellStyle name="Normal 30 2 4 7 2" xfId="9705" xr:uid="{00000000-0005-0000-0000-0000FC2C0000}"/>
    <cellStyle name="Normal 30 2 4 7 2 2" xfId="18455" xr:uid="{00000000-0005-0000-0000-0000FD2C0000}"/>
    <cellStyle name="Normal 30 2 4 7 3" xfId="8103" xr:uid="{00000000-0005-0000-0000-0000FE2C0000}"/>
    <cellStyle name="Normal 30 2 4 7 3 2" xfId="16856" xr:uid="{00000000-0005-0000-0000-0000FF2C0000}"/>
    <cellStyle name="Normal 30 2 4 7 4" xfId="11315" xr:uid="{00000000-0005-0000-0000-0000002D0000}"/>
    <cellStyle name="Normal 30 2 4 7 4 2" xfId="20002" xr:uid="{00000000-0005-0000-0000-0000012D0000}"/>
    <cellStyle name="Normal 30 2 4 7 5" xfId="12922" xr:uid="{00000000-0005-0000-0000-0000022D0000}"/>
    <cellStyle name="Normal 30 2 4 7 5 2" xfId="21602" xr:uid="{00000000-0005-0000-0000-0000032D0000}"/>
    <cellStyle name="Normal 30 2 4 7 6" xfId="15096" xr:uid="{00000000-0005-0000-0000-0000042D0000}"/>
    <cellStyle name="Normal 30 2 5" xfId="2944" xr:uid="{00000000-0005-0000-0000-0000052D0000}"/>
    <cellStyle name="Normal 30 2 6" xfId="2945" xr:uid="{00000000-0005-0000-0000-0000062D0000}"/>
    <cellStyle name="Normal 30 2 7" xfId="2946" xr:uid="{00000000-0005-0000-0000-0000072D0000}"/>
    <cellStyle name="Normal 30 2 7 2" xfId="9706" xr:uid="{00000000-0005-0000-0000-0000082D0000}"/>
    <cellStyle name="Normal 30 2 7 2 2" xfId="18456" xr:uid="{00000000-0005-0000-0000-0000092D0000}"/>
    <cellStyle name="Normal 30 2 7 3" xfId="8104" xr:uid="{00000000-0005-0000-0000-00000A2D0000}"/>
    <cellStyle name="Normal 30 2 7 3 2" xfId="16857" xr:uid="{00000000-0005-0000-0000-00000B2D0000}"/>
    <cellStyle name="Normal 30 2 7 4" xfId="11316" xr:uid="{00000000-0005-0000-0000-00000C2D0000}"/>
    <cellStyle name="Normal 30 2 7 4 2" xfId="20003" xr:uid="{00000000-0005-0000-0000-00000D2D0000}"/>
    <cellStyle name="Normal 30 2 7 5" xfId="12923" xr:uid="{00000000-0005-0000-0000-00000E2D0000}"/>
    <cellStyle name="Normal 30 2 7 5 2" xfId="21603" xr:uid="{00000000-0005-0000-0000-00000F2D0000}"/>
    <cellStyle name="Normal 30 2 7 6" xfId="15097" xr:uid="{00000000-0005-0000-0000-0000102D0000}"/>
    <cellStyle name="Normal 30 2 8" xfId="2947" xr:uid="{00000000-0005-0000-0000-0000112D0000}"/>
    <cellStyle name="Normal 30 2 8 2" xfId="9707" xr:uid="{00000000-0005-0000-0000-0000122D0000}"/>
    <cellStyle name="Normal 30 2 8 2 2" xfId="18457" xr:uid="{00000000-0005-0000-0000-0000132D0000}"/>
    <cellStyle name="Normal 30 2 8 3" xfId="8105" xr:uid="{00000000-0005-0000-0000-0000142D0000}"/>
    <cellStyle name="Normal 30 2 8 3 2" xfId="16858" xr:uid="{00000000-0005-0000-0000-0000152D0000}"/>
    <cellStyle name="Normal 30 2 8 4" xfId="11317" xr:uid="{00000000-0005-0000-0000-0000162D0000}"/>
    <cellStyle name="Normal 30 2 8 4 2" xfId="20004" xr:uid="{00000000-0005-0000-0000-0000172D0000}"/>
    <cellStyle name="Normal 30 2 8 5" xfId="12924" xr:uid="{00000000-0005-0000-0000-0000182D0000}"/>
    <cellStyle name="Normal 30 2 8 5 2" xfId="21604" xr:uid="{00000000-0005-0000-0000-0000192D0000}"/>
    <cellStyle name="Normal 30 2 8 6" xfId="15098" xr:uid="{00000000-0005-0000-0000-00001A2D0000}"/>
    <cellStyle name="Normal 30 2 9" xfId="2948" xr:uid="{00000000-0005-0000-0000-00001B2D0000}"/>
    <cellStyle name="Normal 30 2 9 2" xfId="9708" xr:uid="{00000000-0005-0000-0000-00001C2D0000}"/>
    <cellStyle name="Normal 30 2 9 2 2" xfId="18458" xr:uid="{00000000-0005-0000-0000-00001D2D0000}"/>
    <cellStyle name="Normal 30 2 9 3" xfId="8106" xr:uid="{00000000-0005-0000-0000-00001E2D0000}"/>
    <cellStyle name="Normal 30 2 9 3 2" xfId="16859" xr:uid="{00000000-0005-0000-0000-00001F2D0000}"/>
    <cellStyle name="Normal 30 2 9 4" xfId="11318" xr:uid="{00000000-0005-0000-0000-0000202D0000}"/>
    <cellStyle name="Normal 30 2 9 4 2" xfId="20005" xr:uid="{00000000-0005-0000-0000-0000212D0000}"/>
    <cellStyle name="Normal 30 2 9 5" xfId="12925" xr:uid="{00000000-0005-0000-0000-0000222D0000}"/>
    <cellStyle name="Normal 30 2 9 5 2" xfId="21605" xr:uid="{00000000-0005-0000-0000-0000232D0000}"/>
    <cellStyle name="Normal 30 2 9 6" xfId="15099" xr:uid="{00000000-0005-0000-0000-0000242D0000}"/>
    <cellStyle name="Normal 30 3" xfId="2949" xr:uid="{00000000-0005-0000-0000-0000252D0000}"/>
    <cellStyle name="Normal 30 3 2" xfId="2950" xr:uid="{00000000-0005-0000-0000-0000262D0000}"/>
    <cellStyle name="Normal 30 3 2 2" xfId="9710" xr:uid="{00000000-0005-0000-0000-0000272D0000}"/>
    <cellStyle name="Normal 30 3 2 2 2" xfId="18460" xr:uid="{00000000-0005-0000-0000-0000282D0000}"/>
    <cellStyle name="Normal 30 3 2 3" xfId="8108" xr:uid="{00000000-0005-0000-0000-0000292D0000}"/>
    <cellStyle name="Normal 30 3 2 3 2" xfId="16861" xr:uid="{00000000-0005-0000-0000-00002A2D0000}"/>
    <cellStyle name="Normal 30 3 2 4" xfId="11320" xr:uid="{00000000-0005-0000-0000-00002B2D0000}"/>
    <cellStyle name="Normal 30 3 2 4 2" xfId="20007" xr:uid="{00000000-0005-0000-0000-00002C2D0000}"/>
    <cellStyle name="Normal 30 3 2 5" xfId="12927" xr:uid="{00000000-0005-0000-0000-00002D2D0000}"/>
    <cellStyle name="Normal 30 3 2 5 2" xfId="21607" xr:uid="{00000000-0005-0000-0000-00002E2D0000}"/>
    <cellStyle name="Normal 30 3 2 6" xfId="15101" xr:uid="{00000000-0005-0000-0000-00002F2D0000}"/>
    <cellStyle name="Normal 30 3 3" xfId="2951" xr:uid="{00000000-0005-0000-0000-0000302D0000}"/>
    <cellStyle name="Normal 30 3 3 2" xfId="9711" xr:uid="{00000000-0005-0000-0000-0000312D0000}"/>
    <cellStyle name="Normal 30 3 3 2 2" xfId="18461" xr:uid="{00000000-0005-0000-0000-0000322D0000}"/>
    <cellStyle name="Normal 30 3 3 3" xfId="8109" xr:uid="{00000000-0005-0000-0000-0000332D0000}"/>
    <cellStyle name="Normal 30 3 3 3 2" xfId="16862" xr:uid="{00000000-0005-0000-0000-0000342D0000}"/>
    <cellStyle name="Normal 30 3 3 4" xfId="11321" xr:uid="{00000000-0005-0000-0000-0000352D0000}"/>
    <cellStyle name="Normal 30 3 3 4 2" xfId="20008" xr:uid="{00000000-0005-0000-0000-0000362D0000}"/>
    <cellStyle name="Normal 30 3 3 5" xfId="12928" xr:uid="{00000000-0005-0000-0000-0000372D0000}"/>
    <cellStyle name="Normal 30 3 3 5 2" xfId="21608" xr:uid="{00000000-0005-0000-0000-0000382D0000}"/>
    <cellStyle name="Normal 30 3 3 6" xfId="15102" xr:uid="{00000000-0005-0000-0000-0000392D0000}"/>
    <cellStyle name="Normal 30 3 4" xfId="2952" xr:uid="{00000000-0005-0000-0000-00003A2D0000}"/>
    <cellStyle name="Normal 30 3 4 2" xfId="9712" xr:uid="{00000000-0005-0000-0000-00003B2D0000}"/>
    <cellStyle name="Normal 30 3 4 2 2" xfId="18462" xr:uid="{00000000-0005-0000-0000-00003C2D0000}"/>
    <cellStyle name="Normal 30 3 4 3" xfId="8110" xr:uid="{00000000-0005-0000-0000-00003D2D0000}"/>
    <cellStyle name="Normal 30 3 4 3 2" xfId="16863" xr:uid="{00000000-0005-0000-0000-00003E2D0000}"/>
    <cellStyle name="Normal 30 3 4 4" xfId="11322" xr:uid="{00000000-0005-0000-0000-00003F2D0000}"/>
    <cellStyle name="Normal 30 3 4 4 2" xfId="20009" xr:uid="{00000000-0005-0000-0000-0000402D0000}"/>
    <cellStyle name="Normal 30 3 4 5" xfId="12929" xr:uid="{00000000-0005-0000-0000-0000412D0000}"/>
    <cellStyle name="Normal 30 3 4 5 2" xfId="21609" xr:uid="{00000000-0005-0000-0000-0000422D0000}"/>
    <cellStyle name="Normal 30 3 4 6" xfId="15103" xr:uid="{00000000-0005-0000-0000-0000432D0000}"/>
    <cellStyle name="Normal 30 3 5" xfId="9709" xr:uid="{00000000-0005-0000-0000-0000442D0000}"/>
    <cellStyle name="Normal 30 3 5 2" xfId="18459" xr:uid="{00000000-0005-0000-0000-0000452D0000}"/>
    <cellStyle name="Normal 30 3 6" xfId="8107" xr:uid="{00000000-0005-0000-0000-0000462D0000}"/>
    <cellStyle name="Normal 30 3 6 2" xfId="16860" xr:uid="{00000000-0005-0000-0000-0000472D0000}"/>
    <cellStyle name="Normal 30 3 7" xfId="11319" xr:uid="{00000000-0005-0000-0000-0000482D0000}"/>
    <cellStyle name="Normal 30 3 7 2" xfId="20006" xr:uid="{00000000-0005-0000-0000-0000492D0000}"/>
    <cellStyle name="Normal 30 3 8" xfId="12926" xr:uid="{00000000-0005-0000-0000-00004A2D0000}"/>
    <cellStyle name="Normal 30 3 8 2" xfId="21606" xr:uid="{00000000-0005-0000-0000-00004B2D0000}"/>
    <cellStyle name="Normal 30 3 9" xfId="15100" xr:uid="{00000000-0005-0000-0000-00004C2D0000}"/>
    <cellStyle name="Normal 30 4" xfId="2953" xr:uid="{00000000-0005-0000-0000-00004D2D0000}"/>
    <cellStyle name="Normal 31" xfId="2954" xr:uid="{00000000-0005-0000-0000-00004E2D0000}"/>
    <cellStyle name="Normal 31 2" xfId="2955" xr:uid="{00000000-0005-0000-0000-00004F2D0000}"/>
    <cellStyle name="Normal 31 2 10" xfId="9713" xr:uid="{00000000-0005-0000-0000-0000502D0000}"/>
    <cellStyle name="Normal 31 2 10 2" xfId="18463" xr:uid="{00000000-0005-0000-0000-0000512D0000}"/>
    <cellStyle name="Normal 31 2 11" xfId="8111" xr:uid="{00000000-0005-0000-0000-0000522D0000}"/>
    <cellStyle name="Normal 31 2 11 2" xfId="16864" xr:uid="{00000000-0005-0000-0000-0000532D0000}"/>
    <cellStyle name="Normal 31 2 12" xfId="11323" xr:uid="{00000000-0005-0000-0000-0000542D0000}"/>
    <cellStyle name="Normal 31 2 12 2" xfId="20010" xr:uid="{00000000-0005-0000-0000-0000552D0000}"/>
    <cellStyle name="Normal 31 2 13" xfId="12930" xr:uid="{00000000-0005-0000-0000-0000562D0000}"/>
    <cellStyle name="Normal 31 2 13 2" xfId="21610" xr:uid="{00000000-0005-0000-0000-0000572D0000}"/>
    <cellStyle name="Normal 31 2 14" xfId="15104" xr:uid="{00000000-0005-0000-0000-0000582D0000}"/>
    <cellStyle name="Normal 31 2 2" xfId="2956" xr:uid="{00000000-0005-0000-0000-0000592D0000}"/>
    <cellStyle name="Normal 31 2 2 2" xfId="2957" xr:uid="{00000000-0005-0000-0000-00005A2D0000}"/>
    <cellStyle name="Normal 31 2 2 2 2" xfId="9715" xr:uid="{00000000-0005-0000-0000-00005B2D0000}"/>
    <cellStyle name="Normal 31 2 2 2 2 2" xfId="18465" xr:uid="{00000000-0005-0000-0000-00005C2D0000}"/>
    <cellStyle name="Normal 31 2 2 2 3" xfId="8113" xr:uid="{00000000-0005-0000-0000-00005D2D0000}"/>
    <cellStyle name="Normal 31 2 2 2 3 2" xfId="16866" xr:uid="{00000000-0005-0000-0000-00005E2D0000}"/>
    <cellStyle name="Normal 31 2 2 2 4" xfId="11325" xr:uid="{00000000-0005-0000-0000-00005F2D0000}"/>
    <cellStyle name="Normal 31 2 2 2 4 2" xfId="20012" xr:uid="{00000000-0005-0000-0000-0000602D0000}"/>
    <cellStyle name="Normal 31 2 2 2 5" xfId="12932" xr:uid="{00000000-0005-0000-0000-0000612D0000}"/>
    <cellStyle name="Normal 31 2 2 2 5 2" xfId="21612" xr:uid="{00000000-0005-0000-0000-0000622D0000}"/>
    <cellStyle name="Normal 31 2 2 2 6" xfId="15106" xr:uid="{00000000-0005-0000-0000-0000632D0000}"/>
    <cellStyle name="Normal 31 2 2 3" xfId="2958" xr:uid="{00000000-0005-0000-0000-0000642D0000}"/>
    <cellStyle name="Normal 31 2 2 3 2" xfId="9716" xr:uid="{00000000-0005-0000-0000-0000652D0000}"/>
    <cellStyle name="Normal 31 2 2 3 2 2" xfId="18466" xr:uid="{00000000-0005-0000-0000-0000662D0000}"/>
    <cellStyle name="Normal 31 2 2 3 3" xfId="8114" xr:uid="{00000000-0005-0000-0000-0000672D0000}"/>
    <cellStyle name="Normal 31 2 2 3 3 2" xfId="16867" xr:uid="{00000000-0005-0000-0000-0000682D0000}"/>
    <cellStyle name="Normal 31 2 2 3 4" xfId="11326" xr:uid="{00000000-0005-0000-0000-0000692D0000}"/>
    <cellStyle name="Normal 31 2 2 3 4 2" xfId="20013" xr:uid="{00000000-0005-0000-0000-00006A2D0000}"/>
    <cellStyle name="Normal 31 2 2 3 5" xfId="12933" xr:uid="{00000000-0005-0000-0000-00006B2D0000}"/>
    <cellStyle name="Normal 31 2 2 3 5 2" xfId="21613" xr:uid="{00000000-0005-0000-0000-00006C2D0000}"/>
    <cellStyle name="Normal 31 2 2 3 6" xfId="15107" xr:uid="{00000000-0005-0000-0000-00006D2D0000}"/>
    <cellStyle name="Normal 31 2 2 4" xfId="2959" xr:uid="{00000000-0005-0000-0000-00006E2D0000}"/>
    <cellStyle name="Normal 31 2 2 4 2" xfId="9717" xr:uid="{00000000-0005-0000-0000-00006F2D0000}"/>
    <cellStyle name="Normal 31 2 2 4 2 2" xfId="18467" xr:uid="{00000000-0005-0000-0000-0000702D0000}"/>
    <cellStyle name="Normal 31 2 2 4 3" xfId="8115" xr:uid="{00000000-0005-0000-0000-0000712D0000}"/>
    <cellStyle name="Normal 31 2 2 4 3 2" xfId="16868" xr:uid="{00000000-0005-0000-0000-0000722D0000}"/>
    <cellStyle name="Normal 31 2 2 4 4" xfId="11327" xr:uid="{00000000-0005-0000-0000-0000732D0000}"/>
    <cellStyle name="Normal 31 2 2 4 4 2" xfId="20014" xr:uid="{00000000-0005-0000-0000-0000742D0000}"/>
    <cellStyle name="Normal 31 2 2 4 5" xfId="12934" xr:uid="{00000000-0005-0000-0000-0000752D0000}"/>
    <cellStyle name="Normal 31 2 2 4 5 2" xfId="21614" xr:uid="{00000000-0005-0000-0000-0000762D0000}"/>
    <cellStyle name="Normal 31 2 2 4 6" xfId="15108" xr:uid="{00000000-0005-0000-0000-0000772D0000}"/>
    <cellStyle name="Normal 31 2 2 5" xfId="9714" xr:uid="{00000000-0005-0000-0000-0000782D0000}"/>
    <cellStyle name="Normal 31 2 2 5 2" xfId="18464" xr:uid="{00000000-0005-0000-0000-0000792D0000}"/>
    <cellStyle name="Normal 31 2 2 6" xfId="8112" xr:uid="{00000000-0005-0000-0000-00007A2D0000}"/>
    <cellStyle name="Normal 31 2 2 6 2" xfId="16865" xr:uid="{00000000-0005-0000-0000-00007B2D0000}"/>
    <cellStyle name="Normal 31 2 2 7" xfId="11324" xr:uid="{00000000-0005-0000-0000-00007C2D0000}"/>
    <cellStyle name="Normal 31 2 2 7 2" xfId="20011" xr:uid="{00000000-0005-0000-0000-00007D2D0000}"/>
    <cellStyle name="Normal 31 2 2 8" xfId="12931" xr:uid="{00000000-0005-0000-0000-00007E2D0000}"/>
    <cellStyle name="Normal 31 2 2 8 2" xfId="21611" xr:uid="{00000000-0005-0000-0000-00007F2D0000}"/>
    <cellStyle name="Normal 31 2 2 9" xfId="15105" xr:uid="{00000000-0005-0000-0000-0000802D0000}"/>
    <cellStyle name="Normal 31 2 3" xfId="2960" xr:uid="{00000000-0005-0000-0000-0000812D0000}"/>
    <cellStyle name="Normal 31 2 3 2" xfId="2961" xr:uid="{00000000-0005-0000-0000-0000822D0000}"/>
    <cellStyle name="Normal 31 2 3 2 2" xfId="9719" xr:uid="{00000000-0005-0000-0000-0000832D0000}"/>
    <cellStyle name="Normal 31 2 3 2 2 2" xfId="18469" xr:uid="{00000000-0005-0000-0000-0000842D0000}"/>
    <cellStyle name="Normal 31 2 3 2 3" xfId="8117" xr:uid="{00000000-0005-0000-0000-0000852D0000}"/>
    <cellStyle name="Normal 31 2 3 2 3 2" xfId="16870" xr:uid="{00000000-0005-0000-0000-0000862D0000}"/>
    <cellStyle name="Normal 31 2 3 2 4" xfId="11329" xr:uid="{00000000-0005-0000-0000-0000872D0000}"/>
    <cellStyle name="Normal 31 2 3 2 4 2" xfId="20016" xr:uid="{00000000-0005-0000-0000-0000882D0000}"/>
    <cellStyle name="Normal 31 2 3 2 5" xfId="12936" xr:uid="{00000000-0005-0000-0000-0000892D0000}"/>
    <cellStyle name="Normal 31 2 3 2 5 2" xfId="21616" xr:uid="{00000000-0005-0000-0000-00008A2D0000}"/>
    <cellStyle name="Normal 31 2 3 2 6" xfId="15110" xr:uid="{00000000-0005-0000-0000-00008B2D0000}"/>
    <cellStyle name="Normal 31 2 3 3" xfId="2962" xr:uid="{00000000-0005-0000-0000-00008C2D0000}"/>
    <cellStyle name="Normal 31 2 3 3 2" xfId="9720" xr:uid="{00000000-0005-0000-0000-00008D2D0000}"/>
    <cellStyle name="Normal 31 2 3 3 2 2" xfId="18470" xr:uid="{00000000-0005-0000-0000-00008E2D0000}"/>
    <cellStyle name="Normal 31 2 3 3 3" xfId="8118" xr:uid="{00000000-0005-0000-0000-00008F2D0000}"/>
    <cellStyle name="Normal 31 2 3 3 3 2" xfId="16871" xr:uid="{00000000-0005-0000-0000-0000902D0000}"/>
    <cellStyle name="Normal 31 2 3 3 4" xfId="11330" xr:uid="{00000000-0005-0000-0000-0000912D0000}"/>
    <cellStyle name="Normal 31 2 3 3 4 2" xfId="20017" xr:uid="{00000000-0005-0000-0000-0000922D0000}"/>
    <cellStyle name="Normal 31 2 3 3 5" xfId="12937" xr:uid="{00000000-0005-0000-0000-0000932D0000}"/>
    <cellStyle name="Normal 31 2 3 3 5 2" xfId="21617" xr:uid="{00000000-0005-0000-0000-0000942D0000}"/>
    <cellStyle name="Normal 31 2 3 3 6" xfId="15111" xr:uid="{00000000-0005-0000-0000-0000952D0000}"/>
    <cellStyle name="Normal 31 2 3 4" xfId="2963" xr:uid="{00000000-0005-0000-0000-0000962D0000}"/>
    <cellStyle name="Normal 31 2 3 4 2" xfId="9721" xr:uid="{00000000-0005-0000-0000-0000972D0000}"/>
    <cellStyle name="Normal 31 2 3 4 2 2" xfId="18471" xr:uid="{00000000-0005-0000-0000-0000982D0000}"/>
    <cellStyle name="Normal 31 2 3 4 3" xfId="8119" xr:uid="{00000000-0005-0000-0000-0000992D0000}"/>
    <cellStyle name="Normal 31 2 3 4 3 2" xfId="16872" xr:uid="{00000000-0005-0000-0000-00009A2D0000}"/>
    <cellStyle name="Normal 31 2 3 4 4" xfId="11331" xr:uid="{00000000-0005-0000-0000-00009B2D0000}"/>
    <cellStyle name="Normal 31 2 3 4 4 2" xfId="20018" xr:uid="{00000000-0005-0000-0000-00009C2D0000}"/>
    <cellStyle name="Normal 31 2 3 4 5" xfId="12938" xr:uid="{00000000-0005-0000-0000-00009D2D0000}"/>
    <cellStyle name="Normal 31 2 3 4 5 2" xfId="21618" xr:uid="{00000000-0005-0000-0000-00009E2D0000}"/>
    <cellStyle name="Normal 31 2 3 4 6" xfId="15112" xr:uid="{00000000-0005-0000-0000-00009F2D0000}"/>
    <cellStyle name="Normal 31 2 3 5" xfId="9718" xr:uid="{00000000-0005-0000-0000-0000A02D0000}"/>
    <cellStyle name="Normal 31 2 3 5 2" xfId="18468" xr:uid="{00000000-0005-0000-0000-0000A12D0000}"/>
    <cellStyle name="Normal 31 2 3 6" xfId="8116" xr:uid="{00000000-0005-0000-0000-0000A22D0000}"/>
    <cellStyle name="Normal 31 2 3 6 2" xfId="16869" xr:uid="{00000000-0005-0000-0000-0000A32D0000}"/>
    <cellStyle name="Normal 31 2 3 7" xfId="11328" xr:uid="{00000000-0005-0000-0000-0000A42D0000}"/>
    <cellStyle name="Normal 31 2 3 7 2" xfId="20015" xr:uid="{00000000-0005-0000-0000-0000A52D0000}"/>
    <cellStyle name="Normal 31 2 3 8" xfId="12935" xr:uid="{00000000-0005-0000-0000-0000A62D0000}"/>
    <cellStyle name="Normal 31 2 3 8 2" xfId="21615" xr:uid="{00000000-0005-0000-0000-0000A72D0000}"/>
    <cellStyle name="Normal 31 2 3 9" xfId="15109" xr:uid="{00000000-0005-0000-0000-0000A82D0000}"/>
    <cellStyle name="Normal 31 2 4" xfId="2964" xr:uid="{00000000-0005-0000-0000-0000A92D0000}"/>
    <cellStyle name="Normal 31 2 4 2" xfId="2965" xr:uid="{00000000-0005-0000-0000-0000AA2D0000}"/>
    <cellStyle name="Normal 31 2 4 2 2" xfId="2966" xr:uid="{00000000-0005-0000-0000-0000AB2D0000}"/>
    <cellStyle name="Normal 31 2 4 2 2 2" xfId="2967" xr:uid="{00000000-0005-0000-0000-0000AC2D0000}"/>
    <cellStyle name="Normal 31 2 4 2 2 2 2" xfId="9723" xr:uid="{00000000-0005-0000-0000-0000AD2D0000}"/>
    <cellStyle name="Normal 31 2 4 2 2 2 2 2" xfId="18473" xr:uid="{00000000-0005-0000-0000-0000AE2D0000}"/>
    <cellStyle name="Normal 31 2 4 2 2 2 3" xfId="8121" xr:uid="{00000000-0005-0000-0000-0000AF2D0000}"/>
    <cellStyle name="Normal 31 2 4 2 2 2 3 2" xfId="16874" xr:uid="{00000000-0005-0000-0000-0000B02D0000}"/>
    <cellStyle name="Normal 31 2 4 2 2 2 4" xfId="11333" xr:uid="{00000000-0005-0000-0000-0000B12D0000}"/>
    <cellStyle name="Normal 31 2 4 2 2 2 4 2" xfId="20020" xr:uid="{00000000-0005-0000-0000-0000B22D0000}"/>
    <cellStyle name="Normal 31 2 4 2 2 2 5" xfId="12940" xr:uid="{00000000-0005-0000-0000-0000B32D0000}"/>
    <cellStyle name="Normal 31 2 4 2 2 2 5 2" xfId="21620" xr:uid="{00000000-0005-0000-0000-0000B42D0000}"/>
    <cellStyle name="Normal 31 2 4 2 2 2 6" xfId="15114" xr:uid="{00000000-0005-0000-0000-0000B52D0000}"/>
    <cellStyle name="Normal 31 2 4 2 2 3" xfId="2968" xr:uid="{00000000-0005-0000-0000-0000B62D0000}"/>
    <cellStyle name="Normal 31 2 4 2 2 3 2" xfId="9724" xr:uid="{00000000-0005-0000-0000-0000B72D0000}"/>
    <cellStyle name="Normal 31 2 4 2 2 3 2 2" xfId="18474" xr:uid="{00000000-0005-0000-0000-0000B82D0000}"/>
    <cellStyle name="Normal 31 2 4 2 2 3 3" xfId="8122" xr:uid="{00000000-0005-0000-0000-0000B92D0000}"/>
    <cellStyle name="Normal 31 2 4 2 2 3 3 2" xfId="16875" xr:uid="{00000000-0005-0000-0000-0000BA2D0000}"/>
    <cellStyle name="Normal 31 2 4 2 2 3 4" xfId="11334" xr:uid="{00000000-0005-0000-0000-0000BB2D0000}"/>
    <cellStyle name="Normal 31 2 4 2 2 3 4 2" xfId="20021" xr:uid="{00000000-0005-0000-0000-0000BC2D0000}"/>
    <cellStyle name="Normal 31 2 4 2 2 3 5" xfId="12941" xr:uid="{00000000-0005-0000-0000-0000BD2D0000}"/>
    <cellStyle name="Normal 31 2 4 2 2 3 5 2" xfId="21621" xr:uid="{00000000-0005-0000-0000-0000BE2D0000}"/>
    <cellStyle name="Normal 31 2 4 2 2 3 6" xfId="15115" xr:uid="{00000000-0005-0000-0000-0000BF2D0000}"/>
    <cellStyle name="Normal 31 2 4 2 2 4" xfId="2969" xr:uid="{00000000-0005-0000-0000-0000C02D0000}"/>
    <cellStyle name="Normal 31 2 4 2 2 4 2" xfId="9725" xr:uid="{00000000-0005-0000-0000-0000C12D0000}"/>
    <cellStyle name="Normal 31 2 4 2 2 4 2 2" xfId="18475" xr:uid="{00000000-0005-0000-0000-0000C22D0000}"/>
    <cellStyle name="Normal 31 2 4 2 2 4 3" xfId="8123" xr:uid="{00000000-0005-0000-0000-0000C32D0000}"/>
    <cellStyle name="Normal 31 2 4 2 2 4 3 2" xfId="16876" xr:uid="{00000000-0005-0000-0000-0000C42D0000}"/>
    <cellStyle name="Normal 31 2 4 2 2 4 4" xfId="11335" xr:uid="{00000000-0005-0000-0000-0000C52D0000}"/>
    <cellStyle name="Normal 31 2 4 2 2 4 4 2" xfId="20022" xr:uid="{00000000-0005-0000-0000-0000C62D0000}"/>
    <cellStyle name="Normal 31 2 4 2 2 4 5" xfId="12942" xr:uid="{00000000-0005-0000-0000-0000C72D0000}"/>
    <cellStyle name="Normal 31 2 4 2 2 4 5 2" xfId="21622" xr:uid="{00000000-0005-0000-0000-0000C82D0000}"/>
    <cellStyle name="Normal 31 2 4 2 2 4 6" xfId="15116" xr:uid="{00000000-0005-0000-0000-0000C92D0000}"/>
    <cellStyle name="Normal 31 2 4 2 3" xfId="2970" xr:uid="{00000000-0005-0000-0000-0000CA2D0000}"/>
    <cellStyle name="Normal 31 2 4 2 4" xfId="2971" xr:uid="{00000000-0005-0000-0000-0000CB2D0000}"/>
    <cellStyle name="Normal 31 2 4 2 5" xfId="9722" xr:uid="{00000000-0005-0000-0000-0000CC2D0000}"/>
    <cellStyle name="Normal 31 2 4 2 5 2" xfId="18472" xr:uid="{00000000-0005-0000-0000-0000CD2D0000}"/>
    <cellStyle name="Normal 31 2 4 2 6" xfId="8120" xr:uid="{00000000-0005-0000-0000-0000CE2D0000}"/>
    <cellStyle name="Normal 31 2 4 2 6 2" xfId="16873" xr:uid="{00000000-0005-0000-0000-0000CF2D0000}"/>
    <cellStyle name="Normal 31 2 4 2 7" xfId="11332" xr:uid="{00000000-0005-0000-0000-0000D02D0000}"/>
    <cellStyle name="Normal 31 2 4 2 7 2" xfId="20019" xr:uid="{00000000-0005-0000-0000-0000D12D0000}"/>
    <cellStyle name="Normal 31 2 4 2 8" xfId="12939" xr:uid="{00000000-0005-0000-0000-0000D22D0000}"/>
    <cellStyle name="Normal 31 2 4 2 8 2" xfId="21619" xr:uid="{00000000-0005-0000-0000-0000D32D0000}"/>
    <cellStyle name="Normal 31 2 4 2 9" xfId="15113" xr:uid="{00000000-0005-0000-0000-0000D42D0000}"/>
    <cellStyle name="Normal 31 2 4 3" xfId="2972" xr:uid="{00000000-0005-0000-0000-0000D52D0000}"/>
    <cellStyle name="Normal 31 2 4 3 2" xfId="2973" xr:uid="{00000000-0005-0000-0000-0000D62D0000}"/>
    <cellStyle name="Normal 31 2 4 3 2 2" xfId="9727" xr:uid="{00000000-0005-0000-0000-0000D72D0000}"/>
    <cellStyle name="Normal 31 2 4 3 2 2 2" xfId="18477" xr:uid="{00000000-0005-0000-0000-0000D82D0000}"/>
    <cellStyle name="Normal 31 2 4 3 2 3" xfId="8125" xr:uid="{00000000-0005-0000-0000-0000D92D0000}"/>
    <cellStyle name="Normal 31 2 4 3 2 3 2" xfId="16878" xr:uid="{00000000-0005-0000-0000-0000DA2D0000}"/>
    <cellStyle name="Normal 31 2 4 3 2 4" xfId="11337" xr:uid="{00000000-0005-0000-0000-0000DB2D0000}"/>
    <cellStyle name="Normal 31 2 4 3 2 4 2" xfId="20024" xr:uid="{00000000-0005-0000-0000-0000DC2D0000}"/>
    <cellStyle name="Normal 31 2 4 3 2 5" xfId="12944" xr:uid="{00000000-0005-0000-0000-0000DD2D0000}"/>
    <cellStyle name="Normal 31 2 4 3 2 5 2" xfId="21624" xr:uid="{00000000-0005-0000-0000-0000DE2D0000}"/>
    <cellStyle name="Normal 31 2 4 3 2 6" xfId="15118" xr:uid="{00000000-0005-0000-0000-0000DF2D0000}"/>
    <cellStyle name="Normal 31 2 4 3 3" xfId="2974" xr:uid="{00000000-0005-0000-0000-0000E02D0000}"/>
    <cellStyle name="Normal 31 2 4 3 3 2" xfId="9728" xr:uid="{00000000-0005-0000-0000-0000E12D0000}"/>
    <cellStyle name="Normal 31 2 4 3 3 2 2" xfId="18478" xr:uid="{00000000-0005-0000-0000-0000E22D0000}"/>
    <cellStyle name="Normal 31 2 4 3 3 3" xfId="8126" xr:uid="{00000000-0005-0000-0000-0000E32D0000}"/>
    <cellStyle name="Normal 31 2 4 3 3 3 2" xfId="16879" xr:uid="{00000000-0005-0000-0000-0000E42D0000}"/>
    <cellStyle name="Normal 31 2 4 3 3 4" xfId="11338" xr:uid="{00000000-0005-0000-0000-0000E52D0000}"/>
    <cellStyle name="Normal 31 2 4 3 3 4 2" xfId="20025" xr:uid="{00000000-0005-0000-0000-0000E62D0000}"/>
    <cellStyle name="Normal 31 2 4 3 3 5" xfId="12945" xr:uid="{00000000-0005-0000-0000-0000E72D0000}"/>
    <cellStyle name="Normal 31 2 4 3 3 5 2" xfId="21625" xr:uid="{00000000-0005-0000-0000-0000E82D0000}"/>
    <cellStyle name="Normal 31 2 4 3 3 6" xfId="15119" xr:uid="{00000000-0005-0000-0000-0000E92D0000}"/>
    <cellStyle name="Normal 31 2 4 3 4" xfId="2975" xr:uid="{00000000-0005-0000-0000-0000EA2D0000}"/>
    <cellStyle name="Normal 31 2 4 3 4 2" xfId="9729" xr:uid="{00000000-0005-0000-0000-0000EB2D0000}"/>
    <cellStyle name="Normal 31 2 4 3 4 2 2" xfId="18479" xr:uid="{00000000-0005-0000-0000-0000EC2D0000}"/>
    <cellStyle name="Normal 31 2 4 3 4 3" xfId="8127" xr:uid="{00000000-0005-0000-0000-0000ED2D0000}"/>
    <cellStyle name="Normal 31 2 4 3 4 3 2" xfId="16880" xr:uid="{00000000-0005-0000-0000-0000EE2D0000}"/>
    <cellStyle name="Normal 31 2 4 3 4 4" xfId="11339" xr:uid="{00000000-0005-0000-0000-0000EF2D0000}"/>
    <cellStyle name="Normal 31 2 4 3 4 4 2" xfId="20026" xr:uid="{00000000-0005-0000-0000-0000F02D0000}"/>
    <cellStyle name="Normal 31 2 4 3 4 5" xfId="12946" xr:uid="{00000000-0005-0000-0000-0000F12D0000}"/>
    <cellStyle name="Normal 31 2 4 3 4 5 2" xfId="21626" xr:uid="{00000000-0005-0000-0000-0000F22D0000}"/>
    <cellStyle name="Normal 31 2 4 3 4 6" xfId="15120" xr:uid="{00000000-0005-0000-0000-0000F32D0000}"/>
    <cellStyle name="Normal 31 2 4 3 5" xfId="9726" xr:uid="{00000000-0005-0000-0000-0000F42D0000}"/>
    <cellStyle name="Normal 31 2 4 3 5 2" xfId="18476" xr:uid="{00000000-0005-0000-0000-0000F52D0000}"/>
    <cellStyle name="Normal 31 2 4 3 6" xfId="8124" xr:uid="{00000000-0005-0000-0000-0000F62D0000}"/>
    <cellStyle name="Normal 31 2 4 3 6 2" xfId="16877" xr:uid="{00000000-0005-0000-0000-0000F72D0000}"/>
    <cellStyle name="Normal 31 2 4 3 7" xfId="11336" xr:uid="{00000000-0005-0000-0000-0000F82D0000}"/>
    <cellStyle name="Normal 31 2 4 3 7 2" xfId="20023" xr:uid="{00000000-0005-0000-0000-0000F92D0000}"/>
    <cellStyle name="Normal 31 2 4 3 8" xfId="12943" xr:uid="{00000000-0005-0000-0000-0000FA2D0000}"/>
    <cellStyle name="Normal 31 2 4 3 8 2" xfId="21623" xr:uid="{00000000-0005-0000-0000-0000FB2D0000}"/>
    <cellStyle name="Normal 31 2 4 3 9" xfId="15117" xr:uid="{00000000-0005-0000-0000-0000FC2D0000}"/>
    <cellStyle name="Normal 31 2 4 4" xfId="2976" xr:uid="{00000000-0005-0000-0000-0000FD2D0000}"/>
    <cellStyle name="Normal 31 2 4 4 2" xfId="2977" xr:uid="{00000000-0005-0000-0000-0000FE2D0000}"/>
    <cellStyle name="Normal 31 2 4 4 2 2" xfId="9731" xr:uid="{00000000-0005-0000-0000-0000FF2D0000}"/>
    <cellStyle name="Normal 31 2 4 4 2 2 2" xfId="18481" xr:uid="{00000000-0005-0000-0000-0000002E0000}"/>
    <cellStyle name="Normal 31 2 4 4 2 3" xfId="8129" xr:uid="{00000000-0005-0000-0000-0000012E0000}"/>
    <cellStyle name="Normal 31 2 4 4 2 3 2" xfId="16882" xr:uid="{00000000-0005-0000-0000-0000022E0000}"/>
    <cellStyle name="Normal 31 2 4 4 2 4" xfId="11341" xr:uid="{00000000-0005-0000-0000-0000032E0000}"/>
    <cellStyle name="Normal 31 2 4 4 2 4 2" xfId="20028" xr:uid="{00000000-0005-0000-0000-0000042E0000}"/>
    <cellStyle name="Normal 31 2 4 4 2 5" xfId="12948" xr:uid="{00000000-0005-0000-0000-0000052E0000}"/>
    <cellStyle name="Normal 31 2 4 4 2 5 2" xfId="21628" xr:uid="{00000000-0005-0000-0000-0000062E0000}"/>
    <cellStyle name="Normal 31 2 4 4 2 6" xfId="15122" xr:uid="{00000000-0005-0000-0000-0000072E0000}"/>
    <cellStyle name="Normal 31 2 4 4 3" xfId="2978" xr:uid="{00000000-0005-0000-0000-0000082E0000}"/>
    <cellStyle name="Normal 31 2 4 4 3 2" xfId="9732" xr:uid="{00000000-0005-0000-0000-0000092E0000}"/>
    <cellStyle name="Normal 31 2 4 4 3 2 2" xfId="18482" xr:uid="{00000000-0005-0000-0000-00000A2E0000}"/>
    <cellStyle name="Normal 31 2 4 4 3 3" xfId="8130" xr:uid="{00000000-0005-0000-0000-00000B2E0000}"/>
    <cellStyle name="Normal 31 2 4 4 3 3 2" xfId="16883" xr:uid="{00000000-0005-0000-0000-00000C2E0000}"/>
    <cellStyle name="Normal 31 2 4 4 3 4" xfId="11342" xr:uid="{00000000-0005-0000-0000-00000D2E0000}"/>
    <cellStyle name="Normal 31 2 4 4 3 4 2" xfId="20029" xr:uid="{00000000-0005-0000-0000-00000E2E0000}"/>
    <cellStyle name="Normal 31 2 4 4 3 5" xfId="12949" xr:uid="{00000000-0005-0000-0000-00000F2E0000}"/>
    <cellStyle name="Normal 31 2 4 4 3 5 2" xfId="21629" xr:uid="{00000000-0005-0000-0000-0000102E0000}"/>
    <cellStyle name="Normal 31 2 4 4 3 6" xfId="15123" xr:uid="{00000000-0005-0000-0000-0000112E0000}"/>
    <cellStyle name="Normal 31 2 4 4 4" xfId="2979" xr:uid="{00000000-0005-0000-0000-0000122E0000}"/>
    <cellStyle name="Normal 31 2 4 4 4 2" xfId="9733" xr:uid="{00000000-0005-0000-0000-0000132E0000}"/>
    <cellStyle name="Normal 31 2 4 4 4 2 2" xfId="18483" xr:uid="{00000000-0005-0000-0000-0000142E0000}"/>
    <cellStyle name="Normal 31 2 4 4 4 3" xfId="8131" xr:uid="{00000000-0005-0000-0000-0000152E0000}"/>
    <cellStyle name="Normal 31 2 4 4 4 3 2" xfId="16884" xr:uid="{00000000-0005-0000-0000-0000162E0000}"/>
    <cellStyle name="Normal 31 2 4 4 4 4" xfId="11343" xr:uid="{00000000-0005-0000-0000-0000172E0000}"/>
    <cellStyle name="Normal 31 2 4 4 4 4 2" xfId="20030" xr:uid="{00000000-0005-0000-0000-0000182E0000}"/>
    <cellStyle name="Normal 31 2 4 4 4 5" xfId="12950" xr:uid="{00000000-0005-0000-0000-0000192E0000}"/>
    <cellStyle name="Normal 31 2 4 4 4 5 2" xfId="21630" xr:uid="{00000000-0005-0000-0000-00001A2E0000}"/>
    <cellStyle name="Normal 31 2 4 4 4 6" xfId="15124" xr:uid="{00000000-0005-0000-0000-00001B2E0000}"/>
    <cellStyle name="Normal 31 2 4 4 5" xfId="9730" xr:uid="{00000000-0005-0000-0000-00001C2E0000}"/>
    <cellStyle name="Normal 31 2 4 4 5 2" xfId="18480" xr:uid="{00000000-0005-0000-0000-00001D2E0000}"/>
    <cellStyle name="Normal 31 2 4 4 6" xfId="8128" xr:uid="{00000000-0005-0000-0000-00001E2E0000}"/>
    <cellStyle name="Normal 31 2 4 4 6 2" xfId="16881" xr:uid="{00000000-0005-0000-0000-00001F2E0000}"/>
    <cellStyle name="Normal 31 2 4 4 7" xfId="11340" xr:uid="{00000000-0005-0000-0000-0000202E0000}"/>
    <cellStyle name="Normal 31 2 4 4 7 2" xfId="20027" xr:uid="{00000000-0005-0000-0000-0000212E0000}"/>
    <cellStyle name="Normal 31 2 4 4 8" xfId="12947" xr:uid="{00000000-0005-0000-0000-0000222E0000}"/>
    <cellStyle name="Normal 31 2 4 4 8 2" xfId="21627" xr:uid="{00000000-0005-0000-0000-0000232E0000}"/>
    <cellStyle name="Normal 31 2 4 4 9" xfId="15121" xr:uid="{00000000-0005-0000-0000-0000242E0000}"/>
    <cellStyle name="Normal 31 2 4 5" xfId="2980" xr:uid="{00000000-0005-0000-0000-0000252E0000}"/>
    <cellStyle name="Normal 31 2 4 5 2" xfId="9734" xr:uid="{00000000-0005-0000-0000-0000262E0000}"/>
    <cellStyle name="Normal 31 2 4 5 2 2" xfId="18484" xr:uid="{00000000-0005-0000-0000-0000272E0000}"/>
    <cellStyle name="Normal 31 2 4 5 3" xfId="8132" xr:uid="{00000000-0005-0000-0000-0000282E0000}"/>
    <cellStyle name="Normal 31 2 4 5 3 2" xfId="16885" xr:uid="{00000000-0005-0000-0000-0000292E0000}"/>
    <cellStyle name="Normal 31 2 4 5 4" xfId="11344" xr:uid="{00000000-0005-0000-0000-00002A2E0000}"/>
    <cellStyle name="Normal 31 2 4 5 4 2" xfId="20031" xr:uid="{00000000-0005-0000-0000-00002B2E0000}"/>
    <cellStyle name="Normal 31 2 4 5 5" xfId="12951" xr:uid="{00000000-0005-0000-0000-00002C2E0000}"/>
    <cellStyle name="Normal 31 2 4 5 5 2" xfId="21631" xr:uid="{00000000-0005-0000-0000-00002D2E0000}"/>
    <cellStyle name="Normal 31 2 4 5 6" xfId="15125" xr:uid="{00000000-0005-0000-0000-00002E2E0000}"/>
    <cellStyle name="Normal 31 2 4 6" xfId="2981" xr:uid="{00000000-0005-0000-0000-00002F2E0000}"/>
    <cellStyle name="Normal 31 2 4 6 2" xfId="9735" xr:uid="{00000000-0005-0000-0000-0000302E0000}"/>
    <cellStyle name="Normal 31 2 4 6 2 2" xfId="18485" xr:uid="{00000000-0005-0000-0000-0000312E0000}"/>
    <cellStyle name="Normal 31 2 4 6 3" xfId="8133" xr:uid="{00000000-0005-0000-0000-0000322E0000}"/>
    <cellStyle name="Normal 31 2 4 6 3 2" xfId="16886" xr:uid="{00000000-0005-0000-0000-0000332E0000}"/>
    <cellStyle name="Normal 31 2 4 6 4" xfId="11345" xr:uid="{00000000-0005-0000-0000-0000342E0000}"/>
    <cellStyle name="Normal 31 2 4 6 4 2" xfId="20032" xr:uid="{00000000-0005-0000-0000-0000352E0000}"/>
    <cellStyle name="Normal 31 2 4 6 5" xfId="12952" xr:uid="{00000000-0005-0000-0000-0000362E0000}"/>
    <cellStyle name="Normal 31 2 4 6 5 2" xfId="21632" xr:uid="{00000000-0005-0000-0000-0000372E0000}"/>
    <cellStyle name="Normal 31 2 4 6 6" xfId="15126" xr:uid="{00000000-0005-0000-0000-0000382E0000}"/>
    <cellStyle name="Normal 31 2 4 7" xfId="2982" xr:uid="{00000000-0005-0000-0000-0000392E0000}"/>
    <cellStyle name="Normal 31 2 4 7 2" xfId="9736" xr:uid="{00000000-0005-0000-0000-00003A2E0000}"/>
    <cellStyle name="Normal 31 2 4 7 2 2" xfId="18486" xr:uid="{00000000-0005-0000-0000-00003B2E0000}"/>
    <cellStyle name="Normal 31 2 4 7 3" xfId="8134" xr:uid="{00000000-0005-0000-0000-00003C2E0000}"/>
    <cellStyle name="Normal 31 2 4 7 3 2" xfId="16887" xr:uid="{00000000-0005-0000-0000-00003D2E0000}"/>
    <cellStyle name="Normal 31 2 4 7 4" xfId="11346" xr:uid="{00000000-0005-0000-0000-00003E2E0000}"/>
    <cellStyle name="Normal 31 2 4 7 4 2" xfId="20033" xr:uid="{00000000-0005-0000-0000-00003F2E0000}"/>
    <cellStyle name="Normal 31 2 4 7 5" xfId="12953" xr:uid="{00000000-0005-0000-0000-0000402E0000}"/>
    <cellStyle name="Normal 31 2 4 7 5 2" xfId="21633" xr:uid="{00000000-0005-0000-0000-0000412E0000}"/>
    <cellStyle name="Normal 31 2 4 7 6" xfId="15127" xr:uid="{00000000-0005-0000-0000-0000422E0000}"/>
    <cellStyle name="Normal 31 2 5" xfId="2983" xr:uid="{00000000-0005-0000-0000-0000432E0000}"/>
    <cellStyle name="Normal 31 2 6" xfId="2984" xr:uid="{00000000-0005-0000-0000-0000442E0000}"/>
    <cellStyle name="Normal 31 2 7" xfId="2985" xr:uid="{00000000-0005-0000-0000-0000452E0000}"/>
    <cellStyle name="Normal 31 2 7 2" xfId="9737" xr:uid="{00000000-0005-0000-0000-0000462E0000}"/>
    <cellStyle name="Normal 31 2 7 2 2" xfId="18487" xr:uid="{00000000-0005-0000-0000-0000472E0000}"/>
    <cellStyle name="Normal 31 2 7 3" xfId="8135" xr:uid="{00000000-0005-0000-0000-0000482E0000}"/>
    <cellStyle name="Normal 31 2 7 3 2" xfId="16888" xr:uid="{00000000-0005-0000-0000-0000492E0000}"/>
    <cellStyle name="Normal 31 2 7 4" xfId="11347" xr:uid="{00000000-0005-0000-0000-00004A2E0000}"/>
    <cellStyle name="Normal 31 2 7 4 2" xfId="20034" xr:uid="{00000000-0005-0000-0000-00004B2E0000}"/>
    <cellStyle name="Normal 31 2 7 5" xfId="12954" xr:uid="{00000000-0005-0000-0000-00004C2E0000}"/>
    <cellStyle name="Normal 31 2 7 5 2" xfId="21634" xr:uid="{00000000-0005-0000-0000-00004D2E0000}"/>
    <cellStyle name="Normal 31 2 7 6" xfId="15128" xr:uid="{00000000-0005-0000-0000-00004E2E0000}"/>
    <cellStyle name="Normal 31 2 8" xfId="2986" xr:uid="{00000000-0005-0000-0000-00004F2E0000}"/>
    <cellStyle name="Normal 31 2 8 2" xfId="9738" xr:uid="{00000000-0005-0000-0000-0000502E0000}"/>
    <cellStyle name="Normal 31 2 8 2 2" xfId="18488" xr:uid="{00000000-0005-0000-0000-0000512E0000}"/>
    <cellStyle name="Normal 31 2 8 3" xfId="8136" xr:uid="{00000000-0005-0000-0000-0000522E0000}"/>
    <cellStyle name="Normal 31 2 8 3 2" xfId="16889" xr:uid="{00000000-0005-0000-0000-0000532E0000}"/>
    <cellStyle name="Normal 31 2 8 4" xfId="11348" xr:uid="{00000000-0005-0000-0000-0000542E0000}"/>
    <cellStyle name="Normal 31 2 8 4 2" xfId="20035" xr:uid="{00000000-0005-0000-0000-0000552E0000}"/>
    <cellStyle name="Normal 31 2 8 5" xfId="12955" xr:uid="{00000000-0005-0000-0000-0000562E0000}"/>
    <cellStyle name="Normal 31 2 8 5 2" xfId="21635" xr:uid="{00000000-0005-0000-0000-0000572E0000}"/>
    <cellStyle name="Normal 31 2 8 6" xfId="15129" xr:uid="{00000000-0005-0000-0000-0000582E0000}"/>
    <cellStyle name="Normal 31 2 9" xfId="2987" xr:uid="{00000000-0005-0000-0000-0000592E0000}"/>
    <cellStyle name="Normal 31 2 9 2" xfId="9739" xr:uid="{00000000-0005-0000-0000-00005A2E0000}"/>
    <cellStyle name="Normal 31 2 9 2 2" xfId="18489" xr:uid="{00000000-0005-0000-0000-00005B2E0000}"/>
    <cellStyle name="Normal 31 2 9 3" xfId="8137" xr:uid="{00000000-0005-0000-0000-00005C2E0000}"/>
    <cellStyle name="Normal 31 2 9 3 2" xfId="16890" xr:uid="{00000000-0005-0000-0000-00005D2E0000}"/>
    <cellStyle name="Normal 31 2 9 4" xfId="11349" xr:uid="{00000000-0005-0000-0000-00005E2E0000}"/>
    <cellStyle name="Normal 31 2 9 4 2" xfId="20036" xr:uid="{00000000-0005-0000-0000-00005F2E0000}"/>
    <cellStyle name="Normal 31 2 9 5" xfId="12956" xr:uid="{00000000-0005-0000-0000-0000602E0000}"/>
    <cellStyle name="Normal 31 2 9 5 2" xfId="21636" xr:uid="{00000000-0005-0000-0000-0000612E0000}"/>
    <cellStyle name="Normal 31 2 9 6" xfId="15130" xr:uid="{00000000-0005-0000-0000-0000622E0000}"/>
    <cellStyle name="Normal 31 3" xfId="2988" xr:uid="{00000000-0005-0000-0000-0000632E0000}"/>
    <cellStyle name="Normal 31 3 2" xfId="2989" xr:uid="{00000000-0005-0000-0000-0000642E0000}"/>
    <cellStyle name="Normal 31 3 2 2" xfId="9741" xr:uid="{00000000-0005-0000-0000-0000652E0000}"/>
    <cellStyle name="Normal 31 3 2 2 2" xfId="18491" xr:uid="{00000000-0005-0000-0000-0000662E0000}"/>
    <cellStyle name="Normal 31 3 2 3" xfId="8139" xr:uid="{00000000-0005-0000-0000-0000672E0000}"/>
    <cellStyle name="Normal 31 3 2 3 2" xfId="16892" xr:uid="{00000000-0005-0000-0000-0000682E0000}"/>
    <cellStyle name="Normal 31 3 2 4" xfId="11351" xr:uid="{00000000-0005-0000-0000-0000692E0000}"/>
    <cellStyle name="Normal 31 3 2 4 2" xfId="20038" xr:uid="{00000000-0005-0000-0000-00006A2E0000}"/>
    <cellStyle name="Normal 31 3 2 5" xfId="12958" xr:uid="{00000000-0005-0000-0000-00006B2E0000}"/>
    <cellStyle name="Normal 31 3 2 5 2" xfId="21638" xr:uid="{00000000-0005-0000-0000-00006C2E0000}"/>
    <cellStyle name="Normal 31 3 2 6" xfId="15132" xr:uid="{00000000-0005-0000-0000-00006D2E0000}"/>
    <cellStyle name="Normal 31 3 3" xfId="2990" xr:uid="{00000000-0005-0000-0000-00006E2E0000}"/>
    <cellStyle name="Normal 31 3 3 2" xfId="9742" xr:uid="{00000000-0005-0000-0000-00006F2E0000}"/>
    <cellStyle name="Normal 31 3 3 2 2" xfId="18492" xr:uid="{00000000-0005-0000-0000-0000702E0000}"/>
    <cellStyle name="Normal 31 3 3 3" xfId="8140" xr:uid="{00000000-0005-0000-0000-0000712E0000}"/>
    <cellStyle name="Normal 31 3 3 3 2" xfId="16893" xr:uid="{00000000-0005-0000-0000-0000722E0000}"/>
    <cellStyle name="Normal 31 3 3 4" xfId="11352" xr:uid="{00000000-0005-0000-0000-0000732E0000}"/>
    <cellStyle name="Normal 31 3 3 4 2" xfId="20039" xr:uid="{00000000-0005-0000-0000-0000742E0000}"/>
    <cellStyle name="Normal 31 3 3 5" xfId="12959" xr:uid="{00000000-0005-0000-0000-0000752E0000}"/>
    <cellStyle name="Normal 31 3 3 5 2" xfId="21639" xr:uid="{00000000-0005-0000-0000-0000762E0000}"/>
    <cellStyle name="Normal 31 3 3 6" xfId="15133" xr:uid="{00000000-0005-0000-0000-0000772E0000}"/>
    <cellStyle name="Normal 31 3 4" xfId="2991" xr:uid="{00000000-0005-0000-0000-0000782E0000}"/>
    <cellStyle name="Normal 31 3 4 2" xfId="9743" xr:uid="{00000000-0005-0000-0000-0000792E0000}"/>
    <cellStyle name="Normal 31 3 4 2 2" xfId="18493" xr:uid="{00000000-0005-0000-0000-00007A2E0000}"/>
    <cellStyle name="Normal 31 3 4 3" xfId="8141" xr:uid="{00000000-0005-0000-0000-00007B2E0000}"/>
    <cellStyle name="Normal 31 3 4 3 2" xfId="16894" xr:uid="{00000000-0005-0000-0000-00007C2E0000}"/>
    <cellStyle name="Normal 31 3 4 4" xfId="11353" xr:uid="{00000000-0005-0000-0000-00007D2E0000}"/>
    <cellStyle name="Normal 31 3 4 4 2" xfId="20040" xr:uid="{00000000-0005-0000-0000-00007E2E0000}"/>
    <cellStyle name="Normal 31 3 4 5" xfId="12960" xr:uid="{00000000-0005-0000-0000-00007F2E0000}"/>
    <cellStyle name="Normal 31 3 4 5 2" xfId="21640" xr:uid="{00000000-0005-0000-0000-0000802E0000}"/>
    <cellStyle name="Normal 31 3 4 6" xfId="15134" xr:uid="{00000000-0005-0000-0000-0000812E0000}"/>
    <cellStyle name="Normal 31 3 5" xfId="9740" xr:uid="{00000000-0005-0000-0000-0000822E0000}"/>
    <cellStyle name="Normal 31 3 5 2" xfId="18490" xr:uid="{00000000-0005-0000-0000-0000832E0000}"/>
    <cellStyle name="Normal 31 3 6" xfId="8138" xr:uid="{00000000-0005-0000-0000-0000842E0000}"/>
    <cellStyle name="Normal 31 3 6 2" xfId="16891" xr:uid="{00000000-0005-0000-0000-0000852E0000}"/>
    <cellStyle name="Normal 31 3 7" xfId="11350" xr:uid="{00000000-0005-0000-0000-0000862E0000}"/>
    <cellStyle name="Normal 31 3 7 2" xfId="20037" xr:uid="{00000000-0005-0000-0000-0000872E0000}"/>
    <cellStyle name="Normal 31 3 8" xfId="12957" xr:uid="{00000000-0005-0000-0000-0000882E0000}"/>
    <cellStyle name="Normal 31 3 8 2" xfId="21637" xr:uid="{00000000-0005-0000-0000-0000892E0000}"/>
    <cellStyle name="Normal 31 3 9" xfId="15131" xr:uid="{00000000-0005-0000-0000-00008A2E0000}"/>
    <cellStyle name="Normal 31 4" xfId="2992" xr:uid="{00000000-0005-0000-0000-00008B2E0000}"/>
    <cellStyle name="Normal 32" xfId="2993" xr:uid="{00000000-0005-0000-0000-00008C2E0000}"/>
    <cellStyle name="Normal 32 2" xfId="2994" xr:uid="{00000000-0005-0000-0000-00008D2E0000}"/>
    <cellStyle name="Normal 32 2 10" xfId="9744" xr:uid="{00000000-0005-0000-0000-00008E2E0000}"/>
    <cellStyle name="Normal 32 2 10 2" xfId="18494" xr:uid="{00000000-0005-0000-0000-00008F2E0000}"/>
    <cellStyle name="Normal 32 2 11" xfId="8142" xr:uid="{00000000-0005-0000-0000-0000902E0000}"/>
    <cellStyle name="Normal 32 2 11 2" xfId="16895" xr:uid="{00000000-0005-0000-0000-0000912E0000}"/>
    <cellStyle name="Normal 32 2 12" xfId="11354" xr:uid="{00000000-0005-0000-0000-0000922E0000}"/>
    <cellStyle name="Normal 32 2 12 2" xfId="20041" xr:uid="{00000000-0005-0000-0000-0000932E0000}"/>
    <cellStyle name="Normal 32 2 13" xfId="12961" xr:uid="{00000000-0005-0000-0000-0000942E0000}"/>
    <cellStyle name="Normal 32 2 13 2" xfId="21641" xr:uid="{00000000-0005-0000-0000-0000952E0000}"/>
    <cellStyle name="Normal 32 2 14" xfId="15135" xr:uid="{00000000-0005-0000-0000-0000962E0000}"/>
    <cellStyle name="Normal 32 2 2" xfId="2995" xr:uid="{00000000-0005-0000-0000-0000972E0000}"/>
    <cellStyle name="Normal 32 2 2 2" xfId="2996" xr:uid="{00000000-0005-0000-0000-0000982E0000}"/>
    <cellStyle name="Normal 32 2 2 2 2" xfId="9746" xr:uid="{00000000-0005-0000-0000-0000992E0000}"/>
    <cellStyle name="Normal 32 2 2 2 2 2" xfId="18496" xr:uid="{00000000-0005-0000-0000-00009A2E0000}"/>
    <cellStyle name="Normal 32 2 2 2 3" xfId="8144" xr:uid="{00000000-0005-0000-0000-00009B2E0000}"/>
    <cellStyle name="Normal 32 2 2 2 3 2" xfId="16897" xr:uid="{00000000-0005-0000-0000-00009C2E0000}"/>
    <cellStyle name="Normal 32 2 2 2 4" xfId="11356" xr:uid="{00000000-0005-0000-0000-00009D2E0000}"/>
    <cellStyle name="Normal 32 2 2 2 4 2" xfId="20043" xr:uid="{00000000-0005-0000-0000-00009E2E0000}"/>
    <cellStyle name="Normal 32 2 2 2 5" xfId="12963" xr:uid="{00000000-0005-0000-0000-00009F2E0000}"/>
    <cellStyle name="Normal 32 2 2 2 5 2" xfId="21643" xr:uid="{00000000-0005-0000-0000-0000A02E0000}"/>
    <cellStyle name="Normal 32 2 2 2 6" xfId="15137" xr:uid="{00000000-0005-0000-0000-0000A12E0000}"/>
    <cellStyle name="Normal 32 2 2 3" xfId="2997" xr:uid="{00000000-0005-0000-0000-0000A22E0000}"/>
    <cellStyle name="Normal 32 2 2 3 2" xfId="9747" xr:uid="{00000000-0005-0000-0000-0000A32E0000}"/>
    <cellStyle name="Normal 32 2 2 3 2 2" xfId="18497" xr:uid="{00000000-0005-0000-0000-0000A42E0000}"/>
    <cellStyle name="Normal 32 2 2 3 3" xfId="8145" xr:uid="{00000000-0005-0000-0000-0000A52E0000}"/>
    <cellStyle name="Normal 32 2 2 3 3 2" xfId="16898" xr:uid="{00000000-0005-0000-0000-0000A62E0000}"/>
    <cellStyle name="Normal 32 2 2 3 4" xfId="11357" xr:uid="{00000000-0005-0000-0000-0000A72E0000}"/>
    <cellStyle name="Normal 32 2 2 3 4 2" xfId="20044" xr:uid="{00000000-0005-0000-0000-0000A82E0000}"/>
    <cellStyle name="Normal 32 2 2 3 5" xfId="12964" xr:uid="{00000000-0005-0000-0000-0000A92E0000}"/>
    <cellStyle name="Normal 32 2 2 3 5 2" xfId="21644" xr:uid="{00000000-0005-0000-0000-0000AA2E0000}"/>
    <cellStyle name="Normal 32 2 2 3 6" xfId="15138" xr:uid="{00000000-0005-0000-0000-0000AB2E0000}"/>
    <cellStyle name="Normal 32 2 2 4" xfId="2998" xr:uid="{00000000-0005-0000-0000-0000AC2E0000}"/>
    <cellStyle name="Normal 32 2 2 4 2" xfId="9748" xr:uid="{00000000-0005-0000-0000-0000AD2E0000}"/>
    <cellStyle name="Normal 32 2 2 4 2 2" xfId="18498" xr:uid="{00000000-0005-0000-0000-0000AE2E0000}"/>
    <cellStyle name="Normal 32 2 2 4 3" xfId="8146" xr:uid="{00000000-0005-0000-0000-0000AF2E0000}"/>
    <cellStyle name="Normal 32 2 2 4 3 2" xfId="16899" xr:uid="{00000000-0005-0000-0000-0000B02E0000}"/>
    <cellStyle name="Normal 32 2 2 4 4" xfId="11358" xr:uid="{00000000-0005-0000-0000-0000B12E0000}"/>
    <cellStyle name="Normal 32 2 2 4 4 2" xfId="20045" xr:uid="{00000000-0005-0000-0000-0000B22E0000}"/>
    <cellStyle name="Normal 32 2 2 4 5" xfId="12965" xr:uid="{00000000-0005-0000-0000-0000B32E0000}"/>
    <cellStyle name="Normal 32 2 2 4 5 2" xfId="21645" xr:uid="{00000000-0005-0000-0000-0000B42E0000}"/>
    <cellStyle name="Normal 32 2 2 4 6" xfId="15139" xr:uid="{00000000-0005-0000-0000-0000B52E0000}"/>
    <cellStyle name="Normal 32 2 2 5" xfId="9745" xr:uid="{00000000-0005-0000-0000-0000B62E0000}"/>
    <cellStyle name="Normal 32 2 2 5 2" xfId="18495" xr:uid="{00000000-0005-0000-0000-0000B72E0000}"/>
    <cellStyle name="Normal 32 2 2 6" xfId="8143" xr:uid="{00000000-0005-0000-0000-0000B82E0000}"/>
    <cellStyle name="Normal 32 2 2 6 2" xfId="16896" xr:uid="{00000000-0005-0000-0000-0000B92E0000}"/>
    <cellStyle name="Normal 32 2 2 7" xfId="11355" xr:uid="{00000000-0005-0000-0000-0000BA2E0000}"/>
    <cellStyle name="Normal 32 2 2 7 2" xfId="20042" xr:uid="{00000000-0005-0000-0000-0000BB2E0000}"/>
    <cellStyle name="Normal 32 2 2 8" xfId="12962" xr:uid="{00000000-0005-0000-0000-0000BC2E0000}"/>
    <cellStyle name="Normal 32 2 2 8 2" xfId="21642" xr:uid="{00000000-0005-0000-0000-0000BD2E0000}"/>
    <cellStyle name="Normal 32 2 2 9" xfId="15136" xr:uid="{00000000-0005-0000-0000-0000BE2E0000}"/>
    <cellStyle name="Normal 32 2 3" xfId="2999" xr:uid="{00000000-0005-0000-0000-0000BF2E0000}"/>
    <cellStyle name="Normal 32 2 3 2" xfId="3000" xr:uid="{00000000-0005-0000-0000-0000C02E0000}"/>
    <cellStyle name="Normal 32 2 3 2 2" xfId="9750" xr:uid="{00000000-0005-0000-0000-0000C12E0000}"/>
    <cellStyle name="Normal 32 2 3 2 2 2" xfId="18500" xr:uid="{00000000-0005-0000-0000-0000C22E0000}"/>
    <cellStyle name="Normal 32 2 3 2 3" xfId="8148" xr:uid="{00000000-0005-0000-0000-0000C32E0000}"/>
    <cellStyle name="Normal 32 2 3 2 3 2" xfId="16901" xr:uid="{00000000-0005-0000-0000-0000C42E0000}"/>
    <cellStyle name="Normal 32 2 3 2 4" xfId="11360" xr:uid="{00000000-0005-0000-0000-0000C52E0000}"/>
    <cellStyle name="Normal 32 2 3 2 4 2" xfId="20047" xr:uid="{00000000-0005-0000-0000-0000C62E0000}"/>
    <cellStyle name="Normal 32 2 3 2 5" xfId="12967" xr:uid="{00000000-0005-0000-0000-0000C72E0000}"/>
    <cellStyle name="Normal 32 2 3 2 5 2" xfId="21647" xr:uid="{00000000-0005-0000-0000-0000C82E0000}"/>
    <cellStyle name="Normal 32 2 3 2 6" xfId="15141" xr:uid="{00000000-0005-0000-0000-0000C92E0000}"/>
    <cellStyle name="Normal 32 2 3 3" xfId="3001" xr:uid="{00000000-0005-0000-0000-0000CA2E0000}"/>
    <cellStyle name="Normal 32 2 3 3 2" xfId="9751" xr:uid="{00000000-0005-0000-0000-0000CB2E0000}"/>
    <cellStyle name="Normal 32 2 3 3 2 2" xfId="18501" xr:uid="{00000000-0005-0000-0000-0000CC2E0000}"/>
    <cellStyle name="Normal 32 2 3 3 3" xfId="8149" xr:uid="{00000000-0005-0000-0000-0000CD2E0000}"/>
    <cellStyle name="Normal 32 2 3 3 3 2" xfId="16902" xr:uid="{00000000-0005-0000-0000-0000CE2E0000}"/>
    <cellStyle name="Normal 32 2 3 3 4" xfId="11361" xr:uid="{00000000-0005-0000-0000-0000CF2E0000}"/>
    <cellStyle name="Normal 32 2 3 3 4 2" xfId="20048" xr:uid="{00000000-0005-0000-0000-0000D02E0000}"/>
    <cellStyle name="Normal 32 2 3 3 5" xfId="12968" xr:uid="{00000000-0005-0000-0000-0000D12E0000}"/>
    <cellStyle name="Normal 32 2 3 3 5 2" xfId="21648" xr:uid="{00000000-0005-0000-0000-0000D22E0000}"/>
    <cellStyle name="Normal 32 2 3 3 6" xfId="15142" xr:uid="{00000000-0005-0000-0000-0000D32E0000}"/>
    <cellStyle name="Normal 32 2 3 4" xfId="3002" xr:uid="{00000000-0005-0000-0000-0000D42E0000}"/>
    <cellStyle name="Normal 32 2 3 4 2" xfId="9752" xr:uid="{00000000-0005-0000-0000-0000D52E0000}"/>
    <cellStyle name="Normal 32 2 3 4 2 2" xfId="18502" xr:uid="{00000000-0005-0000-0000-0000D62E0000}"/>
    <cellStyle name="Normal 32 2 3 4 3" xfId="8150" xr:uid="{00000000-0005-0000-0000-0000D72E0000}"/>
    <cellStyle name="Normal 32 2 3 4 3 2" xfId="16903" xr:uid="{00000000-0005-0000-0000-0000D82E0000}"/>
    <cellStyle name="Normal 32 2 3 4 4" xfId="11362" xr:uid="{00000000-0005-0000-0000-0000D92E0000}"/>
    <cellStyle name="Normal 32 2 3 4 4 2" xfId="20049" xr:uid="{00000000-0005-0000-0000-0000DA2E0000}"/>
    <cellStyle name="Normal 32 2 3 4 5" xfId="12969" xr:uid="{00000000-0005-0000-0000-0000DB2E0000}"/>
    <cellStyle name="Normal 32 2 3 4 5 2" xfId="21649" xr:uid="{00000000-0005-0000-0000-0000DC2E0000}"/>
    <cellStyle name="Normal 32 2 3 4 6" xfId="15143" xr:uid="{00000000-0005-0000-0000-0000DD2E0000}"/>
    <cellStyle name="Normal 32 2 3 5" xfId="9749" xr:uid="{00000000-0005-0000-0000-0000DE2E0000}"/>
    <cellStyle name="Normal 32 2 3 5 2" xfId="18499" xr:uid="{00000000-0005-0000-0000-0000DF2E0000}"/>
    <cellStyle name="Normal 32 2 3 6" xfId="8147" xr:uid="{00000000-0005-0000-0000-0000E02E0000}"/>
    <cellStyle name="Normal 32 2 3 6 2" xfId="16900" xr:uid="{00000000-0005-0000-0000-0000E12E0000}"/>
    <cellStyle name="Normal 32 2 3 7" xfId="11359" xr:uid="{00000000-0005-0000-0000-0000E22E0000}"/>
    <cellStyle name="Normal 32 2 3 7 2" xfId="20046" xr:uid="{00000000-0005-0000-0000-0000E32E0000}"/>
    <cellStyle name="Normal 32 2 3 8" xfId="12966" xr:uid="{00000000-0005-0000-0000-0000E42E0000}"/>
    <cellStyle name="Normal 32 2 3 8 2" xfId="21646" xr:uid="{00000000-0005-0000-0000-0000E52E0000}"/>
    <cellStyle name="Normal 32 2 3 9" xfId="15140" xr:uid="{00000000-0005-0000-0000-0000E62E0000}"/>
    <cellStyle name="Normal 32 2 4" xfId="3003" xr:uid="{00000000-0005-0000-0000-0000E72E0000}"/>
    <cellStyle name="Normal 32 2 4 2" xfId="3004" xr:uid="{00000000-0005-0000-0000-0000E82E0000}"/>
    <cellStyle name="Normal 32 2 4 2 2" xfId="3005" xr:uid="{00000000-0005-0000-0000-0000E92E0000}"/>
    <cellStyle name="Normal 32 2 4 2 2 2" xfId="3006" xr:uid="{00000000-0005-0000-0000-0000EA2E0000}"/>
    <cellStyle name="Normal 32 2 4 2 2 2 2" xfId="9754" xr:uid="{00000000-0005-0000-0000-0000EB2E0000}"/>
    <cellStyle name="Normal 32 2 4 2 2 2 2 2" xfId="18504" xr:uid="{00000000-0005-0000-0000-0000EC2E0000}"/>
    <cellStyle name="Normal 32 2 4 2 2 2 3" xfId="8152" xr:uid="{00000000-0005-0000-0000-0000ED2E0000}"/>
    <cellStyle name="Normal 32 2 4 2 2 2 3 2" xfId="16905" xr:uid="{00000000-0005-0000-0000-0000EE2E0000}"/>
    <cellStyle name="Normal 32 2 4 2 2 2 4" xfId="11364" xr:uid="{00000000-0005-0000-0000-0000EF2E0000}"/>
    <cellStyle name="Normal 32 2 4 2 2 2 4 2" xfId="20051" xr:uid="{00000000-0005-0000-0000-0000F02E0000}"/>
    <cellStyle name="Normal 32 2 4 2 2 2 5" xfId="12971" xr:uid="{00000000-0005-0000-0000-0000F12E0000}"/>
    <cellStyle name="Normal 32 2 4 2 2 2 5 2" xfId="21651" xr:uid="{00000000-0005-0000-0000-0000F22E0000}"/>
    <cellStyle name="Normal 32 2 4 2 2 2 6" xfId="15145" xr:uid="{00000000-0005-0000-0000-0000F32E0000}"/>
    <cellStyle name="Normal 32 2 4 2 2 3" xfId="3007" xr:uid="{00000000-0005-0000-0000-0000F42E0000}"/>
    <cellStyle name="Normal 32 2 4 2 2 3 2" xfId="9755" xr:uid="{00000000-0005-0000-0000-0000F52E0000}"/>
    <cellStyle name="Normal 32 2 4 2 2 3 2 2" xfId="18505" xr:uid="{00000000-0005-0000-0000-0000F62E0000}"/>
    <cellStyle name="Normal 32 2 4 2 2 3 3" xfId="8153" xr:uid="{00000000-0005-0000-0000-0000F72E0000}"/>
    <cellStyle name="Normal 32 2 4 2 2 3 3 2" xfId="16906" xr:uid="{00000000-0005-0000-0000-0000F82E0000}"/>
    <cellStyle name="Normal 32 2 4 2 2 3 4" xfId="11365" xr:uid="{00000000-0005-0000-0000-0000F92E0000}"/>
    <cellStyle name="Normal 32 2 4 2 2 3 4 2" xfId="20052" xr:uid="{00000000-0005-0000-0000-0000FA2E0000}"/>
    <cellStyle name="Normal 32 2 4 2 2 3 5" xfId="12972" xr:uid="{00000000-0005-0000-0000-0000FB2E0000}"/>
    <cellStyle name="Normal 32 2 4 2 2 3 5 2" xfId="21652" xr:uid="{00000000-0005-0000-0000-0000FC2E0000}"/>
    <cellStyle name="Normal 32 2 4 2 2 3 6" xfId="15146" xr:uid="{00000000-0005-0000-0000-0000FD2E0000}"/>
    <cellStyle name="Normal 32 2 4 2 2 4" xfId="3008" xr:uid="{00000000-0005-0000-0000-0000FE2E0000}"/>
    <cellStyle name="Normal 32 2 4 2 2 4 2" xfId="9756" xr:uid="{00000000-0005-0000-0000-0000FF2E0000}"/>
    <cellStyle name="Normal 32 2 4 2 2 4 2 2" xfId="18506" xr:uid="{00000000-0005-0000-0000-0000002F0000}"/>
    <cellStyle name="Normal 32 2 4 2 2 4 3" xfId="8154" xr:uid="{00000000-0005-0000-0000-0000012F0000}"/>
    <cellStyle name="Normal 32 2 4 2 2 4 3 2" xfId="16907" xr:uid="{00000000-0005-0000-0000-0000022F0000}"/>
    <cellStyle name="Normal 32 2 4 2 2 4 4" xfId="11366" xr:uid="{00000000-0005-0000-0000-0000032F0000}"/>
    <cellStyle name="Normal 32 2 4 2 2 4 4 2" xfId="20053" xr:uid="{00000000-0005-0000-0000-0000042F0000}"/>
    <cellStyle name="Normal 32 2 4 2 2 4 5" xfId="12973" xr:uid="{00000000-0005-0000-0000-0000052F0000}"/>
    <cellStyle name="Normal 32 2 4 2 2 4 5 2" xfId="21653" xr:uid="{00000000-0005-0000-0000-0000062F0000}"/>
    <cellStyle name="Normal 32 2 4 2 2 4 6" xfId="15147" xr:uid="{00000000-0005-0000-0000-0000072F0000}"/>
    <cellStyle name="Normal 32 2 4 2 3" xfId="3009" xr:uid="{00000000-0005-0000-0000-0000082F0000}"/>
    <cellStyle name="Normal 32 2 4 2 4" xfId="3010" xr:uid="{00000000-0005-0000-0000-0000092F0000}"/>
    <cellStyle name="Normal 32 2 4 2 5" xfId="9753" xr:uid="{00000000-0005-0000-0000-00000A2F0000}"/>
    <cellStyle name="Normal 32 2 4 2 5 2" xfId="18503" xr:uid="{00000000-0005-0000-0000-00000B2F0000}"/>
    <cellStyle name="Normal 32 2 4 2 6" xfId="8151" xr:uid="{00000000-0005-0000-0000-00000C2F0000}"/>
    <cellStyle name="Normal 32 2 4 2 6 2" xfId="16904" xr:uid="{00000000-0005-0000-0000-00000D2F0000}"/>
    <cellStyle name="Normal 32 2 4 2 7" xfId="11363" xr:uid="{00000000-0005-0000-0000-00000E2F0000}"/>
    <cellStyle name="Normal 32 2 4 2 7 2" xfId="20050" xr:uid="{00000000-0005-0000-0000-00000F2F0000}"/>
    <cellStyle name="Normal 32 2 4 2 8" xfId="12970" xr:uid="{00000000-0005-0000-0000-0000102F0000}"/>
    <cellStyle name="Normal 32 2 4 2 8 2" xfId="21650" xr:uid="{00000000-0005-0000-0000-0000112F0000}"/>
    <cellStyle name="Normal 32 2 4 2 9" xfId="15144" xr:uid="{00000000-0005-0000-0000-0000122F0000}"/>
    <cellStyle name="Normal 32 2 4 3" xfId="3011" xr:uid="{00000000-0005-0000-0000-0000132F0000}"/>
    <cellStyle name="Normal 32 2 4 3 2" xfId="3012" xr:uid="{00000000-0005-0000-0000-0000142F0000}"/>
    <cellStyle name="Normal 32 2 4 3 2 2" xfId="9758" xr:uid="{00000000-0005-0000-0000-0000152F0000}"/>
    <cellStyle name="Normal 32 2 4 3 2 2 2" xfId="18508" xr:uid="{00000000-0005-0000-0000-0000162F0000}"/>
    <cellStyle name="Normal 32 2 4 3 2 3" xfId="8156" xr:uid="{00000000-0005-0000-0000-0000172F0000}"/>
    <cellStyle name="Normal 32 2 4 3 2 3 2" xfId="16909" xr:uid="{00000000-0005-0000-0000-0000182F0000}"/>
    <cellStyle name="Normal 32 2 4 3 2 4" xfId="11368" xr:uid="{00000000-0005-0000-0000-0000192F0000}"/>
    <cellStyle name="Normal 32 2 4 3 2 4 2" xfId="20055" xr:uid="{00000000-0005-0000-0000-00001A2F0000}"/>
    <cellStyle name="Normal 32 2 4 3 2 5" xfId="12975" xr:uid="{00000000-0005-0000-0000-00001B2F0000}"/>
    <cellStyle name="Normal 32 2 4 3 2 5 2" xfId="21655" xr:uid="{00000000-0005-0000-0000-00001C2F0000}"/>
    <cellStyle name="Normal 32 2 4 3 2 6" xfId="15149" xr:uid="{00000000-0005-0000-0000-00001D2F0000}"/>
    <cellStyle name="Normal 32 2 4 3 3" xfId="3013" xr:uid="{00000000-0005-0000-0000-00001E2F0000}"/>
    <cellStyle name="Normal 32 2 4 3 3 2" xfId="9759" xr:uid="{00000000-0005-0000-0000-00001F2F0000}"/>
    <cellStyle name="Normal 32 2 4 3 3 2 2" xfId="18509" xr:uid="{00000000-0005-0000-0000-0000202F0000}"/>
    <cellStyle name="Normal 32 2 4 3 3 3" xfId="8157" xr:uid="{00000000-0005-0000-0000-0000212F0000}"/>
    <cellStyle name="Normal 32 2 4 3 3 3 2" xfId="16910" xr:uid="{00000000-0005-0000-0000-0000222F0000}"/>
    <cellStyle name="Normal 32 2 4 3 3 4" xfId="11369" xr:uid="{00000000-0005-0000-0000-0000232F0000}"/>
    <cellStyle name="Normal 32 2 4 3 3 4 2" xfId="20056" xr:uid="{00000000-0005-0000-0000-0000242F0000}"/>
    <cellStyle name="Normal 32 2 4 3 3 5" xfId="12976" xr:uid="{00000000-0005-0000-0000-0000252F0000}"/>
    <cellStyle name="Normal 32 2 4 3 3 5 2" xfId="21656" xr:uid="{00000000-0005-0000-0000-0000262F0000}"/>
    <cellStyle name="Normal 32 2 4 3 3 6" xfId="15150" xr:uid="{00000000-0005-0000-0000-0000272F0000}"/>
    <cellStyle name="Normal 32 2 4 3 4" xfId="3014" xr:uid="{00000000-0005-0000-0000-0000282F0000}"/>
    <cellStyle name="Normal 32 2 4 3 4 2" xfId="9760" xr:uid="{00000000-0005-0000-0000-0000292F0000}"/>
    <cellStyle name="Normal 32 2 4 3 4 2 2" xfId="18510" xr:uid="{00000000-0005-0000-0000-00002A2F0000}"/>
    <cellStyle name="Normal 32 2 4 3 4 3" xfId="8158" xr:uid="{00000000-0005-0000-0000-00002B2F0000}"/>
    <cellStyle name="Normal 32 2 4 3 4 3 2" xfId="16911" xr:uid="{00000000-0005-0000-0000-00002C2F0000}"/>
    <cellStyle name="Normal 32 2 4 3 4 4" xfId="11370" xr:uid="{00000000-0005-0000-0000-00002D2F0000}"/>
    <cellStyle name="Normal 32 2 4 3 4 4 2" xfId="20057" xr:uid="{00000000-0005-0000-0000-00002E2F0000}"/>
    <cellStyle name="Normal 32 2 4 3 4 5" xfId="12977" xr:uid="{00000000-0005-0000-0000-00002F2F0000}"/>
    <cellStyle name="Normal 32 2 4 3 4 5 2" xfId="21657" xr:uid="{00000000-0005-0000-0000-0000302F0000}"/>
    <cellStyle name="Normal 32 2 4 3 4 6" xfId="15151" xr:uid="{00000000-0005-0000-0000-0000312F0000}"/>
    <cellStyle name="Normal 32 2 4 3 5" xfId="9757" xr:uid="{00000000-0005-0000-0000-0000322F0000}"/>
    <cellStyle name="Normal 32 2 4 3 5 2" xfId="18507" xr:uid="{00000000-0005-0000-0000-0000332F0000}"/>
    <cellStyle name="Normal 32 2 4 3 6" xfId="8155" xr:uid="{00000000-0005-0000-0000-0000342F0000}"/>
    <cellStyle name="Normal 32 2 4 3 6 2" xfId="16908" xr:uid="{00000000-0005-0000-0000-0000352F0000}"/>
    <cellStyle name="Normal 32 2 4 3 7" xfId="11367" xr:uid="{00000000-0005-0000-0000-0000362F0000}"/>
    <cellStyle name="Normal 32 2 4 3 7 2" xfId="20054" xr:uid="{00000000-0005-0000-0000-0000372F0000}"/>
    <cellStyle name="Normal 32 2 4 3 8" xfId="12974" xr:uid="{00000000-0005-0000-0000-0000382F0000}"/>
    <cellStyle name="Normal 32 2 4 3 8 2" xfId="21654" xr:uid="{00000000-0005-0000-0000-0000392F0000}"/>
    <cellStyle name="Normal 32 2 4 3 9" xfId="15148" xr:uid="{00000000-0005-0000-0000-00003A2F0000}"/>
    <cellStyle name="Normal 32 2 4 4" xfId="3015" xr:uid="{00000000-0005-0000-0000-00003B2F0000}"/>
    <cellStyle name="Normal 32 2 4 4 2" xfId="3016" xr:uid="{00000000-0005-0000-0000-00003C2F0000}"/>
    <cellStyle name="Normal 32 2 4 4 2 2" xfId="9762" xr:uid="{00000000-0005-0000-0000-00003D2F0000}"/>
    <cellStyle name="Normal 32 2 4 4 2 2 2" xfId="18512" xr:uid="{00000000-0005-0000-0000-00003E2F0000}"/>
    <cellStyle name="Normal 32 2 4 4 2 3" xfId="8160" xr:uid="{00000000-0005-0000-0000-00003F2F0000}"/>
    <cellStyle name="Normal 32 2 4 4 2 3 2" xfId="16913" xr:uid="{00000000-0005-0000-0000-0000402F0000}"/>
    <cellStyle name="Normal 32 2 4 4 2 4" xfId="11372" xr:uid="{00000000-0005-0000-0000-0000412F0000}"/>
    <cellStyle name="Normal 32 2 4 4 2 4 2" xfId="20059" xr:uid="{00000000-0005-0000-0000-0000422F0000}"/>
    <cellStyle name="Normal 32 2 4 4 2 5" xfId="12979" xr:uid="{00000000-0005-0000-0000-0000432F0000}"/>
    <cellStyle name="Normal 32 2 4 4 2 5 2" xfId="21659" xr:uid="{00000000-0005-0000-0000-0000442F0000}"/>
    <cellStyle name="Normal 32 2 4 4 2 6" xfId="15153" xr:uid="{00000000-0005-0000-0000-0000452F0000}"/>
    <cellStyle name="Normal 32 2 4 4 3" xfId="3017" xr:uid="{00000000-0005-0000-0000-0000462F0000}"/>
    <cellStyle name="Normal 32 2 4 4 3 2" xfId="9763" xr:uid="{00000000-0005-0000-0000-0000472F0000}"/>
    <cellStyle name="Normal 32 2 4 4 3 2 2" xfId="18513" xr:uid="{00000000-0005-0000-0000-0000482F0000}"/>
    <cellStyle name="Normal 32 2 4 4 3 3" xfId="8161" xr:uid="{00000000-0005-0000-0000-0000492F0000}"/>
    <cellStyle name="Normal 32 2 4 4 3 3 2" xfId="16914" xr:uid="{00000000-0005-0000-0000-00004A2F0000}"/>
    <cellStyle name="Normal 32 2 4 4 3 4" xfId="11373" xr:uid="{00000000-0005-0000-0000-00004B2F0000}"/>
    <cellStyle name="Normal 32 2 4 4 3 4 2" xfId="20060" xr:uid="{00000000-0005-0000-0000-00004C2F0000}"/>
    <cellStyle name="Normal 32 2 4 4 3 5" xfId="12980" xr:uid="{00000000-0005-0000-0000-00004D2F0000}"/>
    <cellStyle name="Normal 32 2 4 4 3 5 2" xfId="21660" xr:uid="{00000000-0005-0000-0000-00004E2F0000}"/>
    <cellStyle name="Normal 32 2 4 4 3 6" xfId="15154" xr:uid="{00000000-0005-0000-0000-00004F2F0000}"/>
    <cellStyle name="Normal 32 2 4 4 4" xfId="3018" xr:uid="{00000000-0005-0000-0000-0000502F0000}"/>
    <cellStyle name="Normal 32 2 4 4 4 2" xfId="9764" xr:uid="{00000000-0005-0000-0000-0000512F0000}"/>
    <cellStyle name="Normal 32 2 4 4 4 2 2" xfId="18514" xr:uid="{00000000-0005-0000-0000-0000522F0000}"/>
    <cellStyle name="Normal 32 2 4 4 4 3" xfId="8162" xr:uid="{00000000-0005-0000-0000-0000532F0000}"/>
    <cellStyle name="Normal 32 2 4 4 4 3 2" xfId="16915" xr:uid="{00000000-0005-0000-0000-0000542F0000}"/>
    <cellStyle name="Normal 32 2 4 4 4 4" xfId="11374" xr:uid="{00000000-0005-0000-0000-0000552F0000}"/>
    <cellStyle name="Normal 32 2 4 4 4 4 2" xfId="20061" xr:uid="{00000000-0005-0000-0000-0000562F0000}"/>
    <cellStyle name="Normal 32 2 4 4 4 5" xfId="12981" xr:uid="{00000000-0005-0000-0000-0000572F0000}"/>
    <cellStyle name="Normal 32 2 4 4 4 5 2" xfId="21661" xr:uid="{00000000-0005-0000-0000-0000582F0000}"/>
    <cellStyle name="Normal 32 2 4 4 4 6" xfId="15155" xr:uid="{00000000-0005-0000-0000-0000592F0000}"/>
    <cellStyle name="Normal 32 2 4 4 5" xfId="9761" xr:uid="{00000000-0005-0000-0000-00005A2F0000}"/>
    <cellStyle name="Normal 32 2 4 4 5 2" xfId="18511" xr:uid="{00000000-0005-0000-0000-00005B2F0000}"/>
    <cellStyle name="Normal 32 2 4 4 6" xfId="8159" xr:uid="{00000000-0005-0000-0000-00005C2F0000}"/>
    <cellStyle name="Normal 32 2 4 4 6 2" xfId="16912" xr:uid="{00000000-0005-0000-0000-00005D2F0000}"/>
    <cellStyle name="Normal 32 2 4 4 7" xfId="11371" xr:uid="{00000000-0005-0000-0000-00005E2F0000}"/>
    <cellStyle name="Normal 32 2 4 4 7 2" xfId="20058" xr:uid="{00000000-0005-0000-0000-00005F2F0000}"/>
    <cellStyle name="Normal 32 2 4 4 8" xfId="12978" xr:uid="{00000000-0005-0000-0000-0000602F0000}"/>
    <cellStyle name="Normal 32 2 4 4 8 2" xfId="21658" xr:uid="{00000000-0005-0000-0000-0000612F0000}"/>
    <cellStyle name="Normal 32 2 4 4 9" xfId="15152" xr:uid="{00000000-0005-0000-0000-0000622F0000}"/>
    <cellStyle name="Normal 32 2 4 5" xfId="3019" xr:uid="{00000000-0005-0000-0000-0000632F0000}"/>
    <cellStyle name="Normal 32 2 4 5 2" xfId="9765" xr:uid="{00000000-0005-0000-0000-0000642F0000}"/>
    <cellStyle name="Normal 32 2 4 5 2 2" xfId="18515" xr:uid="{00000000-0005-0000-0000-0000652F0000}"/>
    <cellStyle name="Normal 32 2 4 5 3" xfId="8163" xr:uid="{00000000-0005-0000-0000-0000662F0000}"/>
    <cellStyle name="Normal 32 2 4 5 3 2" xfId="16916" xr:uid="{00000000-0005-0000-0000-0000672F0000}"/>
    <cellStyle name="Normal 32 2 4 5 4" xfId="11375" xr:uid="{00000000-0005-0000-0000-0000682F0000}"/>
    <cellStyle name="Normal 32 2 4 5 4 2" xfId="20062" xr:uid="{00000000-0005-0000-0000-0000692F0000}"/>
    <cellStyle name="Normal 32 2 4 5 5" xfId="12982" xr:uid="{00000000-0005-0000-0000-00006A2F0000}"/>
    <cellStyle name="Normal 32 2 4 5 5 2" xfId="21662" xr:uid="{00000000-0005-0000-0000-00006B2F0000}"/>
    <cellStyle name="Normal 32 2 4 5 6" xfId="15156" xr:uid="{00000000-0005-0000-0000-00006C2F0000}"/>
    <cellStyle name="Normal 32 2 4 6" xfId="3020" xr:uid="{00000000-0005-0000-0000-00006D2F0000}"/>
    <cellStyle name="Normal 32 2 4 6 2" xfId="9766" xr:uid="{00000000-0005-0000-0000-00006E2F0000}"/>
    <cellStyle name="Normal 32 2 4 6 2 2" xfId="18516" xr:uid="{00000000-0005-0000-0000-00006F2F0000}"/>
    <cellStyle name="Normal 32 2 4 6 3" xfId="8164" xr:uid="{00000000-0005-0000-0000-0000702F0000}"/>
    <cellStyle name="Normal 32 2 4 6 3 2" xfId="16917" xr:uid="{00000000-0005-0000-0000-0000712F0000}"/>
    <cellStyle name="Normal 32 2 4 6 4" xfId="11376" xr:uid="{00000000-0005-0000-0000-0000722F0000}"/>
    <cellStyle name="Normal 32 2 4 6 4 2" xfId="20063" xr:uid="{00000000-0005-0000-0000-0000732F0000}"/>
    <cellStyle name="Normal 32 2 4 6 5" xfId="12983" xr:uid="{00000000-0005-0000-0000-0000742F0000}"/>
    <cellStyle name="Normal 32 2 4 6 5 2" xfId="21663" xr:uid="{00000000-0005-0000-0000-0000752F0000}"/>
    <cellStyle name="Normal 32 2 4 6 6" xfId="15157" xr:uid="{00000000-0005-0000-0000-0000762F0000}"/>
    <cellStyle name="Normal 32 2 4 7" xfId="3021" xr:uid="{00000000-0005-0000-0000-0000772F0000}"/>
    <cellStyle name="Normal 32 2 4 7 2" xfId="9767" xr:uid="{00000000-0005-0000-0000-0000782F0000}"/>
    <cellStyle name="Normal 32 2 4 7 2 2" xfId="18517" xr:uid="{00000000-0005-0000-0000-0000792F0000}"/>
    <cellStyle name="Normal 32 2 4 7 3" xfId="8165" xr:uid="{00000000-0005-0000-0000-00007A2F0000}"/>
    <cellStyle name="Normal 32 2 4 7 3 2" xfId="16918" xr:uid="{00000000-0005-0000-0000-00007B2F0000}"/>
    <cellStyle name="Normal 32 2 4 7 4" xfId="11377" xr:uid="{00000000-0005-0000-0000-00007C2F0000}"/>
    <cellStyle name="Normal 32 2 4 7 4 2" xfId="20064" xr:uid="{00000000-0005-0000-0000-00007D2F0000}"/>
    <cellStyle name="Normal 32 2 4 7 5" xfId="12984" xr:uid="{00000000-0005-0000-0000-00007E2F0000}"/>
    <cellStyle name="Normal 32 2 4 7 5 2" xfId="21664" xr:uid="{00000000-0005-0000-0000-00007F2F0000}"/>
    <cellStyle name="Normal 32 2 4 7 6" xfId="15158" xr:uid="{00000000-0005-0000-0000-0000802F0000}"/>
    <cellStyle name="Normal 32 2 5" xfId="3022" xr:uid="{00000000-0005-0000-0000-0000812F0000}"/>
    <cellStyle name="Normal 32 2 6" xfId="3023" xr:uid="{00000000-0005-0000-0000-0000822F0000}"/>
    <cellStyle name="Normal 32 2 7" xfId="3024" xr:uid="{00000000-0005-0000-0000-0000832F0000}"/>
    <cellStyle name="Normal 32 2 7 2" xfId="9768" xr:uid="{00000000-0005-0000-0000-0000842F0000}"/>
    <cellStyle name="Normal 32 2 7 2 2" xfId="18518" xr:uid="{00000000-0005-0000-0000-0000852F0000}"/>
    <cellStyle name="Normal 32 2 7 3" xfId="8166" xr:uid="{00000000-0005-0000-0000-0000862F0000}"/>
    <cellStyle name="Normal 32 2 7 3 2" xfId="16919" xr:uid="{00000000-0005-0000-0000-0000872F0000}"/>
    <cellStyle name="Normal 32 2 7 4" xfId="11378" xr:uid="{00000000-0005-0000-0000-0000882F0000}"/>
    <cellStyle name="Normal 32 2 7 4 2" xfId="20065" xr:uid="{00000000-0005-0000-0000-0000892F0000}"/>
    <cellStyle name="Normal 32 2 7 5" xfId="12985" xr:uid="{00000000-0005-0000-0000-00008A2F0000}"/>
    <cellStyle name="Normal 32 2 7 5 2" xfId="21665" xr:uid="{00000000-0005-0000-0000-00008B2F0000}"/>
    <cellStyle name="Normal 32 2 7 6" xfId="15159" xr:uid="{00000000-0005-0000-0000-00008C2F0000}"/>
    <cellStyle name="Normal 32 2 8" xfId="3025" xr:uid="{00000000-0005-0000-0000-00008D2F0000}"/>
    <cellStyle name="Normal 32 2 8 2" xfId="9769" xr:uid="{00000000-0005-0000-0000-00008E2F0000}"/>
    <cellStyle name="Normal 32 2 8 2 2" xfId="18519" xr:uid="{00000000-0005-0000-0000-00008F2F0000}"/>
    <cellStyle name="Normal 32 2 8 3" xfId="8167" xr:uid="{00000000-0005-0000-0000-0000902F0000}"/>
    <cellStyle name="Normal 32 2 8 3 2" xfId="16920" xr:uid="{00000000-0005-0000-0000-0000912F0000}"/>
    <cellStyle name="Normal 32 2 8 4" xfId="11379" xr:uid="{00000000-0005-0000-0000-0000922F0000}"/>
    <cellStyle name="Normal 32 2 8 4 2" xfId="20066" xr:uid="{00000000-0005-0000-0000-0000932F0000}"/>
    <cellStyle name="Normal 32 2 8 5" xfId="12986" xr:uid="{00000000-0005-0000-0000-0000942F0000}"/>
    <cellStyle name="Normal 32 2 8 5 2" xfId="21666" xr:uid="{00000000-0005-0000-0000-0000952F0000}"/>
    <cellStyle name="Normal 32 2 8 6" xfId="15160" xr:uid="{00000000-0005-0000-0000-0000962F0000}"/>
    <cellStyle name="Normal 32 2 9" xfId="3026" xr:uid="{00000000-0005-0000-0000-0000972F0000}"/>
    <cellStyle name="Normal 32 2 9 2" xfId="9770" xr:uid="{00000000-0005-0000-0000-0000982F0000}"/>
    <cellStyle name="Normal 32 2 9 2 2" xfId="18520" xr:uid="{00000000-0005-0000-0000-0000992F0000}"/>
    <cellStyle name="Normal 32 2 9 3" xfId="8168" xr:uid="{00000000-0005-0000-0000-00009A2F0000}"/>
    <cellStyle name="Normal 32 2 9 3 2" xfId="16921" xr:uid="{00000000-0005-0000-0000-00009B2F0000}"/>
    <cellStyle name="Normal 32 2 9 4" xfId="11380" xr:uid="{00000000-0005-0000-0000-00009C2F0000}"/>
    <cellStyle name="Normal 32 2 9 4 2" xfId="20067" xr:uid="{00000000-0005-0000-0000-00009D2F0000}"/>
    <cellStyle name="Normal 32 2 9 5" xfId="12987" xr:uid="{00000000-0005-0000-0000-00009E2F0000}"/>
    <cellStyle name="Normal 32 2 9 5 2" xfId="21667" xr:uid="{00000000-0005-0000-0000-00009F2F0000}"/>
    <cellStyle name="Normal 32 2 9 6" xfId="15161" xr:uid="{00000000-0005-0000-0000-0000A02F0000}"/>
    <cellStyle name="Normal 32 3" xfId="3027" xr:uid="{00000000-0005-0000-0000-0000A12F0000}"/>
    <cellStyle name="Normal 32 3 2" xfId="3028" xr:uid="{00000000-0005-0000-0000-0000A22F0000}"/>
    <cellStyle name="Normal 32 3 2 2" xfId="9772" xr:uid="{00000000-0005-0000-0000-0000A32F0000}"/>
    <cellStyle name="Normal 32 3 2 2 2" xfId="18522" xr:uid="{00000000-0005-0000-0000-0000A42F0000}"/>
    <cellStyle name="Normal 32 3 2 3" xfId="8170" xr:uid="{00000000-0005-0000-0000-0000A52F0000}"/>
    <cellStyle name="Normal 32 3 2 3 2" xfId="16923" xr:uid="{00000000-0005-0000-0000-0000A62F0000}"/>
    <cellStyle name="Normal 32 3 2 4" xfId="11382" xr:uid="{00000000-0005-0000-0000-0000A72F0000}"/>
    <cellStyle name="Normal 32 3 2 4 2" xfId="20069" xr:uid="{00000000-0005-0000-0000-0000A82F0000}"/>
    <cellStyle name="Normal 32 3 2 5" xfId="12989" xr:uid="{00000000-0005-0000-0000-0000A92F0000}"/>
    <cellStyle name="Normal 32 3 2 5 2" xfId="21669" xr:uid="{00000000-0005-0000-0000-0000AA2F0000}"/>
    <cellStyle name="Normal 32 3 2 6" xfId="15163" xr:uid="{00000000-0005-0000-0000-0000AB2F0000}"/>
    <cellStyle name="Normal 32 3 3" xfId="3029" xr:uid="{00000000-0005-0000-0000-0000AC2F0000}"/>
    <cellStyle name="Normal 32 3 3 2" xfId="9773" xr:uid="{00000000-0005-0000-0000-0000AD2F0000}"/>
    <cellStyle name="Normal 32 3 3 2 2" xfId="18523" xr:uid="{00000000-0005-0000-0000-0000AE2F0000}"/>
    <cellStyle name="Normal 32 3 3 3" xfId="8171" xr:uid="{00000000-0005-0000-0000-0000AF2F0000}"/>
    <cellStyle name="Normal 32 3 3 3 2" xfId="16924" xr:uid="{00000000-0005-0000-0000-0000B02F0000}"/>
    <cellStyle name="Normal 32 3 3 4" xfId="11383" xr:uid="{00000000-0005-0000-0000-0000B12F0000}"/>
    <cellStyle name="Normal 32 3 3 4 2" xfId="20070" xr:uid="{00000000-0005-0000-0000-0000B22F0000}"/>
    <cellStyle name="Normal 32 3 3 5" xfId="12990" xr:uid="{00000000-0005-0000-0000-0000B32F0000}"/>
    <cellStyle name="Normal 32 3 3 5 2" xfId="21670" xr:uid="{00000000-0005-0000-0000-0000B42F0000}"/>
    <cellStyle name="Normal 32 3 3 6" xfId="15164" xr:uid="{00000000-0005-0000-0000-0000B52F0000}"/>
    <cellStyle name="Normal 32 3 4" xfId="3030" xr:uid="{00000000-0005-0000-0000-0000B62F0000}"/>
    <cellStyle name="Normal 32 3 4 2" xfId="9774" xr:uid="{00000000-0005-0000-0000-0000B72F0000}"/>
    <cellStyle name="Normal 32 3 4 2 2" xfId="18524" xr:uid="{00000000-0005-0000-0000-0000B82F0000}"/>
    <cellStyle name="Normal 32 3 4 3" xfId="8172" xr:uid="{00000000-0005-0000-0000-0000B92F0000}"/>
    <cellStyle name="Normal 32 3 4 3 2" xfId="16925" xr:uid="{00000000-0005-0000-0000-0000BA2F0000}"/>
    <cellStyle name="Normal 32 3 4 4" xfId="11384" xr:uid="{00000000-0005-0000-0000-0000BB2F0000}"/>
    <cellStyle name="Normal 32 3 4 4 2" xfId="20071" xr:uid="{00000000-0005-0000-0000-0000BC2F0000}"/>
    <cellStyle name="Normal 32 3 4 5" xfId="12991" xr:uid="{00000000-0005-0000-0000-0000BD2F0000}"/>
    <cellStyle name="Normal 32 3 4 5 2" xfId="21671" xr:uid="{00000000-0005-0000-0000-0000BE2F0000}"/>
    <cellStyle name="Normal 32 3 4 6" xfId="15165" xr:uid="{00000000-0005-0000-0000-0000BF2F0000}"/>
    <cellStyle name="Normal 32 3 5" xfId="9771" xr:uid="{00000000-0005-0000-0000-0000C02F0000}"/>
    <cellStyle name="Normal 32 3 5 2" xfId="18521" xr:uid="{00000000-0005-0000-0000-0000C12F0000}"/>
    <cellStyle name="Normal 32 3 6" xfId="8169" xr:uid="{00000000-0005-0000-0000-0000C22F0000}"/>
    <cellStyle name="Normal 32 3 6 2" xfId="16922" xr:uid="{00000000-0005-0000-0000-0000C32F0000}"/>
    <cellStyle name="Normal 32 3 7" xfId="11381" xr:uid="{00000000-0005-0000-0000-0000C42F0000}"/>
    <cellStyle name="Normal 32 3 7 2" xfId="20068" xr:uid="{00000000-0005-0000-0000-0000C52F0000}"/>
    <cellStyle name="Normal 32 3 8" xfId="12988" xr:uid="{00000000-0005-0000-0000-0000C62F0000}"/>
    <cellStyle name="Normal 32 3 8 2" xfId="21668" xr:uid="{00000000-0005-0000-0000-0000C72F0000}"/>
    <cellStyle name="Normal 32 3 9" xfId="15162" xr:uid="{00000000-0005-0000-0000-0000C82F0000}"/>
    <cellStyle name="Normal 32 4" xfId="3031" xr:uid="{00000000-0005-0000-0000-0000C92F0000}"/>
    <cellStyle name="Normal 33" xfId="3032" xr:uid="{00000000-0005-0000-0000-0000CA2F0000}"/>
    <cellStyle name="Normal 33 2" xfId="3033" xr:uid="{00000000-0005-0000-0000-0000CB2F0000}"/>
    <cellStyle name="Normal 33 2 2" xfId="3034" xr:uid="{00000000-0005-0000-0000-0000CC2F0000}"/>
    <cellStyle name="Normal 33 2 2 2" xfId="9776" xr:uid="{00000000-0005-0000-0000-0000CD2F0000}"/>
    <cellStyle name="Normal 33 2 2 2 2" xfId="18526" xr:uid="{00000000-0005-0000-0000-0000CE2F0000}"/>
    <cellStyle name="Normal 33 2 2 3" xfId="8174" xr:uid="{00000000-0005-0000-0000-0000CF2F0000}"/>
    <cellStyle name="Normal 33 2 2 3 2" xfId="16927" xr:uid="{00000000-0005-0000-0000-0000D02F0000}"/>
    <cellStyle name="Normal 33 2 2 4" xfId="11386" xr:uid="{00000000-0005-0000-0000-0000D12F0000}"/>
    <cellStyle name="Normal 33 2 2 4 2" xfId="20073" xr:uid="{00000000-0005-0000-0000-0000D22F0000}"/>
    <cellStyle name="Normal 33 2 2 5" xfId="12993" xr:uid="{00000000-0005-0000-0000-0000D32F0000}"/>
    <cellStyle name="Normal 33 2 2 5 2" xfId="21673" xr:uid="{00000000-0005-0000-0000-0000D42F0000}"/>
    <cellStyle name="Normal 33 2 2 6" xfId="15167" xr:uid="{00000000-0005-0000-0000-0000D52F0000}"/>
    <cellStyle name="Normal 33 2 3" xfId="3035" xr:uid="{00000000-0005-0000-0000-0000D62F0000}"/>
    <cellStyle name="Normal 33 2 3 2" xfId="9777" xr:uid="{00000000-0005-0000-0000-0000D72F0000}"/>
    <cellStyle name="Normal 33 2 3 2 2" xfId="18527" xr:uid="{00000000-0005-0000-0000-0000D82F0000}"/>
    <cellStyle name="Normal 33 2 3 3" xfId="8175" xr:uid="{00000000-0005-0000-0000-0000D92F0000}"/>
    <cellStyle name="Normal 33 2 3 3 2" xfId="16928" xr:uid="{00000000-0005-0000-0000-0000DA2F0000}"/>
    <cellStyle name="Normal 33 2 3 4" xfId="11387" xr:uid="{00000000-0005-0000-0000-0000DB2F0000}"/>
    <cellStyle name="Normal 33 2 3 4 2" xfId="20074" xr:uid="{00000000-0005-0000-0000-0000DC2F0000}"/>
    <cellStyle name="Normal 33 2 3 5" xfId="12994" xr:uid="{00000000-0005-0000-0000-0000DD2F0000}"/>
    <cellStyle name="Normal 33 2 3 5 2" xfId="21674" xr:uid="{00000000-0005-0000-0000-0000DE2F0000}"/>
    <cellStyle name="Normal 33 2 3 6" xfId="15168" xr:uid="{00000000-0005-0000-0000-0000DF2F0000}"/>
    <cellStyle name="Normal 33 2 4" xfId="3036" xr:uid="{00000000-0005-0000-0000-0000E02F0000}"/>
    <cellStyle name="Normal 33 2 4 2" xfId="9778" xr:uid="{00000000-0005-0000-0000-0000E12F0000}"/>
    <cellStyle name="Normal 33 2 4 2 2" xfId="18528" xr:uid="{00000000-0005-0000-0000-0000E22F0000}"/>
    <cellStyle name="Normal 33 2 4 3" xfId="8176" xr:uid="{00000000-0005-0000-0000-0000E32F0000}"/>
    <cellStyle name="Normal 33 2 4 3 2" xfId="16929" xr:uid="{00000000-0005-0000-0000-0000E42F0000}"/>
    <cellStyle name="Normal 33 2 4 4" xfId="11388" xr:uid="{00000000-0005-0000-0000-0000E52F0000}"/>
    <cellStyle name="Normal 33 2 4 4 2" xfId="20075" xr:uid="{00000000-0005-0000-0000-0000E62F0000}"/>
    <cellStyle name="Normal 33 2 4 5" xfId="12995" xr:uid="{00000000-0005-0000-0000-0000E72F0000}"/>
    <cellStyle name="Normal 33 2 4 5 2" xfId="21675" xr:uid="{00000000-0005-0000-0000-0000E82F0000}"/>
    <cellStyle name="Normal 33 2 4 6" xfId="15169" xr:uid="{00000000-0005-0000-0000-0000E92F0000}"/>
    <cellStyle name="Normal 33 2 5" xfId="9775" xr:uid="{00000000-0005-0000-0000-0000EA2F0000}"/>
    <cellStyle name="Normal 33 2 5 2" xfId="18525" xr:uid="{00000000-0005-0000-0000-0000EB2F0000}"/>
    <cellStyle name="Normal 33 2 6" xfId="8173" xr:uid="{00000000-0005-0000-0000-0000EC2F0000}"/>
    <cellStyle name="Normal 33 2 6 2" xfId="16926" xr:uid="{00000000-0005-0000-0000-0000ED2F0000}"/>
    <cellStyle name="Normal 33 2 7" xfId="11385" xr:uid="{00000000-0005-0000-0000-0000EE2F0000}"/>
    <cellStyle name="Normal 33 2 7 2" xfId="20072" xr:uid="{00000000-0005-0000-0000-0000EF2F0000}"/>
    <cellStyle name="Normal 33 2 8" xfId="12992" xr:uid="{00000000-0005-0000-0000-0000F02F0000}"/>
    <cellStyle name="Normal 33 2 8 2" xfId="21672" xr:uid="{00000000-0005-0000-0000-0000F12F0000}"/>
    <cellStyle name="Normal 33 2 9" xfId="15166" xr:uid="{00000000-0005-0000-0000-0000F22F0000}"/>
    <cellStyle name="Normal 33 3" xfId="3037" xr:uid="{00000000-0005-0000-0000-0000F32F0000}"/>
    <cellStyle name="Normal 34" xfId="3038" xr:uid="{00000000-0005-0000-0000-0000F42F0000}"/>
    <cellStyle name="Normal 34 2" xfId="3039" xr:uid="{00000000-0005-0000-0000-0000F52F0000}"/>
    <cellStyle name="Normal 34 2 2" xfId="3040" xr:uid="{00000000-0005-0000-0000-0000F62F0000}"/>
    <cellStyle name="Normal 34 2 2 2" xfId="9780" xr:uid="{00000000-0005-0000-0000-0000F72F0000}"/>
    <cellStyle name="Normal 34 2 2 2 2" xfId="18530" xr:uid="{00000000-0005-0000-0000-0000F82F0000}"/>
    <cellStyle name="Normal 34 2 2 3" xfId="8178" xr:uid="{00000000-0005-0000-0000-0000F92F0000}"/>
    <cellStyle name="Normal 34 2 2 3 2" xfId="16931" xr:uid="{00000000-0005-0000-0000-0000FA2F0000}"/>
    <cellStyle name="Normal 34 2 2 4" xfId="11390" xr:uid="{00000000-0005-0000-0000-0000FB2F0000}"/>
    <cellStyle name="Normal 34 2 2 4 2" xfId="20077" xr:uid="{00000000-0005-0000-0000-0000FC2F0000}"/>
    <cellStyle name="Normal 34 2 2 5" xfId="12997" xr:uid="{00000000-0005-0000-0000-0000FD2F0000}"/>
    <cellStyle name="Normal 34 2 2 5 2" xfId="21677" xr:uid="{00000000-0005-0000-0000-0000FE2F0000}"/>
    <cellStyle name="Normal 34 2 2 6" xfId="15171" xr:uid="{00000000-0005-0000-0000-0000FF2F0000}"/>
    <cellStyle name="Normal 34 2 3" xfId="3041" xr:uid="{00000000-0005-0000-0000-000000300000}"/>
    <cellStyle name="Normal 34 2 3 2" xfId="9781" xr:uid="{00000000-0005-0000-0000-000001300000}"/>
    <cellStyle name="Normal 34 2 3 2 2" xfId="18531" xr:uid="{00000000-0005-0000-0000-000002300000}"/>
    <cellStyle name="Normal 34 2 3 3" xfId="8179" xr:uid="{00000000-0005-0000-0000-000003300000}"/>
    <cellStyle name="Normal 34 2 3 3 2" xfId="16932" xr:uid="{00000000-0005-0000-0000-000004300000}"/>
    <cellStyle name="Normal 34 2 3 4" xfId="11391" xr:uid="{00000000-0005-0000-0000-000005300000}"/>
    <cellStyle name="Normal 34 2 3 4 2" xfId="20078" xr:uid="{00000000-0005-0000-0000-000006300000}"/>
    <cellStyle name="Normal 34 2 3 5" xfId="12998" xr:uid="{00000000-0005-0000-0000-000007300000}"/>
    <cellStyle name="Normal 34 2 3 5 2" xfId="21678" xr:uid="{00000000-0005-0000-0000-000008300000}"/>
    <cellStyle name="Normal 34 2 3 6" xfId="15172" xr:uid="{00000000-0005-0000-0000-000009300000}"/>
    <cellStyle name="Normal 34 2 4" xfId="3042" xr:uid="{00000000-0005-0000-0000-00000A300000}"/>
    <cellStyle name="Normal 34 2 4 2" xfId="9782" xr:uid="{00000000-0005-0000-0000-00000B300000}"/>
    <cellStyle name="Normal 34 2 4 2 2" xfId="18532" xr:uid="{00000000-0005-0000-0000-00000C300000}"/>
    <cellStyle name="Normal 34 2 4 3" xfId="8180" xr:uid="{00000000-0005-0000-0000-00000D300000}"/>
    <cellStyle name="Normal 34 2 4 3 2" xfId="16933" xr:uid="{00000000-0005-0000-0000-00000E300000}"/>
    <cellStyle name="Normal 34 2 4 4" xfId="11392" xr:uid="{00000000-0005-0000-0000-00000F300000}"/>
    <cellStyle name="Normal 34 2 4 4 2" xfId="20079" xr:uid="{00000000-0005-0000-0000-000010300000}"/>
    <cellStyle name="Normal 34 2 4 5" xfId="12999" xr:uid="{00000000-0005-0000-0000-000011300000}"/>
    <cellStyle name="Normal 34 2 4 5 2" xfId="21679" xr:uid="{00000000-0005-0000-0000-000012300000}"/>
    <cellStyle name="Normal 34 2 4 6" xfId="15173" xr:uid="{00000000-0005-0000-0000-000013300000}"/>
    <cellStyle name="Normal 34 2 5" xfId="9779" xr:uid="{00000000-0005-0000-0000-000014300000}"/>
    <cellStyle name="Normal 34 2 5 2" xfId="18529" xr:uid="{00000000-0005-0000-0000-000015300000}"/>
    <cellStyle name="Normal 34 2 6" xfId="8177" xr:uid="{00000000-0005-0000-0000-000016300000}"/>
    <cellStyle name="Normal 34 2 6 2" xfId="16930" xr:uid="{00000000-0005-0000-0000-000017300000}"/>
    <cellStyle name="Normal 34 2 7" xfId="11389" xr:uid="{00000000-0005-0000-0000-000018300000}"/>
    <cellStyle name="Normal 34 2 7 2" xfId="20076" xr:uid="{00000000-0005-0000-0000-000019300000}"/>
    <cellStyle name="Normal 34 2 8" xfId="12996" xr:uid="{00000000-0005-0000-0000-00001A300000}"/>
    <cellStyle name="Normal 34 2 8 2" xfId="21676" xr:uid="{00000000-0005-0000-0000-00001B300000}"/>
    <cellStyle name="Normal 34 2 9" xfId="15170" xr:uid="{00000000-0005-0000-0000-00001C300000}"/>
    <cellStyle name="Normal 34 3" xfId="3043" xr:uid="{00000000-0005-0000-0000-00001D300000}"/>
    <cellStyle name="Normal 35" xfId="3044" xr:uid="{00000000-0005-0000-0000-00001E300000}"/>
    <cellStyle name="Normal 35 2" xfId="3045" xr:uid="{00000000-0005-0000-0000-00001F300000}"/>
    <cellStyle name="Normal 35 2 10" xfId="13000" xr:uid="{00000000-0005-0000-0000-000020300000}"/>
    <cellStyle name="Normal 35 2 10 2" xfId="21680" xr:uid="{00000000-0005-0000-0000-000021300000}"/>
    <cellStyle name="Normal 35 2 11" xfId="15174" xr:uid="{00000000-0005-0000-0000-000022300000}"/>
    <cellStyle name="Normal 35 2 2" xfId="3046" xr:uid="{00000000-0005-0000-0000-000023300000}"/>
    <cellStyle name="Normal 35 2 2 2" xfId="3047" xr:uid="{00000000-0005-0000-0000-000024300000}"/>
    <cellStyle name="Normal 35 2 2 2 2" xfId="9785" xr:uid="{00000000-0005-0000-0000-000025300000}"/>
    <cellStyle name="Normal 35 2 2 2 2 2" xfId="18535" xr:uid="{00000000-0005-0000-0000-000026300000}"/>
    <cellStyle name="Normal 35 2 2 2 3" xfId="8183" xr:uid="{00000000-0005-0000-0000-000027300000}"/>
    <cellStyle name="Normal 35 2 2 2 3 2" xfId="16936" xr:uid="{00000000-0005-0000-0000-000028300000}"/>
    <cellStyle name="Normal 35 2 2 2 4" xfId="11395" xr:uid="{00000000-0005-0000-0000-000029300000}"/>
    <cellStyle name="Normal 35 2 2 2 4 2" xfId="20082" xr:uid="{00000000-0005-0000-0000-00002A300000}"/>
    <cellStyle name="Normal 35 2 2 2 5" xfId="13002" xr:uid="{00000000-0005-0000-0000-00002B300000}"/>
    <cellStyle name="Normal 35 2 2 2 5 2" xfId="21682" xr:uid="{00000000-0005-0000-0000-00002C300000}"/>
    <cellStyle name="Normal 35 2 2 2 6" xfId="15176" xr:uid="{00000000-0005-0000-0000-00002D300000}"/>
    <cellStyle name="Normal 35 2 2 3" xfId="3048" xr:uid="{00000000-0005-0000-0000-00002E300000}"/>
    <cellStyle name="Normal 35 2 2 3 2" xfId="9786" xr:uid="{00000000-0005-0000-0000-00002F300000}"/>
    <cellStyle name="Normal 35 2 2 3 2 2" xfId="18536" xr:uid="{00000000-0005-0000-0000-000030300000}"/>
    <cellStyle name="Normal 35 2 2 3 3" xfId="8184" xr:uid="{00000000-0005-0000-0000-000031300000}"/>
    <cellStyle name="Normal 35 2 2 3 3 2" xfId="16937" xr:uid="{00000000-0005-0000-0000-000032300000}"/>
    <cellStyle name="Normal 35 2 2 3 4" xfId="11396" xr:uid="{00000000-0005-0000-0000-000033300000}"/>
    <cellStyle name="Normal 35 2 2 3 4 2" xfId="20083" xr:uid="{00000000-0005-0000-0000-000034300000}"/>
    <cellStyle name="Normal 35 2 2 3 5" xfId="13003" xr:uid="{00000000-0005-0000-0000-000035300000}"/>
    <cellStyle name="Normal 35 2 2 3 5 2" xfId="21683" xr:uid="{00000000-0005-0000-0000-000036300000}"/>
    <cellStyle name="Normal 35 2 2 3 6" xfId="15177" xr:uid="{00000000-0005-0000-0000-000037300000}"/>
    <cellStyle name="Normal 35 2 2 4" xfId="3049" xr:uid="{00000000-0005-0000-0000-000038300000}"/>
    <cellStyle name="Normal 35 2 2 4 2" xfId="9787" xr:uid="{00000000-0005-0000-0000-000039300000}"/>
    <cellStyle name="Normal 35 2 2 4 2 2" xfId="18537" xr:uid="{00000000-0005-0000-0000-00003A300000}"/>
    <cellStyle name="Normal 35 2 2 4 3" xfId="8185" xr:uid="{00000000-0005-0000-0000-00003B300000}"/>
    <cellStyle name="Normal 35 2 2 4 3 2" xfId="16938" xr:uid="{00000000-0005-0000-0000-00003C300000}"/>
    <cellStyle name="Normal 35 2 2 4 4" xfId="11397" xr:uid="{00000000-0005-0000-0000-00003D300000}"/>
    <cellStyle name="Normal 35 2 2 4 4 2" xfId="20084" xr:uid="{00000000-0005-0000-0000-00003E300000}"/>
    <cellStyle name="Normal 35 2 2 4 5" xfId="13004" xr:uid="{00000000-0005-0000-0000-00003F300000}"/>
    <cellStyle name="Normal 35 2 2 4 5 2" xfId="21684" xr:uid="{00000000-0005-0000-0000-000040300000}"/>
    <cellStyle name="Normal 35 2 2 4 6" xfId="15178" xr:uid="{00000000-0005-0000-0000-000041300000}"/>
    <cellStyle name="Normal 35 2 2 5" xfId="9784" xr:uid="{00000000-0005-0000-0000-000042300000}"/>
    <cellStyle name="Normal 35 2 2 5 2" xfId="18534" xr:uid="{00000000-0005-0000-0000-000043300000}"/>
    <cellStyle name="Normal 35 2 2 6" xfId="8182" xr:uid="{00000000-0005-0000-0000-000044300000}"/>
    <cellStyle name="Normal 35 2 2 6 2" xfId="16935" xr:uid="{00000000-0005-0000-0000-000045300000}"/>
    <cellStyle name="Normal 35 2 2 7" xfId="11394" xr:uid="{00000000-0005-0000-0000-000046300000}"/>
    <cellStyle name="Normal 35 2 2 7 2" xfId="20081" xr:uid="{00000000-0005-0000-0000-000047300000}"/>
    <cellStyle name="Normal 35 2 2 8" xfId="13001" xr:uid="{00000000-0005-0000-0000-000048300000}"/>
    <cellStyle name="Normal 35 2 2 8 2" xfId="21681" xr:uid="{00000000-0005-0000-0000-000049300000}"/>
    <cellStyle name="Normal 35 2 2 9" xfId="15175" xr:uid="{00000000-0005-0000-0000-00004A300000}"/>
    <cellStyle name="Normal 35 2 3" xfId="3050" xr:uid="{00000000-0005-0000-0000-00004B300000}"/>
    <cellStyle name="Normal 35 2 3 2" xfId="3051" xr:uid="{00000000-0005-0000-0000-00004C300000}"/>
    <cellStyle name="Normal 35 2 3 2 2" xfId="9789" xr:uid="{00000000-0005-0000-0000-00004D300000}"/>
    <cellStyle name="Normal 35 2 3 2 2 2" xfId="18539" xr:uid="{00000000-0005-0000-0000-00004E300000}"/>
    <cellStyle name="Normal 35 2 3 2 3" xfId="8187" xr:uid="{00000000-0005-0000-0000-00004F300000}"/>
    <cellStyle name="Normal 35 2 3 2 3 2" xfId="16940" xr:uid="{00000000-0005-0000-0000-000050300000}"/>
    <cellStyle name="Normal 35 2 3 2 4" xfId="11399" xr:uid="{00000000-0005-0000-0000-000051300000}"/>
    <cellStyle name="Normal 35 2 3 2 4 2" xfId="20086" xr:uid="{00000000-0005-0000-0000-000052300000}"/>
    <cellStyle name="Normal 35 2 3 2 5" xfId="13006" xr:uid="{00000000-0005-0000-0000-000053300000}"/>
    <cellStyle name="Normal 35 2 3 2 5 2" xfId="21686" xr:uid="{00000000-0005-0000-0000-000054300000}"/>
    <cellStyle name="Normal 35 2 3 2 6" xfId="15180" xr:uid="{00000000-0005-0000-0000-000055300000}"/>
    <cellStyle name="Normal 35 2 3 3" xfId="3052" xr:uid="{00000000-0005-0000-0000-000056300000}"/>
    <cellStyle name="Normal 35 2 3 3 2" xfId="9790" xr:uid="{00000000-0005-0000-0000-000057300000}"/>
    <cellStyle name="Normal 35 2 3 3 2 2" xfId="18540" xr:uid="{00000000-0005-0000-0000-000058300000}"/>
    <cellStyle name="Normal 35 2 3 3 3" xfId="8188" xr:uid="{00000000-0005-0000-0000-000059300000}"/>
    <cellStyle name="Normal 35 2 3 3 3 2" xfId="16941" xr:uid="{00000000-0005-0000-0000-00005A300000}"/>
    <cellStyle name="Normal 35 2 3 3 4" xfId="11400" xr:uid="{00000000-0005-0000-0000-00005B300000}"/>
    <cellStyle name="Normal 35 2 3 3 4 2" xfId="20087" xr:uid="{00000000-0005-0000-0000-00005C300000}"/>
    <cellStyle name="Normal 35 2 3 3 5" xfId="13007" xr:uid="{00000000-0005-0000-0000-00005D300000}"/>
    <cellStyle name="Normal 35 2 3 3 5 2" xfId="21687" xr:uid="{00000000-0005-0000-0000-00005E300000}"/>
    <cellStyle name="Normal 35 2 3 3 6" xfId="15181" xr:uid="{00000000-0005-0000-0000-00005F300000}"/>
    <cellStyle name="Normal 35 2 3 4" xfId="3053" xr:uid="{00000000-0005-0000-0000-000060300000}"/>
    <cellStyle name="Normal 35 2 3 4 2" xfId="9791" xr:uid="{00000000-0005-0000-0000-000061300000}"/>
    <cellStyle name="Normal 35 2 3 4 2 2" xfId="18541" xr:uid="{00000000-0005-0000-0000-000062300000}"/>
    <cellStyle name="Normal 35 2 3 4 3" xfId="8189" xr:uid="{00000000-0005-0000-0000-000063300000}"/>
    <cellStyle name="Normal 35 2 3 4 3 2" xfId="16942" xr:uid="{00000000-0005-0000-0000-000064300000}"/>
    <cellStyle name="Normal 35 2 3 4 4" xfId="11401" xr:uid="{00000000-0005-0000-0000-000065300000}"/>
    <cellStyle name="Normal 35 2 3 4 4 2" xfId="20088" xr:uid="{00000000-0005-0000-0000-000066300000}"/>
    <cellStyle name="Normal 35 2 3 4 5" xfId="13008" xr:uid="{00000000-0005-0000-0000-000067300000}"/>
    <cellStyle name="Normal 35 2 3 4 5 2" xfId="21688" xr:uid="{00000000-0005-0000-0000-000068300000}"/>
    <cellStyle name="Normal 35 2 3 4 6" xfId="15182" xr:uid="{00000000-0005-0000-0000-000069300000}"/>
    <cellStyle name="Normal 35 2 3 5" xfId="9788" xr:uid="{00000000-0005-0000-0000-00006A300000}"/>
    <cellStyle name="Normal 35 2 3 5 2" xfId="18538" xr:uid="{00000000-0005-0000-0000-00006B300000}"/>
    <cellStyle name="Normal 35 2 3 6" xfId="8186" xr:uid="{00000000-0005-0000-0000-00006C300000}"/>
    <cellStyle name="Normal 35 2 3 6 2" xfId="16939" xr:uid="{00000000-0005-0000-0000-00006D300000}"/>
    <cellStyle name="Normal 35 2 3 7" xfId="11398" xr:uid="{00000000-0005-0000-0000-00006E300000}"/>
    <cellStyle name="Normal 35 2 3 7 2" xfId="20085" xr:uid="{00000000-0005-0000-0000-00006F300000}"/>
    <cellStyle name="Normal 35 2 3 8" xfId="13005" xr:uid="{00000000-0005-0000-0000-000070300000}"/>
    <cellStyle name="Normal 35 2 3 8 2" xfId="21685" xr:uid="{00000000-0005-0000-0000-000071300000}"/>
    <cellStyle name="Normal 35 2 3 9" xfId="15179" xr:uid="{00000000-0005-0000-0000-000072300000}"/>
    <cellStyle name="Normal 35 2 4" xfId="3054" xr:uid="{00000000-0005-0000-0000-000073300000}"/>
    <cellStyle name="Normal 35 2 4 2" xfId="9792" xr:uid="{00000000-0005-0000-0000-000074300000}"/>
    <cellStyle name="Normal 35 2 4 2 2" xfId="18542" xr:uid="{00000000-0005-0000-0000-000075300000}"/>
    <cellStyle name="Normal 35 2 4 3" xfId="8190" xr:uid="{00000000-0005-0000-0000-000076300000}"/>
    <cellStyle name="Normal 35 2 4 3 2" xfId="16943" xr:uid="{00000000-0005-0000-0000-000077300000}"/>
    <cellStyle name="Normal 35 2 4 4" xfId="11402" xr:uid="{00000000-0005-0000-0000-000078300000}"/>
    <cellStyle name="Normal 35 2 4 4 2" xfId="20089" xr:uid="{00000000-0005-0000-0000-000079300000}"/>
    <cellStyle name="Normal 35 2 4 5" xfId="13009" xr:uid="{00000000-0005-0000-0000-00007A300000}"/>
    <cellStyle name="Normal 35 2 4 5 2" xfId="21689" xr:uid="{00000000-0005-0000-0000-00007B300000}"/>
    <cellStyle name="Normal 35 2 4 6" xfId="15183" xr:uid="{00000000-0005-0000-0000-00007C300000}"/>
    <cellStyle name="Normal 35 2 5" xfId="3055" xr:uid="{00000000-0005-0000-0000-00007D300000}"/>
    <cellStyle name="Normal 35 2 5 2" xfId="9793" xr:uid="{00000000-0005-0000-0000-00007E300000}"/>
    <cellStyle name="Normal 35 2 5 2 2" xfId="18543" xr:uid="{00000000-0005-0000-0000-00007F300000}"/>
    <cellStyle name="Normal 35 2 5 3" xfId="8191" xr:uid="{00000000-0005-0000-0000-000080300000}"/>
    <cellStyle name="Normal 35 2 5 3 2" xfId="16944" xr:uid="{00000000-0005-0000-0000-000081300000}"/>
    <cellStyle name="Normal 35 2 5 4" xfId="11403" xr:uid="{00000000-0005-0000-0000-000082300000}"/>
    <cellStyle name="Normal 35 2 5 4 2" xfId="20090" xr:uid="{00000000-0005-0000-0000-000083300000}"/>
    <cellStyle name="Normal 35 2 5 5" xfId="13010" xr:uid="{00000000-0005-0000-0000-000084300000}"/>
    <cellStyle name="Normal 35 2 5 5 2" xfId="21690" xr:uid="{00000000-0005-0000-0000-000085300000}"/>
    <cellStyle name="Normal 35 2 5 6" xfId="15184" xr:uid="{00000000-0005-0000-0000-000086300000}"/>
    <cellStyle name="Normal 35 2 6" xfId="3056" xr:uid="{00000000-0005-0000-0000-000087300000}"/>
    <cellStyle name="Normal 35 2 6 2" xfId="9794" xr:uid="{00000000-0005-0000-0000-000088300000}"/>
    <cellStyle name="Normal 35 2 6 2 2" xfId="18544" xr:uid="{00000000-0005-0000-0000-000089300000}"/>
    <cellStyle name="Normal 35 2 6 3" xfId="8192" xr:uid="{00000000-0005-0000-0000-00008A300000}"/>
    <cellStyle name="Normal 35 2 6 3 2" xfId="16945" xr:uid="{00000000-0005-0000-0000-00008B300000}"/>
    <cellStyle name="Normal 35 2 6 4" xfId="11404" xr:uid="{00000000-0005-0000-0000-00008C300000}"/>
    <cellStyle name="Normal 35 2 6 4 2" xfId="20091" xr:uid="{00000000-0005-0000-0000-00008D300000}"/>
    <cellStyle name="Normal 35 2 6 5" xfId="13011" xr:uid="{00000000-0005-0000-0000-00008E300000}"/>
    <cellStyle name="Normal 35 2 6 5 2" xfId="21691" xr:uid="{00000000-0005-0000-0000-00008F300000}"/>
    <cellStyle name="Normal 35 2 6 6" xfId="15185" xr:uid="{00000000-0005-0000-0000-000090300000}"/>
    <cellStyle name="Normal 35 2 7" xfId="9783" xr:uid="{00000000-0005-0000-0000-000091300000}"/>
    <cellStyle name="Normal 35 2 7 2" xfId="18533" xr:uid="{00000000-0005-0000-0000-000092300000}"/>
    <cellStyle name="Normal 35 2 8" xfId="8181" xr:uid="{00000000-0005-0000-0000-000093300000}"/>
    <cellStyle name="Normal 35 2 8 2" xfId="16934" xr:uid="{00000000-0005-0000-0000-000094300000}"/>
    <cellStyle name="Normal 35 2 9" xfId="11393" xr:uid="{00000000-0005-0000-0000-000095300000}"/>
    <cellStyle name="Normal 35 2 9 2" xfId="20080" xr:uid="{00000000-0005-0000-0000-000096300000}"/>
    <cellStyle name="Normal 35 3" xfId="3057" xr:uid="{00000000-0005-0000-0000-000097300000}"/>
    <cellStyle name="Normal 35 3 2" xfId="3058" xr:uid="{00000000-0005-0000-0000-000098300000}"/>
    <cellStyle name="Normal 35 3 2 2" xfId="9796" xr:uid="{00000000-0005-0000-0000-000099300000}"/>
    <cellStyle name="Normal 35 3 2 2 2" xfId="18546" xr:uid="{00000000-0005-0000-0000-00009A300000}"/>
    <cellStyle name="Normal 35 3 2 3" xfId="8194" xr:uid="{00000000-0005-0000-0000-00009B300000}"/>
    <cellStyle name="Normal 35 3 2 3 2" xfId="16947" xr:uid="{00000000-0005-0000-0000-00009C300000}"/>
    <cellStyle name="Normal 35 3 2 4" xfId="11406" xr:uid="{00000000-0005-0000-0000-00009D300000}"/>
    <cellStyle name="Normal 35 3 2 4 2" xfId="20093" xr:uid="{00000000-0005-0000-0000-00009E300000}"/>
    <cellStyle name="Normal 35 3 2 5" xfId="13013" xr:uid="{00000000-0005-0000-0000-00009F300000}"/>
    <cellStyle name="Normal 35 3 2 5 2" xfId="21693" xr:uid="{00000000-0005-0000-0000-0000A0300000}"/>
    <cellStyle name="Normal 35 3 2 6" xfId="15187" xr:uid="{00000000-0005-0000-0000-0000A1300000}"/>
    <cellStyle name="Normal 35 3 3" xfId="3059" xr:uid="{00000000-0005-0000-0000-0000A2300000}"/>
    <cellStyle name="Normal 35 3 3 2" xfId="9797" xr:uid="{00000000-0005-0000-0000-0000A3300000}"/>
    <cellStyle name="Normal 35 3 3 2 2" xfId="18547" xr:uid="{00000000-0005-0000-0000-0000A4300000}"/>
    <cellStyle name="Normal 35 3 3 3" xfId="8195" xr:uid="{00000000-0005-0000-0000-0000A5300000}"/>
    <cellStyle name="Normal 35 3 3 3 2" xfId="16948" xr:uid="{00000000-0005-0000-0000-0000A6300000}"/>
    <cellStyle name="Normal 35 3 3 4" xfId="11407" xr:uid="{00000000-0005-0000-0000-0000A7300000}"/>
    <cellStyle name="Normal 35 3 3 4 2" xfId="20094" xr:uid="{00000000-0005-0000-0000-0000A8300000}"/>
    <cellStyle name="Normal 35 3 3 5" xfId="13014" xr:uid="{00000000-0005-0000-0000-0000A9300000}"/>
    <cellStyle name="Normal 35 3 3 5 2" xfId="21694" xr:uid="{00000000-0005-0000-0000-0000AA300000}"/>
    <cellStyle name="Normal 35 3 3 6" xfId="15188" xr:uid="{00000000-0005-0000-0000-0000AB300000}"/>
    <cellStyle name="Normal 35 3 4" xfId="3060" xr:uid="{00000000-0005-0000-0000-0000AC300000}"/>
    <cellStyle name="Normal 35 3 4 2" xfId="9798" xr:uid="{00000000-0005-0000-0000-0000AD300000}"/>
    <cellStyle name="Normal 35 3 4 2 2" xfId="18548" xr:uid="{00000000-0005-0000-0000-0000AE300000}"/>
    <cellStyle name="Normal 35 3 4 3" xfId="8196" xr:uid="{00000000-0005-0000-0000-0000AF300000}"/>
    <cellStyle name="Normal 35 3 4 3 2" xfId="16949" xr:uid="{00000000-0005-0000-0000-0000B0300000}"/>
    <cellStyle name="Normal 35 3 4 4" xfId="11408" xr:uid="{00000000-0005-0000-0000-0000B1300000}"/>
    <cellStyle name="Normal 35 3 4 4 2" xfId="20095" xr:uid="{00000000-0005-0000-0000-0000B2300000}"/>
    <cellStyle name="Normal 35 3 4 5" xfId="13015" xr:uid="{00000000-0005-0000-0000-0000B3300000}"/>
    <cellStyle name="Normal 35 3 4 5 2" xfId="21695" xr:uid="{00000000-0005-0000-0000-0000B4300000}"/>
    <cellStyle name="Normal 35 3 4 6" xfId="15189" xr:uid="{00000000-0005-0000-0000-0000B5300000}"/>
    <cellStyle name="Normal 35 3 5" xfId="9795" xr:uid="{00000000-0005-0000-0000-0000B6300000}"/>
    <cellStyle name="Normal 35 3 5 2" xfId="18545" xr:uid="{00000000-0005-0000-0000-0000B7300000}"/>
    <cellStyle name="Normal 35 3 6" xfId="8193" xr:uid="{00000000-0005-0000-0000-0000B8300000}"/>
    <cellStyle name="Normal 35 3 6 2" xfId="16946" xr:uid="{00000000-0005-0000-0000-0000B9300000}"/>
    <cellStyle name="Normal 35 3 7" xfId="11405" xr:uid="{00000000-0005-0000-0000-0000BA300000}"/>
    <cellStyle name="Normal 35 3 7 2" xfId="20092" xr:uid="{00000000-0005-0000-0000-0000BB300000}"/>
    <cellStyle name="Normal 35 3 8" xfId="13012" xr:uid="{00000000-0005-0000-0000-0000BC300000}"/>
    <cellStyle name="Normal 35 3 8 2" xfId="21692" xr:uid="{00000000-0005-0000-0000-0000BD300000}"/>
    <cellStyle name="Normal 35 3 9" xfId="15186" xr:uid="{00000000-0005-0000-0000-0000BE300000}"/>
    <cellStyle name="Normal 35 4" xfId="3061" xr:uid="{00000000-0005-0000-0000-0000BF300000}"/>
    <cellStyle name="Normal 36" xfId="3062" xr:uid="{00000000-0005-0000-0000-0000C0300000}"/>
    <cellStyle name="Normal 36 2" xfId="3063" xr:uid="{00000000-0005-0000-0000-0000C1300000}"/>
    <cellStyle name="Normal 36 2 10" xfId="13016" xr:uid="{00000000-0005-0000-0000-0000C2300000}"/>
    <cellStyle name="Normal 36 2 10 2" xfId="21696" xr:uid="{00000000-0005-0000-0000-0000C3300000}"/>
    <cellStyle name="Normal 36 2 11" xfId="15190" xr:uid="{00000000-0005-0000-0000-0000C4300000}"/>
    <cellStyle name="Normal 36 2 2" xfId="3064" xr:uid="{00000000-0005-0000-0000-0000C5300000}"/>
    <cellStyle name="Normal 36 2 2 2" xfId="3065" xr:uid="{00000000-0005-0000-0000-0000C6300000}"/>
    <cellStyle name="Normal 36 2 2 2 2" xfId="9801" xr:uid="{00000000-0005-0000-0000-0000C7300000}"/>
    <cellStyle name="Normal 36 2 2 2 2 2" xfId="18551" xr:uid="{00000000-0005-0000-0000-0000C8300000}"/>
    <cellStyle name="Normal 36 2 2 2 3" xfId="8199" xr:uid="{00000000-0005-0000-0000-0000C9300000}"/>
    <cellStyle name="Normal 36 2 2 2 3 2" xfId="16952" xr:uid="{00000000-0005-0000-0000-0000CA300000}"/>
    <cellStyle name="Normal 36 2 2 2 4" xfId="11411" xr:uid="{00000000-0005-0000-0000-0000CB300000}"/>
    <cellStyle name="Normal 36 2 2 2 4 2" xfId="20098" xr:uid="{00000000-0005-0000-0000-0000CC300000}"/>
    <cellStyle name="Normal 36 2 2 2 5" xfId="13018" xr:uid="{00000000-0005-0000-0000-0000CD300000}"/>
    <cellStyle name="Normal 36 2 2 2 5 2" xfId="21698" xr:uid="{00000000-0005-0000-0000-0000CE300000}"/>
    <cellStyle name="Normal 36 2 2 2 6" xfId="15192" xr:uid="{00000000-0005-0000-0000-0000CF300000}"/>
    <cellStyle name="Normal 36 2 2 3" xfId="3066" xr:uid="{00000000-0005-0000-0000-0000D0300000}"/>
    <cellStyle name="Normal 36 2 2 3 2" xfId="9802" xr:uid="{00000000-0005-0000-0000-0000D1300000}"/>
    <cellStyle name="Normal 36 2 2 3 2 2" xfId="18552" xr:uid="{00000000-0005-0000-0000-0000D2300000}"/>
    <cellStyle name="Normal 36 2 2 3 3" xfId="8200" xr:uid="{00000000-0005-0000-0000-0000D3300000}"/>
    <cellStyle name="Normal 36 2 2 3 3 2" xfId="16953" xr:uid="{00000000-0005-0000-0000-0000D4300000}"/>
    <cellStyle name="Normal 36 2 2 3 4" xfId="11412" xr:uid="{00000000-0005-0000-0000-0000D5300000}"/>
    <cellStyle name="Normal 36 2 2 3 4 2" xfId="20099" xr:uid="{00000000-0005-0000-0000-0000D6300000}"/>
    <cellStyle name="Normal 36 2 2 3 5" xfId="13019" xr:uid="{00000000-0005-0000-0000-0000D7300000}"/>
    <cellStyle name="Normal 36 2 2 3 5 2" xfId="21699" xr:uid="{00000000-0005-0000-0000-0000D8300000}"/>
    <cellStyle name="Normal 36 2 2 3 6" xfId="15193" xr:uid="{00000000-0005-0000-0000-0000D9300000}"/>
    <cellStyle name="Normal 36 2 2 4" xfId="3067" xr:uid="{00000000-0005-0000-0000-0000DA300000}"/>
    <cellStyle name="Normal 36 2 2 4 2" xfId="9803" xr:uid="{00000000-0005-0000-0000-0000DB300000}"/>
    <cellStyle name="Normal 36 2 2 4 2 2" xfId="18553" xr:uid="{00000000-0005-0000-0000-0000DC300000}"/>
    <cellStyle name="Normal 36 2 2 4 3" xfId="8201" xr:uid="{00000000-0005-0000-0000-0000DD300000}"/>
    <cellStyle name="Normal 36 2 2 4 3 2" xfId="16954" xr:uid="{00000000-0005-0000-0000-0000DE300000}"/>
    <cellStyle name="Normal 36 2 2 4 4" xfId="11413" xr:uid="{00000000-0005-0000-0000-0000DF300000}"/>
    <cellStyle name="Normal 36 2 2 4 4 2" xfId="20100" xr:uid="{00000000-0005-0000-0000-0000E0300000}"/>
    <cellStyle name="Normal 36 2 2 4 5" xfId="13020" xr:uid="{00000000-0005-0000-0000-0000E1300000}"/>
    <cellStyle name="Normal 36 2 2 4 5 2" xfId="21700" xr:uid="{00000000-0005-0000-0000-0000E2300000}"/>
    <cellStyle name="Normal 36 2 2 4 6" xfId="15194" xr:uid="{00000000-0005-0000-0000-0000E3300000}"/>
    <cellStyle name="Normal 36 2 2 5" xfId="9800" xr:uid="{00000000-0005-0000-0000-0000E4300000}"/>
    <cellStyle name="Normal 36 2 2 5 2" xfId="18550" xr:uid="{00000000-0005-0000-0000-0000E5300000}"/>
    <cellStyle name="Normal 36 2 2 6" xfId="8198" xr:uid="{00000000-0005-0000-0000-0000E6300000}"/>
    <cellStyle name="Normal 36 2 2 6 2" xfId="16951" xr:uid="{00000000-0005-0000-0000-0000E7300000}"/>
    <cellStyle name="Normal 36 2 2 7" xfId="11410" xr:uid="{00000000-0005-0000-0000-0000E8300000}"/>
    <cellStyle name="Normal 36 2 2 7 2" xfId="20097" xr:uid="{00000000-0005-0000-0000-0000E9300000}"/>
    <cellStyle name="Normal 36 2 2 8" xfId="13017" xr:uid="{00000000-0005-0000-0000-0000EA300000}"/>
    <cellStyle name="Normal 36 2 2 8 2" xfId="21697" xr:uid="{00000000-0005-0000-0000-0000EB300000}"/>
    <cellStyle name="Normal 36 2 2 9" xfId="15191" xr:uid="{00000000-0005-0000-0000-0000EC300000}"/>
    <cellStyle name="Normal 36 2 3" xfId="3068" xr:uid="{00000000-0005-0000-0000-0000ED300000}"/>
    <cellStyle name="Normal 36 2 3 2" xfId="3069" xr:uid="{00000000-0005-0000-0000-0000EE300000}"/>
    <cellStyle name="Normal 36 2 3 2 2" xfId="9805" xr:uid="{00000000-0005-0000-0000-0000EF300000}"/>
    <cellStyle name="Normal 36 2 3 2 2 2" xfId="18555" xr:uid="{00000000-0005-0000-0000-0000F0300000}"/>
    <cellStyle name="Normal 36 2 3 2 3" xfId="8203" xr:uid="{00000000-0005-0000-0000-0000F1300000}"/>
    <cellStyle name="Normal 36 2 3 2 3 2" xfId="16956" xr:uid="{00000000-0005-0000-0000-0000F2300000}"/>
    <cellStyle name="Normal 36 2 3 2 4" xfId="11415" xr:uid="{00000000-0005-0000-0000-0000F3300000}"/>
    <cellStyle name="Normal 36 2 3 2 4 2" xfId="20102" xr:uid="{00000000-0005-0000-0000-0000F4300000}"/>
    <cellStyle name="Normal 36 2 3 2 5" xfId="13022" xr:uid="{00000000-0005-0000-0000-0000F5300000}"/>
    <cellStyle name="Normal 36 2 3 2 5 2" xfId="21702" xr:uid="{00000000-0005-0000-0000-0000F6300000}"/>
    <cellStyle name="Normal 36 2 3 2 6" xfId="15196" xr:uid="{00000000-0005-0000-0000-0000F7300000}"/>
    <cellStyle name="Normal 36 2 3 3" xfId="3070" xr:uid="{00000000-0005-0000-0000-0000F8300000}"/>
    <cellStyle name="Normal 36 2 3 3 2" xfId="9806" xr:uid="{00000000-0005-0000-0000-0000F9300000}"/>
    <cellStyle name="Normal 36 2 3 3 2 2" xfId="18556" xr:uid="{00000000-0005-0000-0000-0000FA300000}"/>
    <cellStyle name="Normal 36 2 3 3 3" xfId="8204" xr:uid="{00000000-0005-0000-0000-0000FB300000}"/>
    <cellStyle name="Normal 36 2 3 3 3 2" xfId="16957" xr:uid="{00000000-0005-0000-0000-0000FC300000}"/>
    <cellStyle name="Normal 36 2 3 3 4" xfId="11416" xr:uid="{00000000-0005-0000-0000-0000FD300000}"/>
    <cellStyle name="Normal 36 2 3 3 4 2" xfId="20103" xr:uid="{00000000-0005-0000-0000-0000FE300000}"/>
    <cellStyle name="Normal 36 2 3 3 5" xfId="13023" xr:uid="{00000000-0005-0000-0000-0000FF300000}"/>
    <cellStyle name="Normal 36 2 3 3 5 2" xfId="21703" xr:uid="{00000000-0005-0000-0000-000000310000}"/>
    <cellStyle name="Normal 36 2 3 3 6" xfId="15197" xr:uid="{00000000-0005-0000-0000-000001310000}"/>
    <cellStyle name="Normal 36 2 3 4" xfId="3071" xr:uid="{00000000-0005-0000-0000-000002310000}"/>
    <cellStyle name="Normal 36 2 3 4 2" xfId="9807" xr:uid="{00000000-0005-0000-0000-000003310000}"/>
    <cellStyle name="Normal 36 2 3 4 2 2" xfId="18557" xr:uid="{00000000-0005-0000-0000-000004310000}"/>
    <cellStyle name="Normal 36 2 3 4 3" xfId="8205" xr:uid="{00000000-0005-0000-0000-000005310000}"/>
    <cellStyle name="Normal 36 2 3 4 3 2" xfId="16958" xr:uid="{00000000-0005-0000-0000-000006310000}"/>
    <cellStyle name="Normal 36 2 3 4 4" xfId="11417" xr:uid="{00000000-0005-0000-0000-000007310000}"/>
    <cellStyle name="Normal 36 2 3 4 4 2" xfId="20104" xr:uid="{00000000-0005-0000-0000-000008310000}"/>
    <cellStyle name="Normal 36 2 3 4 5" xfId="13024" xr:uid="{00000000-0005-0000-0000-000009310000}"/>
    <cellStyle name="Normal 36 2 3 4 5 2" xfId="21704" xr:uid="{00000000-0005-0000-0000-00000A310000}"/>
    <cellStyle name="Normal 36 2 3 4 6" xfId="15198" xr:uid="{00000000-0005-0000-0000-00000B310000}"/>
    <cellStyle name="Normal 36 2 3 5" xfId="9804" xr:uid="{00000000-0005-0000-0000-00000C310000}"/>
    <cellStyle name="Normal 36 2 3 5 2" xfId="18554" xr:uid="{00000000-0005-0000-0000-00000D310000}"/>
    <cellStyle name="Normal 36 2 3 6" xfId="8202" xr:uid="{00000000-0005-0000-0000-00000E310000}"/>
    <cellStyle name="Normal 36 2 3 6 2" xfId="16955" xr:uid="{00000000-0005-0000-0000-00000F310000}"/>
    <cellStyle name="Normal 36 2 3 7" xfId="11414" xr:uid="{00000000-0005-0000-0000-000010310000}"/>
    <cellStyle name="Normal 36 2 3 7 2" xfId="20101" xr:uid="{00000000-0005-0000-0000-000011310000}"/>
    <cellStyle name="Normal 36 2 3 8" xfId="13021" xr:uid="{00000000-0005-0000-0000-000012310000}"/>
    <cellStyle name="Normal 36 2 3 8 2" xfId="21701" xr:uid="{00000000-0005-0000-0000-000013310000}"/>
    <cellStyle name="Normal 36 2 3 9" xfId="15195" xr:uid="{00000000-0005-0000-0000-000014310000}"/>
    <cellStyle name="Normal 36 2 4" xfId="3072" xr:uid="{00000000-0005-0000-0000-000015310000}"/>
    <cellStyle name="Normal 36 2 4 2" xfId="9808" xr:uid="{00000000-0005-0000-0000-000016310000}"/>
    <cellStyle name="Normal 36 2 4 2 2" xfId="18558" xr:uid="{00000000-0005-0000-0000-000017310000}"/>
    <cellStyle name="Normal 36 2 4 3" xfId="8206" xr:uid="{00000000-0005-0000-0000-000018310000}"/>
    <cellStyle name="Normal 36 2 4 3 2" xfId="16959" xr:uid="{00000000-0005-0000-0000-000019310000}"/>
    <cellStyle name="Normal 36 2 4 4" xfId="11418" xr:uid="{00000000-0005-0000-0000-00001A310000}"/>
    <cellStyle name="Normal 36 2 4 4 2" xfId="20105" xr:uid="{00000000-0005-0000-0000-00001B310000}"/>
    <cellStyle name="Normal 36 2 4 5" xfId="13025" xr:uid="{00000000-0005-0000-0000-00001C310000}"/>
    <cellStyle name="Normal 36 2 4 5 2" xfId="21705" xr:uid="{00000000-0005-0000-0000-00001D310000}"/>
    <cellStyle name="Normal 36 2 4 6" xfId="15199" xr:uid="{00000000-0005-0000-0000-00001E310000}"/>
    <cellStyle name="Normal 36 2 5" xfId="3073" xr:uid="{00000000-0005-0000-0000-00001F310000}"/>
    <cellStyle name="Normal 36 2 5 2" xfId="9809" xr:uid="{00000000-0005-0000-0000-000020310000}"/>
    <cellStyle name="Normal 36 2 5 2 2" xfId="18559" xr:uid="{00000000-0005-0000-0000-000021310000}"/>
    <cellStyle name="Normal 36 2 5 3" xfId="8207" xr:uid="{00000000-0005-0000-0000-000022310000}"/>
    <cellStyle name="Normal 36 2 5 3 2" xfId="16960" xr:uid="{00000000-0005-0000-0000-000023310000}"/>
    <cellStyle name="Normal 36 2 5 4" xfId="11419" xr:uid="{00000000-0005-0000-0000-000024310000}"/>
    <cellStyle name="Normal 36 2 5 4 2" xfId="20106" xr:uid="{00000000-0005-0000-0000-000025310000}"/>
    <cellStyle name="Normal 36 2 5 5" xfId="13026" xr:uid="{00000000-0005-0000-0000-000026310000}"/>
    <cellStyle name="Normal 36 2 5 5 2" xfId="21706" xr:uid="{00000000-0005-0000-0000-000027310000}"/>
    <cellStyle name="Normal 36 2 5 6" xfId="15200" xr:uid="{00000000-0005-0000-0000-000028310000}"/>
    <cellStyle name="Normal 36 2 6" xfId="3074" xr:uid="{00000000-0005-0000-0000-000029310000}"/>
    <cellStyle name="Normal 36 2 6 2" xfId="9810" xr:uid="{00000000-0005-0000-0000-00002A310000}"/>
    <cellStyle name="Normal 36 2 6 2 2" xfId="18560" xr:uid="{00000000-0005-0000-0000-00002B310000}"/>
    <cellStyle name="Normal 36 2 6 3" xfId="8208" xr:uid="{00000000-0005-0000-0000-00002C310000}"/>
    <cellStyle name="Normal 36 2 6 3 2" xfId="16961" xr:uid="{00000000-0005-0000-0000-00002D310000}"/>
    <cellStyle name="Normal 36 2 6 4" xfId="11420" xr:uid="{00000000-0005-0000-0000-00002E310000}"/>
    <cellStyle name="Normal 36 2 6 4 2" xfId="20107" xr:uid="{00000000-0005-0000-0000-00002F310000}"/>
    <cellStyle name="Normal 36 2 6 5" xfId="13027" xr:uid="{00000000-0005-0000-0000-000030310000}"/>
    <cellStyle name="Normal 36 2 6 5 2" xfId="21707" xr:uid="{00000000-0005-0000-0000-000031310000}"/>
    <cellStyle name="Normal 36 2 6 6" xfId="15201" xr:uid="{00000000-0005-0000-0000-000032310000}"/>
    <cellStyle name="Normal 36 2 7" xfId="9799" xr:uid="{00000000-0005-0000-0000-000033310000}"/>
    <cellStyle name="Normal 36 2 7 2" xfId="18549" xr:uid="{00000000-0005-0000-0000-000034310000}"/>
    <cellStyle name="Normal 36 2 8" xfId="8197" xr:uid="{00000000-0005-0000-0000-000035310000}"/>
    <cellStyle name="Normal 36 2 8 2" xfId="16950" xr:uid="{00000000-0005-0000-0000-000036310000}"/>
    <cellStyle name="Normal 36 2 9" xfId="11409" xr:uid="{00000000-0005-0000-0000-000037310000}"/>
    <cellStyle name="Normal 36 2 9 2" xfId="20096" xr:uid="{00000000-0005-0000-0000-000038310000}"/>
    <cellStyle name="Normal 36 3" xfId="3075" xr:uid="{00000000-0005-0000-0000-000039310000}"/>
    <cellStyle name="Normal 36 3 2" xfId="3076" xr:uid="{00000000-0005-0000-0000-00003A310000}"/>
    <cellStyle name="Normal 36 3 2 2" xfId="9812" xr:uid="{00000000-0005-0000-0000-00003B310000}"/>
    <cellStyle name="Normal 36 3 2 2 2" xfId="18562" xr:uid="{00000000-0005-0000-0000-00003C310000}"/>
    <cellStyle name="Normal 36 3 2 3" xfId="8210" xr:uid="{00000000-0005-0000-0000-00003D310000}"/>
    <cellStyle name="Normal 36 3 2 3 2" xfId="16963" xr:uid="{00000000-0005-0000-0000-00003E310000}"/>
    <cellStyle name="Normal 36 3 2 4" xfId="11422" xr:uid="{00000000-0005-0000-0000-00003F310000}"/>
    <cellStyle name="Normal 36 3 2 4 2" xfId="20109" xr:uid="{00000000-0005-0000-0000-000040310000}"/>
    <cellStyle name="Normal 36 3 2 5" xfId="13029" xr:uid="{00000000-0005-0000-0000-000041310000}"/>
    <cellStyle name="Normal 36 3 2 5 2" xfId="21709" xr:uid="{00000000-0005-0000-0000-000042310000}"/>
    <cellStyle name="Normal 36 3 2 6" xfId="15203" xr:uid="{00000000-0005-0000-0000-000043310000}"/>
    <cellStyle name="Normal 36 3 3" xfId="3077" xr:uid="{00000000-0005-0000-0000-000044310000}"/>
    <cellStyle name="Normal 36 3 3 2" xfId="9813" xr:uid="{00000000-0005-0000-0000-000045310000}"/>
    <cellStyle name="Normal 36 3 3 2 2" xfId="18563" xr:uid="{00000000-0005-0000-0000-000046310000}"/>
    <cellStyle name="Normal 36 3 3 3" xfId="8211" xr:uid="{00000000-0005-0000-0000-000047310000}"/>
    <cellStyle name="Normal 36 3 3 3 2" xfId="16964" xr:uid="{00000000-0005-0000-0000-000048310000}"/>
    <cellStyle name="Normal 36 3 3 4" xfId="11423" xr:uid="{00000000-0005-0000-0000-000049310000}"/>
    <cellStyle name="Normal 36 3 3 4 2" xfId="20110" xr:uid="{00000000-0005-0000-0000-00004A310000}"/>
    <cellStyle name="Normal 36 3 3 5" xfId="13030" xr:uid="{00000000-0005-0000-0000-00004B310000}"/>
    <cellStyle name="Normal 36 3 3 5 2" xfId="21710" xr:uid="{00000000-0005-0000-0000-00004C310000}"/>
    <cellStyle name="Normal 36 3 3 6" xfId="15204" xr:uid="{00000000-0005-0000-0000-00004D310000}"/>
    <cellStyle name="Normal 36 3 4" xfId="3078" xr:uid="{00000000-0005-0000-0000-00004E310000}"/>
    <cellStyle name="Normal 36 3 4 2" xfId="9814" xr:uid="{00000000-0005-0000-0000-00004F310000}"/>
    <cellStyle name="Normal 36 3 4 2 2" xfId="18564" xr:uid="{00000000-0005-0000-0000-000050310000}"/>
    <cellStyle name="Normal 36 3 4 3" xfId="8212" xr:uid="{00000000-0005-0000-0000-000051310000}"/>
    <cellStyle name="Normal 36 3 4 3 2" xfId="16965" xr:uid="{00000000-0005-0000-0000-000052310000}"/>
    <cellStyle name="Normal 36 3 4 4" xfId="11424" xr:uid="{00000000-0005-0000-0000-000053310000}"/>
    <cellStyle name="Normal 36 3 4 4 2" xfId="20111" xr:uid="{00000000-0005-0000-0000-000054310000}"/>
    <cellStyle name="Normal 36 3 4 5" xfId="13031" xr:uid="{00000000-0005-0000-0000-000055310000}"/>
    <cellStyle name="Normal 36 3 4 5 2" xfId="21711" xr:uid="{00000000-0005-0000-0000-000056310000}"/>
    <cellStyle name="Normal 36 3 4 6" xfId="15205" xr:uid="{00000000-0005-0000-0000-000057310000}"/>
    <cellStyle name="Normal 36 3 5" xfId="9811" xr:uid="{00000000-0005-0000-0000-000058310000}"/>
    <cellStyle name="Normal 36 3 5 2" xfId="18561" xr:uid="{00000000-0005-0000-0000-000059310000}"/>
    <cellStyle name="Normal 36 3 6" xfId="8209" xr:uid="{00000000-0005-0000-0000-00005A310000}"/>
    <cellStyle name="Normal 36 3 6 2" xfId="16962" xr:uid="{00000000-0005-0000-0000-00005B310000}"/>
    <cellStyle name="Normal 36 3 7" xfId="11421" xr:uid="{00000000-0005-0000-0000-00005C310000}"/>
    <cellStyle name="Normal 36 3 7 2" xfId="20108" xr:uid="{00000000-0005-0000-0000-00005D310000}"/>
    <cellStyle name="Normal 36 3 8" xfId="13028" xr:uid="{00000000-0005-0000-0000-00005E310000}"/>
    <cellStyle name="Normal 36 3 8 2" xfId="21708" xr:uid="{00000000-0005-0000-0000-00005F310000}"/>
    <cellStyle name="Normal 36 3 9" xfId="15202" xr:uid="{00000000-0005-0000-0000-000060310000}"/>
    <cellStyle name="Normal 36 4" xfId="3079" xr:uid="{00000000-0005-0000-0000-000061310000}"/>
    <cellStyle name="Normal 366" xfId="142" xr:uid="{00000000-0005-0000-0000-000062310000}"/>
    <cellStyle name="Normal 366 2" xfId="145" xr:uid="{00000000-0005-0000-0000-000063310000}"/>
    <cellStyle name="Normal 366 2 2" xfId="10470" xr:uid="{00000000-0005-0000-0000-000064310000}"/>
    <cellStyle name="Normal 366 2 2 2" xfId="19213" xr:uid="{00000000-0005-0000-0000-000065310000}"/>
    <cellStyle name="Normal 366 2 3" xfId="10628" xr:uid="{00000000-0005-0000-0000-000066310000}"/>
    <cellStyle name="Normal 366 2 3 2" xfId="19331" xr:uid="{00000000-0005-0000-0000-000067310000}"/>
    <cellStyle name="Normal 366 2 4" xfId="13887" xr:uid="{00000000-0005-0000-0000-000068310000}"/>
    <cellStyle name="Normal 366 3" xfId="10467" xr:uid="{00000000-0005-0000-0000-000069310000}"/>
    <cellStyle name="Normal 366 3 2" xfId="19210" xr:uid="{00000000-0005-0000-0000-00006A310000}"/>
    <cellStyle name="Normal 366 4" xfId="10625" xr:uid="{00000000-0005-0000-0000-00006B310000}"/>
    <cellStyle name="Normal 366 4 2" xfId="19328" xr:uid="{00000000-0005-0000-0000-00006C310000}"/>
    <cellStyle name="Normal 366 5" xfId="14522" xr:uid="{00000000-0005-0000-0000-00006D310000}"/>
    <cellStyle name="Normal 367" xfId="141" xr:uid="{00000000-0005-0000-0000-00006E310000}"/>
    <cellStyle name="Normal 367 2" xfId="144" xr:uid="{00000000-0005-0000-0000-00006F310000}"/>
    <cellStyle name="Normal 367 2 2" xfId="10469" xr:uid="{00000000-0005-0000-0000-000070310000}"/>
    <cellStyle name="Normal 367 2 2 2" xfId="19212" xr:uid="{00000000-0005-0000-0000-000071310000}"/>
    <cellStyle name="Normal 367 2 3" xfId="10627" xr:uid="{00000000-0005-0000-0000-000072310000}"/>
    <cellStyle name="Normal 367 2 3 2" xfId="19330" xr:uid="{00000000-0005-0000-0000-000073310000}"/>
    <cellStyle name="Normal 367 2 4" xfId="14693" xr:uid="{00000000-0005-0000-0000-000074310000}"/>
    <cellStyle name="Normal 367 3" xfId="10466" xr:uid="{00000000-0005-0000-0000-000075310000}"/>
    <cellStyle name="Normal 367 3 2" xfId="19209" xr:uid="{00000000-0005-0000-0000-000076310000}"/>
    <cellStyle name="Normal 367 4" xfId="10624" xr:uid="{00000000-0005-0000-0000-000077310000}"/>
    <cellStyle name="Normal 367 4 2" xfId="19327" xr:uid="{00000000-0005-0000-0000-000078310000}"/>
    <cellStyle name="Normal 367 5" xfId="14523" xr:uid="{00000000-0005-0000-0000-000079310000}"/>
    <cellStyle name="Normal 37" xfId="3080" xr:uid="{00000000-0005-0000-0000-00007A310000}"/>
    <cellStyle name="Normal 37 2" xfId="3081" xr:uid="{00000000-0005-0000-0000-00007B310000}"/>
    <cellStyle name="Normal 37 2 10" xfId="13032" xr:uid="{00000000-0005-0000-0000-00007C310000}"/>
    <cellStyle name="Normal 37 2 10 2" xfId="21712" xr:uid="{00000000-0005-0000-0000-00007D310000}"/>
    <cellStyle name="Normal 37 2 11" xfId="15206" xr:uid="{00000000-0005-0000-0000-00007E310000}"/>
    <cellStyle name="Normal 37 2 2" xfId="3082" xr:uid="{00000000-0005-0000-0000-00007F310000}"/>
    <cellStyle name="Normal 37 2 2 2" xfId="3083" xr:uid="{00000000-0005-0000-0000-000080310000}"/>
    <cellStyle name="Normal 37 2 2 2 2" xfId="9817" xr:uid="{00000000-0005-0000-0000-000081310000}"/>
    <cellStyle name="Normal 37 2 2 2 2 2" xfId="18567" xr:uid="{00000000-0005-0000-0000-000082310000}"/>
    <cellStyle name="Normal 37 2 2 2 3" xfId="8215" xr:uid="{00000000-0005-0000-0000-000083310000}"/>
    <cellStyle name="Normal 37 2 2 2 3 2" xfId="16968" xr:uid="{00000000-0005-0000-0000-000084310000}"/>
    <cellStyle name="Normal 37 2 2 2 4" xfId="11427" xr:uid="{00000000-0005-0000-0000-000085310000}"/>
    <cellStyle name="Normal 37 2 2 2 4 2" xfId="20114" xr:uid="{00000000-0005-0000-0000-000086310000}"/>
    <cellStyle name="Normal 37 2 2 2 5" xfId="13034" xr:uid="{00000000-0005-0000-0000-000087310000}"/>
    <cellStyle name="Normal 37 2 2 2 5 2" xfId="21714" xr:uid="{00000000-0005-0000-0000-000088310000}"/>
    <cellStyle name="Normal 37 2 2 2 6" xfId="15208" xr:uid="{00000000-0005-0000-0000-000089310000}"/>
    <cellStyle name="Normal 37 2 2 3" xfId="3084" xr:uid="{00000000-0005-0000-0000-00008A310000}"/>
    <cellStyle name="Normal 37 2 2 3 2" xfId="9818" xr:uid="{00000000-0005-0000-0000-00008B310000}"/>
    <cellStyle name="Normal 37 2 2 3 2 2" xfId="18568" xr:uid="{00000000-0005-0000-0000-00008C310000}"/>
    <cellStyle name="Normal 37 2 2 3 3" xfId="8216" xr:uid="{00000000-0005-0000-0000-00008D310000}"/>
    <cellStyle name="Normal 37 2 2 3 3 2" xfId="16969" xr:uid="{00000000-0005-0000-0000-00008E310000}"/>
    <cellStyle name="Normal 37 2 2 3 4" xfId="11428" xr:uid="{00000000-0005-0000-0000-00008F310000}"/>
    <cellStyle name="Normal 37 2 2 3 4 2" xfId="20115" xr:uid="{00000000-0005-0000-0000-000090310000}"/>
    <cellStyle name="Normal 37 2 2 3 5" xfId="13035" xr:uid="{00000000-0005-0000-0000-000091310000}"/>
    <cellStyle name="Normal 37 2 2 3 5 2" xfId="21715" xr:uid="{00000000-0005-0000-0000-000092310000}"/>
    <cellStyle name="Normal 37 2 2 3 6" xfId="15209" xr:uid="{00000000-0005-0000-0000-000093310000}"/>
    <cellStyle name="Normal 37 2 2 4" xfId="3085" xr:uid="{00000000-0005-0000-0000-000094310000}"/>
    <cellStyle name="Normal 37 2 2 4 2" xfId="9819" xr:uid="{00000000-0005-0000-0000-000095310000}"/>
    <cellStyle name="Normal 37 2 2 4 2 2" xfId="18569" xr:uid="{00000000-0005-0000-0000-000096310000}"/>
    <cellStyle name="Normal 37 2 2 4 3" xfId="8217" xr:uid="{00000000-0005-0000-0000-000097310000}"/>
    <cellStyle name="Normal 37 2 2 4 3 2" xfId="16970" xr:uid="{00000000-0005-0000-0000-000098310000}"/>
    <cellStyle name="Normal 37 2 2 4 4" xfId="11429" xr:uid="{00000000-0005-0000-0000-000099310000}"/>
    <cellStyle name="Normal 37 2 2 4 4 2" xfId="20116" xr:uid="{00000000-0005-0000-0000-00009A310000}"/>
    <cellStyle name="Normal 37 2 2 4 5" xfId="13036" xr:uid="{00000000-0005-0000-0000-00009B310000}"/>
    <cellStyle name="Normal 37 2 2 4 5 2" xfId="21716" xr:uid="{00000000-0005-0000-0000-00009C310000}"/>
    <cellStyle name="Normal 37 2 2 4 6" xfId="15210" xr:uid="{00000000-0005-0000-0000-00009D310000}"/>
    <cellStyle name="Normal 37 2 2 5" xfId="9816" xr:uid="{00000000-0005-0000-0000-00009E310000}"/>
    <cellStyle name="Normal 37 2 2 5 2" xfId="18566" xr:uid="{00000000-0005-0000-0000-00009F310000}"/>
    <cellStyle name="Normal 37 2 2 6" xfId="8214" xr:uid="{00000000-0005-0000-0000-0000A0310000}"/>
    <cellStyle name="Normal 37 2 2 6 2" xfId="16967" xr:uid="{00000000-0005-0000-0000-0000A1310000}"/>
    <cellStyle name="Normal 37 2 2 7" xfId="11426" xr:uid="{00000000-0005-0000-0000-0000A2310000}"/>
    <cellStyle name="Normal 37 2 2 7 2" xfId="20113" xr:uid="{00000000-0005-0000-0000-0000A3310000}"/>
    <cellStyle name="Normal 37 2 2 8" xfId="13033" xr:uid="{00000000-0005-0000-0000-0000A4310000}"/>
    <cellStyle name="Normal 37 2 2 8 2" xfId="21713" xr:uid="{00000000-0005-0000-0000-0000A5310000}"/>
    <cellStyle name="Normal 37 2 2 9" xfId="15207" xr:uid="{00000000-0005-0000-0000-0000A6310000}"/>
    <cellStyle name="Normal 37 2 3" xfId="3086" xr:uid="{00000000-0005-0000-0000-0000A7310000}"/>
    <cellStyle name="Normal 37 2 3 2" xfId="3087" xr:uid="{00000000-0005-0000-0000-0000A8310000}"/>
    <cellStyle name="Normal 37 2 3 2 2" xfId="9821" xr:uid="{00000000-0005-0000-0000-0000A9310000}"/>
    <cellStyle name="Normal 37 2 3 2 2 2" xfId="18571" xr:uid="{00000000-0005-0000-0000-0000AA310000}"/>
    <cellStyle name="Normal 37 2 3 2 3" xfId="8219" xr:uid="{00000000-0005-0000-0000-0000AB310000}"/>
    <cellStyle name="Normal 37 2 3 2 3 2" xfId="16972" xr:uid="{00000000-0005-0000-0000-0000AC310000}"/>
    <cellStyle name="Normal 37 2 3 2 4" xfId="11431" xr:uid="{00000000-0005-0000-0000-0000AD310000}"/>
    <cellStyle name="Normal 37 2 3 2 4 2" xfId="20118" xr:uid="{00000000-0005-0000-0000-0000AE310000}"/>
    <cellStyle name="Normal 37 2 3 2 5" xfId="13038" xr:uid="{00000000-0005-0000-0000-0000AF310000}"/>
    <cellStyle name="Normal 37 2 3 2 5 2" xfId="21718" xr:uid="{00000000-0005-0000-0000-0000B0310000}"/>
    <cellStyle name="Normal 37 2 3 2 6" xfId="15212" xr:uid="{00000000-0005-0000-0000-0000B1310000}"/>
    <cellStyle name="Normal 37 2 3 3" xfId="3088" xr:uid="{00000000-0005-0000-0000-0000B2310000}"/>
    <cellStyle name="Normal 37 2 3 3 2" xfId="9822" xr:uid="{00000000-0005-0000-0000-0000B3310000}"/>
    <cellStyle name="Normal 37 2 3 3 2 2" xfId="18572" xr:uid="{00000000-0005-0000-0000-0000B4310000}"/>
    <cellStyle name="Normal 37 2 3 3 3" xfId="8220" xr:uid="{00000000-0005-0000-0000-0000B5310000}"/>
    <cellStyle name="Normal 37 2 3 3 3 2" xfId="16973" xr:uid="{00000000-0005-0000-0000-0000B6310000}"/>
    <cellStyle name="Normal 37 2 3 3 4" xfId="11432" xr:uid="{00000000-0005-0000-0000-0000B7310000}"/>
    <cellStyle name="Normal 37 2 3 3 4 2" xfId="20119" xr:uid="{00000000-0005-0000-0000-0000B8310000}"/>
    <cellStyle name="Normal 37 2 3 3 5" xfId="13039" xr:uid="{00000000-0005-0000-0000-0000B9310000}"/>
    <cellStyle name="Normal 37 2 3 3 5 2" xfId="21719" xr:uid="{00000000-0005-0000-0000-0000BA310000}"/>
    <cellStyle name="Normal 37 2 3 3 6" xfId="15213" xr:uid="{00000000-0005-0000-0000-0000BB310000}"/>
    <cellStyle name="Normal 37 2 3 4" xfId="3089" xr:uid="{00000000-0005-0000-0000-0000BC310000}"/>
    <cellStyle name="Normal 37 2 3 4 2" xfId="9823" xr:uid="{00000000-0005-0000-0000-0000BD310000}"/>
    <cellStyle name="Normal 37 2 3 4 2 2" xfId="18573" xr:uid="{00000000-0005-0000-0000-0000BE310000}"/>
    <cellStyle name="Normal 37 2 3 4 3" xfId="8221" xr:uid="{00000000-0005-0000-0000-0000BF310000}"/>
    <cellStyle name="Normal 37 2 3 4 3 2" xfId="16974" xr:uid="{00000000-0005-0000-0000-0000C0310000}"/>
    <cellStyle name="Normal 37 2 3 4 4" xfId="11433" xr:uid="{00000000-0005-0000-0000-0000C1310000}"/>
    <cellStyle name="Normal 37 2 3 4 4 2" xfId="20120" xr:uid="{00000000-0005-0000-0000-0000C2310000}"/>
    <cellStyle name="Normal 37 2 3 4 5" xfId="13040" xr:uid="{00000000-0005-0000-0000-0000C3310000}"/>
    <cellStyle name="Normal 37 2 3 4 5 2" xfId="21720" xr:uid="{00000000-0005-0000-0000-0000C4310000}"/>
    <cellStyle name="Normal 37 2 3 4 6" xfId="15214" xr:uid="{00000000-0005-0000-0000-0000C5310000}"/>
    <cellStyle name="Normal 37 2 3 5" xfId="9820" xr:uid="{00000000-0005-0000-0000-0000C6310000}"/>
    <cellStyle name="Normal 37 2 3 5 2" xfId="18570" xr:uid="{00000000-0005-0000-0000-0000C7310000}"/>
    <cellStyle name="Normal 37 2 3 6" xfId="8218" xr:uid="{00000000-0005-0000-0000-0000C8310000}"/>
    <cellStyle name="Normal 37 2 3 6 2" xfId="16971" xr:uid="{00000000-0005-0000-0000-0000C9310000}"/>
    <cellStyle name="Normal 37 2 3 7" xfId="11430" xr:uid="{00000000-0005-0000-0000-0000CA310000}"/>
    <cellStyle name="Normal 37 2 3 7 2" xfId="20117" xr:uid="{00000000-0005-0000-0000-0000CB310000}"/>
    <cellStyle name="Normal 37 2 3 8" xfId="13037" xr:uid="{00000000-0005-0000-0000-0000CC310000}"/>
    <cellStyle name="Normal 37 2 3 8 2" xfId="21717" xr:uid="{00000000-0005-0000-0000-0000CD310000}"/>
    <cellStyle name="Normal 37 2 3 9" xfId="15211" xr:uid="{00000000-0005-0000-0000-0000CE310000}"/>
    <cellStyle name="Normal 37 2 4" xfId="3090" xr:uid="{00000000-0005-0000-0000-0000CF310000}"/>
    <cellStyle name="Normal 37 2 4 2" xfId="9824" xr:uid="{00000000-0005-0000-0000-0000D0310000}"/>
    <cellStyle name="Normal 37 2 4 2 2" xfId="18574" xr:uid="{00000000-0005-0000-0000-0000D1310000}"/>
    <cellStyle name="Normal 37 2 4 3" xfId="8222" xr:uid="{00000000-0005-0000-0000-0000D2310000}"/>
    <cellStyle name="Normal 37 2 4 3 2" xfId="16975" xr:uid="{00000000-0005-0000-0000-0000D3310000}"/>
    <cellStyle name="Normal 37 2 4 4" xfId="11434" xr:uid="{00000000-0005-0000-0000-0000D4310000}"/>
    <cellStyle name="Normal 37 2 4 4 2" xfId="20121" xr:uid="{00000000-0005-0000-0000-0000D5310000}"/>
    <cellStyle name="Normal 37 2 4 5" xfId="13041" xr:uid="{00000000-0005-0000-0000-0000D6310000}"/>
    <cellStyle name="Normal 37 2 4 5 2" xfId="21721" xr:uid="{00000000-0005-0000-0000-0000D7310000}"/>
    <cellStyle name="Normal 37 2 4 6" xfId="15215" xr:uid="{00000000-0005-0000-0000-0000D8310000}"/>
    <cellStyle name="Normal 37 2 5" xfId="3091" xr:uid="{00000000-0005-0000-0000-0000D9310000}"/>
    <cellStyle name="Normal 37 2 5 2" xfId="9825" xr:uid="{00000000-0005-0000-0000-0000DA310000}"/>
    <cellStyle name="Normal 37 2 5 2 2" xfId="18575" xr:uid="{00000000-0005-0000-0000-0000DB310000}"/>
    <cellStyle name="Normal 37 2 5 3" xfId="8223" xr:uid="{00000000-0005-0000-0000-0000DC310000}"/>
    <cellStyle name="Normal 37 2 5 3 2" xfId="16976" xr:uid="{00000000-0005-0000-0000-0000DD310000}"/>
    <cellStyle name="Normal 37 2 5 4" xfId="11435" xr:uid="{00000000-0005-0000-0000-0000DE310000}"/>
    <cellStyle name="Normal 37 2 5 4 2" xfId="20122" xr:uid="{00000000-0005-0000-0000-0000DF310000}"/>
    <cellStyle name="Normal 37 2 5 5" xfId="13042" xr:uid="{00000000-0005-0000-0000-0000E0310000}"/>
    <cellStyle name="Normal 37 2 5 5 2" xfId="21722" xr:uid="{00000000-0005-0000-0000-0000E1310000}"/>
    <cellStyle name="Normal 37 2 5 6" xfId="15216" xr:uid="{00000000-0005-0000-0000-0000E2310000}"/>
    <cellStyle name="Normal 37 2 6" xfId="3092" xr:uid="{00000000-0005-0000-0000-0000E3310000}"/>
    <cellStyle name="Normal 37 2 6 2" xfId="9826" xr:uid="{00000000-0005-0000-0000-0000E4310000}"/>
    <cellStyle name="Normal 37 2 6 2 2" xfId="18576" xr:uid="{00000000-0005-0000-0000-0000E5310000}"/>
    <cellStyle name="Normal 37 2 6 3" xfId="8224" xr:uid="{00000000-0005-0000-0000-0000E6310000}"/>
    <cellStyle name="Normal 37 2 6 3 2" xfId="16977" xr:uid="{00000000-0005-0000-0000-0000E7310000}"/>
    <cellStyle name="Normal 37 2 6 4" xfId="11436" xr:uid="{00000000-0005-0000-0000-0000E8310000}"/>
    <cellStyle name="Normal 37 2 6 4 2" xfId="20123" xr:uid="{00000000-0005-0000-0000-0000E9310000}"/>
    <cellStyle name="Normal 37 2 6 5" xfId="13043" xr:uid="{00000000-0005-0000-0000-0000EA310000}"/>
    <cellStyle name="Normal 37 2 6 5 2" xfId="21723" xr:uid="{00000000-0005-0000-0000-0000EB310000}"/>
    <cellStyle name="Normal 37 2 6 6" xfId="15217" xr:uid="{00000000-0005-0000-0000-0000EC310000}"/>
    <cellStyle name="Normal 37 2 7" xfId="9815" xr:uid="{00000000-0005-0000-0000-0000ED310000}"/>
    <cellStyle name="Normal 37 2 7 2" xfId="18565" xr:uid="{00000000-0005-0000-0000-0000EE310000}"/>
    <cellStyle name="Normal 37 2 8" xfId="8213" xr:uid="{00000000-0005-0000-0000-0000EF310000}"/>
    <cellStyle name="Normal 37 2 8 2" xfId="16966" xr:uid="{00000000-0005-0000-0000-0000F0310000}"/>
    <cellStyle name="Normal 37 2 9" xfId="11425" xr:uid="{00000000-0005-0000-0000-0000F1310000}"/>
    <cellStyle name="Normal 37 2 9 2" xfId="20112" xr:uid="{00000000-0005-0000-0000-0000F2310000}"/>
    <cellStyle name="Normal 37 3" xfId="3093" xr:uid="{00000000-0005-0000-0000-0000F3310000}"/>
    <cellStyle name="Normal 37 3 2" xfId="3094" xr:uid="{00000000-0005-0000-0000-0000F4310000}"/>
    <cellStyle name="Normal 37 3 2 2" xfId="9828" xr:uid="{00000000-0005-0000-0000-0000F5310000}"/>
    <cellStyle name="Normal 37 3 2 2 2" xfId="18578" xr:uid="{00000000-0005-0000-0000-0000F6310000}"/>
    <cellStyle name="Normal 37 3 2 3" xfId="8226" xr:uid="{00000000-0005-0000-0000-0000F7310000}"/>
    <cellStyle name="Normal 37 3 2 3 2" xfId="16979" xr:uid="{00000000-0005-0000-0000-0000F8310000}"/>
    <cellStyle name="Normal 37 3 2 4" xfId="11438" xr:uid="{00000000-0005-0000-0000-0000F9310000}"/>
    <cellStyle name="Normal 37 3 2 4 2" xfId="20125" xr:uid="{00000000-0005-0000-0000-0000FA310000}"/>
    <cellStyle name="Normal 37 3 2 5" xfId="13045" xr:uid="{00000000-0005-0000-0000-0000FB310000}"/>
    <cellStyle name="Normal 37 3 2 5 2" xfId="21725" xr:uid="{00000000-0005-0000-0000-0000FC310000}"/>
    <cellStyle name="Normal 37 3 2 6" xfId="15219" xr:uid="{00000000-0005-0000-0000-0000FD310000}"/>
    <cellStyle name="Normal 37 3 3" xfId="3095" xr:uid="{00000000-0005-0000-0000-0000FE310000}"/>
    <cellStyle name="Normal 37 3 3 2" xfId="9829" xr:uid="{00000000-0005-0000-0000-0000FF310000}"/>
    <cellStyle name="Normal 37 3 3 2 2" xfId="18579" xr:uid="{00000000-0005-0000-0000-000000320000}"/>
    <cellStyle name="Normal 37 3 3 3" xfId="8227" xr:uid="{00000000-0005-0000-0000-000001320000}"/>
    <cellStyle name="Normal 37 3 3 3 2" xfId="16980" xr:uid="{00000000-0005-0000-0000-000002320000}"/>
    <cellStyle name="Normal 37 3 3 4" xfId="11439" xr:uid="{00000000-0005-0000-0000-000003320000}"/>
    <cellStyle name="Normal 37 3 3 4 2" xfId="20126" xr:uid="{00000000-0005-0000-0000-000004320000}"/>
    <cellStyle name="Normal 37 3 3 5" xfId="13046" xr:uid="{00000000-0005-0000-0000-000005320000}"/>
    <cellStyle name="Normal 37 3 3 5 2" xfId="21726" xr:uid="{00000000-0005-0000-0000-000006320000}"/>
    <cellStyle name="Normal 37 3 3 6" xfId="15220" xr:uid="{00000000-0005-0000-0000-000007320000}"/>
    <cellStyle name="Normal 37 3 4" xfId="3096" xr:uid="{00000000-0005-0000-0000-000008320000}"/>
    <cellStyle name="Normal 37 3 4 2" xfId="9830" xr:uid="{00000000-0005-0000-0000-000009320000}"/>
    <cellStyle name="Normal 37 3 4 2 2" xfId="18580" xr:uid="{00000000-0005-0000-0000-00000A320000}"/>
    <cellStyle name="Normal 37 3 4 3" xfId="8228" xr:uid="{00000000-0005-0000-0000-00000B320000}"/>
    <cellStyle name="Normal 37 3 4 3 2" xfId="16981" xr:uid="{00000000-0005-0000-0000-00000C320000}"/>
    <cellStyle name="Normal 37 3 4 4" xfId="11440" xr:uid="{00000000-0005-0000-0000-00000D320000}"/>
    <cellStyle name="Normal 37 3 4 4 2" xfId="20127" xr:uid="{00000000-0005-0000-0000-00000E320000}"/>
    <cellStyle name="Normal 37 3 4 5" xfId="13047" xr:uid="{00000000-0005-0000-0000-00000F320000}"/>
    <cellStyle name="Normal 37 3 4 5 2" xfId="21727" xr:uid="{00000000-0005-0000-0000-000010320000}"/>
    <cellStyle name="Normal 37 3 4 6" xfId="15221" xr:uid="{00000000-0005-0000-0000-000011320000}"/>
    <cellStyle name="Normal 37 3 5" xfId="9827" xr:uid="{00000000-0005-0000-0000-000012320000}"/>
    <cellStyle name="Normal 37 3 5 2" xfId="18577" xr:uid="{00000000-0005-0000-0000-000013320000}"/>
    <cellStyle name="Normal 37 3 6" xfId="8225" xr:uid="{00000000-0005-0000-0000-000014320000}"/>
    <cellStyle name="Normal 37 3 6 2" xfId="16978" xr:uid="{00000000-0005-0000-0000-000015320000}"/>
    <cellStyle name="Normal 37 3 7" xfId="11437" xr:uid="{00000000-0005-0000-0000-000016320000}"/>
    <cellStyle name="Normal 37 3 7 2" xfId="20124" xr:uid="{00000000-0005-0000-0000-000017320000}"/>
    <cellStyle name="Normal 37 3 8" xfId="13044" xr:uid="{00000000-0005-0000-0000-000018320000}"/>
    <cellStyle name="Normal 37 3 8 2" xfId="21724" xr:uid="{00000000-0005-0000-0000-000019320000}"/>
    <cellStyle name="Normal 37 3 9" xfId="15218" xr:uid="{00000000-0005-0000-0000-00001A320000}"/>
    <cellStyle name="Normal 37 4" xfId="3097" xr:uid="{00000000-0005-0000-0000-00001B320000}"/>
    <cellStyle name="Normal 38" xfId="3098" xr:uid="{00000000-0005-0000-0000-00001C320000}"/>
    <cellStyle name="Normal 38 2" xfId="3099" xr:uid="{00000000-0005-0000-0000-00001D320000}"/>
    <cellStyle name="Normal 38 2 10" xfId="13048" xr:uid="{00000000-0005-0000-0000-00001E320000}"/>
    <cellStyle name="Normal 38 2 10 2" xfId="21728" xr:uid="{00000000-0005-0000-0000-00001F320000}"/>
    <cellStyle name="Normal 38 2 11" xfId="15222" xr:uid="{00000000-0005-0000-0000-000020320000}"/>
    <cellStyle name="Normal 38 2 2" xfId="3100" xr:uid="{00000000-0005-0000-0000-000021320000}"/>
    <cellStyle name="Normal 38 2 2 2" xfId="3101" xr:uid="{00000000-0005-0000-0000-000022320000}"/>
    <cellStyle name="Normal 38 2 2 2 2" xfId="9833" xr:uid="{00000000-0005-0000-0000-000023320000}"/>
    <cellStyle name="Normal 38 2 2 2 2 2" xfId="18583" xr:uid="{00000000-0005-0000-0000-000024320000}"/>
    <cellStyle name="Normal 38 2 2 2 3" xfId="8231" xr:uid="{00000000-0005-0000-0000-000025320000}"/>
    <cellStyle name="Normal 38 2 2 2 3 2" xfId="16984" xr:uid="{00000000-0005-0000-0000-000026320000}"/>
    <cellStyle name="Normal 38 2 2 2 4" xfId="11443" xr:uid="{00000000-0005-0000-0000-000027320000}"/>
    <cellStyle name="Normal 38 2 2 2 4 2" xfId="20130" xr:uid="{00000000-0005-0000-0000-000028320000}"/>
    <cellStyle name="Normal 38 2 2 2 5" xfId="13050" xr:uid="{00000000-0005-0000-0000-000029320000}"/>
    <cellStyle name="Normal 38 2 2 2 5 2" xfId="21730" xr:uid="{00000000-0005-0000-0000-00002A320000}"/>
    <cellStyle name="Normal 38 2 2 2 6" xfId="15224" xr:uid="{00000000-0005-0000-0000-00002B320000}"/>
    <cellStyle name="Normal 38 2 2 3" xfId="3102" xr:uid="{00000000-0005-0000-0000-00002C320000}"/>
    <cellStyle name="Normal 38 2 2 3 2" xfId="9834" xr:uid="{00000000-0005-0000-0000-00002D320000}"/>
    <cellStyle name="Normal 38 2 2 3 2 2" xfId="18584" xr:uid="{00000000-0005-0000-0000-00002E320000}"/>
    <cellStyle name="Normal 38 2 2 3 3" xfId="8232" xr:uid="{00000000-0005-0000-0000-00002F320000}"/>
    <cellStyle name="Normal 38 2 2 3 3 2" xfId="16985" xr:uid="{00000000-0005-0000-0000-000030320000}"/>
    <cellStyle name="Normal 38 2 2 3 4" xfId="11444" xr:uid="{00000000-0005-0000-0000-000031320000}"/>
    <cellStyle name="Normal 38 2 2 3 4 2" xfId="20131" xr:uid="{00000000-0005-0000-0000-000032320000}"/>
    <cellStyle name="Normal 38 2 2 3 5" xfId="13051" xr:uid="{00000000-0005-0000-0000-000033320000}"/>
    <cellStyle name="Normal 38 2 2 3 5 2" xfId="21731" xr:uid="{00000000-0005-0000-0000-000034320000}"/>
    <cellStyle name="Normal 38 2 2 3 6" xfId="15225" xr:uid="{00000000-0005-0000-0000-000035320000}"/>
    <cellStyle name="Normal 38 2 2 4" xfId="3103" xr:uid="{00000000-0005-0000-0000-000036320000}"/>
    <cellStyle name="Normal 38 2 2 4 2" xfId="9835" xr:uid="{00000000-0005-0000-0000-000037320000}"/>
    <cellStyle name="Normal 38 2 2 4 2 2" xfId="18585" xr:uid="{00000000-0005-0000-0000-000038320000}"/>
    <cellStyle name="Normal 38 2 2 4 3" xfId="8233" xr:uid="{00000000-0005-0000-0000-000039320000}"/>
    <cellStyle name="Normal 38 2 2 4 3 2" xfId="16986" xr:uid="{00000000-0005-0000-0000-00003A320000}"/>
    <cellStyle name="Normal 38 2 2 4 4" xfId="11445" xr:uid="{00000000-0005-0000-0000-00003B320000}"/>
    <cellStyle name="Normal 38 2 2 4 4 2" xfId="20132" xr:uid="{00000000-0005-0000-0000-00003C320000}"/>
    <cellStyle name="Normal 38 2 2 4 5" xfId="13052" xr:uid="{00000000-0005-0000-0000-00003D320000}"/>
    <cellStyle name="Normal 38 2 2 4 5 2" xfId="21732" xr:uid="{00000000-0005-0000-0000-00003E320000}"/>
    <cellStyle name="Normal 38 2 2 4 6" xfId="15226" xr:uid="{00000000-0005-0000-0000-00003F320000}"/>
    <cellStyle name="Normal 38 2 2 5" xfId="9832" xr:uid="{00000000-0005-0000-0000-000040320000}"/>
    <cellStyle name="Normal 38 2 2 5 2" xfId="18582" xr:uid="{00000000-0005-0000-0000-000041320000}"/>
    <cellStyle name="Normal 38 2 2 6" xfId="8230" xr:uid="{00000000-0005-0000-0000-000042320000}"/>
    <cellStyle name="Normal 38 2 2 6 2" xfId="16983" xr:uid="{00000000-0005-0000-0000-000043320000}"/>
    <cellStyle name="Normal 38 2 2 7" xfId="11442" xr:uid="{00000000-0005-0000-0000-000044320000}"/>
    <cellStyle name="Normal 38 2 2 7 2" xfId="20129" xr:uid="{00000000-0005-0000-0000-000045320000}"/>
    <cellStyle name="Normal 38 2 2 8" xfId="13049" xr:uid="{00000000-0005-0000-0000-000046320000}"/>
    <cellStyle name="Normal 38 2 2 8 2" xfId="21729" xr:uid="{00000000-0005-0000-0000-000047320000}"/>
    <cellStyle name="Normal 38 2 2 9" xfId="15223" xr:uid="{00000000-0005-0000-0000-000048320000}"/>
    <cellStyle name="Normal 38 2 3" xfId="3104" xr:uid="{00000000-0005-0000-0000-000049320000}"/>
    <cellStyle name="Normal 38 2 3 2" xfId="3105" xr:uid="{00000000-0005-0000-0000-00004A320000}"/>
    <cellStyle name="Normal 38 2 3 2 2" xfId="9837" xr:uid="{00000000-0005-0000-0000-00004B320000}"/>
    <cellStyle name="Normal 38 2 3 2 2 2" xfId="18587" xr:uid="{00000000-0005-0000-0000-00004C320000}"/>
    <cellStyle name="Normal 38 2 3 2 3" xfId="8235" xr:uid="{00000000-0005-0000-0000-00004D320000}"/>
    <cellStyle name="Normal 38 2 3 2 3 2" xfId="16988" xr:uid="{00000000-0005-0000-0000-00004E320000}"/>
    <cellStyle name="Normal 38 2 3 2 4" xfId="11447" xr:uid="{00000000-0005-0000-0000-00004F320000}"/>
    <cellStyle name="Normal 38 2 3 2 4 2" xfId="20134" xr:uid="{00000000-0005-0000-0000-000050320000}"/>
    <cellStyle name="Normal 38 2 3 2 5" xfId="13054" xr:uid="{00000000-0005-0000-0000-000051320000}"/>
    <cellStyle name="Normal 38 2 3 2 5 2" xfId="21734" xr:uid="{00000000-0005-0000-0000-000052320000}"/>
    <cellStyle name="Normal 38 2 3 2 6" xfId="15228" xr:uid="{00000000-0005-0000-0000-000053320000}"/>
    <cellStyle name="Normal 38 2 3 3" xfId="3106" xr:uid="{00000000-0005-0000-0000-000054320000}"/>
    <cellStyle name="Normal 38 2 3 3 2" xfId="9838" xr:uid="{00000000-0005-0000-0000-000055320000}"/>
    <cellStyle name="Normal 38 2 3 3 2 2" xfId="18588" xr:uid="{00000000-0005-0000-0000-000056320000}"/>
    <cellStyle name="Normal 38 2 3 3 3" xfId="8236" xr:uid="{00000000-0005-0000-0000-000057320000}"/>
    <cellStyle name="Normal 38 2 3 3 3 2" xfId="16989" xr:uid="{00000000-0005-0000-0000-000058320000}"/>
    <cellStyle name="Normal 38 2 3 3 4" xfId="11448" xr:uid="{00000000-0005-0000-0000-000059320000}"/>
    <cellStyle name="Normal 38 2 3 3 4 2" xfId="20135" xr:uid="{00000000-0005-0000-0000-00005A320000}"/>
    <cellStyle name="Normal 38 2 3 3 5" xfId="13055" xr:uid="{00000000-0005-0000-0000-00005B320000}"/>
    <cellStyle name="Normal 38 2 3 3 5 2" xfId="21735" xr:uid="{00000000-0005-0000-0000-00005C320000}"/>
    <cellStyle name="Normal 38 2 3 3 6" xfId="15229" xr:uid="{00000000-0005-0000-0000-00005D320000}"/>
    <cellStyle name="Normal 38 2 3 4" xfId="3107" xr:uid="{00000000-0005-0000-0000-00005E320000}"/>
    <cellStyle name="Normal 38 2 3 4 2" xfId="9839" xr:uid="{00000000-0005-0000-0000-00005F320000}"/>
    <cellStyle name="Normal 38 2 3 4 2 2" xfId="18589" xr:uid="{00000000-0005-0000-0000-000060320000}"/>
    <cellStyle name="Normal 38 2 3 4 3" xfId="8237" xr:uid="{00000000-0005-0000-0000-000061320000}"/>
    <cellStyle name="Normal 38 2 3 4 3 2" xfId="16990" xr:uid="{00000000-0005-0000-0000-000062320000}"/>
    <cellStyle name="Normal 38 2 3 4 4" xfId="11449" xr:uid="{00000000-0005-0000-0000-000063320000}"/>
    <cellStyle name="Normal 38 2 3 4 4 2" xfId="20136" xr:uid="{00000000-0005-0000-0000-000064320000}"/>
    <cellStyle name="Normal 38 2 3 4 5" xfId="13056" xr:uid="{00000000-0005-0000-0000-000065320000}"/>
    <cellStyle name="Normal 38 2 3 4 5 2" xfId="21736" xr:uid="{00000000-0005-0000-0000-000066320000}"/>
    <cellStyle name="Normal 38 2 3 4 6" xfId="15230" xr:uid="{00000000-0005-0000-0000-000067320000}"/>
    <cellStyle name="Normal 38 2 3 5" xfId="9836" xr:uid="{00000000-0005-0000-0000-000068320000}"/>
    <cellStyle name="Normal 38 2 3 5 2" xfId="18586" xr:uid="{00000000-0005-0000-0000-000069320000}"/>
    <cellStyle name="Normal 38 2 3 6" xfId="8234" xr:uid="{00000000-0005-0000-0000-00006A320000}"/>
    <cellStyle name="Normal 38 2 3 6 2" xfId="16987" xr:uid="{00000000-0005-0000-0000-00006B320000}"/>
    <cellStyle name="Normal 38 2 3 7" xfId="11446" xr:uid="{00000000-0005-0000-0000-00006C320000}"/>
    <cellStyle name="Normal 38 2 3 7 2" xfId="20133" xr:uid="{00000000-0005-0000-0000-00006D320000}"/>
    <cellStyle name="Normal 38 2 3 8" xfId="13053" xr:uid="{00000000-0005-0000-0000-00006E320000}"/>
    <cellStyle name="Normal 38 2 3 8 2" xfId="21733" xr:uid="{00000000-0005-0000-0000-00006F320000}"/>
    <cellStyle name="Normal 38 2 3 9" xfId="15227" xr:uid="{00000000-0005-0000-0000-000070320000}"/>
    <cellStyle name="Normal 38 2 4" xfId="3108" xr:uid="{00000000-0005-0000-0000-000071320000}"/>
    <cellStyle name="Normal 38 2 4 2" xfId="9840" xr:uid="{00000000-0005-0000-0000-000072320000}"/>
    <cellStyle name="Normal 38 2 4 2 2" xfId="18590" xr:uid="{00000000-0005-0000-0000-000073320000}"/>
    <cellStyle name="Normal 38 2 4 3" xfId="8238" xr:uid="{00000000-0005-0000-0000-000074320000}"/>
    <cellStyle name="Normal 38 2 4 3 2" xfId="16991" xr:uid="{00000000-0005-0000-0000-000075320000}"/>
    <cellStyle name="Normal 38 2 4 4" xfId="11450" xr:uid="{00000000-0005-0000-0000-000076320000}"/>
    <cellStyle name="Normal 38 2 4 4 2" xfId="20137" xr:uid="{00000000-0005-0000-0000-000077320000}"/>
    <cellStyle name="Normal 38 2 4 5" xfId="13057" xr:uid="{00000000-0005-0000-0000-000078320000}"/>
    <cellStyle name="Normal 38 2 4 5 2" xfId="21737" xr:uid="{00000000-0005-0000-0000-000079320000}"/>
    <cellStyle name="Normal 38 2 4 6" xfId="15231" xr:uid="{00000000-0005-0000-0000-00007A320000}"/>
    <cellStyle name="Normal 38 2 5" xfId="3109" xr:uid="{00000000-0005-0000-0000-00007B320000}"/>
    <cellStyle name="Normal 38 2 5 2" xfId="9841" xr:uid="{00000000-0005-0000-0000-00007C320000}"/>
    <cellStyle name="Normal 38 2 5 2 2" xfId="18591" xr:uid="{00000000-0005-0000-0000-00007D320000}"/>
    <cellStyle name="Normal 38 2 5 3" xfId="8239" xr:uid="{00000000-0005-0000-0000-00007E320000}"/>
    <cellStyle name="Normal 38 2 5 3 2" xfId="16992" xr:uid="{00000000-0005-0000-0000-00007F320000}"/>
    <cellStyle name="Normal 38 2 5 4" xfId="11451" xr:uid="{00000000-0005-0000-0000-000080320000}"/>
    <cellStyle name="Normal 38 2 5 4 2" xfId="20138" xr:uid="{00000000-0005-0000-0000-000081320000}"/>
    <cellStyle name="Normal 38 2 5 5" xfId="13058" xr:uid="{00000000-0005-0000-0000-000082320000}"/>
    <cellStyle name="Normal 38 2 5 5 2" xfId="21738" xr:uid="{00000000-0005-0000-0000-000083320000}"/>
    <cellStyle name="Normal 38 2 5 6" xfId="15232" xr:uid="{00000000-0005-0000-0000-000084320000}"/>
    <cellStyle name="Normal 38 2 6" xfId="3110" xr:uid="{00000000-0005-0000-0000-000085320000}"/>
    <cellStyle name="Normal 38 2 6 2" xfId="9842" xr:uid="{00000000-0005-0000-0000-000086320000}"/>
    <cellStyle name="Normal 38 2 6 2 2" xfId="18592" xr:uid="{00000000-0005-0000-0000-000087320000}"/>
    <cellStyle name="Normal 38 2 6 3" xfId="8240" xr:uid="{00000000-0005-0000-0000-000088320000}"/>
    <cellStyle name="Normal 38 2 6 3 2" xfId="16993" xr:uid="{00000000-0005-0000-0000-000089320000}"/>
    <cellStyle name="Normal 38 2 6 4" xfId="11452" xr:uid="{00000000-0005-0000-0000-00008A320000}"/>
    <cellStyle name="Normal 38 2 6 4 2" xfId="20139" xr:uid="{00000000-0005-0000-0000-00008B320000}"/>
    <cellStyle name="Normal 38 2 6 5" xfId="13059" xr:uid="{00000000-0005-0000-0000-00008C320000}"/>
    <cellStyle name="Normal 38 2 6 5 2" xfId="21739" xr:uid="{00000000-0005-0000-0000-00008D320000}"/>
    <cellStyle name="Normal 38 2 6 6" xfId="15233" xr:uid="{00000000-0005-0000-0000-00008E320000}"/>
    <cellStyle name="Normal 38 2 7" xfId="9831" xr:uid="{00000000-0005-0000-0000-00008F320000}"/>
    <cellStyle name="Normal 38 2 7 2" xfId="18581" xr:uid="{00000000-0005-0000-0000-000090320000}"/>
    <cellStyle name="Normal 38 2 8" xfId="8229" xr:uid="{00000000-0005-0000-0000-000091320000}"/>
    <cellStyle name="Normal 38 2 8 2" xfId="16982" xr:uid="{00000000-0005-0000-0000-000092320000}"/>
    <cellStyle name="Normal 38 2 9" xfId="11441" xr:uid="{00000000-0005-0000-0000-000093320000}"/>
    <cellStyle name="Normal 38 2 9 2" xfId="20128" xr:uid="{00000000-0005-0000-0000-000094320000}"/>
    <cellStyle name="Normal 38 3" xfId="3111" xr:uid="{00000000-0005-0000-0000-000095320000}"/>
    <cellStyle name="Normal 38 3 2" xfId="3112" xr:uid="{00000000-0005-0000-0000-000096320000}"/>
    <cellStyle name="Normal 38 3 2 2" xfId="9844" xr:uid="{00000000-0005-0000-0000-000097320000}"/>
    <cellStyle name="Normal 38 3 2 2 2" xfId="18594" xr:uid="{00000000-0005-0000-0000-000098320000}"/>
    <cellStyle name="Normal 38 3 2 3" xfId="8242" xr:uid="{00000000-0005-0000-0000-000099320000}"/>
    <cellStyle name="Normal 38 3 2 3 2" xfId="16995" xr:uid="{00000000-0005-0000-0000-00009A320000}"/>
    <cellStyle name="Normal 38 3 2 4" xfId="11454" xr:uid="{00000000-0005-0000-0000-00009B320000}"/>
    <cellStyle name="Normal 38 3 2 4 2" xfId="20141" xr:uid="{00000000-0005-0000-0000-00009C320000}"/>
    <cellStyle name="Normal 38 3 2 5" xfId="13061" xr:uid="{00000000-0005-0000-0000-00009D320000}"/>
    <cellStyle name="Normal 38 3 2 5 2" xfId="21741" xr:uid="{00000000-0005-0000-0000-00009E320000}"/>
    <cellStyle name="Normal 38 3 2 6" xfId="15235" xr:uid="{00000000-0005-0000-0000-00009F320000}"/>
    <cellStyle name="Normal 38 3 3" xfId="3113" xr:uid="{00000000-0005-0000-0000-0000A0320000}"/>
    <cellStyle name="Normal 38 3 3 2" xfId="9845" xr:uid="{00000000-0005-0000-0000-0000A1320000}"/>
    <cellStyle name="Normal 38 3 3 2 2" xfId="18595" xr:uid="{00000000-0005-0000-0000-0000A2320000}"/>
    <cellStyle name="Normal 38 3 3 3" xfId="8243" xr:uid="{00000000-0005-0000-0000-0000A3320000}"/>
    <cellStyle name="Normal 38 3 3 3 2" xfId="16996" xr:uid="{00000000-0005-0000-0000-0000A4320000}"/>
    <cellStyle name="Normal 38 3 3 4" xfId="11455" xr:uid="{00000000-0005-0000-0000-0000A5320000}"/>
    <cellStyle name="Normal 38 3 3 4 2" xfId="20142" xr:uid="{00000000-0005-0000-0000-0000A6320000}"/>
    <cellStyle name="Normal 38 3 3 5" xfId="13062" xr:uid="{00000000-0005-0000-0000-0000A7320000}"/>
    <cellStyle name="Normal 38 3 3 5 2" xfId="21742" xr:uid="{00000000-0005-0000-0000-0000A8320000}"/>
    <cellStyle name="Normal 38 3 3 6" xfId="15236" xr:uid="{00000000-0005-0000-0000-0000A9320000}"/>
    <cellStyle name="Normal 38 3 4" xfId="3114" xr:uid="{00000000-0005-0000-0000-0000AA320000}"/>
    <cellStyle name="Normal 38 3 4 2" xfId="9846" xr:uid="{00000000-0005-0000-0000-0000AB320000}"/>
    <cellStyle name="Normal 38 3 4 2 2" xfId="18596" xr:uid="{00000000-0005-0000-0000-0000AC320000}"/>
    <cellStyle name="Normal 38 3 4 3" xfId="8244" xr:uid="{00000000-0005-0000-0000-0000AD320000}"/>
    <cellStyle name="Normal 38 3 4 3 2" xfId="16997" xr:uid="{00000000-0005-0000-0000-0000AE320000}"/>
    <cellStyle name="Normal 38 3 4 4" xfId="11456" xr:uid="{00000000-0005-0000-0000-0000AF320000}"/>
    <cellStyle name="Normal 38 3 4 4 2" xfId="20143" xr:uid="{00000000-0005-0000-0000-0000B0320000}"/>
    <cellStyle name="Normal 38 3 4 5" xfId="13063" xr:uid="{00000000-0005-0000-0000-0000B1320000}"/>
    <cellStyle name="Normal 38 3 4 5 2" xfId="21743" xr:uid="{00000000-0005-0000-0000-0000B2320000}"/>
    <cellStyle name="Normal 38 3 4 6" xfId="15237" xr:uid="{00000000-0005-0000-0000-0000B3320000}"/>
    <cellStyle name="Normal 38 3 5" xfId="9843" xr:uid="{00000000-0005-0000-0000-0000B4320000}"/>
    <cellStyle name="Normal 38 3 5 2" xfId="18593" xr:uid="{00000000-0005-0000-0000-0000B5320000}"/>
    <cellStyle name="Normal 38 3 6" xfId="8241" xr:uid="{00000000-0005-0000-0000-0000B6320000}"/>
    <cellStyle name="Normal 38 3 6 2" xfId="16994" xr:uid="{00000000-0005-0000-0000-0000B7320000}"/>
    <cellStyle name="Normal 38 3 7" xfId="11453" xr:uid="{00000000-0005-0000-0000-0000B8320000}"/>
    <cellStyle name="Normal 38 3 7 2" xfId="20140" xr:uid="{00000000-0005-0000-0000-0000B9320000}"/>
    <cellStyle name="Normal 38 3 8" xfId="13060" xr:uid="{00000000-0005-0000-0000-0000BA320000}"/>
    <cellStyle name="Normal 38 3 8 2" xfId="21740" xr:uid="{00000000-0005-0000-0000-0000BB320000}"/>
    <cellStyle name="Normal 38 3 9" xfId="15234" xr:uid="{00000000-0005-0000-0000-0000BC320000}"/>
    <cellStyle name="Normal 38 4" xfId="3115" xr:uid="{00000000-0005-0000-0000-0000BD320000}"/>
    <cellStyle name="Normal 39" xfId="3116" xr:uid="{00000000-0005-0000-0000-0000BE320000}"/>
    <cellStyle name="Normal 39 2" xfId="3117" xr:uid="{00000000-0005-0000-0000-0000BF320000}"/>
    <cellStyle name="Normal 39 2 10" xfId="13064" xr:uid="{00000000-0005-0000-0000-0000C0320000}"/>
    <cellStyle name="Normal 39 2 10 2" xfId="21744" xr:uid="{00000000-0005-0000-0000-0000C1320000}"/>
    <cellStyle name="Normal 39 2 11" xfId="15238" xr:uid="{00000000-0005-0000-0000-0000C2320000}"/>
    <cellStyle name="Normal 39 2 2" xfId="3118" xr:uid="{00000000-0005-0000-0000-0000C3320000}"/>
    <cellStyle name="Normal 39 2 2 2" xfId="3119" xr:uid="{00000000-0005-0000-0000-0000C4320000}"/>
    <cellStyle name="Normal 39 2 2 2 2" xfId="9849" xr:uid="{00000000-0005-0000-0000-0000C5320000}"/>
    <cellStyle name="Normal 39 2 2 2 2 2" xfId="18599" xr:uid="{00000000-0005-0000-0000-0000C6320000}"/>
    <cellStyle name="Normal 39 2 2 2 3" xfId="8247" xr:uid="{00000000-0005-0000-0000-0000C7320000}"/>
    <cellStyle name="Normal 39 2 2 2 3 2" xfId="17000" xr:uid="{00000000-0005-0000-0000-0000C8320000}"/>
    <cellStyle name="Normal 39 2 2 2 4" xfId="11459" xr:uid="{00000000-0005-0000-0000-0000C9320000}"/>
    <cellStyle name="Normal 39 2 2 2 4 2" xfId="20146" xr:uid="{00000000-0005-0000-0000-0000CA320000}"/>
    <cellStyle name="Normal 39 2 2 2 5" xfId="13066" xr:uid="{00000000-0005-0000-0000-0000CB320000}"/>
    <cellStyle name="Normal 39 2 2 2 5 2" xfId="21746" xr:uid="{00000000-0005-0000-0000-0000CC320000}"/>
    <cellStyle name="Normal 39 2 2 2 6" xfId="15240" xr:uid="{00000000-0005-0000-0000-0000CD320000}"/>
    <cellStyle name="Normal 39 2 2 3" xfId="3120" xr:uid="{00000000-0005-0000-0000-0000CE320000}"/>
    <cellStyle name="Normal 39 2 2 3 2" xfId="9850" xr:uid="{00000000-0005-0000-0000-0000CF320000}"/>
    <cellStyle name="Normal 39 2 2 3 2 2" xfId="18600" xr:uid="{00000000-0005-0000-0000-0000D0320000}"/>
    <cellStyle name="Normal 39 2 2 3 3" xfId="8248" xr:uid="{00000000-0005-0000-0000-0000D1320000}"/>
    <cellStyle name="Normal 39 2 2 3 3 2" xfId="17001" xr:uid="{00000000-0005-0000-0000-0000D2320000}"/>
    <cellStyle name="Normal 39 2 2 3 4" xfId="11460" xr:uid="{00000000-0005-0000-0000-0000D3320000}"/>
    <cellStyle name="Normal 39 2 2 3 4 2" xfId="20147" xr:uid="{00000000-0005-0000-0000-0000D4320000}"/>
    <cellStyle name="Normal 39 2 2 3 5" xfId="13067" xr:uid="{00000000-0005-0000-0000-0000D5320000}"/>
    <cellStyle name="Normal 39 2 2 3 5 2" xfId="21747" xr:uid="{00000000-0005-0000-0000-0000D6320000}"/>
    <cellStyle name="Normal 39 2 2 3 6" xfId="15241" xr:uid="{00000000-0005-0000-0000-0000D7320000}"/>
    <cellStyle name="Normal 39 2 2 4" xfId="3121" xr:uid="{00000000-0005-0000-0000-0000D8320000}"/>
    <cellStyle name="Normal 39 2 2 4 2" xfId="9851" xr:uid="{00000000-0005-0000-0000-0000D9320000}"/>
    <cellStyle name="Normal 39 2 2 4 2 2" xfId="18601" xr:uid="{00000000-0005-0000-0000-0000DA320000}"/>
    <cellStyle name="Normal 39 2 2 4 3" xfId="8249" xr:uid="{00000000-0005-0000-0000-0000DB320000}"/>
    <cellStyle name="Normal 39 2 2 4 3 2" xfId="17002" xr:uid="{00000000-0005-0000-0000-0000DC320000}"/>
    <cellStyle name="Normal 39 2 2 4 4" xfId="11461" xr:uid="{00000000-0005-0000-0000-0000DD320000}"/>
    <cellStyle name="Normal 39 2 2 4 4 2" xfId="20148" xr:uid="{00000000-0005-0000-0000-0000DE320000}"/>
    <cellStyle name="Normal 39 2 2 4 5" xfId="13068" xr:uid="{00000000-0005-0000-0000-0000DF320000}"/>
    <cellStyle name="Normal 39 2 2 4 5 2" xfId="21748" xr:uid="{00000000-0005-0000-0000-0000E0320000}"/>
    <cellStyle name="Normal 39 2 2 4 6" xfId="15242" xr:uid="{00000000-0005-0000-0000-0000E1320000}"/>
    <cellStyle name="Normal 39 2 2 5" xfId="9848" xr:uid="{00000000-0005-0000-0000-0000E2320000}"/>
    <cellStyle name="Normal 39 2 2 5 2" xfId="18598" xr:uid="{00000000-0005-0000-0000-0000E3320000}"/>
    <cellStyle name="Normal 39 2 2 6" xfId="8246" xr:uid="{00000000-0005-0000-0000-0000E4320000}"/>
    <cellStyle name="Normal 39 2 2 6 2" xfId="16999" xr:uid="{00000000-0005-0000-0000-0000E5320000}"/>
    <cellStyle name="Normal 39 2 2 7" xfId="11458" xr:uid="{00000000-0005-0000-0000-0000E6320000}"/>
    <cellStyle name="Normal 39 2 2 7 2" xfId="20145" xr:uid="{00000000-0005-0000-0000-0000E7320000}"/>
    <cellStyle name="Normal 39 2 2 8" xfId="13065" xr:uid="{00000000-0005-0000-0000-0000E8320000}"/>
    <cellStyle name="Normal 39 2 2 8 2" xfId="21745" xr:uid="{00000000-0005-0000-0000-0000E9320000}"/>
    <cellStyle name="Normal 39 2 2 9" xfId="15239" xr:uid="{00000000-0005-0000-0000-0000EA320000}"/>
    <cellStyle name="Normal 39 2 3" xfId="3122" xr:uid="{00000000-0005-0000-0000-0000EB320000}"/>
    <cellStyle name="Normal 39 2 3 2" xfId="3123" xr:uid="{00000000-0005-0000-0000-0000EC320000}"/>
    <cellStyle name="Normal 39 2 3 2 2" xfId="9853" xr:uid="{00000000-0005-0000-0000-0000ED320000}"/>
    <cellStyle name="Normal 39 2 3 2 2 2" xfId="18603" xr:uid="{00000000-0005-0000-0000-0000EE320000}"/>
    <cellStyle name="Normal 39 2 3 2 3" xfId="8251" xr:uid="{00000000-0005-0000-0000-0000EF320000}"/>
    <cellStyle name="Normal 39 2 3 2 3 2" xfId="17004" xr:uid="{00000000-0005-0000-0000-0000F0320000}"/>
    <cellStyle name="Normal 39 2 3 2 4" xfId="11463" xr:uid="{00000000-0005-0000-0000-0000F1320000}"/>
    <cellStyle name="Normal 39 2 3 2 4 2" xfId="20150" xr:uid="{00000000-0005-0000-0000-0000F2320000}"/>
    <cellStyle name="Normal 39 2 3 2 5" xfId="13070" xr:uid="{00000000-0005-0000-0000-0000F3320000}"/>
    <cellStyle name="Normal 39 2 3 2 5 2" xfId="21750" xr:uid="{00000000-0005-0000-0000-0000F4320000}"/>
    <cellStyle name="Normal 39 2 3 2 6" xfId="15244" xr:uid="{00000000-0005-0000-0000-0000F5320000}"/>
    <cellStyle name="Normal 39 2 3 3" xfId="3124" xr:uid="{00000000-0005-0000-0000-0000F6320000}"/>
    <cellStyle name="Normal 39 2 3 3 2" xfId="9854" xr:uid="{00000000-0005-0000-0000-0000F7320000}"/>
    <cellStyle name="Normal 39 2 3 3 2 2" xfId="18604" xr:uid="{00000000-0005-0000-0000-0000F8320000}"/>
    <cellStyle name="Normal 39 2 3 3 3" xfId="8252" xr:uid="{00000000-0005-0000-0000-0000F9320000}"/>
    <cellStyle name="Normal 39 2 3 3 3 2" xfId="17005" xr:uid="{00000000-0005-0000-0000-0000FA320000}"/>
    <cellStyle name="Normal 39 2 3 3 4" xfId="11464" xr:uid="{00000000-0005-0000-0000-0000FB320000}"/>
    <cellStyle name="Normal 39 2 3 3 4 2" xfId="20151" xr:uid="{00000000-0005-0000-0000-0000FC320000}"/>
    <cellStyle name="Normal 39 2 3 3 5" xfId="13071" xr:uid="{00000000-0005-0000-0000-0000FD320000}"/>
    <cellStyle name="Normal 39 2 3 3 5 2" xfId="21751" xr:uid="{00000000-0005-0000-0000-0000FE320000}"/>
    <cellStyle name="Normal 39 2 3 3 6" xfId="15245" xr:uid="{00000000-0005-0000-0000-0000FF320000}"/>
    <cellStyle name="Normal 39 2 3 4" xfId="3125" xr:uid="{00000000-0005-0000-0000-000000330000}"/>
    <cellStyle name="Normal 39 2 3 4 2" xfId="9855" xr:uid="{00000000-0005-0000-0000-000001330000}"/>
    <cellStyle name="Normal 39 2 3 4 2 2" xfId="18605" xr:uid="{00000000-0005-0000-0000-000002330000}"/>
    <cellStyle name="Normal 39 2 3 4 3" xfId="8253" xr:uid="{00000000-0005-0000-0000-000003330000}"/>
    <cellStyle name="Normal 39 2 3 4 3 2" xfId="17006" xr:uid="{00000000-0005-0000-0000-000004330000}"/>
    <cellStyle name="Normal 39 2 3 4 4" xfId="11465" xr:uid="{00000000-0005-0000-0000-000005330000}"/>
    <cellStyle name="Normal 39 2 3 4 4 2" xfId="20152" xr:uid="{00000000-0005-0000-0000-000006330000}"/>
    <cellStyle name="Normal 39 2 3 4 5" xfId="13072" xr:uid="{00000000-0005-0000-0000-000007330000}"/>
    <cellStyle name="Normal 39 2 3 4 5 2" xfId="21752" xr:uid="{00000000-0005-0000-0000-000008330000}"/>
    <cellStyle name="Normal 39 2 3 4 6" xfId="15246" xr:uid="{00000000-0005-0000-0000-000009330000}"/>
    <cellStyle name="Normal 39 2 3 5" xfId="9852" xr:uid="{00000000-0005-0000-0000-00000A330000}"/>
    <cellStyle name="Normal 39 2 3 5 2" xfId="18602" xr:uid="{00000000-0005-0000-0000-00000B330000}"/>
    <cellStyle name="Normal 39 2 3 6" xfId="8250" xr:uid="{00000000-0005-0000-0000-00000C330000}"/>
    <cellStyle name="Normal 39 2 3 6 2" xfId="17003" xr:uid="{00000000-0005-0000-0000-00000D330000}"/>
    <cellStyle name="Normal 39 2 3 7" xfId="11462" xr:uid="{00000000-0005-0000-0000-00000E330000}"/>
    <cellStyle name="Normal 39 2 3 7 2" xfId="20149" xr:uid="{00000000-0005-0000-0000-00000F330000}"/>
    <cellStyle name="Normal 39 2 3 8" xfId="13069" xr:uid="{00000000-0005-0000-0000-000010330000}"/>
    <cellStyle name="Normal 39 2 3 8 2" xfId="21749" xr:uid="{00000000-0005-0000-0000-000011330000}"/>
    <cellStyle name="Normal 39 2 3 9" xfId="15243" xr:uid="{00000000-0005-0000-0000-000012330000}"/>
    <cellStyle name="Normal 39 2 4" xfId="3126" xr:uid="{00000000-0005-0000-0000-000013330000}"/>
    <cellStyle name="Normal 39 2 4 2" xfId="9856" xr:uid="{00000000-0005-0000-0000-000014330000}"/>
    <cellStyle name="Normal 39 2 4 2 2" xfId="18606" xr:uid="{00000000-0005-0000-0000-000015330000}"/>
    <cellStyle name="Normal 39 2 4 3" xfId="8254" xr:uid="{00000000-0005-0000-0000-000016330000}"/>
    <cellStyle name="Normal 39 2 4 3 2" xfId="17007" xr:uid="{00000000-0005-0000-0000-000017330000}"/>
    <cellStyle name="Normal 39 2 4 4" xfId="11466" xr:uid="{00000000-0005-0000-0000-000018330000}"/>
    <cellStyle name="Normal 39 2 4 4 2" xfId="20153" xr:uid="{00000000-0005-0000-0000-000019330000}"/>
    <cellStyle name="Normal 39 2 4 5" xfId="13073" xr:uid="{00000000-0005-0000-0000-00001A330000}"/>
    <cellStyle name="Normal 39 2 4 5 2" xfId="21753" xr:uid="{00000000-0005-0000-0000-00001B330000}"/>
    <cellStyle name="Normal 39 2 4 6" xfId="15247" xr:uid="{00000000-0005-0000-0000-00001C330000}"/>
    <cellStyle name="Normal 39 2 5" xfId="3127" xr:uid="{00000000-0005-0000-0000-00001D330000}"/>
    <cellStyle name="Normal 39 2 5 2" xfId="9857" xr:uid="{00000000-0005-0000-0000-00001E330000}"/>
    <cellStyle name="Normal 39 2 5 2 2" xfId="18607" xr:uid="{00000000-0005-0000-0000-00001F330000}"/>
    <cellStyle name="Normal 39 2 5 3" xfId="8255" xr:uid="{00000000-0005-0000-0000-000020330000}"/>
    <cellStyle name="Normal 39 2 5 3 2" xfId="17008" xr:uid="{00000000-0005-0000-0000-000021330000}"/>
    <cellStyle name="Normal 39 2 5 4" xfId="11467" xr:uid="{00000000-0005-0000-0000-000022330000}"/>
    <cellStyle name="Normal 39 2 5 4 2" xfId="20154" xr:uid="{00000000-0005-0000-0000-000023330000}"/>
    <cellStyle name="Normal 39 2 5 5" xfId="13074" xr:uid="{00000000-0005-0000-0000-000024330000}"/>
    <cellStyle name="Normal 39 2 5 5 2" xfId="21754" xr:uid="{00000000-0005-0000-0000-000025330000}"/>
    <cellStyle name="Normal 39 2 5 6" xfId="15248" xr:uid="{00000000-0005-0000-0000-000026330000}"/>
    <cellStyle name="Normal 39 2 6" xfId="3128" xr:uid="{00000000-0005-0000-0000-000027330000}"/>
    <cellStyle name="Normal 39 2 6 2" xfId="9858" xr:uid="{00000000-0005-0000-0000-000028330000}"/>
    <cellStyle name="Normal 39 2 6 2 2" xfId="18608" xr:uid="{00000000-0005-0000-0000-000029330000}"/>
    <cellStyle name="Normal 39 2 6 3" xfId="8256" xr:uid="{00000000-0005-0000-0000-00002A330000}"/>
    <cellStyle name="Normal 39 2 6 3 2" xfId="17009" xr:uid="{00000000-0005-0000-0000-00002B330000}"/>
    <cellStyle name="Normal 39 2 6 4" xfId="11468" xr:uid="{00000000-0005-0000-0000-00002C330000}"/>
    <cellStyle name="Normal 39 2 6 4 2" xfId="20155" xr:uid="{00000000-0005-0000-0000-00002D330000}"/>
    <cellStyle name="Normal 39 2 6 5" xfId="13075" xr:uid="{00000000-0005-0000-0000-00002E330000}"/>
    <cellStyle name="Normal 39 2 6 5 2" xfId="21755" xr:uid="{00000000-0005-0000-0000-00002F330000}"/>
    <cellStyle name="Normal 39 2 6 6" xfId="15249" xr:uid="{00000000-0005-0000-0000-000030330000}"/>
    <cellStyle name="Normal 39 2 7" xfId="9847" xr:uid="{00000000-0005-0000-0000-000031330000}"/>
    <cellStyle name="Normal 39 2 7 2" xfId="18597" xr:uid="{00000000-0005-0000-0000-000032330000}"/>
    <cellStyle name="Normal 39 2 8" xfId="8245" xr:uid="{00000000-0005-0000-0000-000033330000}"/>
    <cellStyle name="Normal 39 2 8 2" xfId="16998" xr:uid="{00000000-0005-0000-0000-000034330000}"/>
    <cellStyle name="Normal 39 2 9" xfId="11457" xr:uid="{00000000-0005-0000-0000-000035330000}"/>
    <cellStyle name="Normal 39 2 9 2" xfId="20144" xr:uid="{00000000-0005-0000-0000-000036330000}"/>
    <cellStyle name="Normal 39 3" xfId="3129" xr:uid="{00000000-0005-0000-0000-000037330000}"/>
    <cellStyle name="Normal 39 3 2" xfId="3130" xr:uid="{00000000-0005-0000-0000-000038330000}"/>
    <cellStyle name="Normal 39 3 2 2" xfId="9860" xr:uid="{00000000-0005-0000-0000-000039330000}"/>
    <cellStyle name="Normal 39 3 2 2 2" xfId="18610" xr:uid="{00000000-0005-0000-0000-00003A330000}"/>
    <cellStyle name="Normal 39 3 2 3" xfId="8258" xr:uid="{00000000-0005-0000-0000-00003B330000}"/>
    <cellStyle name="Normal 39 3 2 3 2" xfId="17011" xr:uid="{00000000-0005-0000-0000-00003C330000}"/>
    <cellStyle name="Normal 39 3 2 4" xfId="11470" xr:uid="{00000000-0005-0000-0000-00003D330000}"/>
    <cellStyle name="Normal 39 3 2 4 2" xfId="20157" xr:uid="{00000000-0005-0000-0000-00003E330000}"/>
    <cellStyle name="Normal 39 3 2 5" xfId="13077" xr:uid="{00000000-0005-0000-0000-00003F330000}"/>
    <cellStyle name="Normal 39 3 2 5 2" xfId="21757" xr:uid="{00000000-0005-0000-0000-000040330000}"/>
    <cellStyle name="Normal 39 3 2 6" xfId="15251" xr:uid="{00000000-0005-0000-0000-000041330000}"/>
    <cellStyle name="Normal 39 3 3" xfId="3131" xr:uid="{00000000-0005-0000-0000-000042330000}"/>
    <cellStyle name="Normal 39 3 3 2" xfId="9861" xr:uid="{00000000-0005-0000-0000-000043330000}"/>
    <cellStyle name="Normal 39 3 3 2 2" xfId="18611" xr:uid="{00000000-0005-0000-0000-000044330000}"/>
    <cellStyle name="Normal 39 3 3 3" xfId="8259" xr:uid="{00000000-0005-0000-0000-000045330000}"/>
    <cellStyle name="Normal 39 3 3 3 2" xfId="17012" xr:uid="{00000000-0005-0000-0000-000046330000}"/>
    <cellStyle name="Normal 39 3 3 4" xfId="11471" xr:uid="{00000000-0005-0000-0000-000047330000}"/>
    <cellStyle name="Normal 39 3 3 4 2" xfId="20158" xr:uid="{00000000-0005-0000-0000-000048330000}"/>
    <cellStyle name="Normal 39 3 3 5" xfId="13078" xr:uid="{00000000-0005-0000-0000-000049330000}"/>
    <cellStyle name="Normal 39 3 3 5 2" xfId="21758" xr:uid="{00000000-0005-0000-0000-00004A330000}"/>
    <cellStyle name="Normal 39 3 3 6" xfId="15252" xr:uid="{00000000-0005-0000-0000-00004B330000}"/>
    <cellStyle name="Normal 39 3 4" xfId="3132" xr:uid="{00000000-0005-0000-0000-00004C330000}"/>
    <cellStyle name="Normal 39 3 4 2" xfId="9862" xr:uid="{00000000-0005-0000-0000-00004D330000}"/>
    <cellStyle name="Normal 39 3 4 2 2" xfId="18612" xr:uid="{00000000-0005-0000-0000-00004E330000}"/>
    <cellStyle name="Normal 39 3 4 3" xfId="8260" xr:uid="{00000000-0005-0000-0000-00004F330000}"/>
    <cellStyle name="Normal 39 3 4 3 2" xfId="17013" xr:uid="{00000000-0005-0000-0000-000050330000}"/>
    <cellStyle name="Normal 39 3 4 4" xfId="11472" xr:uid="{00000000-0005-0000-0000-000051330000}"/>
    <cellStyle name="Normal 39 3 4 4 2" xfId="20159" xr:uid="{00000000-0005-0000-0000-000052330000}"/>
    <cellStyle name="Normal 39 3 4 5" xfId="13079" xr:uid="{00000000-0005-0000-0000-000053330000}"/>
    <cellStyle name="Normal 39 3 4 5 2" xfId="21759" xr:uid="{00000000-0005-0000-0000-000054330000}"/>
    <cellStyle name="Normal 39 3 4 6" xfId="15253" xr:uid="{00000000-0005-0000-0000-000055330000}"/>
    <cellStyle name="Normal 39 3 5" xfId="9859" xr:uid="{00000000-0005-0000-0000-000056330000}"/>
    <cellStyle name="Normal 39 3 5 2" xfId="18609" xr:uid="{00000000-0005-0000-0000-000057330000}"/>
    <cellStyle name="Normal 39 3 6" xfId="8257" xr:uid="{00000000-0005-0000-0000-000058330000}"/>
    <cellStyle name="Normal 39 3 6 2" xfId="17010" xr:uid="{00000000-0005-0000-0000-000059330000}"/>
    <cellStyle name="Normal 39 3 7" xfId="11469" xr:uid="{00000000-0005-0000-0000-00005A330000}"/>
    <cellStyle name="Normal 39 3 7 2" xfId="20156" xr:uid="{00000000-0005-0000-0000-00005B330000}"/>
    <cellStyle name="Normal 39 3 8" xfId="13076" xr:uid="{00000000-0005-0000-0000-00005C330000}"/>
    <cellStyle name="Normal 39 3 8 2" xfId="21756" xr:uid="{00000000-0005-0000-0000-00005D330000}"/>
    <cellStyle name="Normal 39 3 9" xfId="15250" xr:uid="{00000000-0005-0000-0000-00005E330000}"/>
    <cellStyle name="Normal 39 4" xfId="3133" xr:uid="{00000000-0005-0000-0000-00005F330000}"/>
    <cellStyle name="Normal 4" xfId="98" xr:uid="{00000000-0005-0000-0000-000060330000}"/>
    <cellStyle name="Normal 4 10" xfId="3134" xr:uid="{00000000-0005-0000-0000-000061330000}"/>
    <cellStyle name="Normal 4 11" xfId="5770" xr:uid="{00000000-0005-0000-0000-000062330000}"/>
    <cellStyle name="Normal 4 2" xfId="132" xr:uid="{00000000-0005-0000-0000-000063330000}"/>
    <cellStyle name="Normal 4 2 2" xfId="3135" xr:uid="{00000000-0005-0000-0000-000064330000}"/>
    <cellStyle name="Normal 4 2 2 2" xfId="3136" xr:uid="{00000000-0005-0000-0000-000065330000}"/>
    <cellStyle name="Normal 4 2 3" xfId="3137" xr:uid="{00000000-0005-0000-0000-000066330000}"/>
    <cellStyle name="Normal 4 2 3 2" xfId="3138" xr:uid="{00000000-0005-0000-0000-000067330000}"/>
    <cellStyle name="Normal 4 2 3 2 2" xfId="3139" xr:uid="{00000000-0005-0000-0000-000068330000}"/>
    <cellStyle name="Normal 4 2 3 2 2 2" xfId="3140" xr:uid="{00000000-0005-0000-0000-000069330000}"/>
    <cellStyle name="Normal 4 2 3 2 2 3" xfId="3141" xr:uid="{00000000-0005-0000-0000-00006A330000}"/>
    <cellStyle name="Normal 4 2 3 2 2 4" xfId="3142" xr:uid="{00000000-0005-0000-0000-00006B330000}"/>
    <cellStyle name="Normal 4 2 3 2 3" xfId="3143" xr:uid="{00000000-0005-0000-0000-00006C330000}"/>
    <cellStyle name="Normal 4 2 3 2 4" xfId="3144" xr:uid="{00000000-0005-0000-0000-00006D330000}"/>
    <cellStyle name="Normal 4 2 3 3" xfId="3145" xr:uid="{00000000-0005-0000-0000-00006E330000}"/>
    <cellStyle name="Normal 4 2 3 4" xfId="3146" xr:uid="{00000000-0005-0000-0000-00006F330000}"/>
    <cellStyle name="Normal 4 2 3 5" xfId="3147" xr:uid="{00000000-0005-0000-0000-000070330000}"/>
    <cellStyle name="Normal 4 2 3 6" xfId="3148" xr:uid="{00000000-0005-0000-0000-000071330000}"/>
    <cellStyle name="Normal 4 2 3 7" xfId="3149" xr:uid="{00000000-0005-0000-0000-000072330000}"/>
    <cellStyle name="Normal 4 2 4" xfId="3150" xr:uid="{00000000-0005-0000-0000-000073330000}"/>
    <cellStyle name="Normal 4 2 4 2" xfId="3151" xr:uid="{00000000-0005-0000-0000-000074330000}"/>
    <cellStyle name="Normal 4 2 4 3" xfId="3152" xr:uid="{00000000-0005-0000-0000-000075330000}"/>
    <cellStyle name="Normal 4 2 4 4" xfId="3153" xr:uid="{00000000-0005-0000-0000-000076330000}"/>
    <cellStyle name="Normal 4 2 5" xfId="3154" xr:uid="{00000000-0005-0000-0000-000077330000}"/>
    <cellStyle name="Normal 4 2 5 2" xfId="3155" xr:uid="{00000000-0005-0000-0000-000078330000}"/>
    <cellStyle name="Normal 4 2 5 3" xfId="3156" xr:uid="{00000000-0005-0000-0000-000079330000}"/>
    <cellStyle name="Normal 4 2 5 4" xfId="3157" xr:uid="{00000000-0005-0000-0000-00007A330000}"/>
    <cellStyle name="Normal 4 3" xfId="3158" xr:uid="{00000000-0005-0000-0000-00007B330000}"/>
    <cellStyle name="Normal 4 3 10" xfId="13080" xr:uid="{00000000-0005-0000-0000-00007C330000}"/>
    <cellStyle name="Normal 4 3 10 2" xfId="21760" xr:uid="{00000000-0005-0000-0000-00007D330000}"/>
    <cellStyle name="Normal 4 3 11" xfId="15254" xr:uid="{00000000-0005-0000-0000-00007E330000}"/>
    <cellStyle name="Normal 4 3 2" xfId="3159" xr:uid="{00000000-0005-0000-0000-00007F330000}"/>
    <cellStyle name="Normal 4 3 2 2" xfId="3160" xr:uid="{00000000-0005-0000-0000-000080330000}"/>
    <cellStyle name="Normal 4 3 2 2 2" xfId="9865" xr:uid="{00000000-0005-0000-0000-000081330000}"/>
    <cellStyle name="Normal 4 3 2 2 2 2" xfId="18615" xr:uid="{00000000-0005-0000-0000-000082330000}"/>
    <cellStyle name="Normal 4 3 2 2 3" xfId="8263" xr:uid="{00000000-0005-0000-0000-000083330000}"/>
    <cellStyle name="Normal 4 3 2 2 3 2" xfId="17016" xr:uid="{00000000-0005-0000-0000-000084330000}"/>
    <cellStyle name="Normal 4 3 2 2 4" xfId="11475" xr:uid="{00000000-0005-0000-0000-000085330000}"/>
    <cellStyle name="Normal 4 3 2 2 4 2" xfId="20162" xr:uid="{00000000-0005-0000-0000-000086330000}"/>
    <cellStyle name="Normal 4 3 2 2 5" xfId="13082" xr:uid="{00000000-0005-0000-0000-000087330000}"/>
    <cellStyle name="Normal 4 3 2 2 5 2" xfId="21762" xr:uid="{00000000-0005-0000-0000-000088330000}"/>
    <cellStyle name="Normal 4 3 2 2 6" xfId="15256" xr:uid="{00000000-0005-0000-0000-000089330000}"/>
    <cellStyle name="Normal 4 3 2 3" xfId="3161" xr:uid="{00000000-0005-0000-0000-00008A330000}"/>
    <cellStyle name="Normal 4 3 2 3 2" xfId="9866" xr:uid="{00000000-0005-0000-0000-00008B330000}"/>
    <cellStyle name="Normal 4 3 2 3 2 2" xfId="18616" xr:uid="{00000000-0005-0000-0000-00008C330000}"/>
    <cellStyle name="Normal 4 3 2 3 3" xfId="8264" xr:uid="{00000000-0005-0000-0000-00008D330000}"/>
    <cellStyle name="Normal 4 3 2 3 3 2" xfId="17017" xr:uid="{00000000-0005-0000-0000-00008E330000}"/>
    <cellStyle name="Normal 4 3 2 3 4" xfId="11476" xr:uid="{00000000-0005-0000-0000-00008F330000}"/>
    <cellStyle name="Normal 4 3 2 3 4 2" xfId="20163" xr:uid="{00000000-0005-0000-0000-000090330000}"/>
    <cellStyle name="Normal 4 3 2 3 5" xfId="13083" xr:uid="{00000000-0005-0000-0000-000091330000}"/>
    <cellStyle name="Normal 4 3 2 3 5 2" xfId="21763" xr:uid="{00000000-0005-0000-0000-000092330000}"/>
    <cellStyle name="Normal 4 3 2 3 6" xfId="15257" xr:uid="{00000000-0005-0000-0000-000093330000}"/>
    <cellStyle name="Normal 4 3 2 4" xfId="3162" xr:uid="{00000000-0005-0000-0000-000094330000}"/>
    <cellStyle name="Normal 4 3 2 4 2" xfId="9867" xr:uid="{00000000-0005-0000-0000-000095330000}"/>
    <cellStyle name="Normal 4 3 2 4 2 2" xfId="18617" xr:uid="{00000000-0005-0000-0000-000096330000}"/>
    <cellStyle name="Normal 4 3 2 4 3" xfId="8265" xr:uid="{00000000-0005-0000-0000-000097330000}"/>
    <cellStyle name="Normal 4 3 2 4 3 2" xfId="17018" xr:uid="{00000000-0005-0000-0000-000098330000}"/>
    <cellStyle name="Normal 4 3 2 4 4" xfId="11477" xr:uid="{00000000-0005-0000-0000-000099330000}"/>
    <cellStyle name="Normal 4 3 2 4 4 2" xfId="20164" xr:uid="{00000000-0005-0000-0000-00009A330000}"/>
    <cellStyle name="Normal 4 3 2 4 5" xfId="13084" xr:uid="{00000000-0005-0000-0000-00009B330000}"/>
    <cellStyle name="Normal 4 3 2 4 5 2" xfId="21764" xr:uid="{00000000-0005-0000-0000-00009C330000}"/>
    <cellStyle name="Normal 4 3 2 4 6" xfId="15258" xr:uid="{00000000-0005-0000-0000-00009D330000}"/>
    <cellStyle name="Normal 4 3 2 5" xfId="9864" xr:uid="{00000000-0005-0000-0000-00009E330000}"/>
    <cellStyle name="Normal 4 3 2 5 2" xfId="18614" xr:uid="{00000000-0005-0000-0000-00009F330000}"/>
    <cellStyle name="Normal 4 3 2 6" xfId="8262" xr:uid="{00000000-0005-0000-0000-0000A0330000}"/>
    <cellStyle name="Normal 4 3 2 6 2" xfId="17015" xr:uid="{00000000-0005-0000-0000-0000A1330000}"/>
    <cellStyle name="Normal 4 3 2 7" xfId="11474" xr:uid="{00000000-0005-0000-0000-0000A2330000}"/>
    <cellStyle name="Normal 4 3 2 7 2" xfId="20161" xr:uid="{00000000-0005-0000-0000-0000A3330000}"/>
    <cellStyle name="Normal 4 3 2 8" xfId="13081" xr:uid="{00000000-0005-0000-0000-0000A4330000}"/>
    <cellStyle name="Normal 4 3 2 8 2" xfId="21761" xr:uid="{00000000-0005-0000-0000-0000A5330000}"/>
    <cellStyle name="Normal 4 3 2 9" xfId="15255" xr:uid="{00000000-0005-0000-0000-0000A6330000}"/>
    <cellStyle name="Normal 4 3 3" xfId="3163" xr:uid="{00000000-0005-0000-0000-0000A7330000}"/>
    <cellStyle name="Normal 4 3 3 2" xfId="3164" xr:uid="{00000000-0005-0000-0000-0000A8330000}"/>
    <cellStyle name="Normal 4 3 3 2 2" xfId="9869" xr:uid="{00000000-0005-0000-0000-0000A9330000}"/>
    <cellStyle name="Normal 4 3 3 2 2 2" xfId="18619" xr:uid="{00000000-0005-0000-0000-0000AA330000}"/>
    <cellStyle name="Normal 4 3 3 2 3" xfId="8267" xr:uid="{00000000-0005-0000-0000-0000AB330000}"/>
    <cellStyle name="Normal 4 3 3 2 3 2" xfId="17020" xr:uid="{00000000-0005-0000-0000-0000AC330000}"/>
    <cellStyle name="Normal 4 3 3 2 4" xfId="11479" xr:uid="{00000000-0005-0000-0000-0000AD330000}"/>
    <cellStyle name="Normal 4 3 3 2 4 2" xfId="20166" xr:uid="{00000000-0005-0000-0000-0000AE330000}"/>
    <cellStyle name="Normal 4 3 3 2 5" xfId="13086" xr:uid="{00000000-0005-0000-0000-0000AF330000}"/>
    <cellStyle name="Normal 4 3 3 2 5 2" xfId="21766" xr:uid="{00000000-0005-0000-0000-0000B0330000}"/>
    <cellStyle name="Normal 4 3 3 2 6" xfId="15260" xr:uid="{00000000-0005-0000-0000-0000B1330000}"/>
    <cellStyle name="Normal 4 3 3 3" xfId="3165" xr:uid="{00000000-0005-0000-0000-0000B2330000}"/>
    <cellStyle name="Normal 4 3 3 3 2" xfId="9870" xr:uid="{00000000-0005-0000-0000-0000B3330000}"/>
    <cellStyle name="Normal 4 3 3 3 2 2" xfId="18620" xr:uid="{00000000-0005-0000-0000-0000B4330000}"/>
    <cellStyle name="Normal 4 3 3 3 3" xfId="8268" xr:uid="{00000000-0005-0000-0000-0000B5330000}"/>
    <cellStyle name="Normal 4 3 3 3 3 2" xfId="17021" xr:uid="{00000000-0005-0000-0000-0000B6330000}"/>
    <cellStyle name="Normal 4 3 3 3 4" xfId="11480" xr:uid="{00000000-0005-0000-0000-0000B7330000}"/>
    <cellStyle name="Normal 4 3 3 3 4 2" xfId="20167" xr:uid="{00000000-0005-0000-0000-0000B8330000}"/>
    <cellStyle name="Normal 4 3 3 3 5" xfId="13087" xr:uid="{00000000-0005-0000-0000-0000B9330000}"/>
    <cellStyle name="Normal 4 3 3 3 5 2" xfId="21767" xr:uid="{00000000-0005-0000-0000-0000BA330000}"/>
    <cellStyle name="Normal 4 3 3 3 6" xfId="15261" xr:uid="{00000000-0005-0000-0000-0000BB330000}"/>
    <cellStyle name="Normal 4 3 3 4" xfId="3166" xr:uid="{00000000-0005-0000-0000-0000BC330000}"/>
    <cellStyle name="Normal 4 3 3 4 2" xfId="9871" xr:uid="{00000000-0005-0000-0000-0000BD330000}"/>
    <cellStyle name="Normal 4 3 3 4 2 2" xfId="18621" xr:uid="{00000000-0005-0000-0000-0000BE330000}"/>
    <cellStyle name="Normal 4 3 3 4 3" xfId="8269" xr:uid="{00000000-0005-0000-0000-0000BF330000}"/>
    <cellStyle name="Normal 4 3 3 4 3 2" xfId="17022" xr:uid="{00000000-0005-0000-0000-0000C0330000}"/>
    <cellStyle name="Normal 4 3 3 4 4" xfId="11481" xr:uid="{00000000-0005-0000-0000-0000C1330000}"/>
    <cellStyle name="Normal 4 3 3 4 4 2" xfId="20168" xr:uid="{00000000-0005-0000-0000-0000C2330000}"/>
    <cellStyle name="Normal 4 3 3 4 5" xfId="13088" xr:uid="{00000000-0005-0000-0000-0000C3330000}"/>
    <cellStyle name="Normal 4 3 3 4 5 2" xfId="21768" xr:uid="{00000000-0005-0000-0000-0000C4330000}"/>
    <cellStyle name="Normal 4 3 3 4 6" xfId="15262" xr:uid="{00000000-0005-0000-0000-0000C5330000}"/>
    <cellStyle name="Normal 4 3 3 5" xfId="9868" xr:uid="{00000000-0005-0000-0000-0000C6330000}"/>
    <cellStyle name="Normal 4 3 3 5 2" xfId="18618" xr:uid="{00000000-0005-0000-0000-0000C7330000}"/>
    <cellStyle name="Normal 4 3 3 6" xfId="8266" xr:uid="{00000000-0005-0000-0000-0000C8330000}"/>
    <cellStyle name="Normal 4 3 3 6 2" xfId="17019" xr:uid="{00000000-0005-0000-0000-0000C9330000}"/>
    <cellStyle name="Normal 4 3 3 7" xfId="11478" xr:uid="{00000000-0005-0000-0000-0000CA330000}"/>
    <cellStyle name="Normal 4 3 3 7 2" xfId="20165" xr:uid="{00000000-0005-0000-0000-0000CB330000}"/>
    <cellStyle name="Normal 4 3 3 8" xfId="13085" xr:uid="{00000000-0005-0000-0000-0000CC330000}"/>
    <cellStyle name="Normal 4 3 3 8 2" xfId="21765" xr:uid="{00000000-0005-0000-0000-0000CD330000}"/>
    <cellStyle name="Normal 4 3 3 9" xfId="15259" xr:uid="{00000000-0005-0000-0000-0000CE330000}"/>
    <cellStyle name="Normal 4 3 4" xfId="3167" xr:uid="{00000000-0005-0000-0000-0000CF330000}"/>
    <cellStyle name="Normal 4 3 4 2" xfId="9872" xr:uid="{00000000-0005-0000-0000-0000D0330000}"/>
    <cellStyle name="Normal 4 3 4 2 2" xfId="18622" xr:uid="{00000000-0005-0000-0000-0000D1330000}"/>
    <cellStyle name="Normal 4 3 4 3" xfId="8270" xr:uid="{00000000-0005-0000-0000-0000D2330000}"/>
    <cellStyle name="Normal 4 3 4 3 2" xfId="17023" xr:uid="{00000000-0005-0000-0000-0000D3330000}"/>
    <cellStyle name="Normal 4 3 4 4" xfId="11482" xr:uid="{00000000-0005-0000-0000-0000D4330000}"/>
    <cellStyle name="Normal 4 3 4 4 2" xfId="20169" xr:uid="{00000000-0005-0000-0000-0000D5330000}"/>
    <cellStyle name="Normal 4 3 4 5" xfId="13089" xr:uid="{00000000-0005-0000-0000-0000D6330000}"/>
    <cellStyle name="Normal 4 3 4 5 2" xfId="21769" xr:uid="{00000000-0005-0000-0000-0000D7330000}"/>
    <cellStyle name="Normal 4 3 4 6" xfId="15263" xr:uid="{00000000-0005-0000-0000-0000D8330000}"/>
    <cellStyle name="Normal 4 3 5" xfId="3168" xr:uid="{00000000-0005-0000-0000-0000D9330000}"/>
    <cellStyle name="Normal 4 3 5 2" xfId="9873" xr:uid="{00000000-0005-0000-0000-0000DA330000}"/>
    <cellStyle name="Normal 4 3 5 2 2" xfId="18623" xr:uid="{00000000-0005-0000-0000-0000DB330000}"/>
    <cellStyle name="Normal 4 3 5 3" xfId="8271" xr:uid="{00000000-0005-0000-0000-0000DC330000}"/>
    <cellStyle name="Normal 4 3 5 3 2" xfId="17024" xr:uid="{00000000-0005-0000-0000-0000DD330000}"/>
    <cellStyle name="Normal 4 3 5 4" xfId="11483" xr:uid="{00000000-0005-0000-0000-0000DE330000}"/>
    <cellStyle name="Normal 4 3 5 4 2" xfId="20170" xr:uid="{00000000-0005-0000-0000-0000DF330000}"/>
    <cellStyle name="Normal 4 3 5 5" xfId="13090" xr:uid="{00000000-0005-0000-0000-0000E0330000}"/>
    <cellStyle name="Normal 4 3 5 5 2" xfId="21770" xr:uid="{00000000-0005-0000-0000-0000E1330000}"/>
    <cellStyle name="Normal 4 3 5 6" xfId="15264" xr:uid="{00000000-0005-0000-0000-0000E2330000}"/>
    <cellStyle name="Normal 4 3 6" xfId="3169" xr:uid="{00000000-0005-0000-0000-0000E3330000}"/>
    <cellStyle name="Normal 4 3 6 2" xfId="9874" xr:uid="{00000000-0005-0000-0000-0000E4330000}"/>
    <cellStyle name="Normal 4 3 6 2 2" xfId="18624" xr:uid="{00000000-0005-0000-0000-0000E5330000}"/>
    <cellStyle name="Normal 4 3 6 3" xfId="8272" xr:uid="{00000000-0005-0000-0000-0000E6330000}"/>
    <cellStyle name="Normal 4 3 6 3 2" xfId="17025" xr:uid="{00000000-0005-0000-0000-0000E7330000}"/>
    <cellStyle name="Normal 4 3 6 4" xfId="11484" xr:uid="{00000000-0005-0000-0000-0000E8330000}"/>
    <cellStyle name="Normal 4 3 6 4 2" xfId="20171" xr:uid="{00000000-0005-0000-0000-0000E9330000}"/>
    <cellStyle name="Normal 4 3 6 5" xfId="13091" xr:uid="{00000000-0005-0000-0000-0000EA330000}"/>
    <cellStyle name="Normal 4 3 6 5 2" xfId="21771" xr:uid="{00000000-0005-0000-0000-0000EB330000}"/>
    <cellStyle name="Normal 4 3 6 6" xfId="15265" xr:uid="{00000000-0005-0000-0000-0000EC330000}"/>
    <cellStyle name="Normal 4 3 7" xfId="9863" xr:uid="{00000000-0005-0000-0000-0000ED330000}"/>
    <cellStyle name="Normal 4 3 7 2" xfId="18613" xr:uid="{00000000-0005-0000-0000-0000EE330000}"/>
    <cellStyle name="Normal 4 3 8" xfId="8261" xr:uid="{00000000-0005-0000-0000-0000EF330000}"/>
    <cellStyle name="Normal 4 3 8 2" xfId="17014" xr:uid="{00000000-0005-0000-0000-0000F0330000}"/>
    <cellStyle name="Normal 4 3 9" xfId="11473" xr:uid="{00000000-0005-0000-0000-0000F1330000}"/>
    <cellStyle name="Normal 4 3 9 2" xfId="20160" xr:uid="{00000000-0005-0000-0000-0000F2330000}"/>
    <cellStyle name="Normal 4 4" xfId="3170" xr:uid="{00000000-0005-0000-0000-0000F3330000}"/>
    <cellStyle name="Normal 4 4 2" xfId="3171" xr:uid="{00000000-0005-0000-0000-0000F4330000}"/>
    <cellStyle name="Normal 4 5" xfId="3172" xr:uid="{00000000-0005-0000-0000-0000F5330000}"/>
    <cellStyle name="Normal 4 5 2" xfId="3173" xr:uid="{00000000-0005-0000-0000-0000F6330000}"/>
    <cellStyle name="Normal 4 5 3" xfId="3174" xr:uid="{00000000-0005-0000-0000-0000F7330000}"/>
    <cellStyle name="Normal 4 5 4" xfId="3175" xr:uid="{00000000-0005-0000-0000-0000F8330000}"/>
    <cellStyle name="Normal 4 6" xfId="3176" xr:uid="{00000000-0005-0000-0000-0000F9330000}"/>
    <cellStyle name="Normal 4 7" xfId="3177" xr:uid="{00000000-0005-0000-0000-0000FA330000}"/>
    <cellStyle name="Normal 4 8" xfId="3178" xr:uid="{00000000-0005-0000-0000-0000FB330000}"/>
    <cellStyle name="Normal 4 9" xfId="3179" xr:uid="{00000000-0005-0000-0000-0000FC330000}"/>
    <cellStyle name="Normal 40" xfId="3180" xr:uid="{00000000-0005-0000-0000-0000FD330000}"/>
    <cellStyle name="Normal 40 2" xfId="3181" xr:uid="{00000000-0005-0000-0000-0000FE330000}"/>
    <cellStyle name="Normal 40 2 10" xfId="13092" xr:uid="{00000000-0005-0000-0000-0000FF330000}"/>
    <cellStyle name="Normal 40 2 10 2" xfId="21772" xr:uid="{00000000-0005-0000-0000-000000340000}"/>
    <cellStyle name="Normal 40 2 11" xfId="15266" xr:uid="{00000000-0005-0000-0000-000001340000}"/>
    <cellStyle name="Normal 40 2 2" xfId="3182" xr:uid="{00000000-0005-0000-0000-000002340000}"/>
    <cellStyle name="Normal 40 2 2 2" xfId="3183" xr:uid="{00000000-0005-0000-0000-000003340000}"/>
    <cellStyle name="Normal 40 2 2 2 2" xfId="9877" xr:uid="{00000000-0005-0000-0000-000004340000}"/>
    <cellStyle name="Normal 40 2 2 2 2 2" xfId="18627" xr:uid="{00000000-0005-0000-0000-000005340000}"/>
    <cellStyle name="Normal 40 2 2 2 3" xfId="8275" xr:uid="{00000000-0005-0000-0000-000006340000}"/>
    <cellStyle name="Normal 40 2 2 2 3 2" xfId="17028" xr:uid="{00000000-0005-0000-0000-000007340000}"/>
    <cellStyle name="Normal 40 2 2 2 4" xfId="11487" xr:uid="{00000000-0005-0000-0000-000008340000}"/>
    <cellStyle name="Normal 40 2 2 2 4 2" xfId="20174" xr:uid="{00000000-0005-0000-0000-000009340000}"/>
    <cellStyle name="Normal 40 2 2 2 5" xfId="13094" xr:uid="{00000000-0005-0000-0000-00000A340000}"/>
    <cellStyle name="Normal 40 2 2 2 5 2" xfId="21774" xr:uid="{00000000-0005-0000-0000-00000B340000}"/>
    <cellStyle name="Normal 40 2 2 2 6" xfId="15268" xr:uid="{00000000-0005-0000-0000-00000C340000}"/>
    <cellStyle name="Normal 40 2 2 3" xfId="3184" xr:uid="{00000000-0005-0000-0000-00000D340000}"/>
    <cellStyle name="Normal 40 2 2 3 2" xfId="9878" xr:uid="{00000000-0005-0000-0000-00000E340000}"/>
    <cellStyle name="Normal 40 2 2 3 2 2" xfId="18628" xr:uid="{00000000-0005-0000-0000-00000F340000}"/>
    <cellStyle name="Normal 40 2 2 3 3" xfId="8276" xr:uid="{00000000-0005-0000-0000-000010340000}"/>
    <cellStyle name="Normal 40 2 2 3 3 2" xfId="17029" xr:uid="{00000000-0005-0000-0000-000011340000}"/>
    <cellStyle name="Normal 40 2 2 3 4" xfId="11488" xr:uid="{00000000-0005-0000-0000-000012340000}"/>
    <cellStyle name="Normal 40 2 2 3 4 2" xfId="20175" xr:uid="{00000000-0005-0000-0000-000013340000}"/>
    <cellStyle name="Normal 40 2 2 3 5" xfId="13095" xr:uid="{00000000-0005-0000-0000-000014340000}"/>
    <cellStyle name="Normal 40 2 2 3 5 2" xfId="21775" xr:uid="{00000000-0005-0000-0000-000015340000}"/>
    <cellStyle name="Normal 40 2 2 3 6" xfId="15269" xr:uid="{00000000-0005-0000-0000-000016340000}"/>
    <cellStyle name="Normal 40 2 2 4" xfId="3185" xr:uid="{00000000-0005-0000-0000-000017340000}"/>
    <cellStyle name="Normal 40 2 2 4 2" xfId="9879" xr:uid="{00000000-0005-0000-0000-000018340000}"/>
    <cellStyle name="Normal 40 2 2 4 2 2" xfId="18629" xr:uid="{00000000-0005-0000-0000-000019340000}"/>
    <cellStyle name="Normal 40 2 2 4 3" xfId="8277" xr:uid="{00000000-0005-0000-0000-00001A340000}"/>
    <cellStyle name="Normal 40 2 2 4 3 2" xfId="17030" xr:uid="{00000000-0005-0000-0000-00001B340000}"/>
    <cellStyle name="Normal 40 2 2 4 4" xfId="11489" xr:uid="{00000000-0005-0000-0000-00001C340000}"/>
    <cellStyle name="Normal 40 2 2 4 4 2" xfId="20176" xr:uid="{00000000-0005-0000-0000-00001D340000}"/>
    <cellStyle name="Normal 40 2 2 4 5" xfId="13096" xr:uid="{00000000-0005-0000-0000-00001E340000}"/>
    <cellStyle name="Normal 40 2 2 4 5 2" xfId="21776" xr:uid="{00000000-0005-0000-0000-00001F340000}"/>
    <cellStyle name="Normal 40 2 2 4 6" xfId="15270" xr:uid="{00000000-0005-0000-0000-000020340000}"/>
    <cellStyle name="Normal 40 2 2 5" xfId="9876" xr:uid="{00000000-0005-0000-0000-000021340000}"/>
    <cellStyle name="Normal 40 2 2 5 2" xfId="18626" xr:uid="{00000000-0005-0000-0000-000022340000}"/>
    <cellStyle name="Normal 40 2 2 6" xfId="8274" xr:uid="{00000000-0005-0000-0000-000023340000}"/>
    <cellStyle name="Normal 40 2 2 6 2" xfId="17027" xr:uid="{00000000-0005-0000-0000-000024340000}"/>
    <cellStyle name="Normal 40 2 2 7" xfId="11486" xr:uid="{00000000-0005-0000-0000-000025340000}"/>
    <cellStyle name="Normal 40 2 2 7 2" xfId="20173" xr:uid="{00000000-0005-0000-0000-000026340000}"/>
    <cellStyle name="Normal 40 2 2 8" xfId="13093" xr:uid="{00000000-0005-0000-0000-000027340000}"/>
    <cellStyle name="Normal 40 2 2 8 2" xfId="21773" xr:uid="{00000000-0005-0000-0000-000028340000}"/>
    <cellStyle name="Normal 40 2 2 9" xfId="15267" xr:uid="{00000000-0005-0000-0000-000029340000}"/>
    <cellStyle name="Normal 40 2 3" xfId="3186" xr:uid="{00000000-0005-0000-0000-00002A340000}"/>
    <cellStyle name="Normal 40 2 3 2" xfId="3187" xr:uid="{00000000-0005-0000-0000-00002B340000}"/>
    <cellStyle name="Normal 40 2 3 2 2" xfId="9881" xr:uid="{00000000-0005-0000-0000-00002C340000}"/>
    <cellStyle name="Normal 40 2 3 2 2 2" xfId="18631" xr:uid="{00000000-0005-0000-0000-00002D340000}"/>
    <cellStyle name="Normal 40 2 3 2 3" xfId="8279" xr:uid="{00000000-0005-0000-0000-00002E340000}"/>
    <cellStyle name="Normal 40 2 3 2 3 2" xfId="17032" xr:uid="{00000000-0005-0000-0000-00002F340000}"/>
    <cellStyle name="Normal 40 2 3 2 4" xfId="11491" xr:uid="{00000000-0005-0000-0000-000030340000}"/>
    <cellStyle name="Normal 40 2 3 2 4 2" xfId="20178" xr:uid="{00000000-0005-0000-0000-000031340000}"/>
    <cellStyle name="Normal 40 2 3 2 5" xfId="13098" xr:uid="{00000000-0005-0000-0000-000032340000}"/>
    <cellStyle name="Normal 40 2 3 2 5 2" xfId="21778" xr:uid="{00000000-0005-0000-0000-000033340000}"/>
    <cellStyle name="Normal 40 2 3 2 6" xfId="15272" xr:uid="{00000000-0005-0000-0000-000034340000}"/>
    <cellStyle name="Normal 40 2 3 3" xfId="3188" xr:uid="{00000000-0005-0000-0000-000035340000}"/>
    <cellStyle name="Normal 40 2 3 3 2" xfId="9882" xr:uid="{00000000-0005-0000-0000-000036340000}"/>
    <cellStyle name="Normal 40 2 3 3 2 2" xfId="18632" xr:uid="{00000000-0005-0000-0000-000037340000}"/>
    <cellStyle name="Normal 40 2 3 3 3" xfId="8280" xr:uid="{00000000-0005-0000-0000-000038340000}"/>
    <cellStyle name="Normal 40 2 3 3 3 2" xfId="17033" xr:uid="{00000000-0005-0000-0000-000039340000}"/>
    <cellStyle name="Normal 40 2 3 3 4" xfId="11492" xr:uid="{00000000-0005-0000-0000-00003A340000}"/>
    <cellStyle name="Normal 40 2 3 3 4 2" xfId="20179" xr:uid="{00000000-0005-0000-0000-00003B340000}"/>
    <cellStyle name="Normal 40 2 3 3 5" xfId="13099" xr:uid="{00000000-0005-0000-0000-00003C340000}"/>
    <cellStyle name="Normal 40 2 3 3 5 2" xfId="21779" xr:uid="{00000000-0005-0000-0000-00003D340000}"/>
    <cellStyle name="Normal 40 2 3 3 6" xfId="15273" xr:uid="{00000000-0005-0000-0000-00003E340000}"/>
    <cellStyle name="Normal 40 2 3 4" xfId="3189" xr:uid="{00000000-0005-0000-0000-00003F340000}"/>
    <cellStyle name="Normal 40 2 3 4 2" xfId="9883" xr:uid="{00000000-0005-0000-0000-000040340000}"/>
    <cellStyle name="Normal 40 2 3 4 2 2" xfId="18633" xr:uid="{00000000-0005-0000-0000-000041340000}"/>
    <cellStyle name="Normal 40 2 3 4 3" xfId="8281" xr:uid="{00000000-0005-0000-0000-000042340000}"/>
    <cellStyle name="Normal 40 2 3 4 3 2" xfId="17034" xr:uid="{00000000-0005-0000-0000-000043340000}"/>
    <cellStyle name="Normal 40 2 3 4 4" xfId="11493" xr:uid="{00000000-0005-0000-0000-000044340000}"/>
    <cellStyle name="Normal 40 2 3 4 4 2" xfId="20180" xr:uid="{00000000-0005-0000-0000-000045340000}"/>
    <cellStyle name="Normal 40 2 3 4 5" xfId="13100" xr:uid="{00000000-0005-0000-0000-000046340000}"/>
    <cellStyle name="Normal 40 2 3 4 5 2" xfId="21780" xr:uid="{00000000-0005-0000-0000-000047340000}"/>
    <cellStyle name="Normal 40 2 3 4 6" xfId="15274" xr:uid="{00000000-0005-0000-0000-000048340000}"/>
    <cellStyle name="Normal 40 2 3 5" xfId="9880" xr:uid="{00000000-0005-0000-0000-000049340000}"/>
    <cellStyle name="Normal 40 2 3 5 2" xfId="18630" xr:uid="{00000000-0005-0000-0000-00004A340000}"/>
    <cellStyle name="Normal 40 2 3 6" xfId="8278" xr:uid="{00000000-0005-0000-0000-00004B340000}"/>
    <cellStyle name="Normal 40 2 3 6 2" xfId="17031" xr:uid="{00000000-0005-0000-0000-00004C340000}"/>
    <cellStyle name="Normal 40 2 3 7" xfId="11490" xr:uid="{00000000-0005-0000-0000-00004D340000}"/>
    <cellStyle name="Normal 40 2 3 7 2" xfId="20177" xr:uid="{00000000-0005-0000-0000-00004E340000}"/>
    <cellStyle name="Normal 40 2 3 8" xfId="13097" xr:uid="{00000000-0005-0000-0000-00004F340000}"/>
    <cellStyle name="Normal 40 2 3 8 2" xfId="21777" xr:uid="{00000000-0005-0000-0000-000050340000}"/>
    <cellStyle name="Normal 40 2 3 9" xfId="15271" xr:uid="{00000000-0005-0000-0000-000051340000}"/>
    <cellStyle name="Normal 40 2 4" xfId="3190" xr:uid="{00000000-0005-0000-0000-000052340000}"/>
    <cellStyle name="Normal 40 2 4 2" xfId="9884" xr:uid="{00000000-0005-0000-0000-000053340000}"/>
    <cellStyle name="Normal 40 2 4 2 2" xfId="18634" xr:uid="{00000000-0005-0000-0000-000054340000}"/>
    <cellStyle name="Normal 40 2 4 3" xfId="8282" xr:uid="{00000000-0005-0000-0000-000055340000}"/>
    <cellStyle name="Normal 40 2 4 3 2" xfId="17035" xr:uid="{00000000-0005-0000-0000-000056340000}"/>
    <cellStyle name="Normal 40 2 4 4" xfId="11494" xr:uid="{00000000-0005-0000-0000-000057340000}"/>
    <cellStyle name="Normal 40 2 4 4 2" xfId="20181" xr:uid="{00000000-0005-0000-0000-000058340000}"/>
    <cellStyle name="Normal 40 2 4 5" xfId="13101" xr:uid="{00000000-0005-0000-0000-000059340000}"/>
    <cellStyle name="Normal 40 2 4 5 2" xfId="21781" xr:uid="{00000000-0005-0000-0000-00005A340000}"/>
    <cellStyle name="Normal 40 2 4 6" xfId="15275" xr:uid="{00000000-0005-0000-0000-00005B340000}"/>
    <cellStyle name="Normal 40 2 5" xfId="3191" xr:uid="{00000000-0005-0000-0000-00005C340000}"/>
    <cellStyle name="Normal 40 2 5 2" xfId="9885" xr:uid="{00000000-0005-0000-0000-00005D340000}"/>
    <cellStyle name="Normal 40 2 5 2 2" xfId="18635" xr:uid="{00000000-0005-0000-0000-00005E340000}"/>
    <cellStyle name="Normal 40 2 5 3" xfId="8283" xr:uid="{00000000-0005-0000-0000-00005F340000}"/>
    <cellStyle name="Normal 40 2 5 3 2" xfId="17036" xr:uid="{00000000-0005-0000-0000-000060340000}"/>
    <cellStyle name="Normal 40 2 5 4" xfId="11495" xr:uid="{00000000-0005-0000-0000-000061340000}"/>
    <cellStyle name="Normal 40 2 5 4 2" xfId="20182" xr:uid="{00000000-0005-0000-0000-000062340000}"/>
    <cellStyle name="Normal 40 2 5 5" xfId="13102" xr:uid="{00000000-0005-0000-0000-000063340000}"/>
    <cellStyle name="Normal 40 2 5 5 2" xfId="21782" xr:uid="{00000000-0005-0000-0000-000064340000}"/>
    <cellStyle name="Normal 40 2 5 6" xfId="15276" xr:uid="{00000000-0005-0000-0000-000065340000}"/>
    <cellStyle name="Normal 40 2 6" xfId="3192" xr:uid="{00000000-0005-0000-0000-000066340000}"/>
    <cellStyle name="Normal 40 2 6 2" xfId="9886" xr:uid="{00000000-0005-0000-0000-000067340000}"/>
    <cellStyle name="Normal 40 2 6 2 2" xfId="18636" xr:uid="{00000000-0005-0000-0000-000068340000}"/>
    <cellStyle name="Normal 40 2 6 3" xfId="8284" xr:uid="{00000000-0005-0000-0000-000069340000}"/>
    <cellStyle name="Normal 40 2 6 3 2" xfId="17037" xr:uid="{00000000-0005-0000-0000-00006A340000}"/>
    <cellStyle name="Normal 40 2 6 4" xfId="11496" xr:uid="{00000000-0005-0000-0000-00006B340000}"/>
    <cellStyle name="Normal 40 2 6 4 2" xfId="20183" xr:uid="{00000000-0005-0000-0000-00006C340000}"/>
    <cellStyle name="Normal 40 2 6 5" xfId="13103" xr:uid="{00000000-0005-0000-0000-00006D340000}"/>
    <cellStyle name="Normal 40 2 6 5 2" xfId="21783" xr:uid="{00000000-0005-0000-0000-00006E340000}"/>
    <cellStyle name="Normal 40 2 6 6" xfId="15277" xr:uid="{00000000-0005-0000-0000-00006F340000}"/>
    <cellStyle name="Normal 40 2 7" xfId="9875" xr:uid="{00000000-0005-0000-0000-000070340000}"/>
    <cellStyle name="Normal 40 2 7 2" xfId="18625" xr:uid="{00000000-0005-0000-0000-000071340000}"/>
    <cellStyle name="Normal 40 2 8" xfId="8273" xr:uid="{00000000-0005-0000-0000-000072340000}"/>
    <cellStyle name="Normal 40 2 8 2" xfId="17026" xr:uid="{00000000-0005-0000-0000-000073340000}"/>
    <cellStyle name="Normal 40 2 9" xfId="11485" xr:uid="{00000000-0005-0000-0000-000074340000}"/>
    <cellStyle name="Normal 40 2 9 2" xfId="20172" xr:uid="{00000000-0005-0000-0000-000075340000}"/>
    <cellStyle name="Normal 40 3" xfId="3193" xr:uid="{00000000-0005-0000-0000-000076340000}"/>
    <cellStyle name="Normal 40 3 2" xfId="3194" xr:uid="{00000000-0005-0000-0000-000077340000}"/>
    <cellStyle name="Normal 40 3 2 2" xfId="9888" xr:uid="{00000000-0005-0000-0000-000078340000}"/>
    <cellStyle name="Normal 40 3 2 2 2" xfId="18638" xr:uid="{00000000-0005-0000-0000-000079340000}"/>
    <cellStyle name="Normal 40 3 2 3" xfId="8286" xr:uid="{00000000-0005-0000-0000-00007A340000}"/>
    <cellStyle name="Normal 40 3 2 3 2" xfId="17039" xr:uid="{00000000-0005-0000-0000-00007B340000}"/>
    <cellStyle name="Normal 40 3 2 4" xfId="11498" xr:uid="{00000000-0005-0000-0000-00007C340000}"/>
    <cellStyle name="Normal 40 3 2 4 2" xfId="20185" xr:uid="{00000000-0005-0000-0000-00007D340000}"/>
    <cellStyle name="Normal 40 3 2 5" xfId="13105" xr:uid="{00000000-0005-0000-0000-00007E340000}"/>
    <cellStyle name="Normal 40 3 2 5 2" xfId="21785" xr:uid="{00000000-0005-0000-0000-00007F340000}"/>
    <cellStyle name="Normal 40 3 2 6" xfId="15279" xr:uid="{00000000-0005-0000-0000-000080340000}"/>
    <cellStyle name="Normal 40 3 3" xfId="3195" xr:uid="{00000000-0005-0000-0000-000081340000}"/>
    <cellStyle name="Normal 40 3 3 2" xfId="9889" xr:uid="{00000000-0005-0000-0000-000082340000}"/>
    <cellStyle name="Normal 40 3 3 2 2" xfId="18639" xr:uid="{00000000-0005-0000-0000-000083340000}"/>
    <cellStyle name="Normal 40 3 3 3" xfId="8287" xr:uid="{00000000-0005-0000-0000-000084340000}"/>
    <cellStyle name="Normal 40 3 3 3 2" xfId="17040" xr:uid="{00000000-0005-0000-0000-000085340000}"/>
    <cellStyle name="Normal 40 3 3 4" xfId="11499" xr:uid="{00000000-0005-0000-0000-000086340000}"/>
    <cellStyle name="Normal 40 3 3 4 2" xfId="20186" xr:uid="{00000000-0005-0000-0000-000087340000}"/>
    <cellStyle name="Normal 40 3 3 5" xfId="13106" xr:uid="{00000000-0005-0000-0000-000088340000}"/>
    <cellStyle name="Normal 40 3 3 5 2" xfId="21786" xr:uid="{00000000-0005-0000-0000-000089340000}"/>
    <cellStyle name="Normal 40 3 3 6" xfId="15280" xr:uid="{00000000-0005-0000-0000-00008A340000}"/>
    <cellStyle name="Normal 40 3 4" xfId="3196" xr:uid="{00000000-0005-0000-0000-00008B340000}"/>
    <cellStyle name="Normal 40 3 4 2" xfId="9890" xr:uid="{00000000-0005-0000-0000-00008C340000}"/>
    <cellStyle name="Normal 40 3 4 2 2" xfId="18640" xr:uid="{00000000-0005-0000-0000-00008D340000}"/>
    <cellStyle name="Normal 40 3 4 3" xfId="8288" xr:uid="{00000000-0005-0000-0000-00008E340000}"/>
    <cellStyle name="Normal 40 3 4 3 2" xfId="17041" xr:uid="{00000000-0005-0000-0000-00008F340000}"/>
    <cellStyle name="Normal 40 3 4 4" xfId="11500" xr:uid="{00000000-0005-0000-0000-000090340000}"/>
    <cellStyle name="Normal 40 3 4 4 2" xfId="20187" xr:uid="{00000000-0005-0000-0000-000091340000}"/>
    <cellStyle name="Normal 40 3 4 5" xfId="13107" xr:uid="{00000000-0005-0000-0000-000092340000}"/>
    <cellStyle name="Normal 40 3 4 5 2" xfId="21787" xr:uid="{00000000-0005-0000-0000-000093340000}"/>
    <cellStyle name="Normal 40 3 4 6" xfId="15281" xr:uid="{00000000-0005-0000-0000-000094340000}"/>
    <cellStyle name="Normal 40 3 5" xfId="9887" xr:uid="{00000000-0005-0000-0000-000095340000}"/>
    <cellStyle name="Normal 40 3 5 2" xfId="18637" xr:uid="{00000000-0005-0000-0000-000096340000}"/>
    <cellStyle name="Normal 40 3 6" xfId="8285" xr:uid="{00000000-0005-0000-0000-000097340000}"/>
    <cellStyle name="Normal 40 3 6 2" xfId="17038" xr:uid="{00000000-0005-0000-0000-000098340000}"/>
    <cellStyle name="Normal 40 3 7" xfId="11497" xr:uid="{00000000-0005-0000-0000-000099340000}"/>
    <cellStyle name="Normal 40 3 7 2" xfId="20184" xr:uid="{00000000-0005-0000-0000-00009A340000}"/>
    <cellStyle name="Normal 40 3 8" xfId="13104" xr:uid="{00000000-0005-0000-0000-00009B340000}"/>
    <cellStyle name="Normal 40 3 8 2" xfId="21784" xr:uid="{00000000-0005-0000-0000-00009C340000}"/>
    <cellStyle name="Normal 40 3 9" xfId="15278" xr:uid="{00000000-0005-0000-0000-00009D340000}"/>
    <cellStyle name="Normal 40 4" xfId="3197" xr:uid="{00000000-0005-0000-0000-00009E340000}"/>
    <cellStyle name="Normal 41" xfId="3198" xr:uid="{00000000-0005-0000-0000-00009F340000}"/>
    <cellStyle name="Normal 41 2" xfId="3199" xr:uid="{00000000-0005-0000-0000-0000A0340000}"/>
    <cellStyle name="Normal 41 2 10" xfId="13108" xr:uid="{00000000-0005-0000-0000-0000A1340000}"/>
    <cellStyle name="Normal 41 2 10 2" xfId="21788" xr:uid="{00000000-0005-0000-0000-0000A2340000}"/>
    <cellStyle name="Normal 41 2 11" xfId="15282" xr:uid="{00000000-0005-0000-0000-0000A3340000}"/>
    <cellStyle name="Normal 41 2 2" xfId="3200" xr:uid="{00000000-0005-0000-0000-0000A4340000}"/>
    <cellStyle name="Normal 41 2 2 2" xfId="3201" xr:uid="{00000000-0005-0000-0000-0000A5340000}"/>
    <cellStyle name="Normal 41 2 2 2 2" xfId="9893" xr:uid="{00000000-0005-0000-0000-0000A6340000}"/>
    <cellStyle name="Normal 41 2 2 2 2 2" xfId="18643" xr:uid="{00000000-0005-0000-0000-0000A7340000}"/>
    <cellStyle name="Normal 41 2 2 2 3" xfId="8291" xr:uid="{00000000-0005-0000-0000-0000A8340000}"/>
    <cellStyle name="Normal 41 2 2 2 3 2" xfId="17044" xr:uid="{00000000-0005-0000-0000-0000A9340000}"/>
    <cellStyle name="Normal 41 2 2 2 4" xfId="11503" xr:uid="{00000000-0005-0000-0000-0000AA340000}"/>
    <cellStyle name="Normal 41 2 2 2 4 2" xfId="20190" xr:uid="{00000000-0005-0000-0000-0000AB340000}"/>
    <cellStyle name="Normal 41 2 2 2 5" xfId="13110" xr:uid="{00000000-0005-0000-0000-0000AC340000}"/>
    <cellStyle name="Normal 41 2 2 2 5 2" xfId="21790" xr:uid="{00000000-0005-0000-0000-0000AD340000}"/>
    <cellStyle name="Normal 41 2 2 2 6" xfId="15284" xr:uid="{00000000-0005-0000-0000-0000AE340000}"/>
    <cellStyle name="Normal 41 2 2 3" xfId="3202" xr:uid="{00000000-0005-0000-0000-0000AF340000}"/>
    <cellStyle name="Normal 41 2 2 3 2" xfId="9894" xr:uid="{00000000-0005-0000-0000-0000B0340000}"/>
    <cellStyle name="Normal 41 2 2 3 2 2" xfId="18644" xr:uid="{00000000-0005-0000-0000-0000B1340000}"/>
    <cellStyle name="Normal 41 2 2 3 3" xfId="8292" xr:uid="{00000000-0005-0000-0000-0000B2340000}"/>
    <cellStyle name="Normal 41 2 2 3 3 2" xfId="17045" xr:uid="{00000000-0005-0000-0000-0000B3340000}"/>
    <cellStyle name="Normal 41 2 2 3 4" xfId="11504" xr:uid="{00000000-0005-0000-0000-0000B4340000}"/>
    <cellStyle name="Normal 41 2 2 3 4 2" xfId="20191" xr:uid="{00000000-0005-0000-0000-0000B5340000}"/>
    <cellStyle name="Normal 41 2 2 3 5" xfId="13111" xr:uid="{00000000-0005-0000-0000-0000B6340000}"/>
    <cellStyle name="Normal 41 2 2 3 5 2" xfId="21791" xr:uid="{00000000-0005-0000-0000-0000B7340000}"/>
    <cellStyle name="Normal 41 2 2 3 6" xfId="15285" xr:uid="{00000000-0005-0000-0000-0000B8340000}"/>
    <cellStyle name="Normal 41 2 2 4" xfId="3203" xr:uid="{00000000-0005-0000-0000-0000B9340000}"/>
    <cellStyle name="Normal 41 2 2 4 2" xfId="9895" xr:uid="{00000000-0005-0000-0000-0000BA340000}"/>
    <cellStyle name="Normal 41 2 2 4 2 2" xfId="18645" xr:uid="{00000000-0005-0000-0000-0000BB340000}"/>
    <cellStyle name="Normal 41 2 2 4 3" xfId="8293" xr:uid="{00000000-0005-0000-0000-0000BC340000}"/>
    <cellStyle name="Normal 41 2 2 4 3 2" xfId="17046" xr:uid="{00000000-0005-0000-0000-0000BD340000}"/>
    <cellStyle name="Normal 41 2 2 4 4" xfId="11505" xr:uid="{00000000-0005-0000-0000-0000BE340000}"/>
    <cellStyle name="Normal 41 2 2 4 4 2" xfId="20192" xr:uid="{00000000-0005-0000-0000-0000BF340000}"/>
    <cellStyle name="Normal 41 2 2 4 5" xfId="13112" xr:uid="{00000000-0005-0000-0000-0000C0340000}"/>
    <cellStyle name="Normal 41 2 2 4 5 2" xfId="21792" xr:uid="{00000000-0005-0000-0000-0000C1340000}"/>
    <cellStyle name="Normal 41 2 2 4 6" xfId="15286" xr:uid="{00000000-0005-0000-0000-0000C2340000}"/>
    <cellStyle name="Normal 41 2 2 5" xfId="9892" xr:uid="{00000000-0005-0000-0000-0000C3340000}"/>
    <cellStyle name="Normal 41 2 2 5 2" xfId="18642" xr:uid="{00000000-0005-0000-0000-0000C4340000}"/>
    <cellStyle name="Normal 41 2 2 6" xfId="8290" xr:uid="{00000000-0005-0000-0000-0000C5340000}"/>
    <cellStyle name="Normal 41 2 2 6 2" xfId="17043" xr:uid="{00000000-0005-0000-0000-0000C6340000}"/>
    <cellStyle name="Normal 41 2 2 7" xfId="11502" xr:uid="{00000000-0005-0000-0000-0000C7340000}"/>
    <cellStyle name="Normal 41 2 2 7 2" xfId="20189" xr:uid="{00000000-0005-0000-0000-0000C8340000}"/>
    <cellStyle name="Normal 41 2 2 8" xfId="13109" xr:uid="{00000000-0005-0000-0000-0000C9340000}"/>
    <cellStyle name="Normal 41 2 2 8 2" xfId="21789" xr:uid="{00000000-0005-0000-0000-0000CA340000}"/>
    <cellStyle name="Normal 41 2 2 9" xfId="15283" xr:uid="{00000000-0005-0000-0000-0000CB340000}"/>
    <cellStyle name="Normal 41 2 3" xfId="3204" xr:uid="{00000000-0005-0000-0000-0000CC340000}"/>
    <cellStyle name="Normal 41 2 3 2" xfId="3205" xr:uid="{00000000-0005-0000-0000-0000CD340000}"/>
    <cellStyle name="Normal 41 2 3 2 2" xfId="9897" xr:uid="{00000000-0005-0000-0000-0000CE340000}"/>
    <cellStyle name="Normal 41 2 3 2 2 2" xfId="18647" xr:uid="{00000000-0005-0000-0000-0000CF340000}"/>
    <cellStyle name="Normal 41 2 3 2 3" xfId="8295" xr:uid="{00000000-0005-0000-0000-0000D0340000}"/>
    <cellStyle name="Normal 41 2 3 2 3 2" xfId="17048" xr:uid="{00000000-0005-0000-0000-0000D1340000}"/>
    <cellStyle name="Normal 41 2 3 2 4" xfId="11507" xr:uid="{00000000-0005-0000-0000-0000D2340000}"/>
    <cellStyle name="Normal 41 2 3 2 4 2" xfId="20194" xr:uid="{00000000-0005-0000-0000-0000D3340000}"/>
    <cellStyle name="Normal 41 2 3 2 5" xfId="13114" xr:uid="{00000000-0005-0000-0000-0000D4340000}"/>
    <cellStyle name="Normal 41 2 3 2 5 2" xfId="21794" xr:uid="{00000000-0005-0000-0000-0000D5340000}"/>
    <cellStyle name="Normal 41 2 3 2 6" xfId="15288" xr:uid="{00000000-0005-0000-0000-0000D6340000}"/>
    <cellStyle name="Normal 41 2 3 3" xfId="3206" xr:uid="{00000000-0005-0000-0000-0000D7340000}"/>
    <cellStyle name="Normal 41 2 3 3 2" xfId="9898" xr:uid="{00000000-0005-0000-0000-0000D8340000}"/>
    <cellStyle name="Normal 41 2 3 3 2 2" xfId="18648" xr:uid="{00000000-0005-0000-0000-0000D9340000}"/>
    <cellStyle name="Normal 41 2 3 3 3" xfId="8296" xr:uid="{00000000-0005-0000-0000-0000DA340000}"/>
    <cellStyle name="Normal 41 2 3 3 3 2" xfId="17049" xr:uid="{00000000-0005-0000-0000-0000DB340000}"/>
    <cellStyle name="Normal 41 2 3 3 4" xfId="11508" xr:uid="{00000000-0005-0000-0000-0000DC340000}"/>
    <cellStyle name="Normal 41 2 3 3 4 2" xfId="20195" xr:uid="{00000000-0005-0000-0000-0000DD340000}"/>
    <cellStyle name="Normal 41 2 3 3 5" xfId="13115" xr:uid="{00000000-0005-0000-0000-0000DE340000}"/>
    <cellStyle name="Normal 41 2 3 3 5 2" xfId="21795" xr:uid="{00000000-0005-0000-0000-0000DF340000}"/>
    <cellStyle name="Normal 41 2 3 3 6" xfId="15289" xr:uid="{00000000-0005-0000-0000-0000E0340000}"/>
    <cellStyle name="Normal 41 2 3 4" xfId="3207" xr:uid="{00000000-0005-0000-0000-0000E1340000}"/>
    <cellStyle name="Normal 41 2 3 4 2" xfId="9899" xr:uid="{00000000-0005-0000-0000-0000E2340000}"/>
    <cellStyle name="Normal 41 2 3 4 2 2" xfId="18649" xr:uid="{00000000-0005-0000-0000-0000E3340000}"/>
    <cellStyle name="Normal 41 2 3 4 3" xfId="8297" xr:uid="{00000000-0005-0000-0000-0000E4340000}"/>
    <cellStyle name="Normal 41 2 3 4 3 2" xfId="17050" xr:uid="{00000000-0005-0000-0000-0000E5340000}"/>
    <cellStyle name="Normal 41 2 3 4 4" xfId="11509" xr:uid="{00000000-0005-0000-0000-0000E6340000}"/>
    <cellStyle name="Normal 41 2 3 4 4 2" xfId="20196" xr:uid="{00000000-0005-0000-0000-0000E7340000}"/>
    <cellStyle name="Normal 41 2 3 4 5" xfId="13116" xr:uid="{00000000-0005-0000-0000-0000E8340000}"/>
    <cellStyle name="Normal 41 2 3 4 5 2" xfId="21796" xr:uid="{00000000-0005-0000-0000-0000E9340000}"/>
    <cellStyle name="Normal 41 2 3 4 6" xfId="15290" xr:uid="{00000000-0005-0000-0000-0000EA340000}"/>
    <cellStyle name="Normal 41 2 3 5" xfId="9896" xr:uid="{00000000-0005-0000-0000-0000EB340000}"/>
    <cellStyle name="Normal 41 2 3 5 2" xfId="18646" xr:uid="{00000000-0005-0000-0000-0000EC340000}"/>
    <cellStyle name="Normal 41 2 3 6" xfId="8294" xr:uid="{00000000-0005-0000-0000-0000ED340000}"/>
    <cellStyle name="Normal 41 2 3 6 2" xfId="17047" xr:uid="{00000000-0005-0000-0000-0000EE340000}"/>
    <cellStyle name="Normal 41 2 3 7" xfId="11506" xr:uid="{00000000-0005-0000-0000-0000EF340000}"/>
    <cellStyle name="Normal 41 2 3 7 2" xfId="20193" xr:uid="{00000000-0005-0000-0000-0000F0340000}"/>
    <cellStyle name="Normal 41 2 3 8" xfId="13113" xr:uid="{00000000-0005-0000-0000-0000F1340000}"/>
    <cellStyle name="Normal 41 2 3 8 2" xfId="21793" xr:uid="{00000000-0005-0000-0000-0000F2340000}"/>
    <cellStyle name="Normal 41 2 3 9" xfId="15287" xr:uid="{00000000-0005-0000-0000-0000F3340000}"/>
    <cellStyle name="Normal 41 2 4" xfId="3208" xr:uid="{00000000-0005-0000-0000-0000F4340000}"/>
    <cellStyle name="Normal 41 2 4 2" xfId="9900" xr:uid="{00000000-0005-0000-0000-0000F5340000}"/>
    <cellStyle name="Normal 41 2 4 2 2" xfId="18650" xr:uid="{00000000-0005-0000-0000-0000F6340000}"/>
    <cellStyle name="Normal 41 2 4 3" xfId="8298" xr:uid="{00000000-0005-0000-0000-0000F7340000}"/>
    <cellStyle name="Normal 41 2 4 3 2" xfId="17051" xr:uid="{00000000-0005-0000-0000-0000F8340000}"/>
    <cellStyle name="Normal 41 2 4 4" xfId="11510" xr:uid="{00000000-0005-0000-0000-0000F9340000}"/>
    <cellStyle name="Normal 41 2 4 4 2" xfId="20197" xr:uid="{00000000-0005-0000-0000-0000FA340000}"/>
    <cellStyle name="Normal 41 2 4 5" xfId="13117" xr:uid="{00000000-0005-0000-0000-0000FB340000}"/>
    <cellStyle name="Normal 41 2 4 5 2" xfId="21797" xr:uid="{00000000-0005-0000-0000-0000FC340000}"/>
    <cellStyle name="Normal 41 2 4 6" xfId="15291" xr:uid="{00000000-0005-0000-0000-0000FD340000}"/>
    <cellStyle name="Normal 41 2 5" xfId="3209" xr:uid="{00000000-0005-0000-0000-0000FE340000}"/>
    <cellStyle name="Normal 41 2 5 2" xfId="9901" xr:uid="{00000000-0005-0000-0000-0000FF340000}"/>
    <cellStyle name="Normal 41 2 5 2 2" xfId="18651" xr:uid="{00000000-0005-0000-0000-000000350000}"/>
    <cellStyle name="Normal 41 2 5 3" xfId="8299" xr:uid="{00000000-0005-0000-0000-000001350000}"/>
    <cellStyle name="Normal 41 2 5 3 2" xfId="17052" xr:uid="{00000000-0005-0000-0000-000002350000}"/>
    <cellStyle name="Normal 41 2 5 4" xfId="11511" xr:uid="{00000000-0005-0000-0000-000003350000}"/>
    <cellStyle name="Normal 41 2 5 4 2" xfId="20198" xr:uid="{00000000-0005-0000-0000-000004350000}"/>
    <cellStyle name="Normal 41 2 5 5" xfId="13118" xr:uid="{00000000-0005-0000-0000-000005350000}"/>
    <cellStyle name="Normal 41 2 5 5 2" xfId="21798" xr:uid="{00000000-0005-0000-0000-000006350000}"/>
    <cellStyle name="Normal 41 2 5 6" xfId="15292" xr:uid="{00000000-0005-0000-0000-000007350000}"/>
    <cellStyle name="Normal 41 2 6" xfId="3210" xr:uid="{00000000-0005-0000-0000-000008350000}"/>
    <cellStyle name="Normal 41 2 6 2" xfId="9902" xr:uid="{00000000-0005-0000-0000-000009350000}"/>
    <cellStyle name="Normal 41 2 6 2 2" xfId="18652" xr:uid="{00000000-0005-0000-0000-00000A350000}"/>
    <cellStyle name="Normal 41 2 6 3" xfId="8300" xr:uid="{00000000-0005-0000-0000-00000B350000}"/>
    <cellStyle name="Normal 41 2 6 3 2" xfId="17053" xr:uid="{00000000-0005-0000-0000-00000C350000}"/>
    <cellStyle name="Normal 41 2 6 4" xfId="11512" xr:uid="{00000000-0005-0000-0000-00000D350000}"/>
    <cellStyle name="Normal 41 2 6 4 2" xfId="20199" xr:uid="{00000000-0005-0000-0000-00000E350000}"/>
    <cellStyle name="Normal 41 2 6 5" xfId="13119" xr:uid="{00000000-0005-0000-0000-00000F350000}"/>
    <cellStyle name="Normal 41 2 6 5 2" xfId="21799" xr:uid="{00000000-0005-0000-0000-000010350000}"/>
    <cellStyle name="Normal 41 2 6 6" xfId="15293" xr:uid="{00000000-0005-0000-0000-000011350000}"/>
    <cellStyle name="Normal 41 2 7" xfId="9891" xr:uid="{00000000-0005-0000-0000-000012350000}"/>
    <cellStyle name="Normal 41 2 7 2" xfId="18641" xr:uid="{00000000-0005-0000-0000-000013350000}"/>
    <cellStyle name="Normal 41 2 8" xfId="8289" xr:uid="{00000000-0005-0000-0000-000014350000}"/>
    <cellStyle name="Normal 41 2 8 2" xfId="17042" xr:uid="{00000000-0005-0000-0000-000015350000}"/>
    <cellStyle name="Normal 41 2 9" xfId="11501" xr:uid="{00000000-0005-0000-0000-000016350000}"/>
    <cellStyle name="Normal 41 2 9 2" xfId="20188" xr:uid="{00000000-0005-0000-0000-000017350000}"/>
    <cellStyle name="Normal 41 3" xfId="3211" xr:uid="{00000000-0005-0000-0000-000018350000}"/>
    <cellStyle name="Normal 41 3 2" xfId="3212" xr:uid="{00000000-0005-0000-0000-000019350000}"/>
    <cellStyle name="Normal 41 3 2 2" xfId="9904" xr:uid="{00000000-0005-0000-0000-00001A350000}"/>
    <cellStyle name="Normal 41 3 2 2 2" xfId="18654" xr:uid="{00000000-0005-0000-0000-00001B350000}"/>
    <cellStyle name="Normal 41 3 2 3" xfId="8302" xr:uid="{00000000-0005-0000-0000-00001C350000}"/>
    <cellStyle name="Normal 41 3 2 3 2" xfId="17055" xr:uid="{00000000-0005-0000-0000-00001D350000}"/>
    <cellStyle name="Normal 41 3 2 4" xfId="11514" xr:uid="{00000000-0005-0000-0000-00001E350000}"/>
    <cellStyle name="Normal 41 3 2 4 2" xfId="20201" xr:uid="{00000000-0005-0000-0000-00001F350000}"/>
    <cellStyle name="Normal 41 3 2 5" xfId="13121" xr:uid="{00000000-0005-0000-0000-000020350000}"/>
    <cellStyle name="Normal 41 3 2 5 2" xfId="21801" xr:uid="{00000000-0005-0000-0000-000021350000}"/>
    <cellStyle name="Normal 41 3 2 6" xfId="15295" xr:uid="{00000000-0005-0000-0000-000022350000}"/>
    <cellStyle name="Normal 41 3 3" xfId="3213" xr:uid="{00000000-0005-0000-0000-000023350000}"/>
    <cellStyle name="Normal 41 3 3 2" xfId="9905" xr:uid="{00000000-0005-0000-0000-000024350000}"/>
    <cellStyle name="Normal 41 3 3 2 2" xfId="18655" xr:uid="{00000000-0005-0000-0000-000025350000}"/>
    <cellStyle name="Normal 41 3 3 3" xfId="8303" xr:uid="{00000000-0005-0000-0000-000026350000}"/>
    <cellStyle name="Normal 41 3 3 3 2" xfId="17056" xr:uid="{00000000-0005-0000-0000-000027350000}"/>
    <cellStyle name="Normal 41 3 3 4" xfId="11515" xr:uid="{00000000-0005-0000-0000-000028350000}"/>
    <cellStyle name="Normal 41 3 3 4 2" xfId="20202" xr:uid="{00000000-0005-0000-0000-000029350000}"/>
    <cellStyle name="Normal 41 3 3 5" xfId="13122" xr:uid="{00000000-0005-0000-0000-00002A350000}"/>
    <cellStyle name="Normal 41 3 3 5 2" xfId="21802" xr:uid="{00000000-0005-0000-0000-00002B350000}"/>
    <cellStyle name="Normal 41 3 3 6" xfId="15296" xr:uid="{00000000-0005-0000-0000-00002C350000}"/>
    <cellStyle name="Normal 41 3 4" xfId="3214" xr:uid="{00000000-0005-0000-0000-00002D350000}"/>
    <cellStyle name="Normal 41 3 4 2" xfId="9906" xr:uid="{00000000-0005-0000-0000-00002E350000}"/>
    <cellStyle name="Normal 41 3 4 2 2" xfId="18656" xr:uid="{00000000-0005-0000-0000-00002F350000}"/>
    <cellStyle name="Normal 41 3 4 3" xfId="8304" xr:uid="{00000000-0005-0000-0000-000030350000}"/>
    <cellStyle name="Normal 41 3 4 3 2" xfId="17057" xr:uid="{00000000-0005-0000-0000-000031350000}"/>
    <cellStyle name="Normal 41 3 4 4" xfId="11516" xr:uid="{00000000-0005-0000-0000-000032350000}"/>
    <cellStyle name="Normal 41 3 4 4 2" xfId="20203" xr:uid="{00000000-0005-0000-0000-000033350000}"/>
    <cellStyle name="Normal 41 3 4 5" xfId="13123" xr:uid="{00000000-0005-0000-0000-000034350000}"/>
    <cellStyle name="Normal 41 3 4 5 2" xfId="21803" xr:uid="{00000000-0005-0000-0000-000035350000}"/>
    <cellStyle name="Normal 41 3 4 6" xfId="15297" xr:uid="{00000000-0005-0000-0000-000036350000}"/>
    <cellStyle name="Normal 41 3 5" xfId="9903" xr:uid="{00000000-0005-0000-0000-000037350000}"/>
    <cellStyle name="Normal 41 3 5 2" xfId="18653" xr:uid="{00000000-0005-0000-0000-000038350000}"/>
    <cellStyle name="Normal 41 3 6" xfId="8301" xr:uid="{00000000-0005-0000-0000-000039350000}"/>
    <cellStyle name="Normal 41 3 6 2" xfId="17054" xr:uid="{00000000-0005-0000-0000-00003A350000}"/>
    <cellStyle name="Normal 41 3 7" xfId="11513" xr:uid="{00000000-0005-0000-0000-00003B350000}"/>
    <cellStyle name="Normal 41 3 7 2" xfId="20200" xr:uid="{00000000-0005-0000-0000-00003C350000}"/>
    <cellStyle name="Normal 41 3 8" xfId="13120" xr:uid="{00000000-0005-0000-0000-00003D350000}"/>
    <cellStyle name="Normal 41 3 8 2" xfId="21800" xr:uid="{00000000-0005-0000-0000-00003E350000}"/>
    <cellStyle name="Normal 41 3 9" xfId="15294" xr:uid="{00000000-0005-0000-0000-00003F350000}"/>
    <cellStyle name="Normal 41 4" xfId="3215" xr:uid="{00000000-0005-0000-0000-000040350000}"/>
    <cellStyle name="Normal 42" xfId="3216" xr:uid="{00000000-0005-0000-0000-000041350000}"/>
    <cellStyle name="Normal 42 2" xfId="3217" xr:uid="{00000000-0005-0000-0000-000042350000}"/>
    <cellStyle name="Normal 42 2 10" xfId="13124" xr:uid="{00000000-0005-0000-0000-000043350000}"/>
    <cellStyle name="Normal 42 2 10 2" xfId="21804" xr:uid="{00000000-0005-0000-0000-000044350000}"/>
    <cellStyle name="Normal 42 2 11" xfId="15298" xr:uid="{00000000-0005-0000-0000-000045350000}"/>
    <cellStyle name="Normal 42 2 2" xfId="3218" xr:uid="{00000000-0005-0000-0000-000046350000}"/>
    <cellStyle name="Normal 42 2 2 2" xfId="3219" xr:uid="{00000000-0005-0000-0000-000047350000}"/>
    <cellStyle name="Normal 42 2 2 2 2" xfId="9909" xr:uid="{00000000-0005-0000-0000-000048350000}"/>
    <cellStyle name="Normal 42 2 2 2 2 2" xfId="18659" xr:uid="{00000000-0005-0000-0000-000049350000}"/>
    <cellStyle name="Normal 42 2 2 2 3" xfId="8307" xr:uid="{00000000-0005-0000-0000-00004A350000}"/>
    <cellStyle name="Normal 42 2 2 2 3 2" xfId="17060" xr:uid="{00000000-0005-0000-0000-00004B350000}"/>
    <cellStyle name="Normal 42 2 2 2 4" xfId="11519" xr:uid="{00000000-0005-0000-0000-00004C350000}"/>
    <cellStyle name="Normal 42 2 2 2 4 2" xfId="20206" xr:uid="{00000000-0005-0000-0000-00004D350000}"/>
    <cellStyle name="Normal 42 2 2 2 5" xfId="13126" xr:uid="{00000000-0005-0000-0000-00004E350000}"/>
    <cellStyle name="Normal 42 2 2 2 5 2" xfId="21806" xr:uid="{00000000-0005-0000-0000-00004F350000}"/>
    <cellStyle name="Normal 42 2 2 2 6" xfId="15300" xr:uid="{00000000-0005-0000-0000-000050350000}"/>
    <cellStyle name="Normal 42 2 2 3" xfId="3220" xr:uid="{00000000-0005-0000-0000-000051350000}"/>
    <cellStyle name="Normal 42 2 2 3 2" xfId="9910" xr:uid="{00000000-0005-0000-0000-000052350000}"/>
    <cellStyle name="Normal 42 2 2 3 2 2" xfId="18660" xr:uid="{00000000-0005-0000-0000-000053350000}"/>
    <cellStyle name="Normal 42 2 2 3 3" xfId="8308" xr:uid="{00000000-0005-0000-0000-000054350000}"/>
    <cellStyle name="Normal 42 2 2 3 3 2" xfId="17061" xr:uid="{00000000-0005-0000-0000-000055350000}"/>
    <cellStyle name="Normal 42 2 2 3 4" xfId="11520" xr:uid="{00000000-0005-0000-0000-000056350000}"/>
    <cellStyle name="Normal 42 2 2 3 4 2" xfId="20207" xr:uid="{00000000-0005-0000-0000-000057350000}"/>
    <cellStyle name="Normal 42 2 2 3 5" xfId="13127" xr:uid="{00000000-0005-0000-0000-000058350000}"/>
    <cellStyle name="Normal 42 2 2 3 5 2" xfId="21807" xr:uid="{00000000-0005-0000-0000-000059350000}"/>
    <cellStyle name="Normal 42 2 2 3 6" xfId="15301" xr:uid="{00000000-0005-0000-0000-00005A350000}"/>
    <cellStyle name="Normal 42 2 2 4" xfId="3221" xr:uid="{00000000-0005-0000-0000-00005B350000}"/>
    <cellStyle name="Normal 42 2 2 4 2" xfId="9911" xr:uid="{00000000-0005-0000-0000-00005C350000}"/>
    <cellStyle name="Normal 42 2 2 4 2 2" xfId="18661" xr:uid="{00000000-0005-0000-0000-00005D350000}"/>
    <cellStyle name="Normal 42 2 2 4 3" xfId="8309" xr:uid="{00000000-0005-0000-0000-00005E350000}"/>
    <cellStyle name="Normal 42 2 2 4 3 2" xfId="17062" xr:uid="{00000000-0005-0000-0000-00005F350000}"/>
    <cellStyle name="Normal 42 2 2 4 4" xfId="11521" xr:uid="{00000000-0005-0000-0000-000060350000}"/>
    <cellStyle name="Normal 42 2 2 4 4 2" xfId="20208" xr:uid="{00000000-0005-0000-0000-000061350000}"/>
    <cellStyle name="Normal 42 2 2 4 5" xfId="13128" xr:uid="{00000000-0005-0000-0000-000062350000}"/>
    <cellStyle name="Normal 42 2 2 4 5 2" xfId="21808" xr:uid="{00000000-0005-0000-0000-000063350000}"/>
    <cellStyle name="Normal 42 2 2 4 6" xfId="15302" xr:uid="{00000000-0005-0000-0000-000064350000}"/>
    <cellStyle name="Normal 42 2 2 5" xfId="9908" xr:uid="{00000000-0005-0000-0000-000065350000}"/>
    <cellStyle name="Normal 42 2 2 5 2" xfId="18658" xr:uid="{00000000-0005-0000-0000-000066350000}"/>
    <cellStyle name="Normal 42 2 2 6" xfId="8306" xr:uid="{00000000-0005-0000-0000-000067350000}"/>
    <cellStyle name="Normal 42 2 2 6 2" xfId="17059" xr:uid="{00000000-0005-0000-0000-000068350000}"/>
    <cellStyle name="Normal 42 2 2 7" xfId="11518" xr:uid="{00000000-0005-0000-0000-000069350000}"/>
    <cellStyle name="Normal 42 2 2 7 2" xfId="20205" xr:uid="{00000000-0005-0000-0000-00006A350000}"/>
    <cellStyle name="Normal 42 2 2 8" xfId="13125" xr:uid="{00000000-0005-0000-0000-00006B350000}"/>
    <cellStyle name="Normal 42 2 2 8 2" xfId="21805" xr:uid="{00000000-0005-0000-0000-00006C350000}"/>
    <cellStyle name="Normal 42 2 2 9" xfId="15299" xr:uid="{00000000-0005-0000-0000-00006D350000}"/>
    <cellStyle name="Normal 42 2 3" xfId="3222" xr:uid="{00000000-0005-0000-0000-00006E350000}"/>
    <cellStyle name="Normal 42 2 3 2" xfId="3223" xr:uid="{00000000-0005-0000-0000-00006F350000}"/>
    <cellStyle name="Normal 42 2 3 2 2" xfId="9913" xr:uid="{00000000-0005-0000-0000-000070350000}"/>
    <cellStyle name="Normal 42 2 3 2 2 2" xfId="18663" xr:uid="{00000000-0005-0000-0000-000071350000}"/>
    <cellStyle name="Normal 42 2 3 2 3" xfId="8311" xr:uid="{00000000-0005-0000-0000-000072350000}"/>
    <cellStyle name="Normal 42 2 3 2 3 2" xfId="17064" xr:uid="{00000000-0005-0000-0000-000073350000}"/>
    <cellStyle name="Normal 42 2 3 2 4" xfId="11523" xr:uid="{00000000-0005-0000-0000-000074350000}"/>
    <cellStyle name="Normal 42 2 3 2 4 2" xfId="20210" xr:uid="{00000000-0005-0000-0000-000075350000}"/>
    <cellStyle name="Normal 42 2 3 2 5" xfId="13130" xr:uid="{00000000-0005-0000-0000-000076350000}"/>
    <cellStyle name="Normal 42 2 3 2 5 2" xfId="21810" xr:uid="{00000000-0005-0000-0000-000077350000}"/>
    <cellStyle name="Normal 42 2 3 2 6" xfId="15304" xr:uid="{00000000-0005-0000-0000-000078350000}"/>
    <cellStyle name="Normal 42 2 3 3" xfId="3224" xr:uid="{00000000-0005-0000-0000-000079350000}"/>
    <cellStyle name="Normal 42 2 3 3 2" xfId="9914" xr:uid="{00000000-0005-0000-0000-00007A350000}"/>
    <cellStyle name="Normal 42 2 3 3 2 2" xfId="18664" xr:uid="{00000000-0005-0000-0000-00007B350000}"/>
    <cellStyle name="Normal 42 2 3 3 3" xfId="8312" xr:uid="{00000000-0005-0000-0000-00007C350000}"/>
    <cellStyle name="Normal 42 2 3 3 3 2" xfId="17065" xr:uid="{00000000-0005-0000-0000-00007D350000}"/>
    <cellStyle name="Normal 42 2 3 3 4" xfId="11524" xr:uid="{00000000-0005-0000-0000-00007E350000}"/>
    <cellStyle name="Normal 42 2 3 3 4 2" xfId="20211" xr:uid="{00000000-0005-0000-0000-00007F350000}"/>
    <cellStyle name="Normal 42 2 3 3 5" xfId="13131" xr:uid="{00000000-0005-0000-0000-000080350000}"/>
    <cellStyle name="Normal 42 2 3 3 5 2" xfId="21811" xr:uid="{00000000-0005-0000-0000-000081350000}"/>
    <cellStyle name="Normal 42 2 3 3 6" xfId="15305" xr:uid="{00000000-0005-0000-0000-000082350000}"/>
    <cellStyle name="Normal 42 2 3 4" xfId="3225" xr:uid="{00000000-0005-0000-0000-000083350000}"/>
    <cellStyle name="Normal 42 2 3 4 2" xfId="9915" xr:uid="{00000000-0005-0000-0000-000084350000}"/>
    <cellStyle name="Normal 42 2 3 4 2 2" xfId="18665" xr:uid="{00000000-0005-0000-0000-000085350000}"/>
    <cellStyle name="Normal 42 2 3 4 3" xfId="8313" xr:uid="{00000000-0005-0000-0000-000086350000}"/>
    <cellStyle name="Normal 42 2 3 4 3 2" xfId="17066" xr:uid="{00000000-0005-0000-0000-000087350000}"/>
    <cellStyle name="Normal 42 2 3 4 4" xfId="11525" xr:uid="{00000000-0005-0000-0000-000088350000}"/>
    <cellStyle name="Normal 42 2 3 4 4 2" xfId="20212" xr:uid="{00000000-0005-0000-0000-000089350000}"/>
    <cellStyle name="Normal 42 2 3 4 5" xfId="13132" xr:uid="{00000000-0005-0000-0000-00008A350000}"/>
    <cellStyle name="Normal 42 2 3 4 5 2" xfId="21812" xr:uid="{00000000-0005-0000-0000-00008B350000}"/>
    <cellStyle name="Normal 42 2 3 4 6" xfId="15306" xr:uid="{00000000-0005-0000-0000-00008C350000}"/>
    <cellStyle name="Normal 42 2 3 5" xfId="9912" xr:uid="{00000000-0005-0000-0000-00008D350000}"/>
    <cellStyle name="Normal 42 2 3 5 2" xfId="18662" xr:uid="{00000000-0005-0000-0000-00008E350000}"/>
    <cellStyle name="Normal 42 2 3 6" xfId="8310" xr:uid="{00000000-0005-0000-0000-00008F350000}"/>
    <cellStyle name="Normal 42 2 3 6 2" xfId="17063" xr:uid="{00000000-0005-0000-0000-000090350000}"/>
    <cellStyle name="Normal 42 2 3 7" xfId="11522" xr:uid="{00000000-0005-0000-0000-000091350000}"/>
    <cellStyle name="Normal 42 2 3 7 2" xfId="20209" xr:uid="{00000000-0005-0000-0000-000092350000}"/>
    <cellStyle name="Normal 42 2 3 8" xfId="13129" xr:uid="{00000000-0005-0000-0000-000093350000}"/>
    <cellStyle name="Normal 42 2 3 8 2" xfId="21809" xr:uid="{00000000-0005-0000-0000-000094350000}"/>
    <cellStyle name="Normal 42 2 3 9" xfId="15303" xr:uid="{00000000-0005-0000-0000-000095350000}"/>
    <cellStyle name="Normal 42 2 4" xfId="3226" xr:uid="{00000000-0005-0000-0000-000096350000}"/>
    <cellStyle name="Normal 42 2 4 2" xfId="9916" xr:uid="{00000000-0005-0000-0000-000097350000}"/>
    <cellStyle name="Normal 42 2 4 2 2" xfId="18666" xr:uid="{00000000-0005-0000-0000-000098350000}"/>
    <cellStyle name="Normal 42 2 4 3" xfId="8314" xr:uid="{00000000-0005-0000-0000-000099350000}"/>
    <cellStyle name="Normal 42 2 4 3 2" xfId="17067" xr:uid="{00000000-0005-0000-0000-00009A350000}"/>
    <cellStyle name="Normal 42 2 4 4" xfId="11526" xr:uid="{00000000-0005-0000-0000-00009B350000}"/>
    <cellStyle name="Normal 42 2 4 4 2" xfId="20213" xr:uid="{00000000-0005-0000-0000-00009C350000}"/>
    <cellStyle name="Normal 42 2 4 5" xfId="13133" xr:uid="{00000000-0005-0000-0000-00009D350000}"/>
    <cellStyle name="Normal 42 2 4 5 2" xfId="21813" xr:uid="{00000000-0005-0000-0000-00009E350000}"/>
    <cellStyle name="Normal 42 2 4 6" xfId="15307" xr:uid="{00000000-0005-0000-0000-00009F350000}"/>
    <cellStyle name="Normal 42 2 5" xfId="3227" xr:uid="{00000000-0005-0000-0000-0000A0350000}"/>
    <cellStyle name="Normal 42 2 5 2" xfId="9917" xr:uid="{00000000-0005-0000-0000-0000A1350000}"/>
    <cellStyle name="Normal 42 2 5 2 2" xfId="18667" xr:uid="{00000000-0005-0000-0000-0000A2350000}"/>
    <cellStyle name="Normal 42 2 5 3" xfId="8315" xr:uid="{00000000-0005-0000-0000-0000A3350000}"/>
    <cellStyle name="Normal 42 2 5 3 2" xfId="17068" xr:uid="{00000000-0005-0000-0000-0000A4350000}"/>
    <cellStyle name="Normal 42 2 5 4" xfId="11527" xr:uid="{00000000-0005-0000-0000-0000A5350000}"/>
    <cellStyle name="Normal 42 2 5 4 2" xfId="20214" xr:uid="{00000000-0005-0000-0000-0000A6350000}"/>
    <cellStyle name="Normal 42 2 5 5" xfId="13134" xr:uid="{00000000-0005-0000-0000-0000A7350000}"/>
    <cellStyle name="Normal 42 2 5 5 2" xfId="21814" xr:uid="{00000000-0005-0000-0000-0000A8350000}"/>
    <cellStyle name="Normal 42 2 5 6" xfId="15308" xr:uid="{00000000-0005-0000-0000-0000A9350000}"/>
    <cellStyle name="Normal 42 2 6" xfId="3228" xr:uid="{00000000-0005-0000-0000-0000AA350000}"/>
    <cellStyle name="Normal 42 2 6 2" xfId="9918" xr:uid="{00000000-0005-0000-0000-0000AB350000}"/>
    <cellStyle name="Normal 42 2 6 2 2" xfId="18668" xr:uid="{00000000-0005-0000-0000-0000AC350000}"/>
    <cellStyle name="Normal 42 2 6 3" xfId="8316" xr:uid="{00000000-0005-0000-0000-0000AD350000}"/>
    <cellStyle name="Normal 42 2 6 3 2" xfId="17069" xr:uid="{00000000-0005-0000-0000-0000AE350000}"/>
    <cellStyle name="Normal 42 2 6 4" xfId="11528" xr:uid="{00000000-0005-0000-0000-0000AF350000}"/>
    <cellStyle name="Normal 42 2 6 4 2" xfId="20215" xr:uid="{00000000-0005-0000-0000-0000B0350000}"/>
    <cellStyle name="Normal 42 2 6 5" xfId="13135" xr:uid="{00000000-0005-0000-0000-0000B1350000}"/>
    <cellStyle name="Normal 42 2 6 5 2" xfId="21815" xr:uid="{00000000-0005-0000-0000-0000B2350000}"/>
    <cellStyle name="Normal 42 2 6 6" xfId="15309" xr:uid="{00000000-0005-0000-0000-0000B3350000}"/>
    <cellStyle name="Normal 42 2 7" xfId="9907" xr:uid="{00000000-0005-0000-0000-0000B4350000}"/>
    <cellStyle name="Normal 42 2 7 2" xfId="18657" xr:uid="{00000000-0005-0000-0000-0000B5350000}"/>
    <cellStyle name="Normal 42 2 8" xfId="8305" xr:uid="{00000000-0005-0000-0000-0000B6350000}"/>
    <cellStyle name="Normal 42 2 8 2" xfId="17058" xr:uid="{00000000-0005-0000-0000-0000B7350000}"/>
    <cellStyle name="Normal 42 2 9" xfId="11517" xr:uid="{00000000-0005-0000-0000-0000B8350000}"/>
    <cellStyle name="Normal 42 2 9 2" xfId="20204" xr:uid="{00000000-0005-0000-0000-0000B9350000}"/>
    <cellStyle name="Normal 42 3" xfId="3229" xr:uid="{00000000-0005-0000-0000-0000BA350000}"/>
    <cellStyle name="Normal 42 3 2" xfId="3230" xr:uid="{00000000-0005-0000-0000-0000BB350000}"/>
    <cellStyle name="Normal 42 3 2 2" xfId="9920" xr:uid="{00000000-0005-0000-0000-0000BC350000}"/>
    <cellStyle name="Normal 42 3 2 2 2" xfId="18670" xr:uid="{00000000-0005-0000-0000-0000BD350000}"/>
    <cellStyle name="Normal 42 3 2 3" xfId="8318" xr:uid="{00000000-0005-0000-0000-0000BE350000}"/>
    <cellStyle name="Normal 42 3 2 3 2" xfId="17071" xr:uid="{00000000-0005-0000-0000-0000BF350000}"/>
    <cellStyle name="Normal 42 3 2 4" xfId="11530" xr:uid="{00000000-0005-0000-0000-0000C0350000}"/>
    <cellStyle name="Normal 42 3 2 4 2" xfId="20217" xr:uid="{00000000-0005-0000-0000-0000C1350000}"/>
    <cellStyle name="Normal 42 3 2 5" xfId="13137" xr:uid="{00000000-0005-0000-0000-0000C2350000}"/>
    <cellStyle name="Normal 42 3 2 5 2" xfId="21817" xr:uid="{00000000-0005-0000-0000-0000C3350000}"/>
    <cellStyle name="Normal 42 3 2 6" xfId="15311" xr:uid="{00000000-0005-0000-0000-0000C4350000}"/>
    <cellStyle name="Normal 42 3 3" xfId="3231" xr:uid="{00000000-0005-0000-0000-0000C5350000}"/>
    <cellStyle name="Normal 42 3 3 2" xfId="9921" xr:uid="{00000000-0005-0000-0000-0000C6350000}"/>
    <cellStyle name="Normal 42 3 3 2 2" xfId="18671" xr:uid="{00000000-0005-0000-0000-0000C7350000}"/>
    <cellStyle name="Normal 42 3 3 3" xfId="8319" xr:uid="{00000000-0005-0000-0000-0000C8350000}"/>
    <cellStyle name="Normal 42 3 3 3 2" xfId="17072" xr:uid="{00000000-0005-0000-0000-0000C9350000}"/>
    <cellStyle name="Normal 42 3 3 4" xfId="11531" xr:uid="{00000000-0005-0000-0000-0000CA350000}"/>
    <cellStyle name="Normal 42 3 3 4 2" xfId="20218" xr:uid="{00000000-0005-0000-0000-0000CB350000}"/>
    <cellStyle name="Normal 42 3 3 5" xfId="13138" xr:uid="{00000000-0005-0000-0000-0000CC350000}"/>
    <cellStyle name="Normal 42 3 3 5 2" xfId="21818" xr:uid="{00000000-0005-0000-0000-0000CD350000}"/>
    <cellStyle name="Normal 42 3 3 6" xfId="15312" xr:uid="{00000000-0005-0000-0000-0000CE350000}"/>
    <cellStyle name="Normal 42 3 4" xfId="3232" xr:uid="{00000000-0005-0000-0000-0000CF350000}"/>
    <cellStyle name="Normal 42 3 4 2" xfId="9922" xr:uid="{00000000-0005-0000-0000-0000D0350000}"/>
    <cellStyle name="Normal 42 3 4 2 2" xfId="18672" xr:uid="{00000000-0005-0000-0000-0000D1350000}"/>
    <cellStyle name="Normal 42 3 4 3" xfId="8320" xr:uid="{00000000-0005-0000-0000-0000D2350000}"/>
    <cellStyle name="Normal 42 3 4 3 2" xfId="17073" xr:uid="{00000000-0005-0000-0000-0000D3350000}"/>
    <cellStyle name="Normal 42 3 4 4" xfId="11532" xr:uid="{00000000-0005-0000-0000-0000D4350000}"/>
    <cellStyle name="Normal 42 3 4 4 2" xfId="20219" xr:uid="{00000000-0005-0000-0000-0000D5350000}"/>
    <cellStyle name="Normal 42 3 4 5" xfId="13139" xr:uid="{00000000-0005-0000-0000-0000D6350000}"/>
    <cellStyle name="Normal 42 3 4 5 2" xfId="21819" xr:uid="{00000000-0005-0000-0000-0000D7350000}"/>
    <cellStyle name="Normal 42 3 4 6" xfId="15313" xr:uid="{00000000-0005-0000-0000-0000D8350000}"/>
    <cellStyle name="Normal 42 3 5" xfId="9919" xr:uid="{00000000-0005-0000-0000-0000D9350000}"/>
    <cellStyle name="Normal 42 3 5 2" xfId="18669" xr:uid="{00000000-0005-0000-0000-0000DA350000}"/>
    <cellStyle name="Normal 42 3 6" xfId="8317" xr:uid="{00000000-0005-0000-0000-0000DB350000}"/>
    <cellStyle name="Normal 42 3 6 2" xfId="17070" xr:uid="{00000000-0005-0000-0000-0000DC350000}"/>
    <cellStyle name="Normal 42 3 7" xfId="11529" xr:uid="{00000000-0005-0000-0000-0000DD350000}"/>
    <cellStyle name="Normal 42 3 7 2" xfId="20216" xr:uid="{00000000-0005-0000-0000-0000DE350000}"/>
    <cellStyle name="Normal 42 3 8" xfId="13136" xr:uid="{00000000-0005-0000-0000-0000DF350000}"/>
    <cellStyle name="Normal 42 3 8 2" xfId="21816" xr:uid="{00000000-0005-0000-0000-0000E0350000}"/>
    <cellStyle name="Normal 42 3 9" xfId="15310" xr:uid="{00000000-0005-0000-0000-0000E1350000}"/>
    <cellStyle name="Normal 42 4" xfId="3233" xr:uid="{00000000-0005-0000-0000-0000E2350000}"/>
    <cellStyle name="Normal 43" xfId="3234" xr:uid="{00000000-0005-0000-0000-0000E3350000}"/>
    <cellStyle name="Normal 43 2" xfId="3235" xr:uid="{00000000-0005-0000-0000-0000E4350000}"/>
    <cellStyle name="Normal 44" xfId="3236" xr:uid="{00000000-0005-0000-0000-0000E5350000}"/>
    <cellStyle name="Normal 44 2" xfId="3237" xr:uid="{00000000-0005-0000-0000-0000E6350000}"/>
    <cellStyle name="Normal 45" xfId="3238" xr:uid="{00000000-0005-0000-0000-0000E7350000}"/>
    <cellStyle name="Normal 45 2" xfId="3239" xr:uid="{00000000-0005-0000-0000-0000E8350000}"/>
    <cellStyle name="Normal 45 2 2" xfId="3240" xr:uid="{00000000-0005-0000-0000-0000E9350000}"/>
    <cellStyle name="Normal 45 2 2 2" xfId="9924" xr:uid="{00000000-0005-0000-0000-0000EA350000}"/>
    <cellStyle name="Normal 45 2 2 2 2" xfId="18674" xr:uid="{00000000-0005-0000-0000-0000EB350000}"/>
    <cellStyle name="Normal 45 2 2 3" xfId="8322" xr:uid="{00000000-0005-0000-0000-0000EC350000}"/>
    <cellStyle name="Normal 45 2 2 3 2" xfId="17075" xr:uid="{00000000-0005-0000-0000-0000ED350000}"/>
    <cellStyle name="Normal 45 2 2 4" xfId="11534" xr:uid="{00000000-0005-0000-0000-0000EE350000}"/>
    <cellStyle name="Normal 45 2 2 4 2" xfId="20221" xr:uid="{00000000-0005-0000-0000-0000EF350000}"/>
    <cellStyle name="Normal 45 2 2 5" xfId="13141" xr:uid="{00000000-0005-0000-0000-0000F0350000}"/>
    <cellStyle name="Normal 45 2 2 5 2" xfId="21821" xr:uid="{00000000-0005-0000-0000-0000F1350000}"/>
    <cellStyle name="Normal 45 2 2 6" xfId="15315" xr:uid="{00000000-0005-0000-0000-0000F2350000}"/>
    <cellStyle name="Normal 45 2 3" xfId="3241" xr:uid="{00000000-0005-0000-0000-0000F3350000}"/>
    <cellStyle name="Normal 45 2 3 2" xfId="9925" xr:uid="{00000000-0005-0000-0000-0000F4350000}"/>
    <cellStyle name="Normal 45 2 3 2 2" xfId="18675" xr:uid="{00000000-0005-0000-0000-0000F5350000}"/>
    <cellStyle name="Normal 45 2 3 3" xfId="8323" xr:uid="{00000000-0005-0000-0000-0000F6350000}"/>
    <cellStyle name="Normal 45 2 3 3 2" xfId="17076" xr:uid="{00000000-0005-0000-0000-0000F7350000}"/>
    <cellStyle name="Normal 45 2 3 4" xfId="11535" xr:uid="{00000000-0005-0000-0000-0000F8350000}"/>
    <cellStyle name="Normal 45 2 3 4 2" xfId="20222" xr:uid="{00000000-0005-0000-0000-0000F9350000}"/>
    <cellStyle name="Normal 45 2 3 5" xfId="13142" xr:uid="{00000000-0005-0000-0000-0000FA350000}"/>
    <cellStyle name="Normal 45 2 3 5 2" xfId="21822" xr:uid="{00000000-0005-0000-0000-0000FB350000}"/>
    <cellStyle name="Normal 45 2 3 6" xfId="15316" xr:uid="{00000000-0005-0000-0000-0000FC350000}"/>
    <cellStyle name="Normal 45 2 4" xfId="3242" xr:uid="{00000000-0005-0000-0000-0000FD350000}"/>
    <cellStyle name="Normal 45 2 4 2" xfId="9926" xr:uid="{00000000-0005-0000-0000-0000FE350000}"/>
    <cellStyle name="Normal 45 2 4 2 2" xfId="18676" xr:uid="{00000000-0005-0000-0000-0000FF350000}"/>
    <cellStyle name="Normal 45 2 4 3" xfId="8324" xr:uid="{00000000-0005-0000-0000-000000360000}"/>
    <cellStyle name="Normal 45 2 4 3 2" xfId="17077" xr:uid="{00000000-0005-0000-0000-000001360000}"/>
    <cellStyle name="Normal 45 2 4 4" xfId="11536" xr:uid="{00000000-0005-0000-0000-000002360000}"/>
    <cellStyle name="Normal 45 2 4 4 2" xfId="20223" xr:uid="{00000000-0005-0000-0000-000003360000}"/>
    <cellStyle name="Normal 45 2 4 5" xfId="13143" xr:uid="{00000000-0005-0000-0000-000004360000}"/>
    <cellStyle name="Normal 45 2 4 5 2" xfId="21823" xr:uid="{00000000-0005-0000-0000-000005360000}"/>
    <cellStyle name="Normal 45 2 4 6" xfId="15317" xr:uid="{00000000-0005-0000-0000-000006360000}"/>
    <cellStyle name="Normal 45 2 5" xfId="9923" xr:uid="{00000000-0005-0000-0000-000007360000}"/>
    <cellStyle name="Normal 45 2 5 2" xfId="18673" xr:uid="{00000000-0005-0000-0000-000008360000}"/>
    <cellStyle name="Normal 45 2 6" xfId="8321" xr:uid="{00000000-0005-0000-0000-000009360000}"/>
    <cellStyle name="Normal 45 2 6 2" xfId="17074" xr:uid="{00000000-0005-0000-0000-00000A360000}"/>
    <cellStyle name="Normal 45 2 7" xfId="11533" xr:uid="{00000000-0005-0000-0000-00000B360000}"/>
    <cellStyle name="Normal 45 2 7 2" xfId="20220" xr:uid="{00000000-0005-0000-0000-00000C360000}"/>
    <cellStyle name="Normal 45 2 8" xfId="13140" xr:uid="{00000000-0005-0000-0000-00000D360000}"/>
    <cellStyle name="Normal 45 2 8 2" xfId="21820" xr:uid="{00000000-0005-0000-0000-00000E360000}"/>
    <cellStyle name="Normal 45 2 9" xfId="15314" xr:uid="{00000000-0005-0000-0000-00000F360000}"/>
    <cellStyle name="Normal 45 3" xfId="3243" xr:uid="{00000000-0005-0000-0000-000010360000}"/>
    <cellStyle name="Normal 46" xfId="3244" xr:uid="{00000000-0005-0000-0000-000011360000}"/>
    <cellStyle name="Normal 46 10" xfId="13144" xr:uid="{00000000-0005-0000-0000-000012360000}"/>
    <cellStyle name="Normal 46 10 2" xfId="21824" xr:uid="{00000000-0005-0000-0000-000013360000}"/>
    <cellStyle name="Normal 46 11" xfId="15318" xr:uid="{00000000-0005-0000-0000-000014360000}"/>
    <cellStyle name="Normal 46 2" xfId="3245" xr:uid="{00000000-0005-0000-0000-000015360000}"/>
    <cellStyle name="Normal 46 2 2" xfId="3246" xr:uid="{00000000-0005-0000-0000-000016360000}"/>
    <cellStyle name="Normal 46 2 2 2" xfId="9929" xr:uid="{00000000-0005-0000-0000-000017360000}"/>
    <cellStyle name="Normal 46 2 2 2 2" xfId="18679" xr:uid="{00000000-0005-0000-0000-000018360000}"/>
    <cellStyle name="Normal 46 2 2 3" xfId="8327" xr:uid="{00000000-0005-0000-0000-000019360000}"/>
    <cellStyle name="Normal 46 2 2 3 2" xfId="17080" xr:uid="{00000000-0005-0000-0000-00001A360000}"/>
    <cellStyle name="Normal 46 2 2 4" xfId="11539" xr:uid="{00000000-0005-0000-0000-00001B360000}"/>
    <cellStyle name="Normal 46 2 2 4 2" xfId="20226" xr:uid="{00000000-0005-0000-0000-00001C360000}"/>
    <cellStyle name="Normal 46 2 2 5" xfId="13146" xr:uid="{00000000-0005-0000-0000-00001D360000}"/>
    <cellStyle name="Normal 46 2 2 5 2" xfId="21826" xr:uid="{00000000-0005-0000-0000-00001E360000}"/>
    <cellStyle name="Normal 46 2 2 6" xfId="15320" xr:uid="{00000000-0005-0000-0000-00001F360000}"/>
    <cellStyle name="Normal 46 2 3" xfId="3247" xr:uid="{00000000-0005-0000-0000-000020360000}"/>
    <cellStyle name="Normal 46 2 3 2" xfId="9930" xr:uid="{00000000-0005-0000-0000-000021360000}"/>
    <cellStyle name="Normal 46 2 3 2 2" xfId="18680" xr:uid="{00000000-0005-0000-0000-000022360000}"/>
    <cellStyle name="Normal 46 2 3 3" xfId="8328" xr:uid="{00000000-0005-0000-0000-000023360000}"/>
    <cellStyle name="Normal 46 2 3 3 2" xfId="17081" xr:uid="{00000000-0005-0000-0000-000024360000}"/>
    <cellStyle name="Normal 46 2 3 4" xfId="11540" xr:uid="{00000000-0005-0000-0000-000025360000}"/>
    <cellStyle name="Normal 46 2 3 4 2" xfId="20227" xr:uid="{00000000-0005-0000-0000-000026360000}"/>
    <cellStyle name="Normal 46 2 3 5" xfId="13147" xr:uid="{00000000-0005-0000-0000-000027360000}"/>
    <cellStyle name="Normal 46 2 3 5 2" xfId="21827" xr:uid="{00000000-0005-0000-0000-000028360000}"/>
    <cellStyle name="Normal 46 2 3 6" xfId="15321" xr:uid="{00000000-0005-0000-0000-000029360000}"/>
    <cellStyle name="Normal 46 2 4" xfId="3248" xr:uid="{00000000-0005-0000-0000-00002A360000}"/>
    <cellStyle name="Normal 46 2 4 2" xfId="9931" xr:uid="{00000000-0005-0000-0000-00002B360000}"/>
    <cellStyle name="Normal 46 2 4 2 2" xfId="18681" xr:uid="{00000000-0005-0000-0000-00002C360000}"/>
    <cellStyle name="Normal 46 2 4 3" xfId="8329" xr:uid="{00000000-0005-0000-0000-00002D360000}"/>
    <cellStyle name="Normal 46 2 4 3 2" xfId="17082" xr:uid="{00000000-0005-0000-0000-00002E360000}"/>
    <cellStyle name="Normal 46 2 4 4" xfId="11541" xr:uid="{00000000-0005-0000-0000-00002F360000}"/>
    <cellStyle name="Normal 46 2 4 4 2" xfId="20228" xr:uid="{00000000-0005-0000-0000-000030360000}"/>
    <cellStyle name="Normal 46 2 4 5" xfId="13148" xr:uid="{00000000-0005-0000-0000-000031360000}"/>
    <cellStyle name="Normal 46 2 4 5 2" xfId="21828" xr:uid="{00000000-0005-0000-0000-000032360000}"/>
    <cellStyle name="Normal 46 2 4 6" xfId="15322" xr:uid="{00000000-0005-0000-0000-000033360000}"/>
    <cellStyle name="Normal 46 2 5" xfId="9928" xr:uid="{00000000-0005-0000-0000-000034360000}"/>
    <cellStyle name="Normal 46 2 5 2" xfId="18678" xr:uid="{00000000-0005-0000-0000-000035360000}"/>
    <cellStyle name="Normal 46 2 6" xfId="8326" xr:uid="{00000000-0005-0000-0000-000036360000}"/>
    <cellStyle name="Normal 46 2 6 2" xfId="17079" xr:uid="{00000000-0005-0000-0000-000037360000}"/>
    <cellStyle name="Normal 46 2 7" xfId="11538" xr:uid="{00000000-0005-0000-0000-000038360000}"/>
    <cellStyle name="Normal 46 2 7 2" xfId="20225" xr:uid="{00000000-0005-0000-0000-000039360000}"/>
    <cellStyle name="Normal 46 2 8" xfId="13145" xr:uid="{00000000-0005-0000-0000-00003A360000}"/>
    <cellStyle name="Normal 46 2 8 2" xfId="21825" xr:uid="{00000000-0005-0000-0000-00003B360000}"/>
    <cellStyle name="Normal 46 2 9" xfId="15319" xr:uid="{00000000-0005-0000-0000-00003C360000}"/>
    <cellStyle name="Normal 46 3" xfId="3249" xr:uid="{00000000-0005-0000-0000-00003D360000}"/>
    <cellStyle name="Normal 46 3 2" xfId="3250" xr:uid="{00000000-0005-0000-0000-00003E360000}"/>
    <cellStyle name="Normal 46 3 2 2" xfId="9933" xr:uid="{00000000-0005-0000-0000-00003F360000}"/>
    <cellStyle name="Normal 46 3 2 2 2" xfId="18683" xr:uid="{00000000-0005-0000-0000-000040360000}"/>
    <cellStyle name="Normal 46 3 2 3" xfId="8331" xr:uid="{00000000-0005-0000-0000-000041360000}"/>
    <cellStyle name="Normal 46 3 2 3 2" xfId="17084" xr:uid="{00000000-0005-0000-0000-000042360000}"/>
    <cellStyle name="Normal 46 3 2 4" xfId="11543" xr:uid="{00000000-0005-0000-0000-000043360000}"/>
    <cellStyle name="Normal 46 3 2 4 2" xfId="20230" xr:uid="{00000000-0005-0000-0000-000044360000}"/>
    <cellStyle name="Normal 46 3 2 5" xfId="13150" xr:uid="{00000000-0005-0000-0000-000045360000}"/>
    <cellStyle name="Normal 46 3 2 5 2" xfId="21830" xr:uid="{00000000-0005-0000-0000-000046360000}"/>
    <cellStyle name="Normal 46 3 2 6" xfId="15324" xr:uid="{00000000-0005-0000-0000-000047360000}"/>
    <cellStyle name="Normal 46 3 3" xfId="3251" xr:uid="{00000000-0005-0000-0000-000048360000}"/>
    <cellStyle name="Normal 46 3 3 2" xfId="9934" xr:uid="{00000000-0005-0000-0000-000049360000}"/>
    <cellStyle name="Normal 46 3 3 2 2" xfId="18684" xr:uid="{00000000-0005-0000-0000-00004A360000}"/>
    <cellStyle name="Normal 46 3 3 3" xfId="8332" xr:uid="{00000000-0005-0000-0000-00004B360000}"/>
    <cellStyle name="Normal 46 3 3 3 2" xfId="17085" xr:uid="{00000000-0005-0000-0000-00004C360000}"/>
    <cellStyle name="Normal 46 3 3 4" xfId="11544" xr:uid="{00000000-0005-0000-0000-00004D360000}"/>
    <cellStyle name="Normal 46 3 3 4 2" xfId="20231" xr:uid="{00000000-0005-0000-0000-00004E360000}"/>
    <cellStyle name="Normal 46 3 3 5" xfId="13151" xr:uid="{00000000-0005-0000-0000-00004F360000}"/>
    <cellStyle name="Normal 46 3 3 5 2" xfId="21831" xr:uid="{00000000-0005-0000-0000-000050360000}"/>
    <cellStyle name="Normal 46 3 3 6" xfId="15325" xr:uid="{00000000-0005-0000-0000-000051360000}"/>
    <cellStyle name="Normal 46 3 4" xfId="3252" xr:uid="{00000000-0005-0000-0000-000052360000}"/>
    <cellStyle name="Normal 46 3 4 2" xfId="9935" xr:uid="{00000000-0005-0000-0000-000053360000}"/>
    <cellStyle name="Normal 46 3 4 2 2" xfId="18685" xr:uid="{00000000-0005-0000-0000-000054360000}"/>
    <cellStyle name="Normal 46 3 4 3" xfId="8333" xr:uid="{00000000-0005-0000-0000-000055360000}"/>
    <cellStyle name="Normal 46 3 4 3 2" xfId="17086" xr:uid="{00000000-0005-0000-0000-000056360000}"/>
    <cellStyle name="Normal 46 3 4 4" xfId="11545" xr:uid="{00000000-0005-0000-0000-000057360000}"/>
    <cellStyle name="Normal 46 3 4 4 2" xfId="20232" xr:uid="{00000000-0005-0000-0000-000058360000}"/>
    <cellStyle name="Normal 46 3 4 5" xfId="13152" xr:uid="{00000000-0005-0000-0000-000059360000}"/>
    <cellStyle name="Normal 46 3 4 5 2" xfId="21832" xr:uid="{00000000-0005-0000-0000-00005A360000}"/>
    <cellStyle name="Normal 46 3 4 6" xfId="15326" xr:uid="{00000000-0005-0000-0000-00005B360000}"/>
    <cellStyle name="Normal 46 3 5" xfId="9932" xr:uid="{00000000-0005-0000-0000-00005C360000}"/>
    <cellStyle name="Normal 46 3 5 2" xfId="18682" xr:uid="{00000000-0005-0000-0000-00005D360000}"/>
    <cellStyle name="Normal 46 3 6" xfId="8330" xr:uid="{00000000-0005-0000-0000-00005E360000}"/>
    <cellStyle name="Normal 46 3 6 2" xfId="17083" xr:uid="{00000000-0005-0000-0000-00005F360000}"/>
    <cellStyle name="Normal 46 3 7" xfId="11542" xr:uid="{00000000-0005-0000-0000-000060360000}"/>
    <cellStyle name="Normal 46 3 7 2" xfId="20229" xr:uid="{00000000-0005-0000-0000-000061360000}"/>
    <cellStyle name="Normal 46 3 8" xfId="13149" xr:uid="{00000000-0005-0000-0000-000062360000}"/>
    <cellStyle name="Normal 46 3 8 2" xfId="21829" xr:uid="{00000000-0005-0000-0000-000063360000}"/>
    <cellStyle name="Normal 46 3 9" xfId="15323" xr:uid="{00000000-0005-0000-0000-000064360000}"/>
    <cellStyle name="Normal 46 4" xfId="3253" xr:uid="{00000000-0005-0000-0000-000065360000}"/>
    <cellStyle name="Normal 46 4 2" xfId="9936" xr:uid="{00000000-0005-0000-0000-000066360000}"/>
    <cellStyle name="Normal 46 4 2 2" xfId="18686" xr:uid="{00000000-0005-0000-0000-000067360000}"/>
    <cellStyle name="Normal 46 4 3" xfId="8334" xr:uid="{00000000-0005-0000-0000-000068360000}"/>
    <cellStyle name="Normal 46 4 3 2" xfId="17087" xr:uid="{00000000-0005-0000-0000-000069360000}"/>
    <cellStyle name="Normal 46 4 4" xfId="11546" xr:uid="{00000000-0005-0000-0000-00006A360000}"/>
    <cellStyle name="Normal 46 4 4 2" xfId="20233" xr:uid="{00000000-0005-0000-0000-00006B360000}"/>
    <cellStyle name="Normal 46 4 5" xfId="13153" xr:uid="{00000000-0005-0000-0000-00006C360000}"/>
    <cellStyle name="Normal 46 4 5 2" xfId="21833" xr:uid="{00000000-0005-0000-0000-00006D360000}"/>
    <cellStyle name="Normal 46 4 6" xfId="15327" xr:uid="{00000000-0005-0000-0000-00006E360000}"/>
    <cellStyle name="Normal 46 5" xfId="3254" xr:uid="{00000000-0005-0000-0000-00006F360000}"/>
    <cellStyle name="Normal 46 5 2" xfId="9937" xr:uid="{00000000-0005-0000-0000-000070360000}"/>
    <cellStyle name="Normal 46 5 2 2" xfId="18687" xr:uid="{00000000-0005-0000-0000-000071360000}"/>
    <cellStyle name="Normal 46 5 3" xfId="8335" xr:uid="{00000000-0005-0000-0000-000072360000}"/>
    <cellStyle name="Normal 46 5 3 2" xfId="17088" xr:uid="{00000000-0005-0000-0000-000073360000}"/>
    <cellStyle name="Normal 46 5 4" xfId="11547" xr:uid="{00000000-0005-0000-0000-000074360000}"/>
    <cellStyle name="Normal 46 5 4 2" xfId="20234" xr:uid="{00000000-0005-0000-0000-000075360000}"/>
    <cellStyle name="Normal 46 5 5" xfId="13154" xr:uid="{00000000-0005-0000-0000-000076360000}"/>
    <cellStyle name="Normal 46 5 5 2" xfId="21834" xr:uid="{00000000-0005-0000-0000-000077360000}"/>
    <cellStyle name="Normal 46 5 6" xfId="15328" xr:uid="{00000000-0005-0000-0000-000078360000}"/>
    <cellStyle name="Normal 46 6" xfId="3255" xr:uid="{00000000-0005-0000-0000-000079360000}"/>
    <cellStyle name="Normal 46 6 2" xfId="9938" xr:uid="{00000000-0005-0000-0000-00007A360000}"/>
    <cellStyle name="Normal 46 6 2 2" xfId="18688" xr:uid="{00000000-0005-0000-0000-00007B360000}"/>
    <cellStyle name="Normal 46 6 3" xfId="8336" xr:uid="{00000000-0005-0000-0000-00007C360000}"/>
    <cellStyle name="Normal 46 6 3 2" xfId="17089" xr:uid="{00000000-0005-0000-0000-00007D360000}"/>
    <cellStyle name="Normal 46 6 4" xfId="11548" xr:uid="{00000000-0005-0000-0000-00007E360000}"/>
    <cellStyle name="Normal 46 6 4 2" xfId="20235" xr:uid="{00000000-0005-0000-0000-00007F360000}"/>
    <cellStyle name="Normal 46 6 5" xfId="13155" xr:uid="{00000000-0005-0000-0000-000080360000}"/>
    <cellStyle name="Normal 46 6 5 2" xfId="21835" xr:uid="{00000000-0005-0000-0000-000081360000}"/>
    <cellStyle name="Normal 46 6 6" xfId="15329" xr:uid="{00000000-0005-0000-0000-000082360000}"/>
    <cellStyle name="Normal 46 7" xfId="9927" xr:uid="{00000000-0005-0000-0000-000083360000}"/>
    <cellStyle name="Normal 46 7 2" xfId="18677" xr:uid="{00000000-0005-0000-0000-000084360000}"/>
    <cellStyle name="Normal 46 8" xfId="8325" xr:uid="{00000000-0005-0000-0000-000085360000}"/>
    <cellStyle name="Normal 46 8 2" xfId="17078" xr:uid="{00000000-0005-0000-0000-000086360000}"/>
    <cellStyle name="Normal 46 9" xfId="11537" xr:uid="{00000000-0005-0000-0000-000087360000}"/>
    <cellStyle name="Normal 46 9 2" xfId="20224" xr:uid="{00000000-0005-0000-0000-000088360000}"/>
    <cellStyle name="Normal 47" xfId="3256" xr:uid="{00000000-0005-0000-0000-000089360000}"/>
    <cellStyle name="Normal 47 10" xfId="13156" xr:uid="{00000000-0005-0000-0000-00008A360000}"/>
    <cellStyle name="Normal 47 10 2" xfId="21836" xr:uid="{00000000-0005-0000-0000-00008B360000}"/>
    <cellStyle name="Normal 47 11" xfId="15330" xr:uid="{00000000-0005-0000-0000-00008C360000}"/>
    <cellStyle name="Normal 47 2" xfId="3257" xr:uid="{00000000-0005-0000-0000-00008D360000}"/>
    <cellStyle name="Normal 47 2 2" xfId="3258" xr:uid="{00000000-0005-0000-0000-00008E360000}"/>
    <cellStyle name="Normal 47 2 2 2" xfId="9941" xr:uid="{00000000-0005-0000-0000-00008F360000}"/>
    <cellStyle name="Normal 47 2 2 2 2" xfId="18691" xr:uid="{00000000-0005-0000-0000-000090360000}"/>
    <cellStyle name="Normal 47 2 2 3" xfId="8339" xr:uid="{00000000-0005-0000-0000-000091360000}"/>
    <cellStyle name="Normal 47 2 2 3 2" xfId="17092" xr:uid="{00000000-0005-0000-0000-000092360000}"/>
    <cellStyle name="Normal 47 2 2 4" xfId="11551" xr:uid="{00000000-0005-0000-0000-000093360000}"/>
    <cellStyle name="Normal 47 2 2 4 2" xfId="20238" xr:uid="{00000000-0005-0000-0000-000094360000}"/>
    <cellStyle name="Normal 47 2 2 5" xfId="13158" xr:uid="{00000000-0005-0000-0000-000095360000}"/>
    <cellStyle name="Normal 47 2 2 5 2" xfId="21838" xr:uid="{00000000-0005-0000-0000-000096360000}"/>
    <cellStyle name="Normal 47 2 2 6" xfId="15332" xr:uid="{00000000-0005-0000-0000-000097360000}"/>
    <cellStyle name="Normal 47 2 3" xfId="3259" xr:uid="{00000000-0005-0000-0000-000098360000}"/>
    <cellStyle name="Normal 47 2 3 2" xfId="9942" xr:uid="{00000000-0005-0000-0000-000099360000}"/>
    <cellStyle name="Normal 47 2 3 2 2" xfId="18692" xr:uid="{00000000-0005-0000-0000-00009A360000}"/>
    <cellStyle name="Normal 47 2 3 3" xfId="8340" xr:uid="{00000000-0005-0000-0000-00009B360000}"/>
    <cellStyle name="Normal 47 2 3 3 2" xfId="17093" xr:uid="{00000000-0005-0000-0000-00009C360000}"/>
    <cellStyle name="Normal 47 2 3 4" xfId="11552" xr:uid="{00000000-0005-0000-0000-00009D360000}"/>
    <cellStyle name="Normal 47 2 3 4 2" xfId="20239" xr:uid="{00000000-0005-0000-0000-00009E360000}"/>
    <cellStyle name="Normal 47 2 3 5" xfId="13159" xr:uid="{00000000-0005-0000-0000-00009F360000}"/>
    <cellStyle name="Normal 47 2 3 5 2" xfId="21839" xr:uid="{00000000-0005-0000-0000-0000A0360000}"/>
    <cellStyle name="Normal 47 2 3 6" xfId="15333" xr:uid="{00000000-0005-0000-0000-0000A1360000}"/>
    <cellStyle name="Normal 47 2 4" xfId="3260" xr:uid="{00000000-0005-0000-0000-0000A2360000}"/>
    <cellStyle name="Normal 47 2 4 2" xfId="9943" xr:uid="{00000000-0005-0000-0000-0000A3360000}"/>
    <cellStyle name="Normal 47 2 4 2 2" xfId="18693" xr:uid="{00000000-0005-0000-0000-0000A4360000}"/>
    <cellStyle name="Normal 47 2 4 3" xfId="8341" xr:uid="{00000000-0005-0000-0000-0000A5360000}"/>
    <cellStyle name="Normal 47 2 4 3 2" xfId="17094" xr:uid="{00000000-0005-0000-0000-0000A6360000}"/>
    <cellStyle name="Normal 47 2 4 4" xfId="11553" xr:uid="{00000000-0005-0000-0000-0000A7360000}"/>
    <cellStyle name="Normal 47 2 4 4 2" xfId="20240" xr:uid="{00000000-0005-0000-0000-0000A8360000}"/>
    <cellStyle name="Normal 47 2 4 5" xfId="13160" xr:uid="{00000000-0005-0000-0000-0000A9360000}"/>
    <cellStyle name="Normal 47 2 4 5 2" xfId="21840" xr:uid="{00000000-0005-0000-0000-0000AA360000}"/>
    <cellStyle name="Normal 47 2 4 6" xfId="15334" xr:uid="{00000000-0005-0000-0000-0000AB360000}"/>
    <cellStyle name="Normal 47 2 5" xfId="9940" xr:uid="{00000000-0005-0000-0000-0000AC360000}"/>
    <cellStyle name="Normal 47 2 5 2" xfId="18690" xr:uid="{00000000-0005-0000-0000-0000AD360000}"/>
    <cellStyle name="Normal 47 2 6" xfId="8338" xr:uid="{00000000-0005-0000-0000-0000AE360000}"/>
    <cellStyle name="Normal 47 2 6 2" xfId="17091" xr:uid="{00000000-0005-0000-0000-0000AF360000}"/>
    <cellStyle name="Normal 47 2 7" xfId="11550" xr:uid="{00000000-0005-0000-0000-0000B0360000}"/>
    <cellStyle name="Normal 47 2 7 2" xfId="20237" xr:uid="{00000000-0005-0000-0000-0000B1360000}"/>
    <cellStyle name="Normal 47 2 8" xfId="13157" xr:uid="{00000000-0005-0000-0000-0000B2360000}"/>
    <cellStyle name="Normal 47 2 8 2" xfId="21837" xr:uid="{00000000-0005-0000-0000-0000B3360000}"/>
    <cellStyle name="Normal 47 2 9" xfId="15331" xr:uid="{00000000-0005-0000-0000-0000B4360000}"/>
    <cellStyle name="Normal 47 3" xfId="3261" xr:uid="{00000000-0005-0000-0000-0000B5360000}"/>
    <cellStyle name="Normal 47 3 2" xfId="3262" xr:uid="{00000000-0005-0000-0000-0000B6360000}"/>
    <cellStyle name="Normal 47 3 2 2" xfId="9945" xr:uid="{00000000-0005-0000-0000-0000B7360000}"/>
    <cellStyle name="Normal 47 3 2 2 2" xfId="18695" xr:uid="{00000000-0005-0000-0000-0000B8360000}"/>
    <cellStyle name="Normal 47 3 2 3" xfId="8343" xr:uid="{00000000-0005-0000-0000-0000B9360000}"/>
    <cellStyle name="Normal 47 3 2 3 2" xfId="17096" xr:uid="{00000000-0005-0000-0000-0000BA360000}"/>
    <cellStyle name="Normal 47 3 2 4" xfId="11555" xr:uid="{00000000-0005-0000-0000-0000BB360000}"/>
    <cellStyle name="Normal 47 3 2 4 2" xfId="20242" xr:uid="{00000000-0005-0000-0000-0000BC360000}"/>
    <cellStyle name="Normal 47 3 2 5" xfId="13162" xr:uid="{00000000-0005-0000-0000-0000BD360000}"/>
    <cellStyle name="Normal 47 3 2 5 2" xfId="21842" xr:uid="{00000000-0005-0000-0000-0000BE360000}"/>
    <cellStyle name="Normal 47 3 2 6" xfId="15336" xr:uid="{00000000-0005-0000-0000-0000BF360000}"/>
    <cellStyle name="Normal 47 3 3" xfId="3263" xr:uid="{00000000-0005-0000-0000-0000C0360000}"/>
    <cellStyle name="Normal 47 3 3 2" xfId="9946" xr:uid="{00000000-0005-0000-0000-0000C1360000}"/>
    <cellStyle name="Normal 47 3 3 2 2" xfId="18696" xr:uid="{00000000-0005-0000-0000-0000C2360000}"/>
    <cellStyle name="Normal 47 3 3 3" xfId="8344" xr:uid="{00000000-0005-0000-0000-0000C3360000}"/>
    <cellStyle name="Normal 47 3 3 3 2" xfId="17097" xr:uid="{00000000-0005-0000-0000-0000C4360000}"/>
    <cellStyle name="Normal 47 3 3 4" xfId="11556" xr:uid="{00000000-0005-0000-0000-0000C5360000}"/>
    <cellStyle name="Normal 47 3 3 4 2" xfId="20243" xr:uid="{00000000-0005-0000-0000-0000C6360000}"/>
    <cellStyle name="Normal 47 3 3 5" xfId="13163" xr:uid="{00000000-0005-0000-0000-0000C7360000}"/>
    <cellStyle name="Normal 47 3 3 5 2" xfId="21843" xr:uid="{00000000-0005-0000-0000-0000C8360000}"/>
    <cellStyle name="Normal 47 3 3 6" xfId="15337" xr:uid="{00000000-0005-0000-0000-0000C9360000}"/>
    <cellStyle name="Normal 47 3 4" xfId="3264" xr:uid="{00000000-0005-0000-0000-0000CA360000}"/>
    <cellStyle name="Normal 47 3 4 2" xfId="9947" xr:uid="{00000000-0005-0000-0000-0000CB360000}"/>
    <cellStyle name="Normal 47 3 4 2 2" xfId="18697" xr:uid="{00000000-0005-0000-0000-0000CC360000}"/>
    <cellStyle name="Normal 47 3 4 3" xfId="8345" xr:uid="{00000000-0005-0000-0000-0000CD360000}"/>
    <cellStyle name="Normal 47 3 4 3 2" xfId="17098" xr:uid="{00000000-0005-0000-0000-0000CE360000}"/>
    <cellStyle name="Normal 47 3 4 4" xfId="11557" xr:uid="{00000000-0005-0000-0000-0000CF360000}"/>
    <cellStyle name="Normal 47 3 4 4 2" xfId="20244" xr:uid="{00000000-0005-0000-0000-0000D0360000}"/>
    <cellStyle name="Normal 47 3 4 5" xfId="13164" xr:uid="{00000000-0005-0000-0000-0000D1360000}"/>
    <cellStyle name="Normal 47 3 4 5 2" xfId="21844" xr:uid="{00000000-0005-0000-0000-0000D2360000}"/>
    <cellStyle name="Normal 47 3 4 6" xfId="15338" xr:uid="{00000000-0005-0000-0000-0000D3360000}"/>
    <cellStyle name="Normal 47 3 5" xfId="9944" xr:uid="{00000000-0005-0000-0000-0000D4360000}"/>
    <cellStyle name="Normal 47 3 5 2" xfId="18694" xr:uid="{00000000-0005-0000-0000-0000D5360000}"/>
    <cellStyle name="Normal 47 3 6" xfId="8342" xr:uid="{00000000-0005-0000-0000-0000D6360000}"/>
    <cellStyle name="Normal 47 3 6 2" xfId="17095" xr:uid="{00000000-0005-0000-0000-0000D7360000}"/>
    <cellStyle name="Normal 47 3 7" xfId="11554" xr:uid="{00000000-0005-0000-0000-0000D8360000}"/>
    <cellStyle name="Normal 47 3 7 2" xfId="20241" xr:uid="{00000000-0005-0000-0000-0000D9360000}"/>
    <cellStyle name="Normal 47 3 8" xfId="13161" xr:uid="{00000000-0005-0000-0000-0000DA360000}"/>
    <cellStyle name="Normal 47 3 8 2" xfId="21841" xr:uid="{00000000-0005-0000-0000-0000DB360000}"/>
    <cellStyle name="Normal 47 3 9" xfId="15335" xr:uid="{00000000-0005-0000-0000-0000DC360000}"/>
    <cellStyle name="Normal 47 4" xfId="3265" xr:uid="{00000000-0005-0000-0000-0000DD360000}"/>
    <cellStyle name="Normal 47 4 2" xfId="9948" xr:uid="{00000000-0005-0000-0000-0000DE360000}"/>
    <cellStyle name="Normal 47 4 2 2" xfId="18698" xr:uid="{00000000-0005-0000-0000-0000DF360000}"/>
    <cellStyle name="Normal 47 4 3" xfId="8346" xr:uid="{00000000-0005-0000-0000-0000E0360000}"/>
    <cellStyle name="Normal 47 4 3 2" xfId="17099" xr:uid="{00000000-0005-0000-0000-0000E1360000}"/>
    <cellStyle name="Normal 47 4 4" xfId="11558" xr:uid="{00000000-0005-0000-0000-0000E2360000}"/>
    <cellStyle name="Normal 47 4 4 2" xfId="20245" xr:uid="{00000000-0005-0000-0000-0000E3360000}"/>
    <cellStyle name="Normal 47 4 5" xfId="13165" xr:uid="{00000000-0005-0000-0000-0000E4360000}"/>
    <cellStyle name="Normal 47 4 5 2" xfId="21845" xr:uid="{00000000-0005-0000-0000-0000E5360000}"/>
    <cellStyle name="Normal 47 4 6" xfId="15339" xr:uid="{00000000-0005-0000-0000-0000E6360000}"/>
    <cellStyle name="Normal 47 5" xfId="3266" xr:uid="{00000000-0005-0000-0000-0000E7360000}"/>
    <cellStyle name="Normal 47 5 2" xfId="9949" xr:uid="{00000000-0005-0000-0000-0000E8360000}"/>
    <cellStyle name="Normal 47 5 2 2" xfId="18699" xr:uid="{00000000-0005-0000-0000-0000E9360000}"/>
    <cellStyle name="Normal 47 5 3" xfId="8347" xr:uid="{00000000-0005-0000-0000-0000EA360000}"/>
    <cellStyle name="Normal 47 5 3 2" xfId="17100" xr:uid="{00000000-0005-0000-0000-0000EB360000}"/>
    <cellStyle name="Normal 47 5 4" xfId="11559" xr:uid="{00000000-0005-0000-0000-0000EC360000}"/>
    <cellStyle name="Normal 47 5 4 2" xfId="20246" xr:uid="{00000000-0005-0000-0000-0000ED360000}"/>
    <cellStyle name="Normal 47 5 5" xfId="13166" xr:uid="{00000000-0005-0000-0000-0000EE360000}"/>
    <cellStyle name="Normal 47 5 5 2" xfId="21846" xr:uid="{00000000-0005-0000-0000-0000EF360000}"/>
    <cellStyle name="Normal 47 5 6" xfId="15340" xr:uid="{00000000-0005-0000-0000-0000F0360000}"/>
    <cellStyle name="Normal 47 6" xfId="3267" xr:uid="{00000000-0005-0000-0000-0000F1360000}"/>
    <cellStyle name="Normal 47 6 2" xfId="9950" xr:uid="{00000000-0005-0000-0000-0000F2360000}"/>
    <cellStyle name="Normal 47 6 2 2" xfId="18700" xr:uid="{00000000-0005-0000-0000-0000F3360000}"/>
    <cellStyle name="Normal 47 6 3" xfId="8348" xr:uid="{00000000-0005-0000-0000-0000F4360000}"/>
    <cellStyle name="Normal 47 6 3 2" xfId="17101" xr:uid="{00000000-0005-0000-0000-0000F5360000}"/>
    <cellStyle name="Normal 47 6 4" xfId="11560" xr:uid="{00000000-0005-0000-0000-0000F6360000}"/>
    <cellStyle name="Normal 47 6 4 2" xfId="20247" xr:uid="{00000000-0005-0000-0000-0000F7360000}"/>
    <cellStyle name="Normal 47 6 5" xfId="13167" xr:uid="{00000000-0005-0000-0000-0000F8360000}"/>
    <cellStyle name="Normal 47 6 5 2" xfId="21847" xr:uid="{00000000-0005-0000-0000-0000F9360000}"/>
    <cellStyle name="Normal 47 6 6" xfId="15341" xr:uid="{00000000-0005-0000-0000-0000FA360000}"/>
    <cellStyle name="Normal 47 7" xfId="9939" xr:uid="{00000000-0005-0000-0000-0000FB360000}"/>
    <cellStyle name="Normal 47 7 2" xfId="18689" xr:uid="{00000000-0005-0000-0000-0000FC360000}"/>
    <cellStyle name="Normal 47 8" xfId="8337" xr:uid="{00000000-0005-0000-0000-0000FD360000}"/>
    <cellStyle name="Normal 47 8 2" xfId="17090" xr:uid="{00000000-0005-0000-0000-0000FE360000}"/>
    <cellStyle name="Normal 47 9" xfId="11549" xr:uid="{00000000-0005-0000-0000-0000FF360000}"/>
    <cellStyle name="Normal 47 9 2" xfId="20236" xr:uid="{00000000-0005-0000-0000-000000370000}"/>
    <cellStyle name="Normal 471 2" xfId="4901" xr:uid="{00000000-0005-0000-0000-000001370000}"/>
    <cellStyle name="Normal 471 2 2" xfId="10449" xr:uid="{00000000-0005-0000-0000-000002370000}"/>
    <cellStyle name="Normal 471 2 2 2" xfId="19199" xr:uid="{00000000-0005-0000-0000-000003370000}"/>
    <cellStyle name="Normal 471 2 3" xfId="9035" xr:uid="{00000000-0005-0000-0000-000004370000}"/>
    <cellStyle name="Normal 471 2 3 2" xfId="17785" xr:uid="{00000000-0005-0000-0000-000005370000}"/>
    <cellStyle name="Normal 471 2 4" xfId="12240" xr:uid="{00000000-0005-0000-0000-000006370000}"/>
    <cellStyle name="Normal 471 2 4 2" xfId="20925" xr:uid="{00000000-0005-0000-0000-000007370000}"/>
    <cellStyle name="Normal 471 2 5" xfId="13849" xr:uid="{00000000-0005-0000-0000-000008370000}"/>
    <cellStyle name="Normal 471 2 5 2" xfId="22526" xr:uid="{00000000-0005-0000-0000-000009370000}"/>
    <cellStyle name="Normal 471 2 6" xfId="16042" xr:uid="{00000000-0005-0000-0000-00000A370000}"/>
    <cellStyle name="Normal 48" xfId="3268" xr:uid="{00000000-0005-0000-0000-00000B370000}"/>
    <cellStyle name="Normal 48 10" xfId="13168" xr:uid="{00000000-0005-0000-0000-00000C370000}"/>
    <cellStyle name="Normal 48 10 2" xfId="21848" xr:uid="{00000000-0005-0000-0000-00000D370000}"/>
    <cellStyle name="Normal 48 11" xfId="15342" xr:uid="{00000000-0005-0000-0000-00000E370000}"/>
    <cellStyle name="Normal 48 2" xfId="3269" xr:uid="{00000000-0005-0000-0000-00000F370000}"/>
    <cellStyle name="Normal 48 2 2" xfId="3270" xr:uid="{00000000-0005-0000-0000-000010370000}"/>
    <cellStyle name="Normal 48 2 2 2" xfId="9953" xr:uid="{00000000-0005-0000-0000-000011370000}"/>
    <cellStyle name="Normal 48 2 2 2 2" xfId="18703" xr:uid="{00000000-0005-0000-0000-000012370000}"/>
    <cellStyle name="Normal 48 2 2 3" xfId="8351" xr:uid="{00000000-0005-0000-0000-000013370000}"/>
    <cellStyle name="Normal 48 2 2 3 2" xfId="17104" xr:uid="{00000000-0005-0000-0000-000014370000}"/>
    <cellStyle name="Normal 48 2 2 4" xfId="11563" xr:uid="{00000000-0005-0000-0000-000015370000}"/>
    <cellStyle name="Normal 48 2 2 4 2" xfId="20250" xr:uid="{00000000-0005-0000-0000-000016370000}"/>
    <cellStyle name="Normal 48 2 2 5" xfId="13170" xr:uid="{00000000-0005-0000-0000-000017370000}"/>
    <cellStyle name="Normal 48 2 2 5 2" xfId="21850" xr:uid="{00000000-0005-0000-0000-000018370000}"/>
    <cellStyle name="Normal 48 2 2 6" xfId="15344" xr:uid="{00000000-0005-0000-0000-000019370000}"/>
    <cellStyle name="Normal 48 2 3" xfId="3271" xr:uid="{00000000-0005-0000-0000-00001A370000}"/>
    <cellStyle name="Normal 48 2 3 2" xfId="9954" xr:uid="{00000000-0005-0000-0000-00001B370000}"/>
    <cellStyle name="Normal 48 2 3 2 2" xfId="18704" xr:uid="{00000000-0005-0000-0000-00001C370000}"/>
    <cellStyle name="Normal 48 2 3 3" xfId="8352" xr:uid="{00000000-0005-0000-0000-00001D370000}"/>
    <cellStyle name="Normal 48 2 3 3 2" xfId="17105" xr:uid="{00000000-0005-0000-0000-00001E370000}"/>
    <cellStyle name="Normal 48 2 3 4" xfId="11564" xr:uid="{00000000-0005-0000-0000-00001F370000}"/>
    <cellStyle name="Normal 48 2 3 4 2" xfId="20251" xr:uid="{00000000-0005-0000-0000-000020370000}"/>
    <cellStyle name="Normal 48 2 3 5" xfId="13171" xr:uid="{00000000-0005-0000-0000-000021370000}"/>
    <cellStyle name="Normal 48 2 3 5 2" xfId="21851" xr:uid="{00000000-0005-0000-0000-000022370000}"/>
    <cellStyle name="Normal 48 2 3 6" xfId="15345" xr:uid="{00000000-0005-0000-0000-000023370000}"/>
    <cellStyle name="Normal 48 2 4" xfId="3272" xr:uid="{00000000-0005-0000-0000-000024370000}"/>
    <cellStyle name="Normal 48 2 4 2" xfId="9955" xr:uid="{00000000-0005-0000-0000-000025370000}"/>
    <cellStyle name="Normal 48 2 4 2 2" xfId="18705" xr:uid="{00000000-0005-0000-0000-000026370000}"/>
    <cellStyle name="Normal 48 2 4 3" xfId="8353" xr:uid="{00000000-0005-0000-0000-000027370000}"/>
    <cellStyle name="Normal 48 2 4 3 2" xfId="17106" xr:uid="{00000000-0005-0000-0000-000028370000}"/>
    <cellStyle name="Normal 48 2 4 4" xfId="11565" xr:uid="{00000000-0005-0000-0000-000029370000}"/>
    <cellStyle name="Normal 48 2 4 4 2" xfId="20252" xr:uid="{00000000-0005-0000-0000-00002A370000}"/>
    <cellStyle name="Normal 48 2 4 5" xfId="13172" xr:uid="{00000000-0005-0000-0000-00002B370000}"/>
    <cellStyle name="Normal 48 2 4 5 2" xfId="21852" xr:uid="{00000000-0005-0000-0000-00002C370000}"/>
    <cellStyle name="Normal 48 2 4 6" xfId="15346" xr:uid="{00000000-0005-0000-0000-00002D370000}"/>
    <cellStyle name="Normal 48 2 5" xfId="9952" xr:uid="{00000000-0005-0000-0000-00002E370000}"/>
    <cellStyle name="Normal 48 2 5 2" xfId="18702" xr:uid="{00000000-0005-0000-0000-00002F370000}"/>
    <cellStyle name="Normal 48 2 6" xfId="8350" xr:uid="{00000000-0005-0000-0000-000030370000}"/>
    <cellStyle name="Normal 48 2 6 2" xfId="17103" xr:uid="{00000000-0005-0000-0000-000031370000}"/>
    <cellStyle name="Normal 48 2 7" xfId="11562" xr:uid="{00000000-0005-0000-0000-000032370000}"/>
    <cellStyle name="Normal 48 2 7 2" xfId="20249" xr:uid="{00000000-0005-0000-0000-000033370000}"/>
    <cellStyle name="Normal 48 2 8" xfId="13169" xr:uid="{00000000-0005-0000-0000-000034370000}"/>
    <cellStyle name="Normal 48 2 8 2" xfId="21849" xr:uid="{00000000-0005-0000-0000-000035370000}"/>
    <cellStyle name="Normal 48 2 9" xfId="15343" xr:uid="{00000000-0005-0000-0000-000036370000}"/>
    <cellStyle name="Normal 48 3" xfId="3273" xr:uid="{00000000-0005-0000-0000-000037370000}"/>
    <cellStyle name="Normal 48 3 2" xfId="3274" xr:uid="{00000000-0005-0000-0000-000038370000}"/>
    <cellStyle name="Normal 48 3 2 2" xfId="9957" xr:uid="{00000000-0005-0000-0000-000039370000}"/>
    <cellStyle name="Normal 48 3 2 2 2" xfId="18707" xr:uid="{00000000-0005-0000-0000-00003A370000}"/>
    <cellStyle name="Normal 48 3 2 3" xfId="8355" xr:uid="{00000000-0005-0000-0000-00003B370000}"/>
    <cellStyle name="Normal 48 3 2 3 2" xfId="17108" xr:uid="{00000000-0005-0000-0000-00003C370000}"/>
    <cellStyle name="Normal 48 3 2 4" xfId="11567" xr:uid="{00000000-0005-0000-0000-00003D370000}"/>
    <cellStyle name="Normal 48 3 2 4 2" xfId="20254" xr:uid="{00000000-0005-0000-0000-00003E370000}"/>
    <cellStyle name="Normal 48 3 2 5" xfId="13174" xr:uid="{00000000-0005-0000-0000-00003F370000}"/>
    <cellStyle name="Normal 48 3 2 5 2" xfId="21854" xr:uid="{00000000-0005-0000-0000-000040370000}"/>
    <cellStyle name="Normal 48 3 2 6" xfId="15348" xr:uid="{00000000-0005-0000-0000-000041370000}"/>
    <cellStyle name="Normal 48 3 3" xfId="3275" xr:uid="{00000000-0005-0000-0000-000042370000}"/>
    <cellStyle name="Normal 48 3 3 2" xfId="9958" xr:uid="{00000000-0005-0000-0000-000043370000}"/>
    <cellStyle name="Normal 48 3 3 2 2" xfId="18708" xr:uid="{00000000-0005-0000-0000-000044370000}"/>
    <cellStyle name="Normal 48 3 3 3" xfId="8356" xr:uid="{00000000-0005-0000-0000-000045370000}"/>
    <cellStyle name="Normal 48 3 3 3 2" xfId="17109" xr:uid="{00000000-0005-0000-0000-000046370000}"/>
    <cellStyle name="Normal 48 3 3 4" xfId="11568" xr:uid="{00000000-0005-0000-0000-000047370000}"/>
    <cellStyle name="Normal 48 3 3 4 2" xfId="20255" xr:uid="{00000000-0005-0000-0000-000048370000}"/>
    <cellStyle name="Normal 48 3 3 5" xfId="13175" xr:uid="{00000000-0005-0000-0000-000049370000}"/>
    <cellStyle name="Normal 48 3 3 5 2" xfId="21855" xr:uid="{00000000-0005-0000-0000-00004A370000}"/>
    <cellStyle name="Normal 48 3 3 6" xfId="15349" xr:uid="{00000000-0005-0000-0000-00004B370000}"/>
    <cellStyle name="Normal 48 3 4" xfId="3276" xr:uid="{00000000-0005-0000-0000-00004C370000}"/>
    <cellStyle name="Normal 48 3 4 2" xfId="9959" xr:uid="{00000000-0005-0000-0000-00004D370000}"/>
    <cellStyle name="Normal 48 3 4 2 2" xfId="18709" xr:uid="{00000000-0005-0000-0000-00004E370000}"/>
    <cellStyle name="Normal 48 3 4 3" xfId="8357" xr:uid="{00000000-0005-0000-0000-00004F370000}"/>
    <cellStyle name="Normal 48 3 4 3 2" xfId="17110" xr:uid="{00000000-0005-0000-0000-000050370000}"/>
    <cellStyle name="Normal 48 3 4 4" xfId="11569" xr:uid="{00000000-0005-0000-0000-000051370000}"/>
    <cellStyle name="Normal 48 3 4 4 2" xfId="20256" xr:uid="{00000000-0005-0000-0000-000052370000}"/>
    <cellStyle name="Normal 48 3 4 5" xfId="13176" xr:uid="{00000000-0005-0000-0000-000053370000}"/>
    <cellStyle name="Normal 48 3 4 5 2" xfId="21856" xr:uid="{00000000-0005-0000-0000-000054370000}"/>
    <cellStyle name="Normal 48 3 4 6" xfId="15350" xr:uid="{00000000-0005-0000-0000-000055370000}"/>
    <cellStyle name="Normal 48 3 5" xfId="9956" xr:uid="{00000000-0005-0000-0000-000056370000}"/>
    <cellStyle name="Normal 48 3 5 2" xfId="18706" xr:uid="{00000000-0005-0000-0000-000057370000}"/>
    <cellStyle name="Normal 48 3 6" xfId="8354" xr:uid="{00000000-0005-0000-0000-000058370000}"/>
    <cellStyle name="Normal 48 3 6 2" xfId="17107" xr:uid="{00000000-0005-0000-0000-000059370000}"/>
    <cellStyle name="Normal 48 3 7" xfId="11566" xr:uid="{00000000-0005-0000-0000-00005A370000}"/>
    <cellStyle name="Normal 48 3 7 2" xfId="20253" xr:uid="{00000000-0005-0000-0000-00005B370000}"/>
    <cellStyle name="Normal 48 3 8" xfId="13173" xr:uid="{00000000-0005-0000-0000-00005C370000}"/>
    <cellStyle name="Normal 48 3 8 2" xfId="21853" xr:uid="{00000000-0005-0000-0000-00005D370000}"/>
    <cellStyle name="Normal 48 3 9" xfId="15347" xr:uid="{00000000-0005-0000-0000-00005E370000}"/>
    <cellStyle name="Normal 48 4" xfId="3277" xr:uid="{00000000-0005-0000-0000-00005F370000}"/>
    <cellStyle name="Normal 48 4 2" xfId="9960" xr:uid="{00000000-0005-0000-0000-000060370000}"/>
    <cellStyle name="Normal 48 4 2 2" xfId="18710" xr:uid="{00000000-0005-0000-0000-000061370000}"/>
    <cellStyle name="Normal 48 4 3" xfId="8358" xr:uid="{00000000-0005-0000-0000-000062370000}"/>
    <cellStyle name="Normal 48 4 3 2" xfId="17111" xr:uid="{00000000-0005-0000-0000-000063370000}"/>
    <cellStyle name="Normal 48 4 4" xfId="11570" xr:uid="{00000000-0005-0000-0000-000064370000}"/>
    <cellStyle name="Normal 48 4 4 2" xfId="20257" xr:uid="{00000000-0005-0000-0000-000065370000}"/>
    <cellStyle name="Normal 48 4 5" xfId="13177" xr:uid="{00000000-0005-0000-0000-000066370000}"/>
    <cellStyle name="Normal 48 4 5 2" xfId="21857" xr:uid="{00000000-0005-0000-0000-000067370000}"/>
    <cellStyle name="Normal 48 4 6" xfId="15351" xr:uid="{00000000-0005-0000-0000-000068370000}"/>
    <cellStyle name="Normal 48 5" xfId="3278" xr:uid="{00000000-0005-0000-0000-000069370000}"/>
    <cellStyle name="Normal 48 5 2" xfId="9961" xr:uid="{00000000-0005-0000-0000-00006A370000}"/>
    <cellStyle name="Normal 48 5 2 2" xfId="18711" xr:uid="{00000000-0005-0000-0000-00006B370000}"/>
    <cellStyle name="Normal 48 5 3" xfId="8359" xr:uid="{00000000-0005-0000-0000-00006C370000}"/>
    <cellStyle name="Normal 48 5 3 2" xfId="17112" xr:uid="{00000000-0005-0000-0000-00006D370000}"/>
    <cellStyle name="Normal 48 5 4" xfId="11571" xr:uid="{00000000-0005-0000-0000-00006E370000}"/>
    <cellStyle name="Normal 48 5 4 2" xfId="20258" xr:uid="{00000000-0005-0000-0000-00006F370000}"/>
    <cellStyle name="Normal 48 5 5" xfId="13178" xr:uid="{00000000-0005-0000-0000-000070370000}"/>
    <cellStyle name="Normal 48 5 5 2" xfId="21858" xr:uid="{00000000-0005-0000-0000-000071370000}"/>
    <cellStyle name="Normal 48 5 6" xfId="15352" xr:uid="{00000000-0005-0000-0000-000072370000}"/>
    <cellStyle name="Normal 48 6" xfId="3279" xr:uid="{00000000-0005-0000-0000-000073370000}"/>
    <cellStyle name="Normal 48 6 2" xfId="9962" xr:uid="{00000000-0005-0000-0000-000074370000}"/>
    <cellStyle name="Normal 48 6 2 2" xfId="18712" xr:uid="{00000000-0005-0000-0000-000075370000}"/>
    <cellStyle name="Normal 48 6 3" xfId="8360" xr:uid="{00000000-0005-0000-0000-000076370000}"/>
    <cellStyle name="Normal 48 6 3 2" xfId="17113" xr:uid="{00000000-0005-0000-0000-000077370000}"/>
    <cellStyle name="Normal 48 6 4" xfId="11572" xr:uid="{00000000-0005-0000-0000-000078370000}"/>
    <cellStyle name="Normal 48 6 4 2" xfId="20259" xr:uid="{00000000-0005-0000-0000-000079370000}"/>
    <cellStyle name="Normal 48 6 5" xfId="13179" xr:uid="{00000000-0005-0000-0000-00007A370000}"/>
    <cellStyle name="Normal 48 6 5 2" xfId="21859" xr:uid="{00000000-0005-0000-0000-00007B370000}"/>
    <cellStyle name="Normal 48 6 6" xfId="15353" xr:uid="{00000000-0005-0000-0000-00007C370000}"/>
    <cellStyle name="Normal 48 7" xfId="9951" xr:uid="{00000000-0005-0000-0000-00007D370000}"/>
    <cellStyle name="Normal 48 7 2" xfId="18701" xr:uid="{00000000-0005-0000-0000-00007E370000}"/>
    <cellStyle name="Normal 48 8" xfId="8349" xr:uid="{00000000-0005-0000-0000-00007F370000}"/>
    <cellStyle name="Normal 48 8 2" xfId="17102" xr:uid="{00000000-0005-0000-0000-000080370000}"/>
    <cellStyle name="Normal 48 9" xfId="11561" xr:uid="{00000000-0005-0000-0000-000081370000}"/>
    <cellStyle name="Normal 48 9 2" xfId="20248" xr:uid="{00000000-0005-0000-0000-000082370000}"/>
    <cellStyle name="Normal 49" xfId="3280" xr:uid="{00000000-0005-0000-0000-000083370000}"/>
    <cellStyle name="Normal 49 10" xfId="13180" xr:uid="{00000000-0005-0000-0000-000084370000}"/>
    <cellStyle name="Normal 49 10 2" xfId="21860" xr:uid="{00000000-0005-0000-0000-000085370000}"/>
    <cellStyle name="Normal 49 11" xfId="15354" xr:uid="{00000000-0005-0000-0000-000086370000}"/>
    <cellStyle name="Normal 49 2" xfId="3281" xr:uid="{00000000-0005-0000-0000-000087370000}"/>
    <cellStyle name="Normal 49 2 2" xfId="3282" xr:uid="{00000000-0005-0000-0000-000088370000}"/>
    <cellStyle name="Normal 49 2 2 2" xfId="9965" xr:uid="{00000000-0005-0000-0000-000089370000}"/>
    <cellStyle name="Normal 49 2 2 2 2" xfId="18715" xr:uid="{00000000-0005-0000-0000-00008A370000}"/>
    <cellStyle name="Normal 49 2 2 3" xfId="8363" xr:uid="{00000000-0005-0000-0000-00008B370000}"/>
    <cellStyle name="Normal 49 2 2 3 2" xfId="17116" xr:uid="{00000000-0005-0000-0000-00008C370000}"/>
    <cellStyle name="Normal 49 2 2 4" xfId="11575" xr:uid="{00000000-0005-0000-0000-00008D370000}"/>
    <cellStyle name="Normal 49 2 2 4 2" xfId="20262" xr:uid="{00000000-0005-0000-0000-00008E370000}"/>
    <cellStyle name="Normal 49 2 2 5" xfId="13182" xr:uid="{00000000-0005-0000-0000-00008F370000}"/>
    <cellStyle name="Normal 49 2 2 5 2" xfId="21862" xr:uid="{00000000-0005-0000-0000-000090370000}"/>
    <cellStyle name="Normal 49 2 2 6" xfId="15356" xr:uid="{00000000-0005-0000-0000-000091370000}"/>
    <cellStyle name="Normal 49 2 3" xfId="3283" xr:uid="{00000000-0005-0000-0000-000092370000}"/>
    <cellStyle name="Normal 49 2 3 2" xfId="9966" xr:uid="{00000000-0005-0000-0000-000093370000}"/>
    <cellStyle name="Normal 49 2 3 2 2" xfId="18716" xr:uid="{00000000-0005-0000-0000-000094370000}"/>
    <cellStyle name="Normal 49 2 3 3" xfId="8364" xr:uid="{00000000-0005-0000-0000-000095370000}"/>
    <cellStyle name="Normal 49 2 3 3 2" xfId="17117" xr:uid="{00000000-0005-0000-0000-000096370000}"/>
    <cellStyle name="Normal 49 2 3 4" xfId="11576" xr:uid="{00000000-0005-0000-0000-000097370000}"/>
    <cellStyle name="Normal 49 2 3 4 2" xfId="20263" xr:uid="{00000000-0005-0000-0000-000098370000}"/>
    <cellStyle name="Normal 49 2 3 5" xfId="13183" xr:uid="{00000000-0005-0000-0000-000099370000}"/>
    <cellStyle name="Normal 49 2 3 5 2" xfId="21863" xr:uid="{00000000-0005-0000-0000-00009A370000}"/>
    <cellStyle name="Normal 49 2 3 6" xfId="15357" xr:uid="{00000000-0005-0000-0000-00009B370000}"/>
    <cellStyle name="Normal 49 2 4" xfId="3284" xr:uid="{00000000-0005-0000-0000-00009C370000}"/>
    <cellStyle name="Normal 49 2 4 2" xfId="9967" xr:uid="{00000000-0005-0000-0000-00009D370000}"/>
    <cellStyle name="Normal 49 2 4 2 2" xfId="18717" xr:uid="{00000000-0005-0000-0000-00009E370000}"/>
    <cellStyle name="Normal 49 2 4 3" xfId="8365" xr:uid="{00000000-0005-0000-0000-00009F370000}"/>
    <cellStyle name="Normal 49 2 4 3 2" xfId="17118" xr:uid="{00000000-0005-0000-0000-0000A0370000}"/>
    <cellStyle name="Normal 49 2 4 4" xfId="11577" xr:uid="{00000000-0005-0000-0000-0000A1370000}"/>
    <cellStyle name="Normal 49 2 4 4 2" xfId="20264" xr:uid="{00000000-0005-0000-0000-0000A2370000}"/>
    <cellStyle name="Normal 49 2 4 5" xfId="13184" xr:uid="{00000000-0005-0000-0000-0000A3370000}"/>
    <cellStyle name="Normal 49 2 4 5 2" xfId="21864" xr:uid="{00000000-0005-0000-0000-0000A4370000}"/>
    <cellStyle name="Normal 49 2 4 6" xfId="15358" xr:uid="{00000000-0005-0000-0000-0000A5370000}"/>
    <cellStyle name="Normal 49 2 5" xfId="9964" xr:uid="{00000000-0005-0000-0000-0000A6370000}"/>
    <cellStyle name="Normal 49 2 5 2" xfId="18714" xr:uid="{00000000-0005-0000-0000-0000A7370000}"/>
    <cellStyle name="Normal 49 2 6" xfId="8362" xr:uid="{00000000-0005-0000-0000-0000A8370000}"/>
    <cellStyle name="Normal 49 2 6 2" xfId="17115" xr:uid="{00000000-0005-0000-0000-0000A9370000}"/>
    <cellStyle name="Normal 49 2 7" xfId="11574" xr:uid="{00000000-0005-0000-0000-0000AA370000}"/>
    <cellStyle name="Normal 49 2 7 2" xfId="20261" xr:uid="{00000000-0005-0000-0000-0000AB370000}"/>
    <cellStyle name="Normal 49 2 8" xfId="13181" xr:uid="{00000000-0005-0000-0000-0000AC370000}"/>
    <cellStyle name="Normal 49 2 8 2" xfId="21861" xr:uid="{00000000-0005-0000-0000-0000AD370000}"/>
    <cellStyle name="Normal 49 2 9" xfId="15355" xr:uid="{00000000-0005-0000-0000-0000AE370000}"/>
    <cellStyle name="Normal 49 3" xfId="3285" xr:uid="{00000000-0005-0000-0000-0000AF370000}"/>
    <cellStyle name="Normal 49 3 2" xfId="3286" xr:uid="{00000000-0005-0000-0000-0000B0370000}"/>
    <cellStyle name="Normal 49 3 2 2" xfId="9969" xr:uid="{00000000-0005-0000-0000-0000B1370000}"/>
    <cellStyle name="Normal 49 3 2 2 2" xfId="18719" xr:uid="{00000000-0005-0000-0000-0000B2370000}"/>
    <cellStyle name="Normal 49 3 2 3" xfId="8367" xr:uid="{00000000-0005-0000-0000-0000B3370000}"/>
    <cellStyle name="Normal 49 3 2 3 2" xfId="17120" xr:uid="{00000000-0005-0000-0000-0000B4370000}"/>
    <cellStyle name="Normal 49 3 2 4" xfId="11579" xr:uid="{00000000-0005-0000-0000-0000B5370000}"/>
    <cellStyle name="Normal 49 3 2 4 2" xfId="20266" xr:uid="{00000000-0005-0000-0000-0000B6370000}"/>
    <cellStyle name="Normal 49 3 2 5" xfId="13186" xr:uid="{00000000-0005-0000-0000-0000B7370000}"/>
    <cellStyle name="Normal 49 3 2 5 2" xfId="21866" xr:uid="{00000000-0005-0000-0000-0000B8370000}"/>
    <cellStyle name="Normal 49 3 2 6" xfId="15360" xr:uid="{00000000-0005-0000-0000-0000B9370000}"/>
    <cellStyle name="Normal 49 3 3" xfId="3287" xr:uid="{00000000-0005-0000-0000-0000BA370000}"/>
    <cellStyle name="Normal 49 3 3 2" xfId="9970" xr:uid="{00000000-0005-0000-0000-0000BB370000}"/>
    <cellStyle name="Normal 49 3 3 2 2" xfId="18720" xr:uid="{00000000-0005-0000-0000-0000BC370000}"/>
    <cellStyle name="Normal 49 3 3 3" xfId="8368" xr:uid="{00000000-0005-0000-0000-0000BD370000}"/>
    <cellStyle name="Normal 49 3 3 3 2" xfId="17121" xr:uid="{00000000-0005-0000-0000-0000BE370000}"/>
    <cellStyle name="Normal 49 3 3 4" xfId="11580" xr:uid="{00000000-0005-0000-0000-0000BF370000}"/>
    <cellStyle name="Normal 49 3 3 4 2" xfId="20267" xr:uid="{00000000-0005-0000-0000-0000C0370000}"/>
    <cellStyle name="Normal 49 3 3 5" xfId="13187" xr:uid="{00000000-0005-0000-0000-0000C1370000}"/>
    <cellStyle name="Normal 49 3 3 5 2" xfId="21867" xr:uid="{00000000-0005-0000-0000-0000C2370000}"/>
    <cellStyle name="Normal 49 3 3 6" xfId="15361" xr:uid="{00000000-0005-0000-0000-0000C3370000}"/>
    <cellStyle name="Normal 49 3 4" xfId="3288" xr:uid="{00000000-0005-0000-0000-0000C4370000}"/>
    <cellStyle name="Normal 49 3 4 2" xfId="9971" xr:uid="{00000000-0005-0000-0000-0000C5370000}"/>
    <cellStyle name="Normal 49 3 4 2 2" xfId="18721" xr:uid="{00000000-0005-0000-0000-0000C6370000}"/>
    <cellStyle name="Normal 49 3 4 3" xfId="8369" xr:uid="{00000000-0005-0000-0000-0000C7370000}"/>
    <cellStyle name="Normal 49 3 4 3 2" xfId="17122" xr:uid="{00000000-0005-0000-0000-0000C8370000}"/>
    <cellStyle name="Normal 49 3 4 4" xfId="11581" xr:uid="{00000000-0005-0000-0000-0000C9370000}"/>
    <cellStyle name="Normal 49 3 4 4 2" xfId="20268" xr:uid="{00000000-0005-0000-0000-0000CA370000}"/>
    <cellStyle name="Normal 49 3 4 5" xfId="13188" xr:uid="{00000000-0005-0000-0000-0000CB370000}"/>
    <cellStyle name="Normal 49 3 4 5 2" xfId="21868" xr:uid="{00000000-0005-0000-0000-0000CC370000}"/>
    <cellStyle name="Normal 49 3 4 6" xfId="15362" xr:uid="{00000000-0005-0000-0000-0000CD370000}"/>
    <cellStyle name="Normal 49 3 5" xfId="9968" xr:uid="{00000000-0005-0000-0000-0000CE370000}"/>
    <cellStyle name="Normal 49 3 5 2" xfId="18718" xr:uid="{00000000-0005-0000-0000-0000CF370000}"/>
    <cellStyle name="Normal 49 3 6" xfId="8366" xr:uid="{00000000-0005-0000-0000-0000D0370000}"/>
    <cellStyle name="Normal 49 3 6 2" xfId="17119" xr:uid="{00000000-0005-0000-0000-0000D1370000}"/>
    <cellStyle name="Normal 49 3 7" xfId="11578" xr:uid="{00000000-0005-0000-0000-0000D2370000}"/>
    <cellStyle name="Normal 49 3 7 2" xfId="20265" xr:uid="{00000000-0005-0000-0000-0000D3370000}"/>
    <cellStyle name="Normal 49 3 8" xfId="13185" xr:uid="{00000000-0005-0000-0000-0000D4370000}"/>
    <cellStyle name="Normal 49 3 8 2" xfId="21865" xr:uid="{00000000-0005-0000-0000-0000D5370000}"/>
    <cellStyle name="Normal 49 3 9" xfId="15359" xr:uid="{00000000-0005-0000-0000-0000D6370000}"/>
    <cellStyle name="Normal 49 4" xfId="3289" xr:uid="{00000000-0005-0000-0000-0000D7370000}"/>
    <cellStyle name="Normal 49 4 2" xfId="9972" xr:uid="{00000000-0005-0000-0000-0000D8370000}"/>
    <cellStyle name="Normal 49 4 2 2" xfId="18722" xr:uid="{00000000-0005-0000-0000-0000D9370000}"/>
    <cellStyle name="Normal 49 4 3" xfId="8370" xr:uid="{00000000-0005-0000-0000-0000DA370000}"/>
    <cellStyle name="Normal 49 4 3 2" xfId="17123" xr:uid="{00000000-0005-0000-0000-0000DB370000}"/>
    <cellStyle name="Normal 49 4 4" xfId="11582" xr:uid="{00000000-0005-0000-0000-0000DC370000}"/>
    <cellStyle name="Normal 49 4 4 2" xfId="20269" xr:uid="{00000000-0005-0000-0000-0000DD370000}"/>
    <cellStyle name="Normal 49 4 5" xfId="13189" xr:uid="{00000000-0005-0000-0000-0000DE370000}"/>
    <cellStyle name="Normal 49 4 5 2" xfId="21869" xr:uid="{00000000-0005-0000-0000-0000DF370000}"/>
    <cellStyle name="Normal 49 4 6" xfId="15363" xr:uid="{00000000-0005-0000-0000-0000E0370000}"/>
    <cellStyle name="Normal 49 5" xfId="3290" xr:uid="{00000000-0005-0000-0000-0000E1370000}"/>
    <cellStyle name="Normal 49 5 2" xfId="9973" xr:uid="{00000000-0005-0000-0000-0000E2370000}"/>
    <cellStyle name="Normal 49 5 2 2" xfId="18723" xr:uid="{00000000-0005-0000-0000-0000E3370000}"/>
    <cellStyle name="Normal 49 5 3" xfId="8371" xr:uid="{00000000-0005-0000-0000-0000E4370000}"/>
    <cellStyle name="Normal 49 5 3 2" xfId="17124" xr:uid="{00000000-0005-0000-0000-0000E5370000}"/>
    <cellStyle name="Normal 49 5 4" xfId="11583" xr:uid="{00000000-0005-0000-0000-0000E6370000}"/>
    <cellStyle name="Normal 49 5 4 2" xfId="20270" xr:uid="{00000000-0005-0000-0000-0000E7370000}"/>
    <cellStyle name="Normal 49 5 5" xfId="13190" xr:uid="{00000000-0005-0000-0000-0000E8370000}"/>
    <cellStyle name="Normal 49 5 5 2" xfId="21870" xr:uid="{00000000-0005-0000-0000-0000E9370000}"/>
    <cellStyle name="Normal 49 5 6" xfId="15364" xr:uid="{00000000-0005-0000-0000-0000EA370000}"/>
    <cellStyle name="Normal 49 6" xfId="3291" xr:uid="{00000000-0005-0000-0000-0000EB370000}"/>
    <cellStyle name="Normal 49 6 2" xfId="9974" xr:uid="{00000000-0005-0000-0000-0000EC370000}"/>
    <cellStyle name="Normal 49 6 2 2" xfId="18724" xr:uid="{00000000-0005-0000-0000-0000ED370000}"/>
    <cellStyle name="Normal 49 6 3" xfId="8372" xr:uid="{00000000-0005-0000-0000-0000EE370000}"/>
    <cellStyle name="Normal 49 6 3 2" xfId="17125" xr:uid="{00000000-0005-0000-0000-0000EF370000}"/>
    <cellStyle name="Normal 49 6 4" xfId="11584" xr:uid="{00000000-0005-0000-0000-0000F0370000}"/>
    <cellStyle name="Normal 49 6 4 2" xfId="20271" xr:uid="{00000000-0005-0000-0000-0000F1370000}"/>
    <cellStyle name="Normal 49 6 5" xfId="13191" xr:uid="{00000000-0005-0000-0000-0000F2370000}"/>
    <cellStyle name="Normal 49 6 5 2" xfId="21871" xr:uid="{00000000-0005-0000-0000-0000F3370000}"/>
    <cellStyle name="Normal 49 6 6" xfId="15365" xr:uid="{00000000-0005-0000-0000-0000F4370000}"/>
    <cellStyle name="Normal 49 7" xfId="9963" xr:uid="{00000000-0005-0000-0000-0000F5370000}"/>
    <cellStyle name="Normal 49 7 2" xfId="18713" xr:uid="{00000000-0005-0000-0000-0000F6370000}"/>
    <cellStyle name="Normal 49 8" xfId="8361" xr:uid="{00000000-0005-0000-0000-0000F7370000}"/>
    <cellStyle name="Normal 49 8 2" xfId="17114" xr:uid="{00000000-0005-0000-0000-0000F8370000}"/>
    <cellStyle name="Normal 49 9" xfId="11573" xr:uid="{00000000-0005-0000-0000-0000F9370000}"/>
    <cellStyle name="Normal 49 9 2" xfId="20260" xr:uid="{00000000-0005-0000-0000-0000FA370000}"/>
    <cellStyle name="Normal 5" xfId="118" xr:uid="{00000000-0005-0000-0000-0000FB370000}"/>
    <cellStyle name="Normal 5 2" xfId="134" xr:uid="{00000000-0005-0000-0000-0000FC370000}"/>
    <cellStyle name="Normal 5 2 10" xfId="3293" xr:uid="{00000000-0005-0000-0000-0000FD370000}"/>
    <cellStyle name="Normal 5 2 10 2" xfId="9975" xr:uid="{00000000-0005-0000-0000-0000FE370000}"/>
    <cellStyle name="Normal 5 2 10 2 2" xfId="18725" xr:uid="{00000000-0005-0000-0000-0000FF370000}"/>
    <cellStyle name="Normal 5 2 10 3" xfId="11585" xr:uid="{00000000-0005-0000-0000-000000380000}"/>
    <cellStyle name="Normal 5 2 10 3 2" xfId="20272" xr:uid="{00000000-0005-0000-0000-000001380000}"/>
    <cellStyle name="Normal 5 2 10 4" xfId="15366" xr:uid="{00000000-0005-0000-0000-000002380000}"/>
    <cellStyle name="Normal 5 2 11" xfId="8373" xr:uid="{00000000-0005-0000-0000-000003380000}"/>
    <cellStyle name="Normal 5 2 11 2" xfId="17126" xr:uid="{00000000-0005-0000-0000-000004380000}"/>
    <cellStyle name="Normal 5 2 12" xfId="13192" xr:uid="{00000000-0005-0000-0000-000005380000}"/>
    <cellStyle name="Normal 5 2 12 2" xfId="21872" xr:uid="{00000000-0005-0000-0000-000006380000}"/>
    <cellStyle name="Normal 5 2 2" xfId="3294" xr:uid="{00000000-0005-0000-0000-000007380000}"/>
    <cellStyle name="Normal 5 2 2 2" xfId="3295" xr:uid="{00000000-0005-0000-0000-000008380000}"/>
    <cellStyle name="Normal 5 2 2 2 2" xfId="9977" xr:uid="{00000000-0005-0000-0000-000009380000}"/>
    <cellStyle name="Normal 5 2 2 2 2 2" xfId="18727" xr:uid="{00000000-0005-0000-0000-00000A380000}"/>
    <cellStyle name="Normal 5 2 2 2 3" xfId="8375" xr:uid="{00000000-0005-0000-0000-00000B380000}"/>
    <cellStyle name="Normal 5 2 2 2 3 2" xfId="17128" xr:uid="{00000000-0005-0000-0000-00000C380000}"/>
    <cellStyle name="Normal 5 2 2 2 4" xfId="11587" xr:uid="{00000000-0005-0000-0000-00000D380000}"/>
    <cellStyle name="Normal 5 2 2 2 4 2" xfId="20274" xr:uid="{00000000-0005-0000-0000-00000E380000}"/>
    <cellStyle name="Normal 5 2 2 2 5" xfId="13194" xr:uid="{00000000-0005-0000-0000-00000F380000}"/>
    <cellStyle name="Normal 5 2 2 2 5 2" xfId="21874" xr:uid="{00000000-0005-0000-0000-000010380000}"/>
    <cellStyle name="Normal 5 2 2 2 6" xfId="15368" xr:uid="{00000000-0005-0000-0000-000011380000}"/>
    <cellStyle name="Normal 5 2 2 3" xfId="3296" xr:uid="{00000000-0005-0000-0000-000012380000}"/>
    <cellStyle name="Normal 5 2 2 3 2" xfId="9978" xr:uid="{00000000-0005-0000-0000-000013380000}"/>
    <cellStyle name="Normal 5 2 2 3 2 2" xfId="18728" xr:uid="{00000000-0005-0000-0000-000014380000}"/>
    <cellStyle name="Normal 5 2 2 3 3" xfId="8376" xr:uid="{00000000-0005-0000-0000-000015380000}"/>
    <cellStyle name="Normal 5 2 2 3 3 2" xfId="17129" xr:uid="{00000000-0005-0000-0000-000016380000}"/>
    <cellStyle name="Normal 5 2 2 3 4" xfId="11588" xr:uid="{00000000-0005-0000-0000-000017380000}"/>
    <cellStyle name="Normal 5 2 2 3 4 2" xfId="20275" xr:uid="{00000000-0005-0000-0000-000018380000}"/>
    <cellStyle name="Normal 5 2 2 3 5" xfId="13195" xr:uid="{00000000-0005-0000-0000-000019380000}"/>
    <cellStyle name="Normal 5 2 2 3 5 2" xfId="21875" xr:uid="{00000000-0005-0000-0000-00001A380000}"/>
    <cellStyle name="Normal 5 2 2 3 6" xfId="15369" xr:uid="{00000000-0005-0000-0000-00001B380000}"/>
    <cellStyle name="Normal 5 2 2 4" xfId="3297" xr:uid="{00000000-0005-0000-0000-00001C380000}"/>
    <cellStyle name="Normal 5 2 2 4 2" xfId="9979" xr:uid="{00000000-0005-0000-0000-00001D380000}"/>
    <cellStyle name="Normal 5 2 2 4 2 2" xfId="18729" xr:uid="{00000000-0005-0000-0000-00001E380000}"/>
    <cellStyle name="Normal 5 2 2 4 3" xfId="8377" xr:uid="{00000000-0005-0000-0000-00001F380000}"/>
    <cellStyle name="Normal 5 2 2 4 3 2" xfId="17130" xr:uid="{00000000-0005-0000-0000-000020380000}"/>
    <cellStyle name="Normal 5 2 2 4 4" xfId="11589" xr:uid="{00000000-0005-0000-0000-000021380000}"/>
    <cellStyle name="Normal 5 2 2 4 4 2" xfId="20276" xr:uid="{00000000-0005-0000-0000-000022380000}"/>
    <cellStyle name="Normal 5 2 2 4 5" xfId="13196" xr:uid="{00000000-0005-0000-0000-000023380000}"/>
    <cellStyle name="Normal 5 2 2 4 5 2" xfId="21876" xr:uid="{00000000-0005-0000-0000-000024380000}"/>
    <cellStyle name="Normal 5 2 2 4 6" xfId="15370" xr:uid="{00000000-0005-0000-0000-000025380000}"/>
    <cellStyle name="Normal 5 2 2 5" xfId="9976" xr:uid="{00000000-0005-0000-0000-000026380000}"/>
    <cellStyle name="Normal 5 2 2 5 2" xfId="18726" xr:uid="{00000000-0005-0000-0000-000027380000}"/>
    <cellStyle name="Normal 5 2 2 6" xfId="8374" xr:uid="{00000000-0005-0000-0000-000028380000}"/>
    <cellStyle name="Normal 5 2 2 6 2" xfId="17127" xr:uid="{00000000-0005-0000-0000-000029380000}"/>
    <cellStyle name="Normal 5 2 2 7" xfId="11586" xr:uid="{00000000-0005-0000-0000-00002A380000}"/>
    <cellStyle name="Normal 5 2 2 7 2" xfId="20273" xr:uid="{00000000-0005-0000-0000-00002B380000}"/>
    <cellStyle name="Normal 5 2 2 8" xfId="13193" xr:uid="{00000000-0005-0000-0000-00002C380000}"/>
    <cellStyle name="Normal 5 2 2 8 2" xfId="21873" xr:uid="{00000000-0005-0000-0000-00002D380000}"/>
    <cellStyle name="Normal 5 2 2 9" xfId="15367" xr:uid="{00000000-0005-0000-0000-00002E380000}"/>
    <cellStyle name="Normal 5 2 3" xfId="3298" xr:uid="{00000000-0005-0000-0000-00002F380000}"/>
    <cellStyle name="Normal 5 2 3 2" xfId="3299" xr:uid="{00000000-0005-0000-0000-000030380000}"/>
    <cellStyle name="Normal 5 2 3 2 2" xfId="9981" xr:uid="{00000000-0005-0000-0000-000031380000}"/>
    <cellStyle name="Normal 5 2 3 2 2 2" xfId="18731" xr:uid="{00000000-0005-0000-0000-000032380000}"/>
    <cellStyle name="Normal 5 2 3 2 3" xfId="8379" xr:uid="{00000000-0005-0000-0000-000033380000}"/>
    <cellStyle name="Normal 5 2 3 2 3 2" xfId="17132" xr:uid="{00000000-0005-0000-0000-000034380000}"/>
    <cellStyle name="Normal 5 2 3 2 4" xfId="11591" xr:uid="{00000000-0005-0000-0000-000035380000}"/>
    <cellStyle name="Normal 5 2 3 2 4 2" xfId="20278" xr:uid="{00000000-0005-0000-0000-000036380000}"/>
    <cellStyle name="Normal 5 2 3 2 5" xfId="13198" xr:uid="{00000000-0005-0000-0000-000037380000}"/>
    <cellStyle name="Normal 5 2 3 2 5 2" xfId="21878" xr:uid="{00000000-0005-0000-0000-000038380000}"/>
    <cellStyle name="Normal 5 2 3 2 6" xfId="15372" xr:uid="{00000000-0005-0000-0000-000039380000}"/>
    <cellStyle name="Normal 5 2 3 3" xfId="3300" xr:uid="{00000000-0005-0000-0000-00003A380000}"/>
    <cellStyle name="Normal 5 2 3 3 2" xfId="9982" xr:uid="{00000000-0005-0000-0000-00003B380000}"/>
    <cellStyle name="Normal 5 2 3 3 2 2" xfId="18732" xr:uid="{00000000-0005-0000-0000-00003C380000}"/>
    <cellStyle name="Normal 5 2 3 3 3" xfId="8380" xr:uid="{00000000-0005-0000-0000-00003D380000}"/>
    <cellStyle name="Normal 5 2 3 3 3 2" xfId="17133" xr:uid="{00000000-0005-0000-0000-00003E380000}"/>
    <cellStyle name="Normal 5 2 3 3 4" xfId="11592" xr:uid="{00000000-0005-0000-0000-00003F380000}"/>
    <cellStyle name="Normal 5 2 3 3 4 2" xfId="20279" xr:uid="{00000000-0005-0000-0000-000040380000}"/>
    <cellStyle name="Normal 5 2 3 3 5" xfId="13199" xr:uid="{00000000-0005-0000-0000-000041380000}"/>
    <cellStyle name="Normal 5 2 3 3 5 2" xfId="21879" xr:uid="{00000000-0005-0000-0000-000042380000}"/>
    <cellStyle name="Normal 5 2 3 3 6" xfId="15373" xr:uid="{00000000-0005-0000-0000-000043380000}"/>
    <cellStyle name="Normal 5 2 3 4" xfId="3301" xr:uid="{00000000-0005-0000-0000-000044380000}"/>
    <cellStyle name="Normal 5 2 3 4 2" xfId="9983" xr:uid="{00000000-0005-0000-0000-000045380000}"/>
    <cellStyle name="Normal 5 2 3 4 2 2" xfId="18733" xr:uid="{00000000-0005-0000-0000-000046380000}"/>
    <cellStyle name="Normal 5 2 3 4 3" xfId="8381" xr:uid="{00000000-0005-0000-0000-000047380000}"/>
    <cellStyle name="Normal 5 2 3 4 3 2" xfId="17134" xr:uid="{00000000-0005-0000-0000-000048380000}"/>
    <cellStyle name="Normal 5 2 3 4 4" xfId="11593" xr:uid="{00000000-0005-0000-0000-000049380000}"/>
    <cellStyle name="Normal 5 2 3 4 4 2" xfId="20280" xr:uid="{00000000-0005-0000-0000-00004A380000}"/>
    <cellStyle name="Normal 5 2 3 4 5" xfId="13200" xr:uid="{00000000-0005-0000-0000-00004B380000}"/>
    <cellStyle name="Normal 5 2 3 4 5 2" xfId="21880" xr:uid="{00000000-0005-0000-0000-00004C380000}"/>
    <cellStyle name="Normal 5 2 3 4 6" xfId="15374" xr:uid="{00000000-0005-0000-0000-00004D380000}"/>
    <cellStyle name="Normal 5 2 3 5" xfId="9980" xr:uid="{00000000-0005-0000-0000-00004E380000}"/>
    <cellStyle name="Normal 5 2 3 5 2" xfId="18730" xr:uid="{00000000-0005-0000-0000-00004F380000}"/>
    <cellStyle name="Normal 5 2 3 6" xfId="8378" xr:uid="{00000000-0005-0000-0000-000050380000}"/>
    <cellStyle name="Normal 5 2 3 6 2" xfId="17131" xr:uid="{00000000-0005-0000-0000-000051380000}"/>
    <cellStyle name="Normal 5 2 3 7" xfId="11590" xr:uid="{00000000-0005-0000-0000-000052380000}"/>
    <cellStyle name="Normal 5 2 3 7 2" xfId="20277" xr:uid="{00000000-0005-0000-0000-000053380000}"/>
    <cellStyle name="Normal 5 2 3 8" xfId="13197" xr:uid="{00000000-0005-0000-0000-000054380000}"/>
    <cellStyle name="Normal 5 2 3 8 2" xfId="21877" xr:uid="{00000000-0005-0000-0000-000055380000}"/>
    <cellStyle name="Normal 5 2 3 9" xfId="15371" xr:uid="{00000000-0005-0000-0000-000056380000}"/>
    <cellStyle name="Normal 5 2 4" xfId="3302" xr:uid="{00000000-0005-0000-0000-000057380000}"/>
    <cellStyle name="Normal 5 2 4 2" xfId="3303" xr:uid="{00000000-0005-0000-0000-000058380000}"/>
    <cellStyle name="Normal 5 2 4 2 2" xfId="3304" xr:uid="{00000000-0005-0000-0000-000059380000}"/>
    <cellStyle name="Normal 5 2 4 2 2 2" xfId="3305" xr:uid="{00000000-0005-0000-0000-00005A380000}"/>
    <cellStyle name="Normal 5 2 4 2 2 2 2" xfId="9985" xr:uid="{00000000-0005-0000-0000-00005B380000}"/>
    <cellStyle name="Normal 5 2 4 2 2 2 2 2" xfId="18735" xr:uid="{00000000-0005-0000-0000-00005C380000}"/>
    <cellStyle name="Normal 5 2 4 2 2 2 3" xfId="8383" xr:uid="{00000000-0005-0000-0000-00005D380000}"/>
    <cellStyle name="Normal 5 2 4 2 2 2 3 2" xfId="17136" xr:uid="{00000000-0005-0000-0000-00005E380000}"/>
    <cellStyle name="Normal 5 2 4 2 2 2 4" xfId="11595" xr:uid="{00000000-0005-0000-0000-00005F380000}"/>
    <cellStyle name="Normal 5 2 4 2 2 2 4 2" xfId="20282" xr:uid="{00000000-0005-0000-0000-000060380000}"/>
    <cellStyle name="Normal 5 2 4 2 2 2 5" xfId="13202" xr:uid="{00000000-0005-0000-0000-000061380000}"/>
    <cellStyle name="Normal 5 2 4 2 2 2 5 2" xfId="21882" xr:uid="{00000000-0005-0000-0000-000062380000}"/>
    <cellStyle name="Normal 5 2 4 2 2 2 6" xfId="15376" xr:uid="{00000000-0005-0000-0000-000063380000}"/>
    <cellStyle name="Normal 5 2 4 2 2 3" xfId="3306" xr:uid="{00000000-0005-0000-0000-000064380000}"/>
    <cellStyle name="Normal 5 2 4 2 2 3 2" xfId="9986" xr:uid="{00000000-0005-0000-0000-000065380000}"/>
    <cellStyle name="Normal 5 2 4 2 2 3 2 2" xfId="18736" xr:uid="{00000000-0005-0000-0000-000066380000}"/>
    <cellStyle name="Normal 5 2 4 2 2 3 3" xfId="8384" xr:uid="{00000000-0005-0000-0000-000067380000}"/>
    <cellStyle name="Normal 5 2 4 2 2 3 3 2" xfId="17137" xr:uid="{00000000-0005-0000-0000-000068380000}"/>
    <cellStyle name="Normal 5 2 4 2 2 3 4" xfId="11596" xr:uid="{00000000-0005-0000-0000-000069380000}"/>
    <cellStyle name="Normal 5 2 4 2 2 3 4 2" xfId="20283" xr:uid="{00000000-0005-0000-0000-00006A380000}"/>
    <cellStyle name="Normal 5 2 4 2 2 3 5" xfId="13203" xr:uid="{00000000-0005-0000-0000-00006B380000}"/>
    <cellStyle name="Normal 5 2 4 2 2 3 5 2" xfId="21883" xr:uid="{00000000-0005-0000-0000-00006C380000}"/>
    <cellStyle name="Normal 5 2 4 2 2 3 6" xfId="15377" xr:uid="{00000000-0005-0000-0000-00006D380000}"/>
    <cellStyle name="Normal 5 2 4 2 2 4" xfId="3307" xr:uid="{00000000-0005-0000-0000-00006E380000}"/>
    <cellStyle name="Normal 5 2 4 2 2 4 2" xfId="9987" xr:uid="{00000000-0005-0000-0000-00006F380000}"/>
    <cellStyle name="Normal 5 2 4 2 2 4 2 2" xfId="18737" xr:uid="{00000000-0005-0000-0000-000070380000}"/>
    <cellStyle name="Normal 5 2 4 2 2 4 3" xfId="8385" xr:uid="{00000000-0005-0000-0000-000071380000}"/>
    <cellStyle name="Normal 5 2 4 2 2 4 3 2" xfId="17138" xr:uid="{00000000-0005-0000-0000-000072380000}"/>
    <cellStyle name="Normal 5 2 4 2 2 4 4" xfId="11597" xr:uid="{00000000-0005-0000-0000-000073380000}"/>
    <cellStyle name="Normal 5 2 4 2 2 4 4 2" xfId="20284" xr:uid="{00000000-0005-0000-0000-000074380000}"/>
    <cellStyle name="Normal 5 2 4 2 2 4 5" xfId="13204" xr:uid="{00000000-0005-0000-0000-000075380000}"/>
    <cellStyle name="Normal 5 2 4 2 2 4 5 2" xfId="21884" xr:uid="{00000000-0005-0000-0000-000076380000}"/>
    <cellStyle name="Normal 5 2 4 2 2 4 6" xfId="15378" xr:uid="{00000000-0005-0000-0000-000077380000}"/>
    <cellStyle name="Normal 5 2 4 2 3" xfId="3308" xr:uid="{00000000-0005-0000-0000-000078380000}"/>
    <cellStyle name="Normal 5 2 4 2 4" xfId="3309" xr:uid="{00000000-0005-0000-0000-000079380000}"/>
    <cellStyle name="Normal 5 2 4 2 5" xfId="9984" xr:uid="{00000000-0005-0000-0000-00007A380000}"/>
    <cellStyle name="Normal 5 2 4 2 5 2" xfId="18734" xr:uid="{00000000-0005-0000-0000-00007B380000}"/>
    <cellStyle name="Normal 5 2 4 2 6" xfId="8382" xr:uid="{00000000-0005-0000-0000-00007C380000}"/>
    <cellStyle name="Normal 5 2 4 2 6 2" xfId="17135" xr:uid="{00000000-0005-0000-0000-00007D380000}"/>
    <cellStyle name="Normal 5 2 4 2 7" xfId="11594" xr:uid="{00000000-0005-0000-0000-00007E380000}"/>
    <cellStyle name="Normal 5 2 4 2 7 2" xfId="20281" xr:uid="{00000000-0005-0000-0000-00007F380000}"/>
    <cellStyle name="Normal 5 2 4 2 8" xfId="13201" xr:uid="{00000000-0005-0000-0000-000080380000}"/>
    <cellStyle name="Normal 5 2 4 2 8 2" xfId="21881" xr:uid="{00000000-0005-0000-0000-000081380000}"/>
    <cellStyle name="Normal 5 2 4 2 9" xfId="15375" xr:uid="{00000000-0005-0000-0000-000082380000}"/>
    <cellStyle name="Normal 5 2 4 3" xfId="3310" xr:uid="{00000000-0005-0000-0000-000083380000}"/>
    <cellStyle name="Normal 5 2 4 3 2" xfId="3311" xr:uid="{00000000-0005-0000-0000-000084380000}"/>
    <cellStyle name="Normal 5 2 4 3 2 2" xfId="9989" xr:uid="{00000000-0005-0000-0000-000085380000}"/>
    <cellStyle name="Normal 5 2 4 3 2 2 2" xfId="18739" xr:uid="{00000000-0005-0000-0000-000086380000}"/>
    <cellStyle name="Normal 5 2 4 3 2 3" xfId="8387" xr:uid="{00000000-0005-0000-0000-000087380000}"/>
    <cellStyle name="Normal 5 2 4 3 2 3 2" xfId="17140" xr:uid="{00000000-0005-0000-0000-000088380000}"/>
    <cellStyle name="Normal 5 2 4 3 2 4" xfId="11599" xr:uid="{00000000-0005-0000-0000-000089380000}"/>
    <cellStyle name="Normal 5 2 4 3 2 4 2" xfId="20286" xr:uid="{00000000-0005-0000-0000-00008A380000}"/>
    <cellStyle name="Normal 5 2 4 3 2 5" xfId="13206" xr:uid="{00000000-0005-0000-0000-00008B380000}"/>
    <cellStyle name="Normal 5 2 4 3 2 5 2" xfId="21886" xr:uid="{00000000-0005-0000-0000-00008C380000}"/>
    <cellStyle name="Normal 5 2 4 3 2 6" xfId="15380" xr:uid="{00000000-0005-0000-0000-00008D380000}"/>
    <cellStyle name="Normal 5 2 4 3 3" xfId="3312" xr:uid="{00000000-0005-0000-0000-00008E380000}"/>
    <cellStyle name="Normal 5 2 4 3 3 2" xfId="9990" xr:uid="{00000000-0005-0000-0000-00008F380000}"/>
    <cellStyle name="Normal 5 2 4 3 3 2 2" xfId="18740" xr:uid="{00000000-0005-0000-0000-000090380000}"/>
    <cellStyle name="Normal 5 2 4 3 3 3" xfId="8388" xr:uid="{00000000-0005-0000-0000-000091380000}"/>
    <cellStyle name="Normal 5 2 4 3 3 3 2" xfId="17141" xr:uid="{00000000-0005-0000-0000-000092380000}"/>
    <cellStyle name="Normal 5 2 4 3 3 4" xfId="11600" xr:uid="{00000000-0005-0000-0000-000093380000}"/>
    <cellStyle name="Normal 5 2 4 3 3 4 2" xfId="20287" xr:uid="{00000000-0005-0000-0000-000094380000}"/>
    <cellStyle name="Normal 5 2 4 3 3 5" xfId="13207" xr:uid="{00000000-0005-0000-0000-000095380000}"/>
    <cellStyle name="Normal 5 2 4 3 3 5 2" xfId="21887" xr:uid="{00000000-0005-0000-0000-000096380000}"/>
    <cellStyle name="Normal 5 2 4 3 3 6" xfId="15381" xr:uid="{00000000-0005-0000-0000-000097380000}"/>
    <cellStyle name="Normal 5 2 4 3 4" xfId="3313" xr:uid="{00000000-0005-0000-0000-000098380000}"/>
    <cellStyle name="Normal 5 2 4 3 4 2" xfId="9991" xr:uid="{00000000-0005-0000-0000-000099380000}"/>
    <cellStyle name="Normal 5 2 4 3 4 2 2" xfId="18741" xr:uid="{00000000-0005-0000-0000-00009A380000}"/>
    <cellStyle name="Normal 5 2 4 3 4 3" xfId="8389" xr:uid="{00000000-0005-0000-0000-00009B380000}"/>
    <cellStyle name="Normal 5 2 4 3 4 3 2" xfId="17142" xr:uid="{00000000-0005-0000-0000-00009C380000}"/>
    <cellStyle name="Normal 5 2 4 3 4 4" xfId="11601" xr:uid="{00000000-0005-0000-0000-00009D380000}"/>
    <cellStyle name="Normal 5 2 4 3 4 4 2" xfId="20288" xr:uid="{00000000-0005-0000-0000-00009E380000}"/>
    <cellStyle name="Normal 5 2 4 3 4 5" xfId="13208" xr:uid="{00000000-0005-0000-0000-00009F380000}"/>
    <cellStyle name="Normal 5 2 4 3 4 5 2" xfId="21888" xr:uid="{00000000-0005-0000-0000-0000A0380000}"/>
    <cellStyle name="Normal 5 2 4 3 4 6" xfId="15382" xr:uid="{00000000-0005-0000-0000-0000A1380000}"/>
    <cellStyle name="Normal 5 2 4 3 5" xfId="9988" xr:uid="{00000000-0005-0000-0000-0000A2380000}"/>
    <cellStyle name="Normal 5 2 4 3 5 2" xfId="18738" xr:uid="{00000000-0005-0000-0000-0000A3380000}"/>
    <cellStyle name="Normal 5 2 4 3 6" xfId="8386" xr:uid="{00000000-0005-0000-0000-0000A4380000}"/>
    <cellStyle name="Normal 5 2 4 3 6 2" xfId="17139" xr:uid="{00000000-0005-0000-0000-0000A5380000}"/>
    <cellStyle name="Normal 5 2 4 3 7" xfId="11598" xr:uid="{00000000-0005-0000-0000-0000A6380000}"/>
    <cellStyle name="Normal 5 2 4 3 7 2" xfId="20285" xr:uid="{00000000-0005-0000-0000-0000A7380000}"/>
    <cellStyle name="Normal 5 2 4 3 8" xfId="13205" xr:uid="{00000000-0005-0000-0000-0000A8380000}"/>
    <cellStyle name="Normal 5 2 4 3 8 2" xfId="21885" xr:uid="{00000000-0005-0000-0000-0000A9380000}"/>
    <cellStyle name="Normal 5 2 4 3 9" xfId="15379" xr:uid="{00000000-0005-0000-0000-0000AA380000}"/>
    <cellStyle name="Normal 5 2 4 4" xfId="3314" xr:uid="{00000000-0005-0000-0000-0000AB380000}"/>
    <cellStyle name="Normal 5 2 4 4 2" xfId="3315" xr:uid="{00000000-0005-0000-0000-0000AC380000}"/>
    <cellStyle name="Normal 5 2 4 4 2 2" xfId="9993" xr:uid="{00000000-0005-0000-0000-0000AD380000}"/>
    <cellStyle name="Normal 5 2 4 4 2 2 2" xfId="18743" xr:uid="{00000000-0005-0000-0000-0000AE380000}"/>
    <cellStyle name="Normal 5 2 4 4 2 3" xfId="8391" xr:uid="{00000000-0005-0000-0000-0000AF380000}"/>
    <cellStyle name="Normal 5 2 4 4 2 3 2" xfId="17144" xr:uid="{00000000-0005-0000-0000-0000B0380000}"/>
    <cellStyle name="Normal 5 2 4 4 2 4" xfId="11603" xr:uid="{00000000-0005-0000-0000-0000B1380000}"/>
    <cellStyle name="Normal 5 2 4 4 2 4 2" xfId="20290" xr:uid="{00000000-0005-0000-0000-0000B2380000}"/>
    <cellStyle name="Normal 5 2 4 4 2 5" xfId="13210" xr:uid="{00000000-0005-0000-0000-0000B3380000}"/>
    <cellStyle name="Normal 5 2 4 4 2 5 2" xfId="21890" xr:uid="{00000000-0005-0000-0000-0000B4380000}"/>
    <cellStyle name="Normal 5 2 4 4 2 6" xfId="15384" xr:uid="{00000000-0005-0000-0000-0000B5380000}"/>
    <cellStyle name="Normal 5 2 4 4 3" xfId="3316" xr:uid="{00000000-0005-0000-0000-0000B6380000}"/>
    <cellStyle name="Normal 5 2 4 4 3 2" xfId="9994" xr:uid="{00000000-0005-0000-0000-0000B7380000}"/>
    <cellStyle name="Normal 5 2 4 4 3 2 2" xfId="18744" xr:uid="{00000000-0005-0000-0000-0000B8380000}"/>
    <cellStyle name="Normal 5 2 4 4 3 3" xfId="8392" xr:uid="{00000000-0005-0000-0000-0000B9380000}"/>
    <cellStyle name="Normal 5 2 4 4 3 3 2" xfId="17145" xr:uid="{00000000-0005-0000-0000-0000BA380000}"/>
    <cellStyle name="Normal 5 2 4 4 3 4" xfId="11604" xr:uid="{00000000-0005-0000-0000-0000BB380000}"/>
    <cellStyle name="Normal 5 2 4 4 3 4 2" xfId="20291" xr:uid="{00000000-0005-0000-0000-0000BC380000}"/>
    <cellStyle name="Normal 5 2 4 4 3 5" xfId="13211" xr:uid="{00000000-0005-0000-0000-0000BD380000}"/>
    <cellStyle name="Normal 5 2 4 4 3 5 2" xfId="21891" xr:uid="{00000000-0005-0000-0000-0000BE380000}"/>
    <cellStyle name="Normal 5 2 4 4 3 6" xfId="15385" xr:uid="{00000000-0005-0000-0000-0000BF380000}"/>
    <cellStyle name="Normal 5 2 4 4 4" xfId="3317" xr:uid="{00000000-0005-0000-0000-0000C0380000}"/>
    <cellStyle name="Normal 5 2 4 4 4 2" xfId="9995" xr:uid="{00000000-0005-0000-0000-0000C1380000}"/>
    <cellStyle name="Normal 5 2 4 4 4 2 2" xfId="18745" xr:uid="{00000000-0005-0000-0000-0000C2380000}"/>
    <cellStyle name="Normal 5 2 4 4 4 3" xfId="8393" xr:uid="{00000000-0005-0000-0000-0000C3380000}"/>
    <cellStyle name="Normal 5 2 4 4 4 3 2" xfId="17146" xr:uid="{00000000-0005-0000-0000-0000C4380000}"/>
    <cellStyle name="Normal 5 2 4 4 4 4" xfId="11605" xr:uid="{00000000-0005-0000-0000-0000C5380000}"/>
    <cellStyle name="Normal 5 2 4 4 4 4 2" xfId="20292" xr:uid="{00000000-0005-0000-0000-0000C6380000}"/>
    <cellStyle name="Normal 5 2 4 4 4 5" xfId="13212" xr:uid="{00000000-0005-0000-0000-0000C7380000}"/>
    <cellStyle name="Normal 5 2 4 4 4 5 2" xfId="21892" xr:uid="{00000000-0005-0000-0000-0000C8380000}"/>
    <cellStyle name="Normal 5 2 4 4 4 6" xfId="15386" xr:uid="{00000000-0005-0000-0000-0000C9380000}"/>
    <cellStyle name="Normal 5 2 4 4 5" xfId="9992" xr:uid="{00000000-0005-0000-0000-0000CA380000}"/>
    <cellStyle name="Normal 5 2 4 4 5 2" xfId="18742" xr:uid="{00000000-0005-0000-0000-0000CB380000}"/>
    <cellStyle name="Normal 5 2 4 4 6" xfId="8390" xr:uid="{00000000-0005-0000-0000-0000CC380000}"/>
    <cellStyle name="Normal 5 2 4 4 6 2" xfId="17143" xr:uid="{00000000-0005-0000-0000-0000CD380000}"/>
    <cellStyle name="Normal 5 2 4 4 7" xfId="11602" xr:uid="{00000000-0005-0000-0000-0000CE380000}"/>
    <cellStyle name="Normal 5 2 4 4 7 2" xfId="20289" xr:uid="{00000000-0005-0000-0000-0000CF380000}"/>
    <cellStyle name="Normal 5 2 4 4 8" xfId="13209" xr:uid="{00000000-0005-0000-0000-0000D0380000}"/>
    <cellStyle name="Normal 5 2 4 4 8 2" xfId="21889" xr:uid="{00000000-0005-0000-0000-0000D1380000}"/>
    <cellStyle name="Normal 5 2 4 4 9" xfId="15383" xr:uid="{00000000-0005-0000-0000-0000D2380000}"/>
    <cellStyle name="Normal 5 2 4 5" xfId="3318" xr:uid="{00000000-0005-0000-0000-0000D3380000}"/>
    <cellStyle name="Normal 5 2 4 5 2" xfId="9996" xr:uid="{00000000-0005-0000-0000-0000D4380000}"/>
    <cellStyle name="Normal 5 2 4 5 2 2" xfId="18746" xr:uid="{00000000-0005-0000-0000-0000D5380000}"/>
    <cellStyle name="Normal 5 2 4 5 3" xfId="8394" xr:uid="{00000000-0005-0000-0000-0000D6380000}"/>
    <cellStyle name="Normal 5 2 4 5 3 2" xfId="17147" xr:uid="{00000000-0005-0000-0000-0000D7380000}"/>
    <cellStyle name="Normal 5 2 4 5 4" xfId="11606" xr:uid="{00000000-0005-0000-0000-0000D8380000}"/>
    <cellStyle name="Normal 5 2 4 5 4 2" xfId="20293" xr:uid="{00000000-0005-0000-0000-0000D9380000}"/>
    <cellStyle name="Normal 5 2 4 5 5" xfId="13213" xr:uid="{00000000-0005-0000-0000-0000DA380000}"/>
    <cellStyle name="Normal 5 2 4 5 5 2" xfId="21893" xr:uid="{00000000-0005-0000-0000-0000DB380000}"/>
    <cellStyle name="Normal 5 2 4 5 6" xfId="15387" xr:uid="{00000000-0005-0000-0000-0000DC380000}"/>
    <cellStyle name="Normal 5 2 4 6" xfId="3319" xr:uid="{00000000-0005-0000-0000-0000DD380000}"/>
    <cellStyle name="Normal 5 2 4 6 2" xfId="9997" xr:uid="{00000000-0005-0000-0000-0000DE380000}"/>
    <cellStyle name="Normal 5 2 4 6 2 2" xfId="18747" xr:uid="{00000000-0005-0000-0000-0000DF380000}"/>
    <cellStyle name="Normal 5 2 4 6 3" xfId="8395" xr:uid="{00000000-0005-0000-0000-0000E0380000}"/>
    <cellStyle name="Normal 5 2 4 6 3 2" xfId="17148" xr:uid="{00000000-0005-0000-0000-0000E1380000}"/>
    <cellStyle name="Normal 5 2 4 6 4" xfId="11607" xr:uid="{00000000-0005-0000-0000-0000E2380000}"/>
    <cellStyle name="Normal 5 2 4 6 4 2" xfId="20294" xr:uid="{00000000-0005-0000-0000-0000E3380000}"/>
    <cellStyle name="Normal 5 2 4 6 5" xfId="13214" xr:uid="{00000000-0005-0000-0000-0000E4380000}"/>
    <cellStyle name="Normal 5 2 4 6 5 2" xfId="21894" xr:uid="{00000000-0005-0000-0000-0000E5380000}"/>
    <cellStyle name="Normal 5 2 4 6 6" xfId="15388" xr:uid="{00000000-0005-0000-0000-0000E6380000}"/>
    <cellStyle name="Normal 5 2 4 7" xfId="3320" xr:uid="{00000000-0005-0000-0000-0000E7380000}"/>
    <cellStyle name="Normal 5 2 4 7 2" xfId="9998" xr:uid="{00000000-0005-0000-0000-0000E8380000}"/>
    <cellStyle name="Normal 5 2 4 7 2 2" xfId="18748" xr:uid="{00000000-0005-0000-0000-0000E9380000}"/>
    <cellStyle name="Normal 5 2 4 7 3" xfId="8396" xr:uid="{00000000-0005-0000-0000-0000EA380000}"/>
    <cellStyle name="Normal 5 2 4 7 3 2" xfId="17149" xr:uid="{00000000-0005-0000-0000-0000EB380000}"/>
    <cellStyle name="Normal 5 2 4 7 4" xfId="11608" xr:uid="{00000000-0005-0000-0000-0000EC380000}"/>
    <cellStyle name="Normal 5 2 4 7 4 2" xfId="20295" xr:uid="{00000000-0005-0000-0000-0000ED380000}"/>
    <cellStyle name="Normal 5 2 4 7 5" xfId="13215" xr:uid="{00000000-0005-0000-0000-0000EE380000}"/>
    <cellStyle name="Normal 5 2 4 7 5 2" xfId="21895" xr:uid="{00000000-0005-0000-0000-0000EF380000}"/>
    <cellStyle name="Normal 5 2 4 7 6" xfId="15389" xr:uid="{00000000-0005-0000-0000-0000F0380000}"/>
    <cellStyle name="Normal 5 2 5" xfId="3321" xr:uid="{00000000-0005-0000-0000-0000F1380000}"/>
    <cellStyle name="Normal 5 2 6" xfId="3322" xr:uid="{00000000-0005-0000-0000-0000F2380000}"/>
    <cellStyle name="Normal 5 2 7" xfId="3323" xr:uid="{00000000-0005-0000-0000-0000F3380000}"/>
    <cellStyle name="Normal 5 2 7 2" xfId="9999" xr:uid="{00000000-0005-0000-0000-0000F4380000}"/>
    <cellStyle name="Normal 5 2 7 2 2" xfId="18749" xr:uid="{00000000-0005-0000-0000-0000F5380000}"/>
    <cellStyle name="Normal 5 2 7 3" xfId="8397" xr:uid="{00000000-0005-0000-0000-0000F6380000}"/>
    <cellStyle name="Normal 5 2 7 3 2" xfId="17150" xr:uid="{00000000-0005-0000-0000-0000F7380000}"/>
    <cellStyle name="Normal 5 2 7 4" xfId="11609" xr:uid="{00000000-0005-0000-0000-0000F8380000}"/>
    <cellStyle name="Normal 5 2 7 4 2" xfId="20296" xr:uid="{00000000-0005-0000-0000-0000F9380000}"/>
    <cellStyle name="Normal 5 2 7 5" xfId="13216" xr:uid="{00000000-0005-0000-0000-0000FA380000}"/>
    <cellStyle name="Normal 5 2 7 5 2" xfId="21896" xr:uid="{00000000-0005-0000-0000-0000FB380000}"/>
    <cellStyle name="Normal 5 2 7 6" xfId="15390" xr:uid="{00000000-0005-0000-0000-0000FC380000}"/>
    <cellStyle name="Normal 5 2 8" xfId="3324" xr:uid="{00000000-0005-0000-0000-0000FD380000}"/>
    <cellStyle name="Normal 5 2 8 2" xfId="10000" xr:uid="{00000000-0005-0000-0000-0000FE380000}"/>
    <cellStyle name="Normal 5 2 8 2 2" xfId="18750" xr:uid="{00000000-0005-0000-0000-0000FF380000}"/>
    <cellStyle name="Normal 5 2 8 3" xfId="8398" xr:uid="{00000000-0005-0000-0000-000000390000}"/>
    <cellStyle name="Normal 5 2 8 3 2" xfId="17151" xr:uid="{00000000-0005-0000-0000-000001390000}"/>
    <cellStyle name="Normal 5 2 8 4" xfId="11610" xr:uid="{00000000-0005-0000-0000-000002390000}"/>
    <cellStyle name="Normal 5 2 8 4 2" xfId="20297" xr:uid="{00000000-0005-0000-0000-000003390000}"/>
    <cellStyle name="Normal 5 2 8 5" xfId="13217" xr:uid="{00000000-0005-0000-0000-000004390000}"/>
    <cellStyle name="Normal 5 2 8 5 2" xfId="21897" xr:uid="{00000000-0005-0000-0000-000005390000}"/>
    <cellStyle name="Normal 5 2 8 6" xfId="15391" xr:uid="{00000000-0005-0000-0000-000006390000}"/>
    <cellStyle name="Normal 5 2 9" xfId="3325" xr:uid="{00000000-0005-0000-0000-000007390000}"/>
    <cellStyle name="Normal 5 2 9 2" xfId="10001" xr:uid="{00000000-0005-0000-0000-000008390000}"/>
    <cellStyle name="Normal 5 2 9 2 2" xfId="18751" xr:uid="{00000000-0005-0000-0000-000009390000}"/>
    <cellStyle name="Normal 5 2 9 3" xfId="8399" xr:uid="{00000000-0005-0000-0000-00000A390000}"/>
    <cellStyle name="Normal 5 2 9 3 2" xfId="17152" xr:uid="{00000000-0005-0000-0000-00000B390000}"/>
    <cellStyle name="Normal 5 2 9 4" xfId="11611" xr:uid="{00000000-0005-0000-0000-00000C390000}"/>
    <cellStyle name="Normal 5 2 9 4 2" xfId="20298" xr:uid="{00000000-0005-0000-0000-00000D390000}"/>
    <cellStyle name="Normal 5 2 9 5" xfId="13218" xr:uid="{00000000-0005-0000-0000-00000E390000}"/>
    <cellStyle name="Normal 5 2 9 5 2" xfId="21898" xr:uid="{00000000-0005-0000-0000-00000F390000}"/>
    <cellStyle name="Normal 5 2 9 6" xfId="15392" xr:uid="{00000000-0005-0000-0000-000010390000}"/>
    <cellStyle name="Normal 5 3" xfId="3326" xr:uid="{00000000-0005-0000-0000-000011390000}"/>
    <cellStyle name="Normal 5 3 2" xfId="3327" xr:uid="{00000000-0005-0000-0000-000012390000}"/>
    <cellStyle name="Normal 5 3 2 2" xfId="10003" xr:uid="{00000000-0005-0000-0000-000013390000}"/>
    <cellStyle name="Normal 5 3 2 2 2" xfId="18753" xr:uid="{00000000-0005-0000-0000-000014390000}"/>
    <cellStyle name="Normal 5 3 2 3" xfId="8401" xr:uid="{00000000-0005-0000-0000-000015390000}"/>
    <cellStyle name="Normal 5 3 2 3 2" xfId="17154" xr:uid="{00000000-0005-0000-0000-000016390000}"/>
    <cellStyle name="Normal 5 3 2 4" xfId="11613" xr:uid="{00000000-0005-0000-0000-000017390000}"/>
    <cellStyle name="Normal 5 3 2 4 2" xfId="20300" xr:uid="{00000000-0005-0000-0000-000018390000}"/>
    <cellStyle name="Normal 5 3 2 5" xfId="13220" xr:uid="{00000000-0005-0000-0000-000019390000}"/>
    <cellStyle name="Normal 5 3 2 5 2" xfId="21900" xr:uid="{00000000-0005-0000-0000-00001A390000}"/>
    <cellStyle name="Normal 5 3 2 6" xfId="15394" xr:uid="{00000000-0005-0000-0000-00001B390000}"/>
    <cellStyle name="Normal 5 3 3" xfId="3328" xr:uid="{00000000-0005-0000-0000-00001C390000}"/>
    <cellStyle name="Normal 5 3 3 2" xfId="10004" xr:uid="{00000000-0005-0000-0000-00001D390000}"/>
    <cellStyle name="Normal 5 3 3 2 2" xfId="18754" xr:uid="{00000000-0005-0000-0000-00001E390000}"/>
    <cellStyle name="Normal 5 3 3 3" xfId="8402" xr:uid="{00000000-0005-0000-0000-00001F390000}"/>
    <cellStyle name="Normal 5 3 3 3 2" xfId="17155" xr:uid="{00000000-0005-0000-0000-000020390000}"/>
    <cellStyle name="Normal 5 3 3 4" xfId="11614" xr:uid="{00000000-0005-0000-0000-000021390000}"/>
    <cellStyle name="Normal 5 3 3 4 2" xfId="20301" xr:uid="{00000000-0005-0000-0000-000022390000}"/>
    <cellStyle name="Normal 5 3 3 5" xfId="13221" xr:uid="{00000000-0005-0000-0000-000023390000}"/>
    <cellStyle name="Normal 5 3 3 5 2" xfId="21901" xr:uid="{00000000-0005-0000-0000-000024390000}"/>
    <cellStyle name="Normal 5 3 3 6" xfId="15395" xr:uid="{00000000-0005-0000-0000-000025390000}"/>
    <cellStyle name="Normal 5 3 4" xfId="3329" xr:uid="{00000000-0005-0000-0000-000026390000}"/>
    <cellStyle name="Normal 5 3 4 2" xfId="10005" xr:uid="{00000000-0005-0000-0000-000027390000}"/>
    <cellStyle name="Normal 5 3 4 2 2" xfId="18755" xr:uid="{00000000-0005-0000-0000-000028390000}"/>
    <cellStyle name="Normal 5 3 4 3" xfId="8403" xr:uid="{00000000-0005-0000-0000-000029390000}"/>
    <cellStyle name="Normal 5 3 4 3 2" xfId="17156" xr:uid="{00000000-0005-0000-0000-00002A390000}"/>
    <cellStyle name="Normal 5 3 4 4" xfId="11615" xr:uid="{00000000-0005-0000-0000-00002B390000}"/>
    <cellStyle name="Normal 5 3 4 4 2" xfId="20302" xr:uid="{00000000-0005-0000-0000-00002C390000}"/>
    <cellStyle name="Normal 5 3 4 5" xfId="13222" xr:uid="{00000000-0005-0000-0000-00002D390000}"/>
    <cellStyle name="Normal 5 3 4 5 2" xfId="21902" xr:uid="{00000000-0005-0000-0000-00002E390000}"/>
    <cellStyle name="Normal 5 3 4 6" xfId="15396" xr:uid="{00000000-0005-0000-0000-00002F390000}"/>
    <cellStyle name="Normal 5 3 5" xfId="10002" xr:uid="{00000000-0005-0000-0000-000030390000}"/>
    <cellStyle name="Normal 5 3 5 2" xfId="18752" xr:uid="{00000000-0005-0000-0000-000031390000}"/>
    <cellStyle name="Normal 5 3 6" xfId="8400" xr:uid="{00000000-0005-0000-0000-000032390000}"/>
    <cellStyle name="Normal 5 3 6 2" xfId="17153" xr:uid="{00000000-0005-0000-0000-000033390000}"/>
    <cellStyle name="Normal 5 3 7" xfId="11612" xr:uid="{00000000-0005-0000-0000-000034390000}"/>
    <cellStyle name="Normal 5 3 7 2" xfId="20299" xr:uid="{00000000-0005-0000-0000-000035390000}"/>
    <cellStyle name="Normal 5 3 8" xfId="13219" xr:uid="{00000000-0005-0000-0000-000036390000}"/>
    <cellStyle name="Normal 5 3 8 2" xfId="21899" xr:uid="{00000000-0005-0000-0000-000037390000}"/>
    <cellStyle name="Normal 5 3 9" xfId="15393" xr:uid="{00000000-0005-0000-0000-000038390000}"/>
    <cellStyle name="Normal 5 4" xfId="3330" xr:uid="{00000000-0005-0000-0000-000039390000}"/>
    <cellStyle name="Normal 5 4 2" xfId="3331" xr:uid="{00000000-0005-0000-0000-00003A390000}"/>
    <cellStyle name="Normal 5 4 2 2" xfId="10007" xr:uid="{00000000-0005-0000-0000-00003B390000}"/>
    <cellStyle name="Normal 5 4 2 2 2" xfId="18757" xr:uid="{00000000-0005-0000-0000-00003C390000}"/>
    <cellStyle name="Normal 5 4 2 3" xfId="8405" xr:uid="{00000000-0005-0000-0000-00003D390000}"/>
    <cellStyle name="Normal 5 4 2 3 2" xfId="17158" xr:uid="{00000000-0005-0000-0000-00003E390000}"/>
    <cellStyle name="Normal 5 4 2 4" xfId="11617" xr:uid="{00000000-0005-0000-0000-00003F390000}"/>
    <cellStyle name="Normal 5 4 2 4 2" xfId="20304" xr:uid="{00000000-0005-0000-0000-000040390000}"/>
    <cellStyle name="Normal 5 4 2 5" xfId="13224" xr:uid="{00000000-0005-0000-0000-000041390000}"/>
    <cellStyle name="Normal 5 4 2 5 2" xfId="21904" xr:uid="{00000000-0005-0000-0000-000042390000}"/>
    <cellStyle name="Normal 5 4 2 6" xfId="15398" xr:uid="{00000000-0005-0000-0000-000043390000}"/>
    <cellStyle name="Normal 5 4 3" xfId="3332" xr:uid="{00000000-0005-0000-0000-000044390000}"/>
    <cellStyle name="Normal 5 4 3 2" xfId="10008" xr:uid="{00000000-0005-0000-0000-000045390000}"/>
    <cellStyle name="Normal 5 4 3 2 2" xfId="18758" xr:uid="{00000000-0005-0000-0000-000046390000}"/>
    <cellStyle name="Normal 5 4 3 3" xfId="8406" xr:uid="{00000000-0005-0000-0000-000047390000}"/>
    <cellStyle name="Normal 5 4 3 3 2" xfId="17159" xr:uid="{00000000-0005-0000-0000-000048390000}"/>
    <cellStyle name="Normal 5 4 3 4" xfId="11618" xr:uid="{00000000-0005-0000-0000-000049390000}"/>
    <cellStyle name="Normal 5 4 3 4 2" xfId="20305" xr:uid="{00000000-0005-0000-0000-00004A390000}"/>
    <cellStyle name="Normal 5 4 3 5" xfId="13225" xr:uid="{00000000-0005-0000-0000-00004B390000}"/>
    <cellStyle name="Normal 5 4 3 5 2" xfId="21905" xr:uid="{00000000-0005-0000-0000-00004C390000}"/>
    <cellStyle name="Normal 5 4 3 6" xfId="15399" xr:uid="{00000000-0005-0000-0000-00004D390000}"/>
    <cellStyle name="Normal 5 4 4" xfId="3333" xr:uid="{00000000-0005-0000-0000-00004E390000}"/>
    <cellStyle name="Normal 5 4 4 2" xfId="10009" xr:uid="{00000000-0005-0000-0000-00004F390000}"/>
    <cellStyle name="Normal 5 4 4 2 2" xfId="18759" xr:uid="{00000000-0005-0000-0000-000050390000}"/>
    <cellStyle name="Normal 5 4 4 3" xfId="8407" xr:uid="{00000000-0005-0000-0000-000051390000}"/>
    <cellStyle name="Normal 5 4 4 3 2" xfId="17160" xr:uid="{00000000-0005-0000-0000-000052390000}"/>
    <cellStyle name="Normal 5 4 4 4" xfId="11619" xr:uid="{00000000-0005-0000-0000-000053390000}"/>
    <cellStyle name="Normal 5 4 4 4 2" xfId="20306" xr:uid="{00000000-0005-0000-0000-000054390000}"/>
    <cellStyle name="Normal 5 4 4 5" xfId="13226" xr:uid="{00000000-0005-0000-0000-000055390000}"/>
    <cellStyle name="Normal 5 4 4 5 2" xfId="21906" xr:uid="{00000000-0005-0000-0000-000056390000}"/>
    <cellStyle name="Normal 5 4 4 6" xfId="15400" xr:uid="{00000000-0005-0000-0000-000057390000}"/>
    <cellStyle name="Normal 5 4 5" xfId="10006" xr:uid="{00000000-0005-0000-0000-000058390000}"/>
    <cellStyle name="Normal 5 4 5 2" xfId="18756" xr:uid="{00000000-0005-0000-0000-000059390000}"/>
    <cellStyle name="Normal 5 4 6" xfId="8404" xr:uid="{00000000-0005-0000-0000-00005A390000}"/>
    <cellStyle name="Normal 5 4 6 2" xfId="17157" xr:uid="{00000000-0005-0000-0000-00005B390000}"/>
    <cellStyle name="Normal 5 4 7" xfId="11616" xr:uid="{00000000-0005-0000-0000-00005C390000}"/>
    <cellStyle name="Normal 5 4 7 2" xfId="20303" xr:uid="{00000000-0005-0000-0000-00005D390000}"/>
    <cellStyle name="Normal 5 4 8" xfId="13223" xr:uid="{00000000-0005-0000-0000-00005E390000}"/>
    <cellStyle name="Normal 5 4 8 2" xfId="21903" xr:uid="{00000000-0005-0000-0000-00005F390000}"/>
    <cellStyle name="Normal 5 4 9" xfId="15397" xr:uid="{00000000-0005-0000-0000-000060390000}"/>
    <cellStyle name="Normal 5 5" xfId="3334" xr:uid="{00000000-0005-0000-0000-000061390000}"/>
    <cellStyle name="Normal 5 6" xfId="3292" xr:uid="{00000000-0005-0000-0000-000062390000}"/>
    <cellStyle name="Normal 5 6 2" xfId="10461" xr:uid="{00000000-0005-0000-0000-000063390000}"/>
    <cellStyle name="Normal 5 7" xfId="5810" xr:uid="{00000000-0005-0000-0000-000064390000}"/>
    <cellStyle name="Normal 5 8" xfId="10614" xr:uid="{00000000-0005-0000-0000-000065390000}"/>
    <cellStyle name="Normal 5 8 2" xfId="19317" xr:uid="{00000000-0005-0000-0000-000066390000}"/>
    <cellStyle name="Normal 5 9" xfId="13888" xr:uid="{00000000-0005-0000-0000-000067390000}"/>
    <cellStyle name="Normal 50" xfId="3335" xr:uid="{00000000-0005-0000-0000-000068390000}"/>
    <cellStyle name="Normal 50 10" xfId="13227" xr:uid="{00000000-0005-0000-0000-000069390000}"/>
    <cellStyle name="Normal 50 10 2" xfId="21907" xr:uid="{00000000-0005-0000-0000-00006A390000}"/>
    <cellStyle name="Normal 50 11" xfId="15401" xr:uid="{00000000-0005-0000-0000-00006B390000}"/>
    <cellStyle name="Normal 50 2" xfId="3336" xr:uid="{00000000-0005-0000-0000-00006C390000}"/>
    <cellStyle name="Normal 50 2 2" xfId="3337" xr:uid="{00000000-0005-0000-0000-00006D390000}"/>
    <cellStyle name="Normal 50 2 2 2" xfId="10012" xr:uid="{00000000-0005-0000-0000-00006E390000}"/>
    <cellStyle name="Normal 50 2 2 2 2" xfId="18762" xr:uid="{00000000-0005-0000-0000-00006F390000}"/>
    <cellStyle name="Normal 50 2 2 3" xfId="8410" xr:uid="{00000000-0005-0000-0000-000070390000}"/>
    <cellStyle name="Normal 50 2 2 3 2" xfId="17163" xr:uid="{00000000-0005-0000-0000-000071390000}"/>
    <cellStyle name="Normal 50 2 2 4" xfId="11622" xr:uid="{00000000-0005-0000-0000-000072390000}"/>
    <cellStyle name="Normal 50 2 2 4 2" xfId="20309" xr:uid="{00000000-0005-0000-0000-000073390000}"/>
    <cellStyle name="Normal 50 2 2 5" xfId="13229" xr:uid="{00000000-0005-0000-0000-000074390000}"/>
    <cellStyle name="Normal 50 2 2 5 2" xfId="21909" xr:uid="{00000000-0005-0000-0000-000075390000}"/>
    <cellStyle name="Normal 50 2 2 6" xfId="15403" xr:uid="{00000000-0005-0000-0000-000076390000}"/>
    <cellStyle name="Normal 50 2 3" xfId="3338" xr:uid="{00000000-0005-0000-0000-000077390000}"/>
    <cellStyle name="Normal 50 2 3 2" xfId="10013" xr:uid="{00000000-0005-0000-0000-000078390000}"/>
    <cellStyle name="Normal 50 2 3 2 2" xfId="18763" xr:uid="{00000000-0005-0000-0000-000079390000}"/>
    <cellStyle name="Normal 50 2 3 3" xfId="8411" xr:uid="{00000000-0005-0000-0000-00007A390000}"/>
    <cellStyle name="Normal 50 2 3 3 2" xfId="17164" xr:uid="{00000000-0005-0000-0000-00007B390000}"/>
    <cellStyle name="Normal 50 2 3 4" xfId="11623" xr:uid="{00000000-0005-0000-0000-00007C390000}"/>
    <cellStyle name="Normal 50 2 3 4 2" xfId="20310" xr:uid="{00000000-0005-0000-0000-00007D390000}"/>
    <cellStyle name="Normal 50 2 3 5" xfId="13230" xr:uid="{00000000-0005-0000-0000-00007E390000}"/>
    <cellStyle name="Normal 50 2 3 5 2" xfId="21910" xr:uid="{00000000-0005-0000-0000-00007F390000}"/>
    <cellStyle name="Normal 50 2 3 6" xfId="15404" xr:uid="{00000000-0005-0000-0000-000080390000}"/>
    <cellStyle name="Normal 50 2 4" xfId="3339" xr:uid="{00000000-0005-0000-0000-000081390000}"/>
    <cellStyle name="Normal 50 2 4 2" xfId="10014" xr:uid="{00000000-0005-0000-0000-000082390000}"/>
    <cellStyle name="Normal 50 2 4 2 2" xfId="18764" xr:uid="{00000000-0005-0000-0000-000083390000}"/>
    <cellStyle name="Normal 50 2 4 3" xfId="8412" xr:uid="{00000000-0005-0000-0000-000084390000}"/>
    <cellStyle name="Normal 50 2 4 3 2" xfId="17165" xr:uid="{00000000-0005-0000-0000-000085390000}"/>
    <cellStyle name="Normal 50 2 4 4" xfId="11624" xr:uid="{00000000-0005-0000-0000-000086390000}"/>
    <cellStyle name="Normal 50 2 4 4 2" xfId="20311" xr:uid="{00000000-0005-0000-0000-000087390000}"/>
    <cellStyle name="Normal 50 2 4 5" xfId="13231" xr:uid="{00000000-0005-0000-0000-000088390000}"/>
    <cellStyle name="Normal 50 2 4 5 2" xfId="21911" xr:uid="{00000000-0005-0000-0000-000089390000}"/>
    <cellStyle name="Normal 50 2 4 6" xfId="15405" xr:uid="{00000000-0005-0000-0000-00008A390000}"/>
    <cellStyle name="Normal 50 2 5" xfId="10011" xr:uid="{00000000-0005-0000-0000-00008B390000}"/>
    <cellStyle name="Normal 50 2 5 2" xfId="18761" xr:uid="{00000000-0005-0000-0000-00008C390000}"/>
    <cellStyle name="Normal 50 2 6" xfId="8409" xr:uid="{00000000-0005-0000-0000-00008D390000}"/>
    <cellStyle name="Normal 50 2 6 2" xfId="17162" xr:uid="{00000000-0005-0000-0000-00008E390000}"/>
    <cellStyle name="Normal 50 2 7" xfId="11621" xr:uid="{00000000-0005-0000-0000-00008F390000}"/>
    <cellStyle name="Normal 50 2 7 2" xfId="20308" xr:uid="{00000000-0005-0000-0000-000090390000}"/>
    <cellStyle name="Normal 50 2 8" xfId="13228" xr:uid="{00000000-0005-0000-0000-000091390000}"/>
    <cellStyle name="Normal 50 2 8 2" xfId="21908" xr:uid="{00000000-0005-0000-0000-000092390000}"/>
    <cellStyle name="Normal 50 2 9" xfId="15402" xr:uid="{00000000-0005-0000-0000-000093390000}"/>
    <cellStyle name="Normal 50 3" xfId="3340" xr:uid="{00000000-0005-0000-0000-000094390000}"/>
    <cellStyle name="Normal 50 3 2" xfId="3341" xr:uid="{00000000-0005-0000-0000-000095390000}"/>
    <cellStyle name="Normal 50 3 2 2" xfId="10016" xr:uid="{00000000-0005-0000-0000-000096390000}"/>
    <cellStyle name="Normal 50 3 2 2 2" xfId="18766" xr:uid="{00000000-0005-0000-0000-000097390000}"/>
    <cellStyle name="Normal 50 3 2 3" xfId="8414" xr:uid="{00000000-0005-0000-0000-000098390000}"/>
    <cellStyle name="Normal 50 3 2 3 2" xfId="17167" xr:uid="{00000000-0005-0000-0000-000099390000}"/>
    <cellStyle name="Normal 50 3 2 4" xfId="11626" xr:uid="{00000000-0005-0000-0000-00009A390000}"/>
    <cellStyle name="Normal 50 3 2 4 2" xfId="20313" xr:uid="{00000000-0005-0000-0000-00009B390000}"/>
    <cellStyle name="Normal 50 3 2 5" xfId="13233" xr:uid="{00000000-0005-0000-0000-00009C390000}"/>
    <cellStyle name="Normal 50 3 2 5 2" xfId="21913" xr:uid="{00000000-0005-0000-0000-00009D390000}"/>
    <cellStyle name="Normal 50 3 2 6" xfId="15407" xr:uid="{00000000-0005-0000-0000-00009E390000}"/>
    <cellStyle name="Normal 50 3 3" xfId="3342" xr:uid="{00000000-0005-0000-0000-00009F390000}"/>
    <cellStyle name="Normal 50 3 3 2" xfId="10017" xr:uid="{00000000-0005-0000-0000-0000A0390000}"/>
    <cellStyle name="Normal 50 3 3 2 2" xfId="18767" xr:uid="{00000000-0005-0000-0000-0000A1390000}"/>
    <cellStyle name="Normal 50 3 3 3" xfId="8415" xr:uid="{00000000-0005-0000-0000-0000A2390000}"/>
    <cellStyle name="Normal 50 3 3 3 2" xfId="17168" xr:uid="{00000000-0005-0000-0000-0000A3390000}"/>
    <cellStyle name="Normal 50 3 3 4" xfId="11627" xr:uid="{00000000-0005-0000-0000-0000A4390000}"/>
    <cellStyle name="Normal 50 3 3 4 2" xfId="20314" xr:uid="{00000000-0005-0000-0000-0000A5390000}"/>
    <cellStyle name="Normal 50 3 3 5" xfId="13234" xr:uid="{00000000-0005-0000-0000-0000A6390000}"/>
    <cellStyle name="Normal 50 3 3 5 2" xfId="21914" xr:uid="{00000000-0005-0000-0000-0000A7390000}"/>
    <cellStyle name="Normal 50 3 3 6" xfId="15408" xr:uid="{00000000-0005-0000-0000-0000A8390000}"/>
    <cellStyle name="Normal 50 3 4" xfId="3343" xr:uid="{00000000-0005-0000-0000-0000A9390000}"/>
    <cellStyle name="Normal 50 3 4 2" xfId="10018" xr:uid="{00000000-0005-0000-0000-0000AA390000}"/>
    <cellStyle name="Normal 50 3 4 2 2" xfId="18768" xr:uid="{00000000-0005-0000-0000-0000AB390000}"/>
    <cellStyle name="Normal 50 3 4 3" xfId="8416" xr:uid="{00000000-0005-0000-0000-0000AC390000}"/>
    <cellStyle name="Normal 50 3 4 3 2" xfId="17169" xr:uid="{00000000-0005-0000-0000-0000AD390000}"/>
    <cellStyle name="Normal 50 3 4 4" xfId="11628" xr:uid="{00000000-0005-0000-0000-0000AE390000}"/>
    <cellStyle name="Normal 50 3 4 4 2" xfId="20315" xr:uid="{00000000-0005-0000-0000-0000AF390000}"/>
    <cellStyle name="Normal 50 3 4 5" xfId="13235" xr:uid="{00000000-0005-0000-0000-0000B0390000}"/>
    <cellStyle name="Normal 50 3 4 5 2" xfId="21915" xr:uid="{00000000-0005-0000-0000-0000B1390000}"/>
    <cellStyle name="Normal 50 3 4 6" xfId="15409" xr:uid="{00000000-0005-0000-0000-0000B2390000}"/>
    <cellStyle name="Normal 50 3 5" xfId="10015" xr:uid="{00000000-0005-0000-0000-0000B3390000}"/>
    <cellStyle name="Normal 50 3 5 2" xfId="18765" xr:uid="{00000000-0005-0000-0000-0000B4390000}"/>
    <cellStyle name="Normal 50 3 6" xfId="8413" xr:uid="{00000000-0005-0000-0000-0000B5390000}"/>
    <cellStyle name="Normal 50 3 6 2" xfId="17166" xr:uid="{00000000-0005-0000-0000-0000B6390000}"/>
    <cellStyle name="Normal 50 3 7" xfId="11625" xr:uid="{00000000-0005-0000-0000-0000B7390000}"/>
    <cellStyle name="Normal 50 3 7 2" xfId="20312" xr:uid="{00000000-0005-0000-0000-0000B8390000}"/>
    <cellStyle name="Normal 50 3 8" xfId="13232" xr:uid="{00000000-0005-0000-0000-0000B9390000}"/>
    <cellStyle name="Normal 50 3 8 2" xfId="21912" xr:uid="{00000000-0005-0000-0000-0000BA390000}"/>
    <cellStyle name="Normal 50 3 9" xfId="15406" xr:uid="{00000000-0005-0000-0000-0000BB390000}"/>
    <cellStyle name="Normal 50 4" xfId="3344" xr:uid="{00000000-0005-0000-0000-0000BC390000}"/>
    <cellStyle name="Normal 50 4 2" xfId="10019" xr:uid="{00000000-0005-0000-0000-0000BD390000}"/>
    <cellStyle name="Normal 50 4 2 2" xfId="18769" xr:uid="{00000000-0005-0000-0000-0000BE390000}"/>
    <cellStyle name="Normal 50 4 3" xfId="8417" xr:uid="{00000000-0005-0000-0000-0000BF390000}"/>
    <cellStyle name="Normal 50 4 3 2" xfId="17170" xr:uid="{00000000-0005-0000-0000-0000C0390000}"/>
    <cellStyle name="Normal 50 4 4" xfId="11629" xr:uid="{00000000-0005-0000-0000-0000C1390000}"/>
    <cellStyle name="Normal 50 4 4 2" xfId="20316" xr:uid="{00000000-0005-0000-0000-0000C2390000}"/>
    <cellStyle name="Normal 50 4 5" xfId="13236" xr:uid="{00000000-0005-0000-0000-0000C3390000}"/>
    <cellStyle name="Normal 50 4 5 2" xfId="21916" xr:uid="{00000000-0005-0000-0000-0000C4390000}"/>
    <cellStyle name="Normal 50 4 6" xfId="15410" xr:uid="{00000000-0005-0000-0000-0000C5390000}"/>
    <cellStyle name="Normal 50 5" xfId="3345" xr:uid="{00000000-0005-0000-0000-0000C6390000}"/>
    <cellStyle name="Normal 50 5 2" xfId="10020" xr:uid="{00000000-0005-0000-0000-0000C7390000}"/>
    <cellStyle name="Normal 50 5 2 2" xfId="18770" xr:uid="{00000000-0005-0000-0000-0000C8390000}"/>
    <cellStyle name="Normal 50 5 3" xfId="8418" xr:uid="{00000000-0005-0000-0000-0000C9390000}"/>
    <cellStyle name="Normal 50 5 3 2" xfId="17171" xr:uid="{00000000-0005-0000-0000-0000CA390000}"/>
    <cellStyle name="Normal 50 5 4" xfId="11630" xr:uid="{00000000-0005-0000-0000-0000CB390000}"/>
    <cellStyle name="Normal 50 5 4 2" xfId="20317" xr:uid="{00000000-0005-0000-0000-0000CC390000}"/>
    <cellStyle name="Normal 50 5 5" xfId="13237" xr:uid="{00000000-0005-0000-0000-0000CD390000}"/>
    <cellStyle name="Normal 50 5 5 2" xfId="21917" xr:uid="{00000000-0005-0000-0000-0000CE390000}"/>
    <cellStyle name="Normal 50 5 6" xfId="15411" xr:uid="{00000000-0005-0000-0000-0000CF390000}"/>
    <cellStyle name="Normal 50 6" xfId="3346" xr:uid="{00000000-0005-0000-0000-0000D0390000}"/>
    <cellStyle name="Normal 50 6 2" xfId="10021" xr:uid="{00000000-0005-0000-0000-0000D1390000}"/>
    <cellStyle name="Normal 50 6 2 2" xfId="18771" xr:uid="{00000000-0005-0000-0000-0000D2390000}"/>
    <cellStyle name="Normal 50 6 3" xfId="8419" xr:uid="{00000000-0005-0000-0000-0000D3390000}"/>
    <cellStyle name="Normal 50 6 3 2" xfId="17172" xr:uid="{00000000-0005-0000-0000-0000D4390000}"/>
    <cellStyle name="Normal 50 6 4" xfId="11631" xr:uid="{00000000-0005-0000-0000-0000D5390000}"/>
    <cellStyle name="Normal 50 6 4 2" xfId="20318" xr:uid="{00000000-0005-0000-0000-0000D6390000}"/>
    <cellStyle name="Normal 50 6 5" xfId="13238" xr:uid="{00000000-0005-0000-0000-0000D7390000}"/>
    <cellStyle name="Normal 50 6 5 2" xfId="21918" xr:uid="{00000000-0005-0000-0000-0000D8390000}"/>
    <cellStyle name="Normal 50 6 6" xfId="15412" xr:uid="{00000000-0005-0000-0000-0000D9390000}"/>
    <cellStyle name="Normal 50 7" xfId="10010" xr:uid="{00000000-0005-0000-0000-0000DA390000}"/>
    <cellStyle name="Normal 50 7 2" xfId="18760" xr:uid="{00000000-0005-0000-0000-0000DB390000}"/>
    <cellStyle name="Normal 50 8" xfId="8408" xr:uid="{00000000-0005-0000-0000-0000DC390000}"/>
    <cellStyle name="Normal 50 8 2" xfId="17161" xr:uid="{00000000-0005-0000-0000-0000DD390000}"/>
    <cellStyle name="Normal 50 9" xfId="11620" xr:uid="{00000000-0005-0000-0000-0000DE390000}"/>
    <cellStyle name="Normal 50 9 2" xfId="20307" xr:uid="{00000000-0005-0000-0000-0000DF390000}"/>
    <cellStyle name="Normal 51" xfId="3347" xr:uid="{00000000-0005-0000-0000-0000E0390000}"/>
    <cellStyle name="Normal 51 10" xfId="13239" xr:uid="{00000000-0005-0000-0000-0000E1390000}"/>
    <cellStyle name="Normal 51 10 2" xfId="21919" xr:uid="{00000000-0005-0000-0000-0000E2390000}"/>
    <cellStyle name="Normal 51 11" xfId="15413" xr:uid="{00000000-0005-0000-0000-0000E3390000}"/>
    <cellStyle name="Normal 51 2" xfId="3348" xr:uid="{00000000-0005-0000-0000-0000E4390000}"/>
    <cellStyle name="Normal 51 2 2" xfId="3349" xr:uid="{00000000-0005-0000-0000-0000E5390000}"/>
    <cellStyle name="Normal 51 2 2 2" xfId="10024" xr:uid="{00000000-0005-0000-0000-0000E6390000}"/>
    <cellStyle name="Normal 51 2 2 2 2" xfId="18774" xr:uid="{00000000-0005-0000-0000-0000E7390000}"/>
    <cellStyle name="Normal 51 2 2 3" xfId="8422" xr:uid="{00000000-0005-0000-0000-0000E8390000}"/>
    <cellStyle name="Normal 51 2 2 3 2" xfId="17175" xr:uid="{00000000-0005-0000-0000-0000E9390000}"/>
    <cellStyle name="Normal 51 2 2 4" xfId="11634" xr:uid="{00000000-0005-0000-0000-0000EA390000}"/>
    <cellStyle name="Normal 51 2 2 4 2" xfId="20321" xr:uid="{00000000-0005-0000-0000-0000EB390000}"/>
    <cellStyle name="Normal 51 2 2 5" xfId="13241" xr:uid="{00000000-0005-0000-0000-0000EC390000}"/>
    <cellStyle name="Normal 51 2 2 5 2" xfId="21921" xr:uid="{00000000-0005-0000-0000-0000ED390000}"/>
    <cellStyle name="Normal 51 2 2 6" xfId="15415" xr:uid="{00000000-0005-0000-0000-0000EE390000}"/>
    <cellStyle name="Normal 51 2 3" xfId="3350" xr:uid="{00000000-0005-0000-0000-0000EF390000}"/>
    <cellStyle name="Normal 51 2 3 2" xfId="10025" xr:uid="{00000000-0005-0000-0000-0000F0390000}"/>
    <cellStyle name="Normal 51 2 3 2 2" xfId="18775" xr:uid="{00000000-0005-0000-0000-0000F1390000}"/>
    <cellStyle name="Normal 51 2 3 3" xfId="8423" xr:uid="{00000000-0005-0000-0000-0000F2390000}"/>
    <cellStyle name="Normal 51 2 3 3 2" xfId="17176" xr:uid="{00000000-0005-0000-0000-0000F3390000}"/>
    <cellStyle name="Normal 51 2 3 4" xfId="11635" xr:uid="{00000000-0005-0000-0000-0000F4390000}"/>
    <cellStyle name="Normal 51 2 3 4 2" xfId="20322" xr:uid="{00000000-0005-0000-0000-0000F5390000}"/>
    <cellStyle name="Normal 51 2 3 5" xfId="13242" xr:uid="{00000000-0005-0000-0000-0000F6390000}"/>
    <cellStyle name="Normal 51 2 3 5 2" xfId="21922" xr:uid="{00000000-0005-0000-0000-0000F7390000}"/>
    <cellStyle name="Normal 51 2 3 6" xfId="15416" xr:uid="{00000000-0005-0000-0000-0000F8390000}"/>
    <cellStyle name="Normal 51 2 4" xfId="3351" xr:uid="{00000000-0005-0000-0000-0000F9390000}"/>
    <cellStyle name="Normal 51 2 4 2" xfId="10026" xr:uid="{00000000-0005-0000-0000-0000FA390000}"/>
    <cellStyle name="Normal 51 2 4 2 2" xfId="18776" xr:uid="{00000000-0005-0000-0000-0000FB390000}"/>
    <cellStyle name="Normal 51 2 4 3" xfId="8424" xr:uid="{00000000-0005-0000-0000-0000FC390000}"/>
    <cellStyle name="Normal 51 2 4 3 2" xfId="17177" xr:uid="{00000000-0005-0000-0000-0000FD390000}"/>
    <cellStyle name="Normal 51 2 4 4" xfId="11636" xr:uid="{00000000-0005-0000-0000-0000FE390000}"/>
    <cellStyle name="Normal 51 2 4 4 2" xfId="20323" xr:uid="{00000000-0005-0000-0000-0000FF390000}"/>
    <cellStyle name="Normal 51 2 4 5" xfId="13243" xr:uid="{00000000-0005-0000-0000-0000003A0000}"/>
    <cellStyle name="Normal 51 2 4 5 2" xfId="21923" xr:uid="{00000000-0005-0000-0000-0000013A0000}"/>
    <cellStyle name="Normal 51 2 4 6" xfId="15417" xr:uid="{00000000-0005-0000-0000-0000023A0000}"/>
    <cellStyle name="Normal 51 2 5" xfId="10023" xr:uid="{00000000-0005-0000-0000-0000033A0000}"/>
    <cellStyle name="Normal 51 2 5 2" xfId="18773" xr:uid="{00000000-0005-0000-0000-0000043A0000}"/>
    <cellStyle name="Normal 51 2 6" xfId="8421" xr:uid="{00000000-0005-0000-0000-0000053A0000}"/>
    <cellStyle name="Normal 51 2 6 2" xfId="17174" xr:uid="{00000000-0005-0000-0000-0000063A0000}"/>
    <cellStyle name="Normal 51 2 7" xfId="11633" xr:uid="{00000000-0005-0000-0000-0000073A0000}"/>
    <cellStyle name="Normal 51 2 7 2" xfId="20320" xr:uid="{00000000-0005-0000-0000-0000083A0000}"/>
    <cellStyle name="Normal 51 2 8" xfId="13240" xr:uid="{00000000-0005-0000-0000-0000093A0000}"/>
    <cellStyle name="Normal 51 2 8 2" xfId="21920" xr:uid="{00000000-0005-0000-0000-00000A3A0000}"/>
    <cellStyle name="Normal 51 2 9" xfId="15414" xr:uid="{00000000-0005-0000-0000-00000B3A0000}"/>
    <cellStyle name="Normal 51 3" xfId="3352" xr:uid="{00000000-0005-0000-0000-00000C3A0000}"/>
    <cellStyle name="Normal 51 3 2" xfId="3353" xr:uid="{00000000-0005-0000-0000-00000D3A0000}"/>
    <cellStyle name="Normal 51 3 2 2" xfId="10028" xr:uid="{00000000-0005-0000-0000-00000E3A0000}"/>
    <cellStyle name="Normal 51 3 2 2 2" xfId="18778" xr:uid="{00000000-0005-0000-0000-00000F3A0000}"/>
    <cellStyle name="Normal 51 3 2 3" xfId="8426" xr:uid="{00000000-0005-0000-0000-0000103A0000}"/>
    <cellStyle name="Normal 51 3 2 3 2" xfId="17179" xr:uid="{00000000-0005-0000-0000-0000113A0000}"/>
    <cellStyle name="Normal 51 3 2 4" xfId="11638" xr:uid="{00000000-0005-0000-0000-0000123A0000}"/>
    <cellStyle name="Normal 51 3 2 4 2" xfId="20325" xr:uid="{00000000-0005-0000-0000-0000133A0000}"/>
    <cellStyle name="Normal 51 3 2 5" xfId="13245" xr:uid="{00000000-0005-0000-0000-0000143A0000}"/>
    <cellStyle name="Normal 51 3 2 5 2" xfId="21925" xr:uid="{00000000-0005-0000-0000-0000153A0000}"/>
    <cellStyle name="Normal 51 3 2 6" xfId="15419" xr:uid="{00000000-0005-0000-0000-0000163A0000}"/>
    <cellStyle name="Normal 51 3 3" xfId="3354" xr:uid="{00000000-0005-0000-0000-0000173A0000}"/>
    <cellStyle name="Normal 51 3 3 2" xfId="10029" xr:uid="{00000000-0005-0000-0000-0000183A0000}"/>
    <cellStyle name="Normal 51 3 3 2 2" xfId="18779" xr:uid="{00000000-0005-0000-0000-0000193A0000}"/>
    <cellStyle name="Normal 51 3 3 3" xfId="8427" xr:uid="{00000000-0005-0000-0000-00001A3A0000}"/>
    <cellStyle name="Normal 51 3 3 3 2" xfId="17180" xr:uid="{00000000-0005-0000-0000-00001B3A0000}"/>
    <cellStyle name="Normal 51 3 3 4" xfId="11639" xr:uid="{00000000-0005-0000-0000-00001C3A0000}"/>
    <cellStyle name="Normal 51 3 3 4 2" xfId="20326" xr:uid="{00000000-0005-0000-0000-00001D3A0000}"/>
    <cellStyle name="Normal 51 3 3 5" xfId="13246" xr:uid="{00000000-0005-0000-0000-00001E3A0000}"/>
    <cellStyle name="Normal 51 3 3 5 2" xfId="21926" xr:uid="{00000000-0005-0000-0000-00001F3A0000}"/>
    <cellStyle name="Normal 51 3 3 6" xfId="15420" xr:uid="{00000000-0005-0000-0000-0000203A0000}"/>
    <cellStyle name="Normal 51 3 4" xfId="3355" xr:uid="{00000000-0005-0000-0000-0000213A0000}"/>
    <cellStyle name="Normal 51 3 4 2" xfId="10030" xr:uid="{00000000-0005-0000-0000-0000223A0000}"/>
    <cellStyle name="Normal 51 3 4 2 2" xfId="18780" xr:uid="{00000000-0005-0000-0000-0000233A0000}"/>
    <cellStyle name="Normal 51 3 4 3" xfId="8428" xr:uid="{00000000-0005-0000-0000-0000243A0000}"/>
    <cellStyle name="Normal 51 3 4 3 2" xfId="17181" xr:uid="{00000000-0005-0000-0000-0000253A0000}"/>
    <cellStyle name="Normal 51 3 4 4" xfId="11640" xr:uid="{00000000-0005-0000-0000-0000263A0000}"/>
    <cellStyle name="Normal 51 3 4 4 2" xfId="20327" xr:uid="{00000000-0005-0000-0000-0000273A0000}"/>
    <cellStyle name="Normal 51 3 4 5" xfId="13247" xr:uid="{00000000-0005-0000-0000-0000283A0000}"/>
    <cellStyle name="Normal 51 3 4 5 2" xfId="21927" xr:uid="{00000000-0005-0000-0000-0000293A0000}"/>
    <cellStyle name="Normal 51 3 4 6" xfId="15421" xr:uid="{00000000-0005-0000-0000-00002A3A0000}"/>
    <cellStyle name="Normal 51 3 5" xfId="10027" xr:uid="{00000000-0005-0000-0000-00002B3A0000}"/>
    <cellStyle name="Normal 51 3 5 2" xfId="18777" xr:uid="{00000000-0005-0000-0000-00002C3A0000}"/>
    <cellStyle name="Normal 51 3 6" xfId="8425" xr:uid="{00000000-0005-0000-0000-00002D3A0000}"/>
    <cellStyle name="Normal 51 3 6 2" xfId="17178" xr:uid="{00000000-0005-0000-0000-00002E3A0000}"/>
    <cellStyle name="Normal 51 3 7" xfId="11637" xr:uid="{00000000-0005-0000-0000-00002F3A0000}"/>
    <cellStyle name="Normal 51 3 7 2" xfId="20324" xr:uid="{00000000-0005-0000-0000-0000303A0000}"/>
    <cellStyle name="Normal 51 3 8" xfId="13244" xr:uid="{00000000-0005-0000-0000-0000313A0000}"/>
    <cellStyle name="Normal 51 3 8 2" xfId="21924" xr:uid="{00000000-0005-0000-0000-0000323A0000}"/>
    <cellStyle name="Normal 51 3 9" xfId="15418" xr:uid="{00000000-0005-0000-0000-0000333A0000}"/>
    <cellStyle name="Normal 51 4" xfId="3356" xr:uid="{00000000-0005-0000-0000-0000343A0000}"/>
    <cellStyle name="Normal 51 4 2" xfId="10031" xr:uid="{00000000-0005-0000-0000-0000353A0000}"/>
    <cellStyle name="Normal 51 4 2 2" xfId="18781" xr:uid="{00000000-0005-0000-0000-0000363A0000}"/>
    <cellStyle name="Normal 51 4 3" xfId="8429" xr:uid="{00000000-0005-0000-0000-0000373A0000}"/>
    <cellStyle name="Normal 51 4 3 2" xfId="17182" xr:uid="{00000000-0005-0000-0000-0000383A0000}"/>
    <cellStyle name="Normal 51 4 4" xfId="11641" xr:uid="{00000000-0005-0000-0000-0000393A0000}"/>
    <cellStyle name="Normal 51 4 4 2" xfId="20328" xr:uid="{00000000-0005-0000-0000-00003A3A0000}"/>
    <cellStyle name="Normal 51 4 5" xfId="13248" xr:uid="{00000000-0005-0000-0000-00003B3A0000}"/>
    <cellStyle name="Normal 51 4 5 2" xfId="21928" xr:uid="{00000000-0005-0000-0000-00003C3A0000}"/>
    <cellStyle name="Normal 51 4 6" xfId="15422" xr:uid="{00000000-0005-0000-0000-00003D3A0000}"/>
    <cellStyle name="Normal 51 5" xfId="3357" xr:uid="{00000000-0005-0000-0000-00003E3A0000}"/>
    <cellStyle name="Normal 51 5 2" xfId="10032" xr:uid="{00000000-0005-0000-0000-00003F3A0000}"/>
    <cellStyle name="Normal 51 5 2 2" xfId="18782" xr:uid="{00000000-0005-0000-0000-0000403A0000}"/>
    <cellStyle name="Normal 51 5 3" xfId="8430" xr:uid="{00000000-0005-0000-0000-0000413A0000}"/>
    <cellStyle name="Normal 51 5 3 2" xfId="17183" xr:uid="{00000000-0005-0000-0000-0000423A0000}"/>
    <cellStyle name="Normal 51 5 4" xfId="11642" xr:uid="{00000000-0005-0000-0000-0000433A0000}"/>
    <cellStyle name="Normal 51 5 4 2" xfId="20329" xr:uid="{00000000-0005-0000-0000-0000443A0000}"/>
    <cellStyle name="Normal 51 5 5" xfId="13249" xr:uid="{00000000-0005-0000-0000-0000453A0000}"/>
    <cellStyle name="Normal 51 5 5 2" xfId="21929" xr:uid="{00000000-0005-0000-0000-0000463A0000}"/>
    <cellStyle name="Normal 51 5 6" xfId="15423" xr:uid="{00000000-0005-0000-0000-0000473A0000}"/>
    <cellStyle name="Normal 51 6" xfId="3358" xr:uid="{00000000-0005-0000-0000-0000483A0000}"/>
    <cellStyle name="Normal 51 6 2" xfId="10033" xr:uid="{00000000-0005-0000-0000-0000493A0000}"/>
    <cellStyle name="Normal 51 6 2 2" xfId="18783" xr:uid="{00000000-0005-0000-0000-00004A3A0000}"/>
    <cellStyle name="Normal 51 6 3" xfId="8431" xr:uid="{00000000-0005-0000-0000-00004B3A0000}"/>
    <cellStyle name="Normal 51 6 3 2" xfId="17184" xr:uid="{00000000-0005-0000-0000-00004C3A0000}"/>
    <cellStyle name="Normal 51 6 4" xfId="11643" xr:uid="{00000000-0005-0000-0000-00004D3A0000}"/>
    <cellStyle name="Normal 51 6 4 2" xfId="20330" xr:uid="{00000000-0005-0000-0000-00004E3A0000}"/>
    <cellStyle name="Normal 51 6 5" xfId="13250" xr:uid="{00000000-0005-0000-0000-00004F3A0000}"/>
    <cellStyle name="Normal 51 6 5 2" xfId="21930" xr:uid="{00000000-0005-0000-0000-0000503A0000}"/>
    <cellStyle name="Normal 51 6 6" xfId="15424" xr:uid="{00000000-0005-0000-0000-0000513A0000}"/>
    <cellStyle name="Normal 51 7" xfId="10022" xr:uid="{00000000-0005-0000-0000-0000523A0000}"/>
    <cellStyle name="Normal 51 7 2" xfId="18772" xr:uid="{00000000-0005-0000-0000-0000533A0000}"/>
    <cellStyle name="Normal 51 8" xfId="8420" xr:uid="{00000000-0005-0000-0000-0000543A0000}"/>
    <cellStyle name="Normal 51 8 2" xfId="17173" xr:uid="{00000000-0005-0000-0000-0000553A0000}"/>
    <cellStyle name="Normal 51 9" xfId="11632" xr:uid="{00000000-0005-0000-0000-0000563A0000}"/>
    <cellStyle name="Normal 51 9 2" xfId="20319" xr:uid="{00000000-0005-0000-0000-0000573A0000}"/>
    <cellStyle name="Normal 52" xfId="3359" xr:uid="{00000000-0005-0000-0000-0000583A0000}"/>
    <cellStyle name="Normal 52 10" xfId="13251" xr:uid="{00000000-0005-0000-0000-0000593A0000}"/>
    <cellStyle name="Normal 52 10 2" xfId="21931" xr:uid="{00000000-0005-0000-0000-00005A3A0000}"/>
    <cellStyle name="Normal 52 11" xfId="15425" xr:uid="{00000000-0005-0000-0000-00005B3A0000}"/>
    <cellStyle name="Normal 52 2" xfId="3360" xr:uid="{00000000-0005-0000-0000-00005C3A0000}"/>
    <cellStyle name="Normal 52 2 2" xfId="3361" xr:uid="{00000000-0005-0000-0000-00005D3A0000}"/>
    <cellStyle name="Normal 52 2 2 2" xfId="10036" xr:uid="{00000000-0005-0000-0000-00005E3A0000}"/>
    <cellStyle name="Normal 52 2 2 2 2" xfId="18786" xr:uid="{00000000-0005-0000-0000-00005F3A0000}"/>
    <cellStyle name="Normal 52 2 2 3" xfId="8434" xr:uid="{00000000-0005-0000-0000-0000603A0000}"/>
    <cellStyle name="Normal 52 2 2 3 2" xfId="17187" xr:uid="{00000000-0005-0000-0000-0000613A0000}"/>
    <cellStyle name="Normal 52 2 2 4" xfId="11646" xr:uid="{00000000-0005-0000-0000-0000623A0000}"/>
    <cellStyle name="Normal 52 2 2 4 2" xfId="20333" xr:uid="{00000000-0005-0000-0000-0000633A0000}"/>
    <cellStyle name="Normal 52 2 2 5" xfId="13253" xr:uid="{00000000-0005-0000-0000-0000643A0000}"/>
    <cellStyle name="Normal 52 2 2 5 2" xfId="21933" xr:uid="{00000000-0005-0000-0000-0000653A0000}"/>
    <cellStyle name="Normal 52 2 2 6" xfId="15427" xr:uid="{00000000-0005-0000-0000-0000663A0000}"/>
    <cellStyle name="Normal 52 2 3" xfId="3362" xr:uid="{00000000-0005-0000-0000-0000673A0000}"/>
    <cellStyle name="Normal 52 2 3 2" xfId="10037" xr:uid="{00000000-0005-0000-0000-0000683A0000}"/>
    <cellStyle name="Normal 52 2 3 2 2" xfId="18787" xr:uid="{00000000-0005-0000-0000-0000693A0000}"/>
    <cellStyle name="Normal 52 2 3 3" xfId="8435" xr:uid="{00000000-0005-0000-0000-00006A3A0000}"/>
    <cellStyle name="Normal 52 2 3 3 2" xfId="17188" xr:uid="{00000000-0005-0000-0000-00006B3A0000}"/>
    <cellStyle name="Normal 52 2 3 4" xfId="11647" xr:uid="{00000000-0005-0000-0000-00006C3A0000}"/>
    <cellStyle name="Normal 52 2 3 4 2" xfId="20334" xr:uid="{00000000-0005-0000-0000-00006D3A0000}"/>
    <cellStyle name="Normal 52 2 3 5" xfId="13254" xr:uid="{00000000-0005-0000-0000-00006E3A0000}"/>
    <cellStyle name="Normal 52 2 3 5 2" xfId="21934" xr:uid="{00000000-0005-0000-0000-00006F3A0000}"/>
    <cellStyle name="Normal 52 2 3 6" xfId="15428" xr:uid="{00000000-0005-0000-0000-0000703A0000}"/>
    <cellStyle name="Normal 52 2 4" xfId="3363" xr:uid="{00000000-0005-0000-0000-0000713A0000}"/>
    <cellStyle name="Normal 52 2 4 2" xfId="10038" xr:uid="{00000000-0005-0000-0000-0000723A0000}"/>
    <cellStyle name="Normal 52 2 4 2 2" xfId="18788" xr:uid="{00000000-0005-0000-0000-0000733A0000}"/>
    <cellStyle name="Normal 52 2 4 3" xfId="8436" xr:uid="{00000000-0005-0000-0000-0000743A0000}"/>
    <cellStyle name="Normal 52 2 4 3 2" xfId="17189" xr:uid="{00000000-0005-0000-0000-0000753A0000}"/>
    <cellStyle name="Normal 52 2 4 4" xfId="11648" xr:uid="{00000000-0005-0000-0000-0000763A0000}"/>
    <cellStyle name="Normal 52 2 4 4 2" xfId="20335" xr:uid="{00000000-0005-0000-0000-0000773A0000}"/>
    <cellStyle name="Normal 52 2 4 5" xfId="13255" xr:uid="{00000000-0005-0000-0000-0000783A0000}"/>
    <cellStyle name="Normal 52 2 4 5 2" xfId="21935" xr:uid="{00000000-0005-0000-0000-0000793A0000}"/>
    <cellStyle name="Normal 52 2 4 6" xfId="15429" xr:uid="{00000000-0005-0000-0000-00007A3A0000}"/>
    <cellStyle name="Normal 52 2 5" xfId="10035" xr:uid="{00000000-0005-0000-0000-00007B3A0000}"/>
    <cellStyle name="Normal 52 2 5 2" xfId="18785" xr:uid="{00000000-0005-0000-0000-00007C3A0000}"/>
    <cellStyle name="Normal 52 2 6" xfId="8433" xr:uid="{00000000-0005-0000-0000-00007D3A0000}"/>
    <cellStyle name="Normal 52 2 6 2" xfId="17186" xr:uid="{00000000-0005-0000-0000-00007E3A0000}"/>
    <cellStyle name="Normal 52 2 7" xfId="11645" xr:uid="{00000000-0005-0000-0000-00007F3A0000}"/>
    <cellStyle name="Normal 52 2 7 2" xfId="20332" xr:uid="{00000000-0005-0000-0000-0000803A0000}"/>
    <cellStyle name="Normal 52 2 8" xfId="13252" xr:uid="{00000000-0005-0000-0000-0000813A0000}"/>
    <cellStyle name="Normal 52 2 8 2" xfId="21932" xr:uid="{00000000-0005-0000-0000-0000823A0000}"/>
    <cellStyle name="Normal 52 2 9" xfId="15426" xr:uid="{00000000-0005-0000-0000-0000833A0000}"/>
    <cellStyle name="Normal 52 3" xfId="3364" xr:uid="{00000000-0005-0000-0000-0000843A0000}"/>
    <cellStyle name="Normal 52 3 2" xfId="3365" xr:uid="{00000000-0005-0000-0000-0000853A0000}"/>
    <cellStyle name="Normal 52 3 2 2" xfId="10040" xr:uid="{00000000-0005-0000-0000-0000863A0000}"/>
    <cellStyle name="Normal 52 3 2 2 2" xfId="18790" xr:uid="{00000000-0005-0000-0000-0000873A0000}"/>
    <cellStyle name="Normal 52 3 2 3" xfId="8438" xr:uid="{00000000-0005-0000-0000-0000883A0000}"/>
    <cellStyle name="Normal 52 3 2 3 2" xfId="17191" xr:uid="{00000000-0005-0000-0000-0000893A0000}"/>
    <cellStyle name="Normal 52 3 2 4" xfId="11650" xr:uid="{00000000-0005-0000-0000-00008A3A0000}"/>
    <cellStyle name="Normal 52 3 2 4 2" xfId="20337" xr:uid="{00000000-0005-0000-0000-00008B3A0000}"/>
    <cellStyle name="Normal 52 3 2 5" xfId="13257" xr:uid="{00000000-0005-0000-0000-00008C3A0000}"/>
    <cellStyle name="Normal 52 3 2 5 2" xfId="21937" xr:uid="{00000000-0005-0000-0000-00008D3A0000}"/>
    <cellStyle name="Normal 52 3 2 6" xfId="15431" xr:uid="{00000000-0005-0000-0000-00008E3A0000}"/>
    <cellStyle name="Normal 52 3 3" xfId="3366" xr:uid="{00000000-0005-0000-0000-00008F3A0000}"/>
    <cellStyle name="Normal 52 3 3 2" xfId="10041" xr:uid="{00000000-0005-0000-0000-0000903A0000}"/>
    <cellStyle name="Normal 52 3 3 2 2" xfId="18791" xr:uid="{00000000-0005-0000-0000-0000913A0000}"/>
    <cellStyle name="Normal 52 3 3 3" xfId="8439" xr:uid="{00000000-0005-0000-0000-0000923A0000}"/>
    <cellStyle name="Normal 52 3 3 3 2" xfId="17192" xr:uid="{00000000-0005-0000-0000-0000933A0000}"/>
    <cellStyle name="Normal 52 3 3 4" xfId="11651" xr:uid="{00000000-0005-0000-0000-0000943A0000}"/>
    <cellStyle name="Normal 52 3 3 4 2" xfId="20338" xr:uid="{00000000-0005-0000-0000-0000953A0000}"/>
    <cellStyle name="Normal 52 3 3 5" xfId="13258" xr:uid="{00000000-0005-0000-0000-0000963A0000}"/>
    <cellStyle name="Normal 52 3 3 5 2" xfId="21938" xr:uid="{00000000-0005-0000-0000-0000973A0000}"/>
    <cellStyle name="Normal 52 3 3 6" xfId="15432" xr:uid="{00000000-0005-0000-0000-0000983A0000}"/>
    <cellStyle name="Normal 52 3 4" xfId="3367" xr:uid="{00000000-0005-0000-0000-0000993A0000}"/>
    <cellStyle name="Normal 52 3 4 2" xfId="10042" xr:uid="{00000000-0005-0000-0000-00009A3A0000}"/>
    <cellStyle name="Normal 52 3 4 2 2" xfId="18792" xr:uid="{00000000-0005-0000-0000-00009B3A0000}"/>
    <cellStyle name="Normal 52 3 4 3" xfId="8440" xr:uid="{00000000-0005-0000-0000-00009C3A0000}"/>
    <cellStyle name="Normal 52 3 4 3 2" xfId="17193" xr:uid="{00000000-0005-0000-0000-00009D3A0000}"/>
    <cellStyle name="Normal 52 3 4 4" xfId="11652" xr:uid="{00000000-0005-0000-0000-00009E3A0000}"/>
    <cellStyle name="Normal 52 3 4 4 2" xfId="20339" xr:uid="{00000000-0005-0000-0000-00009F3A0000}"/>
    <cellStyle name="Normal 52 3 4 5" xfId="13259" xr:uid="{00000000-0005-0000-0000-0000A03A0000}"/>
    <cellStyle name="Normal 52 3 4 5 2" xfId="21939" xr:uid="{00000000-0005-0000-0000-0000A13A0000}"/>
    <cellStyle name="Normal 52 3 4 6" xfId="15433" xr:uid="{00000000-0005-0000-0000-0000A23A0000}"/>
    <cellStyle name="Normal 52 3 5" xfId="10039" xr:uid="{00000000-0005-0000-0000-0000A33A0000}"/>
    <cellStyle name="Normal 52 3 5 2" xfId="18789" xr:uid="{00000000-0005-0000-0000-0000A43A0000}"/>
    <cellStyle name="Normal 52 3 6" xfId="8437" xr:uid="{00000000-0005-0000-0000-0000A53A0000}"/>
    <cellStyle name="Normal 52 3 6 2" xfId="17190" xr:uid="{00000000-0005-0000-0000-0000A63A0000}"/>
    <cellStyle name="Normal 52 3 7" xfId="11649" xr:uid="{00000000-0005-0000-0000-0000A73A0000}"/>
    <cellStyle name="Normal 52 3 7 2" xfId="20336" xr:uid="{00000000-0005-0000-0000-0000A83A0000}"/>
    <cellStyle name="Normal 52 3 8" xfId="13256" xr:uid="{00000000-0005-0000-0000-0000A93A0000}"/>
    <cellStyle name="Normal 52 3 8 2" xfId="21936" xr:uid="{00000000-0005-0000-0000-0000AA3A0000}"/>
    <cellStyle name="Normal 52 3 9" xfId="15430" xr:uid="{00000000-0005-0000-0000-0000AB3A0000}"/>
    <cellStyle name="Normal 52 4" xfId="3368" xr:uid="{00000000-0005-0000-0000-0000AC3A0000}"/>
    <cellStyle name="Normal 52 4 2" xfId="10043" xr:uid="{00000000-0005-0000-0000-0000AD3A0000}"/>
    <cellStyle name="Normal 52 4 2 2" xfId="18793" xr:uid="{00000000-0005-0000-0000-0000AE3A0000}"/>
    <cellStyle name="Normal 52 4 3" xfId="8441" xr:uid="{00000000-0005-0000-0000-0000AF3A0000}"/>
    <cellStyle name="Normal 52 4 3 2" xfId="17194" xr:uid="{00000000-0005-0000-0000-0000B03A0000}"/>
    <cellStyle name="Normal 52 4 4" xfId="11653" xr:uid="{00000000-0005-0000-0000-0000B13A0000}"/>
    <cellStyle name="Normal 52 4 4 2" xfId="20340" xr:uid="{00000000-0005-0000-0000-0000B23A0000}"/>
    <cellStyle name="Normal 52 4 5" xfId="13260" xr:uid="{00000000-0005-0000-0000-0000B33A0000}"/>
    <cellStyle name="Normal 52 4 5 2" xfId="21940" xr:uid="{00000000-0005-0000-0000-0000B43A0000}"/>
    <cellStyle name="Normal 52 4 6" xfId="15434" xr:uid="{00000000-0005-0000-0000-0000B53A0000}"/>
    <cellStyle name="Normal 52 5" xfId="3369" xr:uid="{00000000-0005-0000-0000-0000B63A0000}"/>
    <cellStyle name="Normal 52 5 2" xfId="10044" xr:uid="{00000000-0005-0000-0000-0000B73A0000}"/>
    <cellStyle name="Normal 52 5 2 2" xfId="18794" xr:uid="{00000000-0005-0000-0000-0000B83A0000}"/>
    <cellStyle name="Normal 52 5 3" xfId="8442" xr:uid="{00000000-0005-0000-0000-0000B93A0000}"/>
    <cellStyle name="Normal 52 5 3 2" xfId="17195" xr:uid="{00000000-0005-0000-0000-0000BA3A0000}"/>
    <cellStyle name="Normal 52 5 4" xfId="11654" xr:uid="{00000000-0005-0000-0000-0000BB3A0000}"/>
    <cellStyle name="Normal 52 5 4 2" xfId="20341" xr:uid="{00000000-0005-0000-0000-0000BC3A0000}"/>
    <cellStyle name="Normal 52 5 5" xfId="13261" xr:uid="{00000000-0005-0000-0000-0000BD3A0000}"/>
    <cellStyle name="Normal 52 5 5 2" xfId="21941" xr:uid="{00000000-0005-0000-0000-0000BE3A0000}"/>
    <cellStyle name="Normal 52 5 6" xfId="15435" xr:uid="{00000000-0005-0000-0000-0000BF3A0000}"/>
    <cellStyle name="Normal 52 6" xfId="3370" xr:uid="{00000000-0005-0000-0000-0000C03A0000}"/>
    <cellStyle name="Normal 52 6 2" xfId="10045" xr:uid="{00000000-0005-0000-0000-0000C13A0000}"/>
    <cellStyle name="Normal 52 6 2 2" xfId="18795" xr:uid="{00000000-0005-0000-0000-0000C23A0000}"/>
    <cellStyle name="Normal 52 6 3" xfId="8443" xr:uid="{00000000-0005-0000-0000-0000C33A0000}"/>
    <cellStyle name="Normal 52 6 3 2" xfId="17196" xr:uid="{00000000-0005-0000-0000-0000C43A0000}"/>
    <cellStyle name="Normal 52 6 4" xfId="11655" xr:uid="{00000000-0005-0000-0000-0000C53A0000}"/>
    <cellStyle name="Normal 52 6 4 2" xfId="20342" xr:uid="{00000000-0005-0000-0000-0000C63A0000}"/>
    <cellStyle name="Normal 52 6 5" xfId="13262" xr:uid="{00000000-0005-0000-0000-0000C73A0000}"/>
    <cellStyle name="Normal 52 6 5 2" xfId="21942" xr:uid="{00000000-0005-0000-0000-0000C83A0000}"/>
    <cellStyle name="Normal 52 6 6" xfId="15436" xr:uid="{00000000-0005-0000-0000-0000C93A0000}"/>
    <cellStyle name="Normal 52 7" xfId="10034" xr:uid="{00000000-0005-0000-0000-0000CA3A0000}"/>
    <cellStyle name="Normal 52 7 2" xfId="18784" xr:uid="{00000000-0005-0000-0000-0000CB3A0000}"/>
    <cellStyle name="Normal 52 8" xfId="8432" xr:uid="{00000000-0005-0000-0000-0000CC3A0000}"/>
    <cellStyle name="Normal 52 8 2" xfId="17185" xr:uid="{00000000-0005-0000-0000-0000CD3A0000}"/>
    <cellStyle name="Normal 52 9" xfId="11644" xr:uid="{00000000-0005-0000-0000-0000CE3A0000}"/>
    <cellStyle name="Normal 52 9 2" xfId="20331" xr:uid="{00000000-0005-0000-0000-0000CF3A0000}"/>
    <cellStyle name="Normal 53" xfId="3371" xr:uid="{00000000-0005-0000-0000-0000D03A0000}"/>
    <cellStyle name="Normal 53 10" xfId="13263" xr:uid="{00000000-0005-0000-0000-0000D13A0000}"/>
    <cellStyle name="Normal 53 10 2" xfId="21943" xr:uid="{00000000-0005-0000-0000-0000D23A0000}"/>
    <cellStyle name="Normal 53 11" xfId="15437" xr:uid="{00000000-0005-0000-0000-0000D33A0000}"/>
    <cellStyle name="Normal 53 2" xfId="3372" xr:uid="{00000000-0005-0000-0000-0000D43A0000}"/>
    <cellStyle name="Normal 53 2 2" xfId="3373" xr:uid="{00000000-0005-0000-0000-0000D53A0000}"/>
    <cellStyle name="Normal 53 2 2 2" xfId="10048" xr:uid="{00000000-0005-0000-0000-0000D63A0000}"/>
    <cellStyle name="Normal 53 2 2 2 2" xfId="18798" xr:uid="{00000000-0005-0000-0000-0000D73A0000}"/>
    <cellStyle name="Normal 53 2 2 3" xfId="8446" xr:uid="{00000000-0005-0000-0000-0000D83A0000}"/>
    <cellStyle name="Normal 53 2 2 3 2" xfId="17199" xr:uid="{00000000-0005-0000-0000-0000D93A0000}"/>
    <cellStyle name="Normal 53 2 2 4" xfId="11658" xr:uid="{00000000-0005-0000-0000-0000DA3A0000}"/>
    <cellStyle name="Normal 53 2 2 4 2" xfId="20345" xr:uid="{00000000-0005-0000-0000-0000DB3A0000}"/>
    <cellStyle name="Normal 53 2 2 5" xfId="13265" xr:uid="{00000000-0005-0000-0000-0000DC3A0000}"/>
    <cellStyle name="Normal 53 2 2 5 2" xfId="21945" xr:uid="{00000000-0005-0000-0000-0000DD3A0000}"/>
    <cellStyle name="Normal 53 2 2 6" xfId="15439" xr:uid="{00000000-0005-0000-0000-0000DE3A0000}"/>
    <cellStyle name="Normal 53 2 3" xfId="3374" xr:uid="{00000000-0005-0000-0000-0000DF3A0000}"/>
    <cellStyle name="Normal 53 2 3 2" xfId="10049" xr:uid="{00000000-0005-0000-0000-0000E03A0000}"/>
    <cellStyle name="Normal 53 2 3 2 2" xfId="18799" xr:uid="{00000000-0005-0000-0000-0000E13A0000}"/>
    <cellStyle name="Normal 53 2 3 3" xfId="8447" xr:uid="{00000000-0005-0000-0000-0000E23A0000}"/>
    <cellStyle name="Normal 53 2 3 3 2" xfId="17200" xr:uid="{00000000-0005-0000-0000-0000E33A0000}"/>
    <cellStyle name="Normal 53 2 3 4" xfId="11659" xr:uid="{00000000-0005-0000-0000-0000E43A0000}"/>
    <cellStyle name="Normal 53 2 3 4 2" xfId="20346" xr:uid="{00000000-0005-0000-0000-0000E53A0000}"/>
    <cellStyle name="Normal 53 2 3 5" xfId="13266" xr:uid="{00000000-0005-0000-0000-0000E63A0000}"/>
    <cellStyle name="Normal 53 2 3 5 2" xfId="21946" xr:uid="{00000000-0005-0000-0000-0000E73A0000}"/>
    <cellStyle name="Normal 53 2 3 6" xfId="15440" xr:uid="{00000000-0005-0000-0000-0000E83A0000}"/>
    <cellStyle name="Normal 53 2 4" xfId="3375" xr:uid="{00000000-0005-0000-0000-0000E93A0000}"/>
    <cellStyle name="Normal 53 2 4 2" xfId="10050" xr:uid="{00000000-0005-0000-0000-0000EA3A0000}"/>
    <cellStyle name="Normal 53 2 4 2 2" xfId="18800" xr:uid="{00000000-0005-0000-0000-0000EB3A0000}"/>
    <cellStyle name="Normal 53 2 4 3" xfId="8448" xr:uid="{00000000-0005-0000-0000-0000EC3A0000}"/>
    <cellStyle name="Normal 53 2 4 3 2" xfId="17201" xr:uid="{00000000-0005-0000-0000-0000ED3A0000}"/>
    <cellStyle name="Normal 53 2 4 4" xfId="11660" xr:uid="{00000000-0005-0000-0000-0000EE3A0000}"/>
    <cellStyle name="Normal 53 2 4 4 2" xfId="20347" xr:uid="{00000000-0005-0000-0000-0000EF3A0000}"/>
    <cellStyle name="Normal 53 2 4 5" xfId="13267" xr:uid="{00000000-0005-0000-0000-0000F03A0000}"/>
    <cellStyle name="Normal 53 2 4 5 2" xfId="21947" xr:uid="{00000000-0005-0000-0000-0000F13A0000}"/>
    <cellStyle name="Normal 53 2 4 6" xfId="15441" xr:uid="{00000000-0005-0000-0000-0000F23A0000}"/>
    <cellStyle name="Normal 53 2 5" xfId="10047" xr:uid="{00000000-0005-0000-0000-0000F33A0000}"/>
    <cellStyle name="Normal 53 2 5 2" xfId="18797" xr:uid="{00000000-0005-0000-0000-0000F43A0000}"/>
    <cellStyle name="Normal 53 2 6" xfId="8445" xr:uid="{00000000-0005-0000-0000-0000F53A0000}"/>
    <cellStyle name="Normal 53 2 6 2" xfId="17198" xr:uid="{00000000-0005-0000-0000-0000F63A0000}"/>
    <cellStyle name="Normal 53 2 7" xfId="11657" xr:uid="{00000000-0005-0000-0000-0000F73A0000}"/>
    <cellStyle name="Normal 53 2 7 2" xfId="20344" xr:uid="{00000000-0005-0000-0000-0000F83A0000}"/>
    <cellStyle name="Normal 53 2 8" xfId="13264" xr:uid="{00000000-0005-0000-0000-0000F93A0000}"/>
    <cellStyle name="Normal 53 2 8 2" xfId="21944" xr:uid="{00000000-0005-0000-0000-0000FA3A0000}"/>
    <cellStyle name="Normal 53 2 9" xfId="15438" xr:uid="{00000000-0005-0000-0000-0000FB3A0000}"/>
    <cellStyle name="Normal 53 3" xfId="3376" xr:uid="{00000000-0005-0000-0000-0000FC3A0000}"/>
    <cellStyle name="Normal 53 3 2" xfId="3377" xr:uid="{00000000-0005-0000-0000-0000FD3A0000}"/>
    <cellStyle name="Normal 53 3 2 2" xfId="10052" xr:uid="{00000000-0005-0000-0000-0000FE3A0000}"/>
    <cellStyle name="Normal 53 3 2 2 2" xfId="18802" xr:uid="{00000000-0005-0000-0000-0000FF3A0000}"/>
    <cellStyle name="Normal 53 3 2 3" xfId="8450" xr:uid="{00000000-0005-0000-0000-0000003B0000}"/>
    <cellStyle name="Normal 53 3 2 3 2" xfId="17203" xr:uid="{00000000-0005-0000-0000-0000013B0000}"/>
    <cellStyle name="Normal 53 3 2 4" xfId="11662" xr:uid="{00000000-0005-0000-0000-0000023B0000}"/>
    <cellStyle name="Normal 53 3 2 4 2" xfId="20349" xr:uid="{00000000-0005-0000-0000-0000033B0000}"/>
    <cellStyle name="Normal 53 3 2 5" xfId="13269" xr:uid="{00000000-0005-0000-0000-0000043B0000}"/>
    <cellStyle name="Normal 53 3 2 5 2" xfId="21949" xr:uid="{00000000-0005-0000-0000-0000053B0000}"/>
    <cellStyle name="Normal 53 3 2 6" xfId="15443" xr:uid="{00000000-0005-0000-0000-0000063B0000}"/>
    <cellStyle name="Normal 53 3 3" xfId="3378" xr:uid="{00000000-0005-0000-0000-0000073B0000}"/>
    <cellStyle name="Normal 53 3 3 2" xfId="10053" xr:uid="{00000000-0005-0000-0000-0000083B0000}"/>
    <cellStyle name="Normal 53 3 3 2 2" xfId="18803" xr:uid="{00000000-0005-0000-0000-0000093B0000}"/>
    <cellStyle name="Normal 53 3 3 3" xfId="8451" xr:uid="{00000000-0005-0000-0000-00000A3B0000}"/>
    <cellStyle name="Normal 53 3 3 3 2" xfId="17204" xr:uid="{00000000-0005-0000-0000-00000B3B0000}"/>
    <cellStyle name="Normal 53 3 3 4" xfId="11663" xr:uid="{00000000-0005-0000-0000-00000C3B0000}"/>
    <cellStyle name="Normal 53 3 3 4 2" xfId="20350" xr:uid="{00000000-0005-0000-0000-00000D3B0000}"/>
    <cellStyle name="Normal 53 3 3 5" xfId="13270" xr:uid="{00000000-0005-0000-0000-00000E3B0000}"/>
    <cellStyle name="Normal 53 3 3 5 2" xfId="21950" xr:uid="{00000000-0005-0000-0000-00000F3B0000}"/>
    <cellStyle name="Normal 53 3 3 6" xfId="15444" xr:uid="{00000000-0005-0000-0000-0000103B0000}"/>
    <cellStyle name="Normal 53 3 4" xfId="3379" xr:uid="{00000000-0005-0000-0000-0000113B0000}"/>
    <cellStyle name="Normal 53 3 4 2" xfId="10054" xr:uid="{00000000-0005-0000-0000-0000123B0000}"/>
    <cellStyle name="Normal 53 3 4 2 2" xfId="18804" xr:uid="{00000000-0005-0000-0000-0000133B0000}"/>
    <cellStyle name="Normal 53 3 4 3" xfId="8452" xr:uid="{00000000-0005-0000-0000-0000143B0000}"/>
    <cellStyle name="Normal 53 3 4 3 2" xfId="17205" xr:uid="{00000000-0005-0000-0000-0000153B0000}"/>
    <cellStyle name="Normal 53 3 4 4" xfId="11664" xr:uid="{00000000-0005-0000-0000-0000163B0000}"/>
    <cellStyle name="Normal 53 3 4 4 2" xfId="20351" xr:uid="{00000000-0005-0000-0000-0000173B0000}"/>
    <cellStyle name="Normal 53 3 4 5" xfId="13271" xr:uid="{00000000-0005-0000-0000-0000183B0000}"/>
    <cellStyle name="Normal 53 3 4 5 2" xfId="21951" xr:uid="{00000000-0005-0000-0000-0000193B0000}"/>
    <cellStyle name="Normal 53 3 4 6" xfId="15445" xr:uid="{00000000-0005-0000-0000-00001A3B0000}"/>
    <cellStyle name="Normal 53 3 5" xfId="10051" xr:uid="{00000000-0005-0000-0000-00001B3B0000}"/>
    <cellStyle name="Normal 53 3 5 2" xfId="18801" xr:uid="{00000000-0005-0000-0000-00001C3B0000}"/>
    <cellStyle name="Normal 53 3 6" xfId="8449" xr:uid="{00000000-0005-0000-0000-00001D3B0000}"/>
    <cellStyle name="Normal 53 3 6 2" xfId="17202" xr:uid="{00000000-0005-0000-0000-00001E3B0000}"/>
    <cellStyle name="Normal 53 3 7" xfId="11661" xr:uid="{00000000-0005-0000-0000-00001F3B0000}"/>
    <cellStyle name="Normal 53 3 7 2" xfId="20348" xr:uid="{00000000-0005-0000-0000-0000203B0000}"/>
    <cellStyle name="Normal 53 3 8" xfId="13268" xr:uid="{00000000-0005-0000-0000-0000213B0000}"/>
    <cellStyle name="Normal 53 3 8 2" xfId="21948" xr:uid="{00000000-0005-0000-0000-0000223B0000}"/>
    <cellStyle name="Normal 53 3 9" xfId="15442" xr:uid="{00000000-0005-0000-0000-0000233B0000}"/>
    <cellStyle name="Normal 53 4" xfId="3380" xr:uid="{00000000-0005-0000-0000-0000243B0000}"/>
    <cellStyle name="Normal 53 4 2" xfId="10055" xr:uid="{00000000-0005-0000-0000-0000253B0000}"/>
    <cellStyle name="Normal 53 4 2 2" xfId="18805" xr:uid="{00000000-0005-0000-0000-0000263B0000}"/>
    <cellStyle name="Normal 53 4 3" xfId="8453" xr:uid="{00000000-0005-0000-0000-0000273B0000}"/>
    <cellStyle name="Normal 53 4 3 2" xfId="17206" xr:uid="{00000000-0005-0000-0000-0000283B0000}"/>
    <cellStyle name="Normal 53 4 4" xfId="11665" xr:uid="{00000000-0005-0000-0000-0000293B0000}"/>
    <cellStyle name="Normal 53 4 4 2" xfId="20352" xr:uid="{00000000-0005-0000-0000-00002A3B0000}"/>
    <cellStyle name="Normal 53 4 5" xfId="13272" xr:uid="{00000000-0005-0000-0000-00002B3B0000}"/>
    <cellStyle name="Normal 53 4 5 2" xfId="21952" xr:uid="{00000000-0005-0000-0000-00002C3B0000}"/>
    <cellStyle name="Normal 53 4 6" xfId="15446" xr:uid="{00000000-0005-0000-0000-00002D3B0000}"/>
    <cellStyle name="Normal 53 5" xfId="3381" xr:uid="{00000000-0005-0000-0000-00002E3B0000}"/>
    <cellStyle name="Normal 53 5 2" xfId="10056" xr:uid="{00000000-0005-0000-0000-00002F3B0000}"/>
    <cellStyle name="Normal 53 5 2 2" xfId="18806" xr:uid="{00000000-0005-0000-0000-0000303B0000}"/>
    <cellStyle name="Normal 53 5 3" xfId="8454" xr:uid="{00000000-0005-0000-0000-0000313B0000}"/>
    <cellStyle name="Normal 53 5 3 2" xfId="17207" xr:uid="{00000000-0005-0000-0000-0000323B0000}"/>
    <cellStyle name="Normal 53 5 4" xfId="11666" xr:uid="{00000000-0005-0000-0000-0000333B0000}"/>
    <cellStyle name="Normal 53 5 4 2" xfId="20353" xr:uid="{00000000-0005-0000-0000-0000343B0000}"/>
    <cellStyle name="Normal 53 5 5" xfId="13273" xr:uid="{00000000-0005-0000-0000-0000353B0000}"/>
    <cellStyle name="Normal 53 5 5 2" xfId="21953" xr:uid="{00000000-0005-0000-0000-0000363B0000}"/>
    <cellStyle name="Normal 53 5 6" xfId="15447" xr:uid="{00000000-0005-0000-0000-0000373B0000}"/>
    <cellStyle name="Normal 53 6" xfId="3382" xr:uid="{00000000-0005-0000-0000-0000383B0000}"/>
    <cellStyle name="Normal 53 6 2" xfId="10057" xr:uid="{00000000-0005-0000-0000-0000393B0000}"/>
    <cellStyle name="Normal 53 6 2 2" xfId="18807" xr:uid="{00000000-0005-0000-0000-00003A3B0000}"/>
    <cellStyle name="Normal 53 6 3" xfId="8455" xr:uid="{00000000-0005-0000-0000-00003B3B0000}"/>
    <cellStyle name="Normal 53 6 3 2" xfId="17208" xr:uid="{00000000-0005-0000-0000-00003C3B0000}"/>
    <cellStyle name="Normal 53 6 4" xfId="11667" xr:uid="{00000000-0005-0000-0000-00003D3B0000}"/>
    <cellStyle name="Normal 53 6 4 2" xfId="20354" xr:uid="{00000000-0005-0000-0000-00003E3B0000}"/>
    <cellStyle name="Normal 53 6 5" xfId="13274" xr:uid="{00000000-0005-0000-0000-00003F3B0000}"/>
    <cellStyle name="Normal 53 6 5 2" xfId="21954" xr:uid="{00000000-0005-0000-0000-0000403B0000}"/>
    <cellStyle name="Normal 53 6 6" xfId="15448" xr:uid="{00000000-0005-0000-0000-0000413B0000}"/>
    <cellStyle name="Normal 53 7" xfId="10046" xr:uid="{00000000-0005-0000-0000-0000423B0000}"/>
    <cellStyle name="Normal 53 7 2" xfId="18796" xr:uid="{00000000-0005-0000-0000-0000433B0000}"/>
    <cellStyle name="Normal 53 8" xfId="8444" xr:uid="{00000000-0005-0000-0000-0000443B0000}"/>
    <cellStyle name="Normal 53 8 2" xfId="17197" xr:uid="{00000000-0005-0000-0000-0000453B0000}"/>
    <cellStyle name="Normal 53 9" xfId="11656" xr:uid="{00000000-0005-0000-0000-0000463B0000}"/>
    <cellStyle name="Normal 53 9 2" xfId="20343" xr:uid="{00000000-0005-0000-0000-0000473B0000}"/>
    <cellStyle name="Normal 54" xfId="3383" xr:uid="{00000000-0005-0000-0000-0000483B0000}"/>
    <cellStyle name="Normal 54 10" xfId="13275" xr:uid="{00000000-0005-0000-0000-0000493B0000}"/>
    <cellStyle name="Normal 54 10 2" xfId="21955" xr:uid="{00000000-0005-0000-0000-00004A3B0000}"/>
    <cellStyle name="Normal 54 11" xfId="15449" xr:uid="{00000000-0005-0000-0000-00004B3B0000}"/>
    <cellStyle name="Normal 54 2" xfId="3384" xr:uid="{00000000-0005-0000-0000-00004C3B0000}"/>
    <cellStyle name="Normal 54 2 2" xfId="3385" xr:uid="{00000000-0005-0000-0000-00004D3B0000}"/>
    <cellStyle name="Normal 54 2 2 2" xfId="10060" xr:uid="{00000000-0005-0000-0000-00004E3B0000}"/>
    <cellStyle name="Normal 54 2 2 2 2" xfId="18810" xr:uid="{00000000-0005-0000-0000-00004F3B0000}"/>
    <cellStyle name="Normal 54 2 2 3" xfId="8458" xr:uid="{00000000-0005-0000-0000-0000503B0000}"/>
    <cellStyle name="Normal 54 2 2 3 2" xfId="17211" xr:uid="{00000000-0005-0000-0000-0000513B0000}"/>
    <cellStyle name="Normal 54 2 2 4" xfId="11670" xr:uid="{00000000-0005-0000-0000-0000523B0000}"/>
    <cellStyle name="Normal 54 2 2 4 2" xfId="20357" xr:uid="{00000000-0005-0000-0000-0000533B0000}"/>
    <cellStyle name="Normal 54 2 2 5" xfId="13277" xr:uid="{00000000-0005-0000-0000-0000543B0000}"/>
    <cellStyle name="Normal 54 2 2 5 2" xfId="21957" xr:uid="{00000000-0005-0000-0000-0000553B0000}"/>
    <cellStyle name="Normal 54 2 2 6" xfId="15451" xr:uid="{00000000-0005-0000-0000-0000563B0000}"/>
    <cellStyle name="Normal 54 2 3" xfId="3386" xr:uid="{00000000-0005-0000-0000-0000573B0000}"/>
    <cellStyle name="Normal 54 2 3 2" xfId="10061" xr:uid="{00000000-0005-0000-0000-0000583B0000}"/>
    <cellStyle name="Normal 54 2 3 2 2" xfId="18811" xr:uid="{00000000-0005-0000-0000-0000593B0000}"/>
    <cellStyle name="Normal 54 2 3 3" xfId="8459" xr:uid="{00000000-0005-0000-0000-00005A3B0000}"/>
    <cellStyle name="Normal 54 2 3 3 2" xfId="17212" xr:uid="{00000000-0005-0000-0000-00005B3B0000}"/>
    <cellStyle name="Normal 54 2 3 4" xfId="11671" xr:uid="{00000000-0005-0000-0000-00005C3B0000}"/>
    <cellStyle name="Normal 54 2 3 4 2" xfId="20358" xr:uid="{00000000-0005-0000-0000-00005D3B0000}"/>
    <cellStyle name="Normal 54 2 3 5" xfId="13278" xr:uid="{00000000-0005-0000-0000-00005E3B0000}"/>
    <cellStyle name="Normal 54 2 3 5 2" xfId="21958" xr:uid="{00000000-0005-0000-0000-00005F3B0000}"/>
    <cellStyle name="Normal 54 2 3 6" xfId="15452" xr:uid="{00000000-0005-0000-0000-0000603B0000}"/>
    <cellStyle name="Normal 54 2 4" xfId="3387" xr:uid="{00000000-0005-0000-0000-0000613B0000}"/>
    <cellStyle name="Normal 54 2 4 2" xfId="10062" xr:uid="{00000000-0005-0000-0000-0000623B0000}"/>
    <cellStyle name="Normal 54 2 4 2 2" xfId="18812" xr:uid="{00000000-0005-0000-0000-0000633B0000}"/>
    <cellStyle name="Normal 54 2 4 3" xfId="8460" xr:uid="{00000000-0005-0000-0000-0000643B0000}"/>
    <cellStyle name="Normal 54 2 4 3 2" xfId="17213" xr:uid="{00000000-0005-0000-0000-0000653B0000}"/>
    <cellStyle name="Normal 54 2 4 4" xfId="11672" xr:uid="{00000000-0005-0000-0000-0000663B0000}"/>
    <cellStyle name="Normal 54 2 4 4 2" xfId="20359" xr:uid="{00000000-0005-0000-0000-0000673B0000}"/>
    <cellStyle name="Normal 54 2 4 5" xfId="13279" xr:uid="{00000000-0005-0000-0000-0000683B0000}"/>
    <cellStyle name="Normal 54 2 4 5 2" xfId="21959" xr:uid="{00000000-0005-0000-0000-0000693B0000}"/>
    <cellStyle name="Normal 54 2 4 6" xfId="15453" xr:uid="{00000000-0005-0000-0000-00006A3B0000}"/>
    <cellStyle name="Normal 54 2 5" xfId="10059" xr:uid="{00000000-0005-0000-0000-00006B3B0000}"/>
    <cellStyle name="Normal 54 2 5 2" xfId="18809" xr:uid="{00000000-0005-0000-0000-00006C3B0000}"/>
    <cellStyle name="Normal 54 2 6" xfId="8457" xr:uid="{00000000-0005-0000-0000-00006D3B0000}"/>
    <cellStyle name="Normal 54 2 6 2" xfId="17210" xr:uid="{00000000-0005-0000-0000-00006E3B0000}"/>
    <cellStyle name="Normal 54 2 7" xfId="11669" xr:uid="{00000000-0005-0000-0000-00006F3B0000}"/>
    <cellStyle name="Normal 54 2 7 2" xfId="20356" xr:uid="{00000000-0005-0000-0000-0000703B0000}"/>
    <cellStyle name="Normal 54 2 8" xfId="13276" xr:uid="{00000000-0005-0000-0000-0000713B0000}"/>
    <cellStyle name="Normal 54 2 8 2" xfId="21956" xr:uid="{00000000-0005-0000-0000-0000723B0000}"/>
    <cellStyle name="Normal 54 2 9" xfId="15450" xr:uid="{00000000-0005-0000-0000-0000733B0000}"/>
    <cellStyle name="Normal 54 3" xfId="3388" xr:uid="{00000000-0005-0000-0000-0000743B0000}"/>
    <cellStyle name="Normal 54 3 2" xfId="3389" xr:uid="{00000000-0005-0000-0000-0000753B0000}"/>
    <cellStyle name="Normal 54 3 2 2" xfId="10064" xr:uid="{00000000-0005-0000-0000-0000763B0000}"/>
    <cellStyle name="Normal 54 3 2 2 2" xfId="18814" xr:uid="{00000000-0005-0000-0000-0000773B0000}"/>
    <cellStyle name="Normal 54 3 2 3" xfId="8462" xr:uid="{00000000-0005-0000-0000-0000783B0000}"/>
    <cellStyle name="Normal 54 3 2 3 2" xfId="17215" xr:uid="{00000000-0005-0000-0000-0000793B0000}"/>
    <cellStyle name="Normal 54 3 2 4" xfId="11674" xr:uid="{00000000-0005-0000-0000-00007A3B0000}"/>
    <cellStyle name="Normal 54 3 2 4 2" xfId="20361" xr:uid="{00000000-0005-0000-0000-00007B3B0000}"/>
    <cellStyle name="Normal 54 3 2 5" xfId="13281" xr:uid="{00000000-0005-0000-0000-00007C3B0000}"/>
    <cellStyle name="Normal 54 3 2 5 2" xfId="21961" xr:uid="{00000000-0005-0000-0000-00007D3B0000}"/>
    <cellStyle name="Normal 54 3 2 6" xfId="15455" xr:uid="{00000000-0005-0000-0000-00007E3B0000}"/>
    <cellStyle name="Normal 54 3 3" xfId="3390" xr:uid="{00000000-0005-0000-0000-00007F3B0000}"/>
    <cellStyle name="Normal 54 3 3 2" xfId="10065" xr:uid="{00000000-0005-0000-0000-0000803B0000}"/>
    <cellStyle name="Normal 54 3 3 2 2" xfId="18815" xr:uid="{00000000-0005-0000-0000-0000813B0000}"/>
    <cellStyle name="Normal 54 3 3 3" xfId="8463" xr:uid="{00000000-0005-0000-0000-0000823B0000}"/>
    <cellStyle name="Normal 54 3 3 3 2" xfId="17216" xr:uid="{00000000-0005-0000-0000-0000833B0000}"/>
    <cellStyle name="Normal 54 3 3 4" xfId="11675" xr:uid="{00000000-0005-0000-0000-0000843B0000}"/>
    <cellStyle name="Normal 54 3 3 4 2" xfId="20362" xr:uid="{00000000-0005-0000-0000-0000853B0000}"/>
    <cellStyle name="Normal 54 3 3 5" xfId="13282" xr:uid="{00000000-0005-0000-0000-0000863B0000}"/>
    <cellStyle name="Normal 54 3 3 5 2" xfId="21962" xr:uid="{00000000-0005-0000-0000-0000873B0000}"/>
    <cellStyle name="Normal 54 3 3 6" xfId="15456" xr:uid="{00000000-0005-0000-0000-0000883B0000}"/>
    <cellStyle name="Normal 54 3 4" xfId="3391" xr:uid="{00000000-0005-0000-0000-0000893B0000}"/>
    <cellStyle name="Normal 54 3 4 2" xfId="10066" xr:uid="{00000000-0005-0000-0000-00008A3B0000}"/>
    <cellStyle name="Normal 54 3 4 2 2" xfId="18816" xr:uid="{00000000-0005-0000-0000-00008B3B0000}"/>
    <cellStyle name="Normal 54 3 4 3" xfId="8464" xr:uid="{00000000-0005-0000-0000-00008C3B0000}"/>
    <cellStyle name="Normal 54 3 4 3 2" xfId="17217" xr:uid="{00000000-0005-0000-0000-00008D3B0000}"/>
    <cellStyle name="Normal 54 3 4 4" xfId="11676" xr:uid="{00000000-0005-0000-0000-00008E3B0000}"/>
    <cellStyle name="Normal 54 3 4 4 2" xfId="20363" xr:uid="{00000000-0005-0000-0000-00008F3B0000}"/>
    <cellStyle name="Normal 54 3 4 5" xfId="13283" xr:uid="{00000000-0005-0000-0000-0000903B0000}"/>
    <cellStyle name="Normal 54 3 4 5 2" xfId="21963" xr:uid="{00000000-0005-0000-0000-0000913B0000}"/>
    <cellStyle name="Normal 54 3 4 6" xfId="15457" xr:uid="{00000000-0005-0000-0000-0000923B0000}"/>
    <cellStyle name="Normal 54 3 5" xfId="10063" xr:uid="{00000000-0005-0000-0000-0000933B0000}"/>
    <cellStyle name="Normal 54 3 5 2" xfId="18813" xr:uid="{00000000-0005-0000-0000-0000943B0000}"/>
    <cellStyle name="Normal 54 3 6" xfId="8461" xr:uid="{00000000-0005-0000-0000-0000953B0000}"/>
    <cellStyle name="Normal 54 3 6 2" xfId="17214" xr:uid="{00000000-0005-0000-0000-0000963B0000}"/>
    <cellStyle name="Normal 54 3 7" xfId="11673" xr:uid="{00000000-0005-0000-0000-0000973B0000}"/>
    <cellStyle name="Normal 54 3 7 2" xfId="20360" xr:uid="{00000000-0005-0000-0000-0000983B0000}"/>
    <cellStyle name="Normal 54 3 8" xfId="13280" xr:uid="{00000000-0005-0000-0000-0000993B0000}"/>
    <cellStyle name="Normal 54 3 8 2" xfId="21960" xr:uid="{00000000-0005-0000-0000-00009A3B0000}"/>
    <cellStyle name="Normal 54 3 9" xfId="15454" xr:uid="{00000000-0005-0000-0000-00009B3B0000}"/>
    <cellStyle name="Normal 54 4" xfId="3392" xr:uid="{00000000-0005-0000-0000-00009C3B0000}"/>
    <cellStyle name="Normal 54 4 2" xfId="10067" xr:uid="{00000000-0005-0000-0000-00009D3B0000}"/>
    <cellStyle name="Normal 54 4 2 2" xfId="18817" xr:uid="{00000000-0005-0000-0000-00009E3B0000}"/>
    <cellStyle name="Normal 54 4 3" xfId="8465" xr:uid="{00000000-0005-0000-0000-00009F3B0000}"/>
    <cellStyle name="Normal 54 4 3 2" xfId="17218" xr:uid="{00000000-0005-0000-0000-0000A03B0000}"/>
    <cellStyle name="Normal 54 4 4" xfId="11677" xr:uid="{00000000-0005-0000-0000-0000A13B0000}"/>
    <cellStyle name="Normal 54 4 4 2" xfId="20364" xr:uid="{00000000-0005-0000-0000-0000A23B0000}"/>
    <cellStyle name="Normal 54 4 5" xfId="13284" xr:uid="{00000000-0005-0000-0000-0000A33B0000}"/>
    <cellStyle name="Normal 54 4 5 2" xfId="21964" xr:uid="{00000000-0005-0000-0000-0000A43B0000}"/>
    <cellStyle name="Normal 54 4 6" xfId="15458" xr:uid="{00000000-0005-0000-0000-0000A53B0000}"/>
    <cellStyle name="Normal 54 5" xfId="3393" xr:uid="{00000000-0005-0000-0000-0000A63B0000}"/>
    <cellStyle name="Normal 54 5 2" xfId="10068" xr:uid="{00000000-0005-0000-0000-0000A73B0000}"/>
    <cellStyle name="Normal 54 5 2 2" xfId="18818" xr:uid="{00000000-0005-0000-0000-0000A83B0000}"/>
    <cellStyle name="Normal 54 5 3" xfId="8466" xr:uid="{00000000-0005-0000-0000-0000A93B0000}"/>
    <cellStyle name="Normal 54 5 3 2" xfId="17219" xr:uid="{00000000-0005-0000-0000-0000AA3B0000}"/>
    <cellStyle name="Normal 54 5 4" xfId="11678" xr:uid="{00000000-0005-0000-0000-0000AB3B0000}"/>
    <cellStyle name="Normal 54 5 4 2" xfId="20365" xr:uid="{00000000-0005-0000-0000-0000AC3B0000}"/>
    <cellStyle name="Normal 54 5 5" xfId="13285" xr:uid="{00000000-0005-0000-0000-0000AD3B0000}"/>
    <cellStyle name="Normal 54 5 5 2" xfId="21965" xr:uid="{00000000-0005-0000-0000-0000AE3B0000}"/>
    <cellStyle name="Normal 54 5 6" xfId="15459" xr:uid="{00000000-0005-0000-0000-0000AF3B0000}"/>
    <cellStyle name="Normal 54 6" xfId="3394" xr:uid="{00000000-0005-0000-0000-0000B03B0000}"/>
    <cellStyle name="Normal 54 6 2" xfId="10069" xr:uid="{00000000-0005-0000-0000-0000B13B0000}"/>
    <cellStyle name="Normal 54 6 2 2" xfId="18819" xr:uid="{00000000-0005-0000-0000-0000B23B0000}"/>
    <cellStyle name="Normal 54 6 3" xfId="8467" xr:uid="{00000000-0005-0000-0000-0000B33B0000}"/>
    <cellStyle name="Normal 54 6 3 2" xfId="17220" xr:uid="{00000000-0005-0000-0000-0000B43B0000}"/>
    <cellStyle name="Normal 54 6 4" xfId="11679" xr:uid="{00000000-0005-0000-0000-0000B53B0000}"/>
    <cellStyle name="Normal 54 6 4 2" xfId="20366" xr:uid="{00000000-0005-0000-0000-0000B63B0000}"/>
    <cellStyle name="Normal 54 6 5" xfId="13286" xr:uid="{00000000-0005-0000-0000-0000B73B0000}"/>
    <cellStyle name="Normal 54 6 5 2" xfId="21966" xr:uid="{00000000-0005-0000-0000-0000B83B0000}"/>
    <cellStyle name="Normal 54 6 6" xfId="15460" xr:uid="{00000000-0005-0000-0000-0000B93B0000}"/>
    <cellStyle name="Normal 54 7" xfId="10058" xr:uid="{00000000-0005-0000-0000-0000BA3B0000}"/>
    <cellStyle name="Normal 54 7 2" xfId="18808" xr:uid="{00000000-0005-0000-0000-0000BB3B0000}"/>
    <cellStyle name="Normal 54 8" xfId="8456" xr:uid="{00000000-0005-0000-0000-0000BC3B0000}"/>
    <cellStyle name="Normal 54 8 2" xfId="17209" xr:uid="{00000000-0005-0000-0000-0000BD3B0000}"/>
    <cellStyle name="Normal 54 9" xfId="11668" xr:uid="{00000000-0005-0000-0000-0000BE3B0000}"/>
    <cellStyle name="Normal 54 9 2" xfId="20355" xr:uid="{00000000-0005-0000-0000-0000BF3B0000}"/>
    <cellStyle name="Normal 55" xfId="3395" xr:uid="{00000000-0005-0000-0000-0000C03B0000}"/>
    <cellStyle name="Normal 55 10" xfId="13287" xr:uid="{00000000-0005-0000-0000-0000C13B0000}"/>
    <cellStyle name="Normal 55 10 2" xfId="21967" xr:uid="{00000000-0005-0000-0000-0000C23B0000}"/>
    <cellStyle name="Normal 55 11" xfId="15461" xr:uid="{00000000-0005-0000-0000-0000C33B0000}"/>
    <cellStyle name="Normal 55 2" xfId="3396" xr:uid="{00000000-0005-0000-0000-0000C43B0000}"/>
    <cellStyle name="Normal 55 2 2" xfId="3397" xr:uid="{00000000-0005-0000-0000-0000C53B0000}"/>
    <cellStyle name="Normal 55 2 2 2" xfId="10072" xr:uid="{00000000-0005-0000-0000-0000C63B0000}"/>
    <cellStyle name="Normal 55 2 2 2 2" xfId="18822" xr:uid="{00000000-0005-0000-0000-0000C73B0000}"/>
    <cellStyle name="Normal 55 2 2 3" xfId="8470" xr:uid="{00000000-0005-0000-0000-0000C83B0000}"/>
    <cellStyle name="Normal 55 2 2 3 2" xfId="17223" xr:uid="{00000000-0005-0000-0000-0000C93B0000}"/>
    <cellStyle name="Normal 55 2 2 4" xfId="11682" xr:uid="{00000000-0005-0000-0000-0000CA3B0000}"/>
    <cellStyle name="Normal 55 2 2 4 2" xfId="20369" xr:uid="{00000000-0005-0000-0000-0000CB3B0000}"/>
    <cellStyle name="Normal 55 2 2 5" xfId="13289" xr:uid="{00000000-0005-0000-0000-0000CC3B0000}"/>
    <cellStyle name="Normal 55 2 2 5 2" xfId="21969" xr:uid="{00000000-0005-0000-0000-0000CD3B0000}"/>
    <cellStyle name="Normal 55 2 2 6" xfId="15463" xr:uid="{00000000-0005-0000-0000-0000CE3B0000}"/>
    <cellStyle name="Normal 55 2 3" xfId="3398" xr:uid="{00000000-0005-0000-0000-0000CF3B0000}"/>
    <cellStyle name="Normal 55 2 3 2" xfId="10073" xr:uid="{00000000-0005-0000-0000-0000D03B0000}"/>
    <cellStyle name="Normal 55 2 3 2 2" xfId="18823" xr:uid="{00000000-0005-0000-0000-0000D13B0000}"/>
    <cellStyle name="Normal 55 2 3 3" xfId="8471" xr:uid="{00000000-0005-0000-0000-0000D23B0000}"/>
    <cellStyle name="Normal 55 2 3 3 2" xfId="17224" xr:uid="{00000000-0005-0000-0000-0000D33B0000}"/>
    <cellStyle name="Normal 55 2 3 4" xfId="11683" xr:uid="{00000000-0005-0000-0000-0000D43B0000}"/>
    <cellStyle name="Normal 55 2 3 4 2" xfId="20370" xr:uid="{00000000-0005-0000-0000-0000D53B0000}"/>
    <cellStyle name="Normal 55 2 3 5" xfId="13290" xr:uid="{00000000-0005-0000-0000-0000D63B0000}"/>
    <cellStyle name="Normal 55 2 3 5 2" xfId="21970" xr:uid="{00000000-0005-0000-0000-0000D73B0000}"/>
    <cellStyle name="Normal 55 2 3 6" xfId="15464" xr:uid="{00000000-0005-0000-0000-0000D83B0000}"/>
    <cellStyle name="Normal 55 2 4" xfId="3399" xr:uid="{00000000-0005-0000-0000-0000D93B0000}"/>
    <cellStyle name="Normal 55 2 4 2" xfId="10074" xr:uid="{00000000-0005-0000-0000-0000DA3B0000}"/>
    <cellStyle name="Normal 55 2 4 2 2" xfId="18824" xr:uid="{00000000-0005-0000-0000-0000DB3B0000}"/>
    <cellStyle name="Normal 55 2 4 3" xfId="8472" xr:uid="{00000000-0005-0000-0000-0000DC3B0000}"/>
    <cellStyle name="Normal 55 2 4 3 2" xfId="17225" xr:uid="{00000000-0005-0000-0000-0000DD3B0000}"/>
    <cellStyle name="Normal 55 2 4 4" xfId="11684" xr:uid="{00000000-0005-0000-0000-0000DE3B0000}"/>
    <cellStyle name="Normal 55 2 4 4 2" xfId="20371" xr:uid="{00000000-0005-0000-0000-0000DF3B0000}"/>
    <cellStyle name="Normal 55 2 4 5" xfId="13291" xr:uid="{00000000-0005-0000-0000-0000E03B0000}"/>
    <cellStyle name="Normal 55 2 4 5 2" xfId="21971" xr:uid="{00000000-0005-0000-0000-0000E13B0000}"/>
    <cellStyle name="Normal 55 2 4 6" xfId="15465" xr:uid="{00000000-0005-0000-0000-0000E23B0000}"/>
    <cellStyle name="Normal 55 2 5" xfId="10071" xr:uid="{00000000-0005-0000-0000-0000E33B0000}"/>
    <cellStyle name="Normal 55 2 5 2" xfId="18821" xr:uid="{00000000-0005-0000-0000-0000E43B0000}"/>
    <cellStyle name="Normal 55 2 6" xfId="8469" xr:uid="{00000000-0005-0000-0000-0000E53B0000}"/>
    <cellStyle name="Normal 55 2 6 2" xfId="17222" xr:uid="{00000000-0005-0000-0000-0000E63B0000}"/>
    <cellStyle name="Normal 55 2 7" xfId="11681" xr:uid="{00000000-0005-0000-0000-0000E73B0000}"/>
    <cellStyle name="Normal 55 2 7 2" xfId="20368" xr:uid="{00000000-0005-0000-0000-0000E83B0000}"/>
    <cellStyle name="Normal 55 2 8" xfId="13288" xr:uid="{00000000-0005-0000-0000-0000E93B0000}"/>
    <cellStyle name="Normal 55 2 8 2" xfId="21968" xr:uid="{00000000-0005-0000-0000-0000EA3B0000}"/>
    <cellStyle name="Normal 55 2 9" xfId="15462" xr:uid="{00000000-0005-0000-0000-0000EB3B0000}"/>
    <cellStyle name="Normal 55 3" xfId="3400" xr:uid="{00000000-0005-0000-0000-0000EC3B0000}"/>
    <cellStyle name="Normal 55 3 2" xfId="3401" xr:uid="{00000000-0005-0000-0000-0000ED3B0000}"/>
    <cellStyle name="Normal 55 3 2 2" xfId="10076" xr:uid="{00000000-0005-0000-0000-0000EE3B0000}"/>
    <cellStyle name="Normal 55 3 2 2 2" xfId="18826" xr:uid="{00000000-0005-0000-0000-0000EF3B0000}"/>
    <cellStyle name="Normal 55 3 2 3" xfId="8474" xr:uid="{00000000-0005-0000-0000-0000F03B0000}"/>
    <cellStyle name="Normal 55 3 2 3 2" xfId="17227" xr:uid="{00000000-0005-0000-0000-0000F13B0000}"/>
    <cellStyle name="Normal 55 3 2 4" xfId="11686" xr:uid="{00000000-0005-0000-0000-0000F23B0000}"/>
    <cellStyle name="Normal 55 3 2 4 2" xfId="20373" xr:uid="{00000000-0005-0000-0000-0000F33B0000}"/>
    <cellStyle name="Normal 55 3 2 5" xfId="13293" xr:uid="{00000000-0005-0000-0000-0000F43B0000}"/>
    <cellStyle name="Normal 55 3 2 5 2" xfId="21973" xr:uid="{00000000-0005-0000-0000-0000F53B0000}"/>
    <cellStyle name="Normal 55 3 2 6" xfId="15467" xr:uid="{00000000-0005-0000-0000-0000F63B0000}"/>
    <cellStyle name="Normal 55 3 3" xfId="3402" xr:uid="{00000000-0005-0000-0000-0000F73B0000}"/>
    <cellStyle name="Normal 55 3 3 2" xfId="10077" xr:uid="{00000000-0005-0000-0000-0000F83B0000}"/>
    <cellStyle name="Normal 55 3 3 2 2" xfId="18827" xr:uid="{00000000-0005-0000-0000-0000F93B0000}"/>
    <cellStyle name="Normal 55 3 3 3" xfId="8475" xr:uid="{00000000-0005-0000-0000-0000FA3B0000}"/>
    <cellStyle name="Normal 55 3 3 3 2" xfId="17228" xr:uid="{00000000-0005-0000-0000-0000FB3B0000}"/>
    <cellStyle name="Normal 55 3 3 4" xfId="11687" xr:uid="{00000000-0005-0000-0000-0000FC3B0000}"/>
    <cellStyle name="Normal 55 3 3 4 2" xfId="20374" xr:uid="{00000000-0005-0000-0000-0000FD3B0000}"/>
    <cellStyle name="Normal 55 3 3 5" xfId="13294" xr:uid="{00000000-0005-0000-0000-0000FE3B0000}"/>
    <cellStyle name="Normal 55 3 3 5 2" xfId="21974" xr:uid="{00000000-0005-0000-0000-0000FF3B0000}"/>
    <cellStyle name="Normal 55 3 3 6" xfId="15468" xr:uid="{00000000-0005-0000-0000-0000003C0000}"/>
    <cellStyle name="Normal 55 3 4" xfId="3403" xr:uid="{00000000-0005-0000-0000-0000013C0000}"/>
    <cellStyle name="Normal 55 3 4 2" xfId="10078" xr:uid="{00000000-0005-0000-0000-0000023C0000}"/>
    <cellStyle name="Normal 55 3 4 2 2" xfId="18828" xr:uid="{00000000-0005-0000-0000-0000033C0000}"/>
    <cellStyle name="Normal 55 3 4 3" xfId="8476" xr:uid="{00000000-0005-0000-0000-0000043C0000}"/>
    <cellStyle name="Normal 55 3 4 3 2" xfId="17229" xr:uid="{00000000-0005-0000-0000-0000053C0000}"/>
    <cellStyle name="Normal 55 3 4 4" xfId="11688" xr:uid="{00000000-0005-0000-0000-0000063C0000}"/>
    <cellStyle name="Normal 55 3 4 4 2" xfId="20375" xr:uid="{00000000-0005-0000-0000-0000073C0000}"/>
    <cellStyle name="Normal 55 3 4 5" xfId="13295" xr:uid="{00000000-0005-0000-0000-0000083C0000}"/>
    <cellStyle name="Normal 55 3 4 5 2" xfId="21975" xr:uid="{00000000-0005-0000-0000-0000093C0000}"/>
    <cellStyle name="Normal 55 3 4 6" xfId="15469" xr:uid="{00000000-0005-0000-0000-00000A3C0000}"/>
    <cellStyle name="Normal 55 3 5" xfId="10075" xr:uid="{00000000-0005-0000-0000-00000B3C0000}"/>
    <cellStyle name="Normal 55 3 5 2" xfId="18825" xr:uid="{00000000-0005-0000-0000-00000C3C0000}"/>
    <cellStyle name="Normal 55 3 6" xfId="8473" xr:uid="{00000000-0005-0000-0000-00000D3C0000}"/>
    <cellStyle name="Normal 55 3 6 2" xfId="17226" xr:uid="{00000000-0005-0000-0000-00000E3C0000}"/>
    <cellStyle name="Normal 55 3 7" xfId="11685" xr:uid="{00000000-0005-0000-0000-00000F3C0000}"/>
    <cellStyle name="Normal 55 3 7 2" xfId="20372" xr:uid="{00000000-0005-0000-0000-0000103C0000}"/>
    <cellStyle name="Normal 55 3 8" xfId="13292" xr:uid="{00000000-0005-0000-0000-0000113C0000}"/>
    <cellStyle name="Normal 55 3 8 2" xfId="21972" xr:uid="{00000000-0005-0000-0000-0000123C0000}"/>
    <cellStyle name="Normal 55 3 9" xfId="15466" xr:uid="{00000000-0005-0000-0000-0000133C0000}"/>
    <cellStyle name="Normal 55 4" xfId="3404" xr:uid="{00000000-0005-0000-0000-0000143C0000}"/>
    <cellStyle name="Normal 55 4 2" xfId="10079" xr:uid="{00000000-0005-0000-0000-0000153C0000}"/>
    <cellStyle name="Normal 55 4 2 2" xfId="18829" xr:uid="{00000000-0005-0000-0000-0000163C0000}"/>
    <cellStyle name="Normal 55 4 3" xfId="8477" xr:uid="{00000000-0005-0000-0000-0000173C0000}"/>
    <cellStyle name="Normal 55 4 3 2" xfId="17230" xr:uid="{00000000-0005-0000-0000-0000183C0000}"/>
    <cellStyle name="Normal 55 4 4" xfId="11689" xr:uid="{00000000-0005-0000-0000-0000193C0000}"/>
    <cellStyle name="Normal 55 4 4 2" xfId="20376" xr:uid="{00000000-0005-0000-0000-00001A3C0000}"/>
    <cellStyle name="Normal 55 4 5" xfId="13296" xr:uid="{00000000-0005-0000-0000-00001B3C0000}"/>
    <cellStyle name="Normal 55 4 5 2" xfId="21976" xr:uid="{00000000-0005-0000-0000-00001C3C0000}"/>
    <cellStyle name="Normal 55 4 6" xfId="15470" xr:uid="{00000000-0005-0000-0000-00001D3C0000}"/>
    <cellStyle name="Normal 55 5" xfId="3405" xr:uid="{00000000-0005-0000-0000-00001E3C0000}"/>
    <cellStyle name="Normal 55 5 2" xfId="10080" xr:uid="{00000000-0005-0000-0000-00001F3C0000}"/>
    <cellStyle name="Normal 55 5 2 2" xfId="18830" xr:uid="{00000000-0005-0000-0000-0000203C0000}"/>
    <cellStyle name="Normal 55 5 3" xfId="8478" xr:uid="{00000000-0005-0000-0000-0000213C0000}"/>
    <cellStyle name="Normal 55 5 3 2" xfId="17231" xr:uid="{00000000-0005-0000-0000-0000223C0000}"/>
    <cellStyle name="Normal 55 5 4" xfId="11690" xr:uid="{00000000-0005-0000-0000-0000233C0000}"/>
    <cellStyle name="Normal 55 5 4 2" xfId="20377" xr:uid="{00000000-0005-0000-0000-0000243C0000}"/>
    <cellStyle name="Normal 55 5 5" xfId="13297" xr:uid="{00000000-0005-0000-0000-0000253C0000}"/>
    <cellStyle name="Normal 55 5 5 2" xfId="21977" xr:uid="{00000000-0005-0000-0000-0000263C0000}"/>
    <cellStyle name="Normal 55 5 6" xfId="15471" xr:uid="{00000000-0005-0000-0000-0000273C0000}"/>
    <cellStyle name="Normal 55 6" xfId="3406" xr:uid="{00000000-0005-0000-0000-0000283C0000}"/>
    <cellStyle name="Normal 55 6 2" xfId="10081" xr:uid="{00000000-0005-0000-0000-0000293C0000}"/>
    <cellStyle name="Normal 55 6 2 2" xfId="18831" xr:uid="{00000000-0005-0000-0000-00002A3C0000}"/>
    <cellStyle name="Normal 55 6 3" xfId="8479" xr:uid="{00000000-0005-0000-0000-00002B3C0000}"/>
    <cellStyle name="Normal 55 6 3 2" xfId="17232" xr:uid="{00000000-0005-0000-0000-00002C3C0000}"/>
    <cellStyle name="Normal 55 6 4" xfId="11691" xr:uid="{00000000-0005-0000-0000-00002D3C0000}"/>
    <cellStyle name="Normal 55 6 4 2" xfId="20378" xr:uid="{00000000-0005-0000-0000-00002E3C0000}"/>
    <cellStyle name="Normal 55 6 5" xfId="13298" xr:uid="{00000000-0005-0000-0000-00002F3C0000}"/>
    <cellStyle name="Normal 55 6 5 2" xfId="21978" xr:uid="{00000000-0005-0000-0000-0000303C0000}"/>
    <cellStyle name="Normal 55 6 6" xfId="15472" xr:uid="{00000000-0005-0000-0000-0000313C0000}"/>
    <cellStyle name="Normal 55 7" xfId="10070" xr:uid="{00000000-0005-0000-0000-0000323C0000}"/>
    <cellStyle name="Normal 55 7 2" xfId="18820" xr:uid="{00000000-0005-0000-0000-0000333C0000}"/>
    <cellStyle name="Normal 55 8" xfId="8468" xr:uid="{00000000-0005-0000-0000-0000343C0000}"/>
    <cellStyle name="Normal 55 8 2" xfId="17221" xr:uid="{00000000-0005-0000-0000-0000353C0000}"/>
    <cellStyle name="Normal 55 9" xfId="11680" xr:uid="{00000000-0005-0000-0000-0000363C0000}"/>
    <cellStyle name="Normal 55 9 2" xfId="20367" xr:uid="{00000000-0005-0000-0000-0000373C0000}"/>
    <cellStyle name="Normal 56" xfId="3407" xr:uid="{00000000-0005-0000-0000-0000383C0000}"/>
    <cellStyle name="Normal 56 10" xfId="13299" xr:uid="{00000000-0005-0000-0000-0000393C0000}"/>
    <cellStyle name="Normal 56 10 2" xfId="21979" xr:uid="{00000000-0005-0000-0000-00003A3C0000}"/>
    <cellStyle name="Normal 56 11" xfId="15473" xr:uid="{00000000-0005-0000-0000-00003B3C0000}"/>
    <cellStyle name="Normal 56 2" xfId="3408" xr:uid="{00000000-0005-0000-0000-00003C3C0000}"/>
    <cellStyle name="Normal 56 2 2" xfId="3409" xr:uid="{00000000-0005-0000-0000-00003D3C0000}"/>
    <cellStyle name="Normal 56 2 2 2" xfId="10084" xr:uid="{00000000-0005-0000-0000-00003E3C0000}"/>
    <cellStyle name="Normal 56 2 2 2 2" xfId="18834" xr:uid="{00000000-0005-0000-0000-00003F3C0000}"/>
    <cellStyle name="Normal 56 2 2 3" xfId="8482" xr:uid="{00000000-0005-0000-0000-0000403C0000}"/>
    <cellStyle name="Normal 56 2 2 3 2" xfId="17235" xr:uid="{00000000-0005-0000-0000-0000413C0000}"/>
    <cellStyle name="Normal 56 2 2 4" xfId="11694" xr:uid="{00000000-0005-0000-0000-0000423C0000}"/>
    <cellStyle name="Normal 56 2 2 4 2" xfId="20381" xr:uid="{00000000-0005-0000-0000-0000433C0000}"/>
    <cellStyle name="Normal 56 2 2 5" xfId="13301" xr:uid="{00000000-0005-0000-0000-0000443C0000}"/>
    <cellStyle name="Normal 56 2 2 5 2" xfId="21981" xr:uid="{00000000-0005-0000-0000-0000453C0000}"/>
    <cellStyle name="Normal 56 2 2 6" xfId="15475" xr:uid="{00000000-0005-0000-0000-0000463C0000}"/>
    <cellStyle name="Normal 56 2 3" xfId="3410" xr:uid="{00000000-0005-0000-0000-0000473C0000}"/>
    <cellStyle name="Normal 56 2 3 2" xfId="10085" xr:uid="{00000000-0005-0000-0000-0000483C0000}"/>
    <cellStyle name="Normal 56 2 3 2 2" xfId="18835" xr:uid="{00000000-0005-0000-0000-0000493C0000}"/>
    <cellStyle name="Normal 56 2 3 3" xfId="8483" xr:uid="{00000000-0005-0000-0000-00004A3C0000}"/>
    <cellStyle name="Normal 56 2 3 3 2" xfId="17236" xr:uid="{00000000-0005-0000-0000-00004B3C0000}"/>
    <cellStyle name="Normal 56 2 3 4" xfId="11695" xr:uid="{00000000-0005-0000-0000-00004C3C0000}"/>
    <cellStyle name="Normal 56 2 3 4 2" xfId="20382" xr:uid="{00000000-0005-0000-0000-00004D3C0000}"/>
    <cellStyle name="Normal 56 2 3 5" xfId="13302" xr:uid="{00000000-0005-0000-0000-00004E3C0000}"/>
    <cellStyle name="Normal 56 2 3 5 2" xfId="21982" xr:uid="{00000000-0005-0000-0000-00004F3C0000}"/>
    <cellStyle name="Normal 56 2 3 6" xfId="15476" xr:uid="{00000000-0005-0000-0000-0000503C0000}"/>
    <cellStyle name="Normal 56 2 4" xfId="3411" xr:uid="{00000000-0005-0000-0000-0000513C0000}"/>
    <cellStyle name="Normal 56 2 4 2" xfId="10086" xr:uid="{00000000-0005-0000-0000-0000523C0000}"/>
    <cellStyle name="Normal 56 2 4 2 2" xfId="18836" xr:uid="{00000000-0005-0000-0000-0000533C0000}"/>
    <cellStyle name="Normal 56 2 4 3" xfId="8484" xr:uid="{00000000-0005-0000-0000-0000543C0000}"/>
    <cellStyle name="Normal 56 2 4 3 2" xfId="17237" xr:uid="{00000000-0005-0000-0000-0000553C0000}"/>
    <cellStyle name="Normal 56 2 4 4" xfId="11696" xr:uid="{00000000-0005-0000-0000-0000563C0000}"/>
    <cellStyle name="Normal 56 2 4 4 2" xfId="20383" xr:uid="{00000000-0005-0000-0000-0000573C0000}"/>
    <cellStyle name="Normal 56 2 4 5" xfId="13303" xr:uid="{00000000-0005-0000-0000-0000583C0000}"/>
    <cellStyle name="Normal 56 2 4 5 2" xfId="21983" xr:uid="{00000000-0005-0000-0000-0000593C0000}"/>
    <cellStyle name="Normal 56 2 4 6" xfId="15477" xr:uid="{00000000-0005-0000-0000-00005A3C0000}"/>
    <cellStyle name="Normal 56 2 5" xfId="10083" xr:uid="{00000000-0005-0000-0000-00005B3C0000}"/>
    <cellStyle name="Normal 56 2 5 2" xfId="18833" xr:uid="{00000000-0005-0000-0000-00005C3C0000}"/>
    <cellStyle name="Normal 56 2 6" xfId="8481" xr:uid="{00000000-0005-0000-0000-00005D3C0000}"/>
    <cellStyle name="Normal 56 2 6 2" xfId="17234" xr:uid="{00000000-0005-0000-0000-00005E3C0000}"/>
    <cellStyle name="Normal 56 2 7" xfId="11693" xr:uid="{00000000-0005-0000-0000-00005F3C0000}"/>
    <cellStyle name="Normal 56 2 7 2" xfId="20380" xr:uid="{00000000-0005-0000-0000-0000603C0000}"/>
    <cellStyle name="Normal 56 2 8" xfId="13300" xr:uid="{00000000-0005-0000-0000-0000613C0000}"/>
    <cellStyle name="Normal 56 2 8 2" xfId="21980" xr:uid="{00000000-0005-0000-0000-0000623C0000}"/>
    <cellStyle name="Normal 56 2 9" xfId="15474" xr:uid="{00000000-0005-0000-0000-0000633C0000}"/>
    <cellStyle name="Normal 56 3" xfId="3412" xr:uid="{00000000-0005-0000-0000-0000643C0000}"/>
    <cellStyle name="Normal 56 3 2" xfId="3413" xr:uid="{00000000-0005-0000-0000-0000653C0000}"/>
    <cellStyle name="Normal 56 3 2 2" xfId="10088" xr:uid="{00000000-0005-0000-0000-0000663C0000}"/>
    <cellStyle name="Normal 56 3 2 2 2" xfId="18838" xr:uid="{00000000-0005-0000-0000-0000673C0000}"/>
    <cellStyle name="Normal 56 3 2 3" xfId="8486" xr:uid="{00000000-0005-0000-0000-0000683C0000}"/>
    <cellStyle name="Normal 56 3 2 3 2" xfId="17239" xr:uid="{00000000-0005-0000-0000-0000693C0000}"/>
    <cellStyle name="Normal 56 3 2 4" xfId="11698" xr:uid="{00000000-0005-0000-0000-00006A3C0000}"/>
    <cellStyle name="Normal 56 3 2 4 2" xfId="20385" xr:uid="{00000000-0005-0000-0000-00006B3C0000}"/>
    <cellStyle name="Normal 56 3 2 5" xfId="13305" xr:uid="{00000000-0005-0000-0000-00006C3C0000}"/>
    <cellStyle name="Normal 56 3 2 5 2" xfId="21985" xr:uid="{00000000-0005-0000-0000-00006D3C0000}"/>
    <cellStyle name="Normal 56 3 2 6" xfId="15479" xr:uid="{00000000-0005-0000-0000-00006E3C0000}"/>
    <cellStyle name="Normal 56 3 3" xfId="3414" xr:uid="{00000000-0005-0000-0000-00006F3C0000}"/>
    <cellStyle name="Normal 56 3 3 2" xfId="10089" xr:uid="{00000000-0005-0000-0000-0000703C0000}"/>
    <cellStyle name="Normal 56 3 3 2 2" xfId="18839" xr:uid="{00000000-0005-0000-0000-0000713C0000}"/>
    <cellStyle name="Normal 56 3 3 3" xfId="8487" xr:uid="{00000000-0005-0000-0000-0000723C0000}"/>
    <cellStyle name="Normal 56 3 3 3 2" xfId="17240" xr:uid="{00000000-0005-0000-0000-0000733C0000}"/>
    <cellStyle name="Normal 56 3 3 4" xfId="11699" xr:uid="{00000000-0005-0000-0000-0000743C0000}"/>
    <cellStyle name="Normal 56 3 3 4 2" xfId="20386" xr:uid="{00000000-0005-0000-0000-0000753C0000}"/>
    <cellStyle name="Normal 56 3 3 5" xfId="13306" xr:uid="{00000000-0005-0000-0000-0000763C0000}"/>
    <cellStyle name="Normal 56 3 3 5 2" xfId="21986" xr:uid="{00000000-0005-0000-0000-0000773C0000}"/>
    <cellStyle name="Normal 56 3 3 6" xfId="15480" xr:uid="{00000000-0005-0000-0000-0000783C0000}"/>
    <cellStyle name="Normal 56 3 4" xfId="3415" xr:uid="{00000000-0005-0000-0000-0000793C0000}"/>
    <cellStyle name="Normal 56 3 4 2" xfId="10090" xr:uid="{00000000-0005-0000-0000-00007A3C0000}"/>
    <cellStyle name="Normal 56 3 4 2 2" xfId="18840" xr:uid="{00000000-0005-0000-0000-00007B3C0000}"/>
    <cellStyle name="Normal 56 3 4 3" xfId="8488" xr:uid="{00000000-0005-0000-0000-00007C3C0000}"/>
    <cellStyle name="Normal 56 3 4 3 2" xfId="17241" xr:uid="{00000000-0005-0000-0000-00007D3C0000}"/>
    <cellStyle name="Normal 56 3 4 4" xfId="11700" xr:uid="{00000000-0005-0000-0000-00007E3C0000}"/>
    <cellStyle name="Normal 56 3 4 4 2" xfId="20387" xr:uid="{00000000-0005-0000-0000-00007F3C0000}"/>
    <cellStyle name="Normal 56 3 4 5" xfId="13307" xr:uid="{00000000-0005-0000-0000-0000803C0000}"/>
    <cellStyle name="Normal 56 3 4 5 2" xfId="21987" xr:uid="{00000000-0005-0000-0000-0000813C0000}"/>
    <cellStyle name="Normal 56 3 4 6" xfId="15481" xr:uid="{00000000-0005-0000-0000-0000823C0000}"/>
    <cellStyle name="Normal 56 3 5" xfId="10087" xr:uid="{00000000-0005-0000-0000-0000833C0000}"/>
    <cellStyle name="Normal 56 3 5 2" xfId="18837" xr:uid="{00000000-0005-0000-0000-0000843C0000}"/>
    <cellStyle name="Normal 56 3 6" xfId="8485" xr:uid="{00000000-0005-0000-0000-0000853C0000}"/>
    <cellStyle name="Normal 56 3 6 2" xfId="17238" xr:uid="{00000000-0005-0000-0000-0000863C0000}"/>
    <cellStyle name="Normal 56 3 7" xfId="11697" xr:uid="{00000000-0005-0000-0000-0000873C0000}"/>
    <cellStyle name="Normal 56 3 7 2" xfId="20384" xr:uid="{00000000-0005-0000-0000-0000883C0000}"/>
    <cellStyle name="Normal 56 3 8" xfId="13304" xr:uid="{00000000-0005-0000-0000-0000893C0000}"/>
    <cellStyle name="Normal 56 3 8 2" xfId="21984" xr:uid="{00000000-0005-0000-0000-00008A3C0000}"/>
    <cellStyle name="Normal 56 3 9" xfId="15478" xr:uid="{00000000-0005-0000-0000-00008B3C0000}"/>
    <cellStyle name="Normal 56 4" xfId="3416" xr:uid="{00000000-0005-0000-0000-00008C3C0000}"/>
    <cellStyle name="Normal 56 4 2" xfId="10091" xr:uid="{00000000-0005-0000-0000-00008D3C0000}"/>
    <cellStyle name="Normal 56 4 2 2" xfId="18841" xr:uid="{00000000-0005-0000-0000-00008E3C0000}"/>
    <cellStyle name="Normal 56 4 3" xfId="8489" xr:uid="{00000000-0005-0000-0000-00008F3C0000}"/>
    <cellStyle name="Normal 56 4 3 2" xfId="17242" xr:uid="{00000000-0005-0000-0000-0000903C0000}"/>
    <cellStyle name="Normal 56 4 4" xfId="11701" xr:uid="{00000000-0005-0000-0000-0000913C0000}"/>
    <cellStyle name="Normal 56 4 4 2" xfId="20388" xr:uid="{00000000-0005-0000-0000-0000923C0000}"/>
    <cellStyle name="Normal 56 4 5" xfId="13308" xr:uid="{00000000-0005-0000-0000-0000933C0000}"/>
    <cellStyle name="Normal 56 4 5 2" xfId="21988" xr:uid="{00000000-0005-0000-0000-0000943C0000}"/>
    <cellStyle name="Normal 56 4 6" xfId="15482" xr:uid="{00000000-0005-0000-0000-0000953C0000}"/>
    <cellStyle name="Normal 56 5" xfId="3417" xr:uid="{00000000-0005-0000-0000-0000963C0000}"/>
    <cellStyle name="Normal 56 5 2" xfId="10092" xr:uid="{00000000-0005-0000-0000-0000973C0000}"/>
    <cellStyle name="Normal 56 5 2 2" xfId="18842" xr:uid="{00000000-0005-0000-0000-0000983C0000}"/>
    <cellStyle name="Normal 56 5 3" xfId="8490" xr:uid="{00000000-0005-0000-0000-0000993C0000}"/>
    <cellStyle name="Normal 56 5 3 2" xfId="17243" xr:uid="{00000000-0005-0000-0000-00009A3C0000}"/>
    <cellStyle name="Normal 56 5 4" xfId="11702" xr:uid="{00000000-0005-0000-0000-00009B3C0000}"/>
    <cellStyle name="Normal 56 5 4 2" xfId="20389" xr:uid="{00000000-0005-0000-0000-00009C3C0000}"/>
    <cellStyle name="Normal 56 5 5" xfId="13309" xr:uid="{00000000-0005-0000-0000-00009D3C0000}"/>
    <cellStyle name="Normal 56 5 5 2" xfId="21989" xr:uid="{00000000-0005-0000-0000-00009E3C0000}"/>
    <cellStyle name="Normal 56 5 6" xfId="15483" xr:uid="{00000000-0005-0000-0000-00009F3C0000}"/>
    <cellStyle name="Normal 56 6" xfId="3418" xr:uid="{00000000-0005-0000-0000-0000A03C0000}"/>
    <cellStyle name="Normal 56 6 2" xfId="10093" xr:uid="{00000000-0005-0000-0000-0000A13C0000}"/>
    <cellStyle name="Normal 56 6 2 2" xfId="18843" xr:uid="{00000000-0005-0000-0000-0000A23C0000}"/>
    <cellStyle name="Normal 56 6 3" xfId="8491" xr:uid="{00000000-0005-0000-0000-0000A33C0000}"/>
    <cellStyle name="Normal 56 6 3 2" xfId="17244" xr:uid="{00000000-0005-0000-0000-0000A43C0000}"/>
    <cellStyle name="Normal 56 6 4" xfId="11703" xr:uid="{00000000-0005-0000-0000-0000A53C0000}"/>
    <cellStyle name="Normal 56 6 4 2" xfId="20390" xr:uid="{00000000-0005-0000-0000-0000A63C0000}"/>
    <cellStyle name="Normal 56 6 5" xfId="13310" xr:uid="{00000000-0005-0000-0000-0000A73C0000}"/>
    <cellStyle name="Normal 56 6 5 2" xfId="21990" xr:uid="{00000000-0005-0000-0000-0000A83C0000}"/>
    <cellStyle name="Normal 56 6 6" xfId="15484" xr:uid="{00000000-0005-0000-0000-0000A93C0000}"/>
    <cellStyle name="Normal 56 7" xfId="10082" xr:uid="{00000000-0005-0000-0000-0000AA3C0000}"/>
    <cellStyle name="Normal 56 7 2" xfId="18832" xr:uid="{00000000-0005-0000-0000-0000AB3C0000}"/>
    <cellStyle name="Normal 56 8" xfId="8480" xr:uid="{00000000-0005-0000-0000-0000AC3C0000}"/>
    <cellStyle name="Normal 56 8 2" xfId="17233" xr:uid="{00000000-0005-0000-0000-0000AD3C0000}"/>
    <cellStyle name="Normal 56 9" xfId="11692" xr:uid="{00000000-0005-0000-0000-0000AE3C0000}"/>
    <cellStyle name="Normal 56 9 2" xfId="20379" xr:uid="{00000000-0005-0000-0000-0000AF3C0000}"/>
    <cellStyle name="Normal 57" xfId="3419" xr:uid="{00000000-0005-0000-0000-0000B03C0000}"/>
    <cellStyle name="Normal 57 10" xfId="13311" xr:uid="{00000000-0005-0000-0000-0000B13C0000}"/>
    <cellStyle name="Normal 57 10 2" xfId="21991" xr:uid="{00000000-0005-0000-0000-0000B23C0000}"/>
    <cellStyle name="Normal 57 11" xfId="15485" xr:uid="{00000000-0005-0000-0000-0000B33C0000}"/>
    <cellStyle name="Normal 57 2" xfId="3420" xr:uid="{00000000-0005-0000-0000-0000B43C0000}"/>
    <cellStyle name="Normal 57 2 2" xfId="3421" xr:uid="{00000000-0005-0000-0000-0000B53C0000}"/>
    <cellStyle name="Normal 57 2 2 2" xfId="10096" xr:uid="{00000000-0005-0000-0000-0000B63C0000}"/>
    <cellStyle name="Normal 57 2 2 2 2" xfId="18846" xr:uid="{00000000-0005-0000-0000-0000B73C0000}"/>
    <cellStyle name="Normal 57 2 2 3" xfId="8494" xr:uid="{00000000-0005-0000-0000-0000B83C0000}"/>
    <cellStyle name="Normal 57 2 2 3 2" xfId="17247" xr:uid="{00000000-0005-0000-0000-0000B93C0000}"/>
    <cellStyle name="Normal 57 2 2 4" xfId="11706" xr:uid="{00000000-0005-0000-0000-0000BA3C0000}"/>
    <cellStyle name="Normal 57 2 2 4 2" xfId="20393" xr:uid="{00000000-0005-0000-0000-0000BB3C0000}"/>
    <cellStyle name="Normal 57 2 2 5" xfId="13313" xr:uid="{00000000-0005-0000-0000-0000BC3C0000}"/>
    <cellStyle name="Normal 57 2 2 5 2" xfId="21993" xr:uid="{00000000-0005-0000-0000-0000BD3C0000}"/>
    <cellStyle name="Normal 57 2 2 6" xfId="15487" xr:uid="{00000000-0005-0000-0000-0000BE3C0000}"/>
    <cellStyle name="Normal 57 2 3" xfId="3422" xr:uid="{00000000-0005-0000-0000-0000BF3C0000}"/>
    <cellStyle name="Normal 57 2 3 2" xfId="10097" xr:uid="{00000000-0005-0000-0000-0000C03C0000}"/>
    <cellStyle name="Normal 57 2 3 2 2" xfId="18847" xr:uid="{00000000-0005-0000-0000-0000C13C0000}"/>
    <cellStyle name="Normal 57 2 3 3" xfId="8495" xr:uid="{00000000-0005-0000-0000-0000C23C0000}"/>
    <cellStyle name="Normal 57 2 3 3 2" xfId="17248" xr:uid="{00000000-0005-0000-0000-0000C33C0000}"/>
    <cellStyle name="Normal 57 2 3 4" xfId="11707" xr:uid="{00000000-0005-0000-0000-0000C43C0000}"/>
    <cellStyle name="Normal 57 2 3 4 2" xfId="20394" xr:uid="{00000000-0005-0000-0000-0000C53C0000}"/>
    <cellStyle name="Normal 57 2 3 5" xfId="13314" xr:uid="{00000000-0005-0000-0000-0000C63C0000}"/>
    <cellStyle name="Normal 57 2 3 5 2" xfId="21994" xr:uid="{00000000-0005-0000-0000-0000C73C0000}"/>
    <cellStyle name="Normal 57 2 3 6" xfId="15488" xr:uid="{00000000-0005-0000-0000-0000C83C0000}"/>
    <cellStyle name="Normal 57 2 4" xfId="3423" xr:uid="{00000000-0005-0000-0000-0000C93C0000}"/>
    <cellStyle name="Normal 57 2 4 2" xfId="10098" xr:uid="{00000000-0005-0000-0000-0000CA3C0000}"/>
    <cellStyle name="Normal 57 2 4 2 2" xfId="18848" xr:uid="{00000000-0005-0000-0000-0000CB3C0000}"/>
    <cellStyle name="Normal 57 2 4 3" xfId="8496" xr:uid="{00000000-0005-0000-0000-0000CC3C0000}"/>
    <cellStyle name="Normal 57 2 4 3 2" xfId="17249" xr:uid="{00000000-0005-0000-0000-0000CD3C0000}"/>
    <cellStyle name="Normal 57 2 4 4" xfId="11708" xr:uid="{00000000-0005-0000-0000-0000CE3C0000}"/>
    <cellStyle name="Normal 57 2 4 4 2" xfId="20395" xr:uid="{00000000-0005-0000-0000-0000CF3C0000}"/>
    <cellStyle name="Normal 57 2 4 5" xfId="13315" xr:uid="{00000000-0005-0000-0000-0000D03C0000}"/>
    <cellStyle name="Normal 57 2 4 5 2" xfId="21995" xr:uid="{00000000-0005-0000-0000-0000D13C0000}"/>
    <cellStyle name="Normal 57 2 4 6" xfId="15489" xr:uid="{00000000-0005-0000-0000-0000D23C0000}"/>
    <cellStyle name="Normal 57 2 5" xfId="10095" xr:uid="{00000000-0005-0000-0000-0000D33C0000}"/>
    <cellStyle name="Normal 57 2 5 2" xfId="18845" xr:uid="{00000000-0005-0000-0000-0000D43C0000}"/>
    <cellStyle name="Normal 57 2 6" xfId="8493" xr:uid="{00000000-0005-0000-0000-0000D53C0000}"/>
    <cellStyle name="Normal 57 2 6 2" xfId="17246" xr:uid="{00000000-0005-0000-0000-0000D63C0000}"/>
    <cellStyle name="Normal 57 2 7" xfId="11705" xr:uid="{00000000-0005-0000-0000-0000D73C0000}"/>
    <cellStyle name="Normal 57 2 7 2" xfId="20392" xr:uid="{00000000-0005-0000-0000-0000D83C0000}"/>
    <cellStyle name="Normal 57 2 8" xfId="13312" xr:uid="{00000000-0005-0000-0000-0000D93C0000}"/>
    <cellStyle name="Normal 57 2 8 2" xfId="21992" xr:uid="{00000000-0005-0000-0000-0000DA3C0000}"/>
    <cellStyle name="Normal 57 2 9" xfId="15486" xr:uid="{00000000-0005-0000-0000-0000DB3C0000}"/>
    <cellStyle name="Normal 57 3" xfId="3424" xr:uid="{00000000-0005-0000-0000-0000DC3C0000}"/>
    <cellStyle name="Normal 57 3 2" xfId="3425" xr:uid="{00000000-0005-0000-0000-0000DD3C0000}"/>
    <cellStyle name="Normal 57 3 2 2" xfId="10100" xr:uid="{00000000-0005-0000-0000-0000DE3C0000}"/>
    <cellStyle name="Normal 57 3 2 2 2" xfId="18850" xr:uid="{00000000-0005-0000-0000-0000DF3C0000}"/>
    <cellStyle name="Normal 57 3 2 3" xfId="8498" xr:uid="{00000000-0005-0000-0000-0000E03C0000}"/>
    <cellStyle name="Normal 57 3 2 3 2" xfId="17251" xr:uid="{00000000-0005-0000-0000-0000E13C0000}"/>
    <cellStyle name="Normal 57 3 2 4" xfId="11710" xr:uid="{00000000-0005-0000-0000-0000E23C0000}"/>
    <cellStyle name="Normal 57 3 2 4 2" xfId="20397" xr:uid="{00000000-0005-0000-0000-0000E33C0000}"/>
    <cellStyle name="Normal 57 3 2 5" xfId="13317" xr:uid="{00000000-0005-0000-0000-0000E43C0000}"/>
    <cellStyle name="Normal 57 3 2 5 2" xfId="21997" xr:uid="{00000000-0005-0000-0000-0000E53C0000}"/>
    <cellStyle name="Normal 57 3 2 6" xfId="15491" xr:uid="{00000000-0005-0000-0000-0000E63C0000}"/>
    <cellStyle name="Normal 57 3 3" xfId="3426" xr:uid="{00000000-0005-0000-0000-0000E73C0000}"/>
    <cellStyle name="Normal 57 3 3 2" xfId="10101" xr:uid="{00000000-0005-0000-0000-0000E83C0000}"/>
    <cellStyle name="Normal 57 3 3 2 2" xfId="18851" xr:uid="{00000000-0005-0000-0000-0000E93C0000}"/>
    <cellStyle name="Normal 57 3 3 3" xfId="8499" xr:uid="{00000000-0005-0000-0000-0000EA3C0000}"/>
    <cellStyle name="Normal 57 3 3 3 2" xfId="17252" xr:uid="{00000000-0005-0000-0000-0000EB3C0000}"/>
    <cellStyle name="Normal 57 3 3 4" xfId="11711" xr:uid="{00000000-0005-0000-0000-0000EC3C0000}"/>
    <cellStyle name="Normal 57 3 3 4 2" xfId="20398" xr:uid="{00000000-0005-0000-0000-0000ED3C0000}"/>
    <cellStyle name="Normal 57 3 3 5" xfId="13318" xr:uid="{00000000-0005-0000-0000-0000EE3C0000}"/>
    <cellStyle name="Normal 57 3 3 5 2" xfId="21998" xr:uid="{00000000-0005-0000-0000-0000EF3C0000}"/>
    <cellStyle name="Normal 57 3 3 6" xfId="15492" xr:uid="{00000000-0005-0000-0000-0000F03C0000}"/>
    <cellStyle name="Normal 57 3 4" xfId="3427" xr:uid="{00000000-0005-0000-0000-0000F13C0000}"/>
    <cellStyle name="Normal 57 3 4 2" xfId="10102" xr:uid="{00000000-0005-0000-0000-0000F23C0000}"/>
    <cellStyle name="Normal 57 3 4 2 2" xfId="18852" xr:uid="{00000000-0005-0000-0000-0000F33C0000}"/>
    <cellStyle name="Normal 57 3 4 3" xfId="8500" xr:uid="{00000000-0005-0000-0000-0000F43C0000}"/>
    <cellStyle name="Normal 57 3 4 3 2" xfId="17253" xr:uid="{00000000-0005-0000-0000-0000F53C0000}"/>
    <cellStyle name="Normal 57 3 4 4" xfId="11712" xr:uid="{00000000-0005-0000-0000-0000F63C0000}"/>
    <cellStyle name="Normal 57 3 4 4 2" xfId="20399" xr:uid="{00000000-0005-0000-0000-0000F73C0000}"/>
    <cellStyle name="Normal 57 3 4 5" xfId="13319" xr:uid="{00000000-0005-0000-0000-0000F83C0000}"/>
    <cellStyle name="Normal 57 3 4 5 2" xfId="21999" xr:uid="{00000000-0005-0000-0000-0000F93C0000}"/>
    <cellStyle name="Normal 57 3 4 6" xfId="15493" xr:uid="{00000000-0005-0000-0000-0000FA3C0000}"/>
    <cellStyle name="Normal 57 3 5" xfId="10099" xr:uid="{00000000-0005-0000-0000-0000FB3C0000}"/>
    <cellStyle name="Normal 57 3 5 2" xfId="18849" xr:uid="{00000000-0005-0000-0000-0000FC3C0000}"/>
    <cellStyle name="Normal 57 3 6" xfId="8497" xr:uid="{00000000-0005-0000-0000-0000FD3C0000}"/>
    <cellStyle name="Normal 57 3 6 2" xfId="17250" xr:uid="{00000000-0005-0000-0000-0000FE3C0000}"/>
    <cellStyle name="Normal 57 3 7" xfId="11709" xr:uid="{00000000-0005-0000-0000-0000FF3C0000}"/>
    <cellStyle name="Normal 57 3 7 2" xfId="20396" xr:uid="{00000000-0005-0000-0000-0000003D0000}"/>
    <cellStyle name="Normal 57 3 8" xfId="13316" xr:uid="{00000000-0005-0000-0000-0000013D0000}"/>
    <cellStyle name="Normal 57 3 8 2" xfId="21996" xr:uid="{00000000-0005-0000-0000-0000023D0000}"/>
    <cellStyle name="Normal 57 3 9" xfId="15490" xr:uid="{00000000-0005-0000-0000-0000033D0000}"/>
    <cellStyle name="Normal 57 4" xfId="3428" xr:uid="{00000000-0005-0000-0000-0000043D0000}"/>
    <cellStyle name="Normal 57 4 2" xfId="10103" xr:uid="{00000000-0005-0000-0000-0000053D0000}"/>
    <cellStyle name="Normal 57 4 2 2" xfId="18853" xr:uid="{00000000-0005-0000-0000-0000063D0000}"/>
    <cellStyle name="Normal 57 4 3" xfId="8501" xr:uid="{00000000-0005-0000-0000-0000073D0000}"/>
    <cellStyle name="Normal 57 4 3 2" xfId="17254" xr:uid="{00000000-0005-0000-0000-0000083D0000}"/>
    <cellStyle name="Normal 57 4 4" xfId="11713" xr:uid="{00000000-0005-0000-0000-0000093D0000}"/>
    <cellStyle name="Normal 57 4 4 2" xfId="20400" xr:uid="{00000000-0005-0000-0000-00000A3D0000}"/>
    <cellStyle name="Normal 57 4 5" xfId="13320" xr:uid="{00000000-0005-0000-0000-00000B3D0000}"/>
    <cellStyle name="Normal 57 4 5 2" xfId="22000" xr:uid="{00000000-0005-0000-0000-00000C3D0000}"/>
    <cellStyle name="Normal 57 4 6" xfId="15494" xr:uid="{00000000-0005-0000-0000-00000D3D0000}"/>
    <cellStyle name="Normal 57 5" xfId="3429" xr:uid="{00000000-0005-0000-0000-00000E3D0000}"/>
    <cellStyle name="Normal 57 5 2" xfId="10104" xr:uid="{00000000-0005-0000-0000-00000F3D0000}"/>
    <cellStyle name="Normal 57 5 2 2" xfId="18854" xr:uid="{00000000-0005-0000-0000-0000103D0000}"/>
    <cellStyle name="Normal 57 5 3" xfId="8502" xr:uid="{00000000-0005-0000-0000-0000113D0000}"/>
    <cellStyle name="Normal 57 5 3 2" xfId="17255" xr:uid="{00000000-0005-0000-0000-0000123D0000}"/>
    <cellStyle name="Normal 57 5 4" xfId="11714" xr:uid="{00000000-0005-0000-0000-0000133D0000}"/>
    <cellStyle name="Normal 57 5 4 2" xfId="20401" xr:uid="{00000000-0005-0000-0000-0000143D0000}"/>
    <cellStyle name="Normal 57 5 5" xfId="13321" xr:uid="{00000000-0005-0000-0000-0000153D0000}"/>
    <cellStyle name="Normal 57 5 5 2" xfId="22001" xr:uid="{00000000-0005-0000-0000-0000163D0000}"/>
    <cellStyle name="Normal 57 5 6" xfId="15495" xr:uid="{00000000-0005-0000-0000-0000173D0000}"/>
    <cellStyle name="Normal 57 6" xfId="3430" xr:uid="{00000000-0005-0000-0000-0000183D0000}"/>
    <cellStyle name="Normal 57 6 2" xfId="10105" xr:uid="{00000000-0005-0000-0000-0000193D0000}"/>
    <cellStyle name="Normal 57 6 2 2" xfId="18855" xr:uid="{00000000-0005-0000-0000-00001A3D0000}"/>
    <cellStyle name="Normal 57 6 3" xfId="8503" xr:uid="{00000000-0005-0000-0000-00001B3D0000}"/>
    <cellStyle name="Normal 57 6 3 2" xfId="17256" xr:uid="{00000000-0005-0000-0000-00001C3D0000}"/>
    <cellStyle name="Normal 57 6 4" xfId="11715" xr:uid="{00000000-0005-0000-0000-00001D3D0000}"/>
    <cellStyle name="Normal 57 6 4 2" xfId="20402" xr:uid="{00000000-0005-0000-0000-00001E3D0000}"/>
    <cellStyle name="Normal 57 6 5" xfId="13322" xr:uid="{00000000-0005-0000-0000-00001F3D0000}"/>
    <cellStyle name="Normal 57 6 5 2" xfId="22002" xr:uid="{00000000-0005-0000-0000-0000203D0000}"/>
    <cellStyle name="Normal 57 6 6" xfId="15496" xr:uid="{00000000-0005-0000-0000-0000213D0000}"/>
    <cellStyle name="Normal 57 7" xfId="10094" xr:uid="{00000000-0005-0000-0000-0000223D0000}"/>
    <cellStyle name="Normal 57 7 2" xfId="18844" xr:uid="{00000000-0005-0000-0000-0000233D0000}"/>
    <cellStyle name="Normal 57 8" xfId="8492" xr:uid="{00000000-0005-0000-0000-0000243D0000}"/>
    <cellStyle name="Normal 57 8 2" xfId="17245" xr:uid="{00000000-0005-0000-0000-0000253D0000}"/>
    <cellStyle name="Normal 57 9" xfId="11704" xr:uid="{00000000-0005-0000-0000-0000263D0000}"/>
    <cellStyle name="Normal 57 9 2" xfId="20391" xr:uid="{00000000-0005-0000-0000-0000273D0000}"/>
    <cellStyle name="Normal 58" xfId="3431" xr:uid="{00000000-0005-0000-0000-0000283D0000}"/>
    <cellStyle name="Normal 58 10" xfId="13323" xr:uid="{00000000-0005-0000-0000-0000293D0000}"/>
    <cellStyle name="Normal 58 10 2" xfId="22003" xr:uid="{00000000-0005-0000-0000-00002A3D0000}"/>
    <cellStyle name="Normal 58 11" xfId="15497" xr:uid="{00000000-0005-0000-0000-00002B3D0000}"/>
    <cellStyle name="Normal 58 2" xfId="3432" xr:uid="{00000000-0005-0000-0000-00002C3D0000}"/>
    <cellStyle name="Normal 58 2 2" xfId="3433" xr:uid="{00000000-0005-0000-0000-00002D3D0000}"/>
    <cellStyle name="Normal 58 2 2 2" xfId="10108" xr:uid="{00000000-0005-0000-0000-00002E3D0000}"/>
    <cellStyle name="Normal 58 2 2 2 2" xfId="18858" xr:uid="{00000000-0005-0000-0000-00002F3D0000}"/>
    <cellStyle name="Normal 58 2 2 3" xfId="8506" xr:uid="{00000000-0005-0000-0000-0000303D0000}"/>
    <cellStyle name="Normal 58 2 2 3 2" xfId="17259" xr:uid="{00000000-0005-0000-0000-0000313D0000}"/>
    <cellStyle name="Normal 58 2 2 4" xfId="11718" xr:uid="{00000000-0005-0000-0000-0000323D0000}"/>
    <cellStyle name="Normal 58 2 2 4 2" xfId="20405" xr:uid="{00000000-0005-0000-0000-0000333D0000}"/>
    <cellStyle name="Normal 58 2 2 5" xfId="13325" xr:uid="{00000000-0005-0000-0000-0000343D0000}"/>
    <cellStyle name="Normal 58 2 2 5 2" xfId="22005" xr:uid="{00000000-0005-0000-0000-0000353D0000}"/>
    <cellStyle name="Normal 58 2 2 6" xfId="15499" xr:uid="{00000000-0005-0000-0000-0000363D0000}"/>
    <cellStyle name="Normal 58 2 3" xfId="3434" xr:uid="{00000000-0005-0000-0000-0000373D0000}"/>
    <cellStyle name="Normal 58 2 3 2" xfId="10109" xr:uid="{00000000-0005-0000-0000-0000383D0000}"/>
    <cellStyle name="Normal 58 2 3 2 2" xfId="18859" xr:uid="{00000000-0005-0000-0000-0000393D0000}"/>
    <cellStyle name="Normal 58 2 3 3" xfId="8507" xr:uid="{00000000-0005-0000-0000-00003A3D0000}"/>
    <cellStyle name="Normal 58 2 3 3 2" xfId="17260" xr:uid="{00000000-0005-0000-0000-00003B3D0000}"/>
    <cellStyle name="Normal 58 2 3 4" xfId="11719" xr:uid="{00000000-0005-0000-0000-00003C3D0000}"/>
    <cellStyle name="Normal 58 2 3 4 2" xfId="20406" xr:uid="{00000000-0005-0000-0000-00003D3D0000}"/>
    <cellStyle name="Normal 58 2 3 5" xfId="13326" xr:uid="{00000000-0005-0000-0000-00003E3D0000}"/>
    <cellStyle name="Normal 58 2 3 5 2" xfId="22006" xr:uid="{00000000-0005-0000-0000-00003F3D0000}"/>
    <cellStyle name="Normal 58 2 3 6" xfId="15500" xr:uid="{00000000-0005-0000-0000-0000403D0000}"/>
    <cellStyle name="Normal 58 2 4" xfId="3435" xr:uid="{00000000-0005-0000-0000-0000413D0000}"/>
    <cellStyle name="Normal 58 2 4 2" xfId="10110" xr:uid="{00000000-0005-0000-0000-0000423D0000}"/>
    <cellStyle name="Normal 58 2 4 2 2" xfId="18860" xr:uid="{00000000-0005-0000-0000-0000433D0000}"/>
    <cellStyle name="Normal 58 2 4 3" xfId="8508" xr:uid="{00000000-0005-0000-0000-0000443D0000}"/>
    <cellStyle name="Normal 58 2 4 3 2" xfId="17261" xr:uid="{00000000-0005-0000-0000-0000453D0000}"/>
    <cellStyle name="Normal 58 2 4 4" xfId="11720" xr:uid="{00000000-0005-0000-0000-0000463D0000}"/>
    <cellStyle name="Normal 58 2 4 4 2" xfId="20407" xr:uid="{00000000-0005-0000-0000-0000473D0000}"/>
    <cellStyle name="Normal 58 2 4 5" xfId="13327" xr:uid="{00000000-0005-0000-0000-0000483D0000}"/>
    <cellStyle name="Normal 58 2 4 5 2" xfId="22007" xr:uid="{00000000-0005-0000-0000-0000493D0000}"/>
    <cellStyle name="Normal 58 2 4 6" xfId="15501" xr:uid="{00000000-0005-0000-0000-00004A3D0000}"/>
    <cellStyle name="Normal 58 2 5" xfId="10107" xr:uid="{00000000-0005-0000-0000-00004B3D0000}"/>
    <cellStyle name="Normal 58 2 5 2" xfId="18857" xr:uid="{00000000-0005-0000-0000-00004C3D0000}"/>
    <cellStyle name="Normal 58 2 6" xfId="8505" xr:uid="{00000000-0005-0000-0000-00004D3D0000}"/>
    <cellStyle name="Normal 58 2 6 2" xfId="17258" xr:uid="{00000000-0005-0000-0000-00004E3D0000}"/>
    <cellStyle name="Normal 58 2 7" xfId="11717" xr:uid="{00000000-0005-0000-0000-00004F3D0000}"/>
    <cellStyle name="Normal 58 2 7 2" xfId="20404" xr:uid="{00000000-0005-0000-0000-0000503D0000}"/>
    <cellStyle name="Normal 58 2 8" xfId="13324" xr:uid="{00000000-0005-0000-0000-0000513D0000}"/>
    <cellStyle name="Normal 58 2 8 2" xfId="22004" xr:uid="{00000000-0005-0000-0000-0000523D0000}"/>
    <cellStyle name="Normal 58 2 9" xfId="15498" xr:uid="{00000000-0005-0000-0000-0000533D0000}"/>
    <cellStyle name="Normal 58 3" xfId="3436" xr:uid="{00000000-0005-0000-0000-0000543D0000}"/>
    <cellStyle name="Normal 58 3 2" xfId="3437" xr:uid="{00000000-0005-0000-0000-0000553D0000}"/>
    <cellStyle name="Normal 58 3 2 2" xfId="10112" xr:uid="{00000000-0005-0000-0000-0000563D0000}"/>
    <cellStyle name="Normal 58 3 2 2 2" xfId="18862" xr:uid="{00000000-0005-0000-0000-0000573D0000}"/>
    <cellStyle name="Normal 58 3 2 3" xfId="8510" xr:uid="{00000000-0005-0000-0000-0000583D0000}"/>
    <cellStyle name="Normal 58 3 2 3 2" xfId="17263" xr:uid="{00000000-0005-0000-0000-0000593D0000}"/>
    <cellStyle name="Normal 58 3 2 4" xfId="11722" xr:uid="{00000000-0005-0000-0000-00005A3D0000}"/>
    <cellStyle name="Normal 58 3 2 4 2" xfId="20409" xr:uid="{00000000-0005-0000-0000-00005B3D0000}"/>
    <cellStyle name="Normal 58 3 2 5" xfId="13329" xr:uid="{00000000-0005-0000-0000-00005C3D0000}"/>
    <cellStyle name="Normal 58 3 2 5 2" xfId="22009" xr:uid="{00000000-0005-0000-0000-00005D3D0000}"/>
    <cellStyle name="Normal 58 3 2 6" xfId="15503" xr:uid="{00000000-0005-0000-0000-00005E3D0000}"/>
    <cellStyle name="Normal 58 3 3" xfId="3438" xr:uid="{00000000-0005-0000-0000-00005F3D0000}"/>
    <cellStyle name="Normal 58 3 3 2" xfId="10113" xr:uid="{00000000-0005-0000-0000-0000603D0000}"/>
    <cellStyle name="Normal 58 3 3 2 2" xfId="18863" xr:uid="{00000000-0005-0000-0000-0000613D0000}"/>
    <cellStyle name="Normal 58 3 3 3" xfId="8511" xr:uid="{00000000-0005-0000-0000-0000623D0000}"/>
    <cellStyle name="Normal 58 3 3 3 2" xfId="17264" xr:uid="{00000000-0005-0000-0000-0000633D0000}"/>
    <cellStyle name="Normal 58 3 3 4" xfId="11723" xr:uid="{00000000-0005-0000-0000-0000643D0000}"/>
    <cellStyle name="Normal 58 3 3 4 2" xfId="20410" xr:uid="{00000000-0005-0000-0000-0000653D0000}"/>
    <cellStyle name="Normal 58 3 3 5" xfId="13330" xr:uid="{00000000-0005-0000-0000-0000663D0000}"/>
    <cellStyle name="Normal 58 3 3 5 2" xfId="22010" xr:uid="{00000000-0005-0000-0000-0000673D0000}"/>
    <cellStyle name="Normal 58 3 3 6" xfId="15504" xr:uid="{00000000-0005-0000-0000-0000683D0000}"/>
    <cellStyle name="Normal 58 3 4" xfId="3439" xr:uid="{00000000-0005-0000-0000-0000693D0000}"/>
    <cellStyle name="Normal 58 3 4 2" xfId="10114" xr:uid="{00000000-0005-0000-0000-00006A3D0000}"/>
    <cellStyle name="Normal 58 3 4 2 2" xfId="18864" xr:uid="{00000000-0005-0000-0000-00006B3D0000}"/>
    <cellStyle name="Normal 58 3 4 3" xfId="8512" xr:uid="{00000000-0005-0000-0000-00006C3D0000}"/>
    <cellStyle name="Normal 58 3 4 3 2" xfId="17265" xr:uid="{00000000-0005-0000-0000-00006D3D0000}"/>
    <cellStyle name="Normal 58 3 4 4" xfId="11724" xr:uid="{00000000-0005-0000-0000-00006E3D0000}"/>
    <cellStyle name="Normal 58 3 4 4 2" xfId="20411" xr:uid="{00000000-0005-0000-0000-00006F3D0000}"/>
    <cellStyle name="Normal 58 3 4 5" xfId="13331" xr:uid="{00000000-0005-0000-0000-0000703D0000}"/>
    <cellStyle name="Normal 58 3 4 5 2" xfId="22011" xr:uid="{00000000-0005-0000-0000-0000713D0000}"/>
    <cellStyle name="Normal 58 3 4 6" xfId="15505" xr:uid="{00000000-0005-0000-0000-0000723D0000}"/>
    <cellStyle name="Normal 58 3 5" xfId="10111" xr:uid="{00000000-0005-0000-0000-0000733D0000}"/>
    <cellStyle name="Normal 58 3 5 2" xfId="18861" xr:uid="{00000000-0005-0000-0000-0000743D0000}"/>
    <cellStyle name="Normal 58 3 6" xfId="8509" xr:uid="{00000000-0005-0000-0000-0000753D0000}"/>
    <cellStyle name="Normal 58 3 6 2" xfId="17262" xr:uid="{00000000-0005-0000-0000-0000763D0000}"/>
    <cellStyle name="Normal 58 3 7" xfId="11721" xr:uid="{00000000-0005-0000-0000-0000773D0000}"/>
    <cellStyle name="Normal 58 3 7 2" xfId="20408" xr:uid="{00000000-0005-0000-0000-0000783D0000}"/>
    <cellStyle name="Normal 58 3 8" xfId="13328" xr:uid="{00000000-0005-0000-0000-0000793D0000}"/>
    <cellStyle name="Normal 58 3 8 2" xfId="22008" xr:uid="{00000000-0005-0000-0000-00007A3D0000}"/>
    <cellStyle name="Normal 58 3 9" xfId="15502" xr:uid="{00000000-0005-0000-0000-00007B3D0000}"/>
    <cellStyle name="Normal 58 4" xfId="3440" xr:uid="{00000000-0005-0000-0000-00007C3D0000}"/>
    <cellStyle name="Normal 58 4 2" xfId="10115" xr:uid="{00000000-0005-0000-0000-00007D3D0000}"/>
    <cellStyle name="Normal 58 4 2 2" xfId="18865" xr:uid="{00000000-0005-0000-0000-00007E3D0000}"/>
    <cellStyle name="Normal 58 4 3" xfId="8513" xr:uid="{00000000-0005-0000-0000-00007F3D0000}"/>
    <cellStyle name="Normal 58 4 3 2" xfId="17266" xr:uid="{00000000-0005-0000-0000-0000803D0000}"/>
    <cellStyle name="Normal 58 4 4" xfId="11725" xr:uid="{00000000-0005-0000-0000-0000813D0000}"/>
    <cellStyle name="Normal 58 4 4 2" xfId="20412" xr:uid="{00000000-0005-0000-0000-0000823D0000}"/>
    <cellStyle name="Normal 58 4 5" xfId="13332" xr:uid="{00000000-0005-0000-0000-0000833D0000}"/>
    <cellStyle name="Normal 58 4 5 2" xfId="22012" xr:uid="{00000000-0005-0000-0000-0000843D0000}"/>
    <cellStyle name="Normal 58 4 6" xfId="15506" xr:uid="{00000000-0005-0000-0000-0000853D0000}"/>
    <cellStyle name="Normal 58 5" xfId="3441" xr:uid="{00000000-0005-0000-0000-0000863D0000}"/>
    <cellStyle name="Normal 58 5 2" xfId="10116" xr:uid="{00000000-0005-0000-0000-0000873D0000}"/>
    <cellStyle name="Normal 58 5 2 2" xfId="18866" xr:uid="{00000000-0005-0000-0000-0000883D0000}"/>
    <cellStyle name="Normal 58 5 3" xfId="8514" xr:uid="{00000000-0005-0000-0000-0000893D0000}"/>
    <cellStyle name="Normal 58 5 3 2" xfId="17267" xr:uid="{00000000-0005-0000-0000-00008A3D0000}"/>
    <cellStyle name="Normal 58 5 4" xfId="11726" xr:uid="{00000000-0005-0000-0000-00008B3D0000}"/>
    <cellStyle name="Normal 58 5 4 2" xfId="20413" xr:uid="{00000000-0005-0000-0000-00008C3D0000}"/>
    <cellStyle name="Normal 58 5 5" xfId="13333" xr:uid="{00000000-0005-0000-0000-00008D3D0000}"/>
    <cellStyle name="Normal 58 5 5 2" xfId="22013" xr:uid="{00000000-0005-0000-0000-00008E3D0000}"/>
    <cellStyle name="Normal 58 5 6" xfId="15507" xr:uid="{00000000-0005-0000-0000-00008F3D0000}"/>
    <cellStyle name="Normal 58 6" xfId="3442" xr:uid="{00000000-0005-0000-0000-0000903D0000}"/>
    <cellStyle name="Normal 58 6 2" xfId="10117" xr:uid="{00000000-0005-0000-0000-0000913D0000}"/>
    <cellStyle name="Normal 58 6 2 2" xfId="18867" xr:uid="{00000000-0005-0000-0000-0000923D0000}"/>
    <cellStyle name="Normal 58 6 3" xfId="8515" xr:uid="{00000000-0005-0000-0000-0000933D0000}"/>
    <cellStyle name="Normal 58 6 3 2" xfId="17268" xr:uid="{00000000-0005-0000-0000-0000943D0000}"/>
    <cellStyle name="Normal 58 6 4" xfId="11727" xr:uid="{00000000-0005-0000-0000-0000953D0000}"/>
    <cellStyle name="Normal 58 6 4 2" xfId="20414" xr:uid="{00000000-0005-0000-0000-0000963D0000}"/>
    <cellStyle name="Normal 58 6 5" xfId="13334" xr:uid="{00000000-0005-0000-0000-0000973D0000}"/>
    <cellStyle name="Normal 58 6 5 2" xfId="22014" xr:uid="{00000000-0005-0000-0000-0000983D0000}"/>
    <cellStyle name="Normal 58 6 6" xfId="15508" xr:uid="{00000000-0005-0000-0000-0000993D0000}"/>
    <cellStyle name="Normal 58 7" xfId="10106" xr:uid="{00000000-0005-0000-0000-00009A3D0000}"/>
    <cellStyle name="Normal 58 7 2" xfId="18856" xr:uid="{00000000-0005-0000-0000-00009B3D0000}"/>
    <cellStyle name="Normal 58 8" xfId="8504" xr:uid="{00000000-0005-0000-0000-00009C3D0000}"/>
    <cellStyle name="Normal 58 8 2" xfId="17257" xr:uid="{00000000-0005-0000-0000-00009D3D0000}"/>
    <cellStyle name="Normal 58 9" xfId="11716" xr:uid="{00000000-0005-0000-0000-00009E3D0000}"/>
    <cellStyle name="Normal 58 9 2" xfId="20403" xr:uid="{00000000-0005-0000-0000-00009F3D0000}"/>
    <cellStyle name="Normal 59" xfId="3443" xr:uid="{00000000-0005-0000-0000-0000A03D0000}"/>
    <cellStyle name="Normal 59 10" xfId="13335" xr:uid="{00000000-0005-0000-0000-0000A13D0000}"/>
    <cellStyle name="Normal 59 10 2" xfId="22015" xr:uid="{00000000-0005-0000-0000-0000A23D0000}"/>
    <cellStyle name="Normal 59 11" xfId="15509" xr:uid="{00000000-0005-0000-0000-0000A33D0000}"/>
    <cellStyle name="Normal 59 2" xfId="3444" xr:uid="{00000000-0005-0000-0000-0000A43D0000}"/>
    <cellStyle name="Normal 59 2 2" xfId="3445" xr:uid="{00000000-0005-0000-0000-0000A53D0000}"/>
    <cellStyle name="Normal 59 2 2 2" xfId="10120" xr:uid="{00000000-0005-0000-0000-0000A63D0000}"/>
    <cellStyle name="Normal 59 2 2 2 2" xfId="18870" xr:uid="{00000000-0005-0000-0000-0000A73D0000}"/>
    <cellStyle name="Normal 59 2 2 3" xfId="8518" xr:uid="{00000000-0005-0000-0000-0000A83D0000}"/>
    <cellStyle name="Normal 59 2 2 3 2" xfId="17271" xr:uid="{00000000-0005-0000-0000-0000A93D0000}"/>
    <cellStyle name="Normal 59 2 2 4" xfId="11730" xr:uid="{00000000-0005-0000-0000-0000AA3D0000}"/>
    <cellStyle name="Normal 59 2 2 4 2" xfId="20417" xr:uid="{00000000-0005-0000-0000-0000AB3D0000}"/>
    <cellStyle name="Normal 59 2 2 5" xfId="13337" xr:uid="{00000000-0005-0000-0000-0000AC3D0000}"/>
    <cellStyle name="Normal 59 2 2 5 2" xfId="22017" xr:uid="{00000000-0005-0000-0000-0000AD3D0000}"/>
    <cellStyle name="Normal 59 2 2 6" xfId="15511" xr:uid="{00000000-0005-0000-0000-0000AE3D0000}"/>
    <cellStyle name="Normal 59 2 3" xfId="3446" xr:uid="{00000000-0005-0000-0000-0000AF3D0000}"/>
    <cellStyle name="Normal 59 2 3 2" xfId="10121" xr:uid="{00000000-0005-0000-0000-0000B03D0000}"/>
    <cellStyle name="Normal 59 2 3 2 2" xfId="18871" xr:uid="{00000000-0005-0000-0000-0000B13D0000}"/>
    <cellStyle name="Normal 59 2 3 3" xfId="8519" xr:uid="{00000000-0005-0000-0000-0000B23D0000}"/>
    <cellStyle name="Normal 59 2 3 3 2" xfId="17272" xr:uid="{00000000-0005-0000-0000-0000B33D0000}"/>
    <cellStyle name="Normal 59 2 3 4" xfId="11731" xr:uid="{00000000-0005-0000-0000-0000B43D0000}"/>
    <cellStyle name="Normal 59 2 3 4 2" xfId="20418" xr:uid="{00000000-0005-0000-0000-0000B53D0000}"/>
    <cellStyle name="Normal 59 2 3 5" xfId="13338" xr:uid="{00000000-0005-0000-0000-0000B63D0000}"/>
    <cellStyle name="Normal 59 2 3 5 2" xfId="22018" xr:uid="{00000000-0005-0000-0000-0000B73D0000}"/>
    <cellStyle name="Normal 59 2 3 6" xfId="15512" xr:uid="{00000000-0005-0000-0000-0000B83D0000}"/>
    <cellStyle name="Normal 59 2 4" xfId="3447" xr:uid="{00000000-0005-0000-0000-0000B93D0000}"/>
    <cellStyle name="Normal 59 2 4 2" xfId="10122" xr:uid="{00000000-0005-0000-0000-0000BA3D0000}"/>
    <cellStyle name="Normal 59 2 4 2 2" xfId="18872" xr:uid="{00000000-0005-0000-0000-0000BB3D0000}"/>
    <cellStyle name="Normal 59 2 4 3" xfId="8520" xr:uid="{00000000-0005-0000-0000-0000BC3D0000}"/>
    <cellStyle name="Normal 59 2 4 3 2" xfId="17273" xr:uid="{00000000-0005-0000-0000-0000BD3D0000}"/>
    <cellStyle name="Normal 59 2 4 4" xfId="11732" xr:uid="{00000000-0005-0000-0000-0000BE3D0000}"/>
    <cellStyle name="Normal 59 2 4 4 2" xfId="20419" xr:uid="{00000000-0005-0000-0000-0000BF3D0000}"/>
    <cellStyle name="Normal 59 2 4 5" xfId="13339" xr:uid="{00000000-0005-0000-0000-0000C03D0000}"/>
    <cellStyle name="Normal 59 2 4 5 2" xfId="22019" xr:uid="{00000000-0005-0000-0000-0000C13D0000}"/>
    <cellStyle name="Normal 59 2 4 6" xfId="15513" xr:uid="{00000000-0005-0000-0000-0000C23D0000}"/>
    <cellStyle name="Normal 59 2 5" xfId="10119" xr:uid="{00000000-0005-0000-0000-0000C33D0000}"/>
    <cellStyle name="Normal 59 2 5 2" xfId="18869" xr:uid="{00000000-0005-0000-0000-0000C43D0000}"/>
    <cellStyle name="Normal 59 2 6" xfId="8517" xr:uid="{00000000-0005-0000-0000-0000C53D0000}"/>
    <cellStyle name="Normal 59 2 6 2" xfId="17270" xr:uid="{00000000-0005-0000-0000-0000C63D0000}"/>
    <cellStyle name="Normal 59 2 7" xfId="11729" xr:uid="{00000000-0005-0000-0000-0000C73D0000}"/>
    <cellStyle name="Normal 59 2 7 2" xfId="20416" xr:uid="{00000000-0005-0000-0000-0000C83D0000}"/>
    <cellStyle name="Normal 59 2 8" xfId="13336" xr:uid="{00000000-0005-0000-0000-0000C93D0000}"/>
    <cellStyle name="Normal 59 2 8 2" xfId="22016" xr:uid="{00000000-0005-0000-0000-0000CA3D0000}"/>
    <cellStyle name="Normal 59 2 9" xfId="15510" xr:uid="{00000000-0005-0000-0000-0000CB3D0000}"/>
    <cellStyle name="Normal 59 3" xfId="3448" xr:uid="{00000000-0005-0000-0000-0000CC3D0000}"/>
    <cellStyle name="Normal 59 3 2" xfId="3449" xr:uid="{00000000-0005-0000-0000-0000CD3D0000}"/>
    <cellStyle name="Normal 59 3 2 2" xfId="10124" xr:uid="{00000000-0005-0000-0000-0000CE3D0000}"/>
    <cellStyle name="Normal 59 3 2 2 2" xfId="18874" xr:uid="{00000000-0005-0000-0000-0000CF3D0000}"/>
    <cellStyle name="Normal 59 3 2 3" xfId="8522" xr:uid="{00000000-0005-0000-0000-0000D03D0000}"/>
    <cellStyle name="Normal 59 3 2 3 2" xfId="17275" xr:uid="{00000000-0005-0000-0000-0000D13D0000}"/>
    <cellStyle name="Normal 59 3 2 4" xfId="11734" xr:uid="{00000000-0005-0000-0000-0000D23D0000}"/>
    <cellStyle name="Normal 59 3 2 4 2" xfId="20421" xr:uid="{00000000-0005-0000-0000-0000D33D0000}"/>
    <cellStyle name="Normal 59 3 2 5" xfId="13341" xr:uid="{00000000-0005-0000-0000-0000D43D0000}"/>
    <cellStyle name="Normal 59 3 2 5 2" xfId="22021" xr:uid="{00000000-0005-0000-0000-0000D53D0000}"/>
    <cellStyle name="Normal 59 3 2 6" xfId="15515" xr:uid="{00000000-0005-0000-0000-0000D63D0000}"/>
    <cellStyle name="Normal 59 3 3" xfId="3450" xr:uid="{00000000-0005-0000-0000-0000D73D0000}"/>
    <cellStyle name="Normal 59 3 3 2" xfId="10125" xr:uid="{00000000-0005-0000-0000-0000D83D0000}"/>
    <cellStyle name="Normal 59 3 3 2 2" xfId="18875" xr:uid="{00000000-0005-0000-0000-0000D93D0000}"/>
    <cellStyle name="Normal 59 3 3 3" xfId="8523" xr:uid="{00000000-0005-0000-0000-0000DA3D0000}"/>
    <cellStyle name="Normal 59 3 3 3 2" xfId="17276" xr:uid="{00000000-0005-0000-0000-0000DB3D0000}"/>
    <cellStyle name="Normal 59 3 3 4" xfId="11735" xr:uid="{00000000-0005-0000-0000-0000DC3D0000}"/>
    <cellStyle name="Normal 59 3 3 4 2" xfId="20422" xr:uid="{00000000-0005-0000-0000-0000DD3D0000}"/>
    <cellStyle name="Normal 59 3 3 5" xfId="13342" xr:uid="{00000000-0005-0000-0000-0000DE3D0000}"/>
    <cellStyle name="Normal 59 3 3 5 2" xfId="22022" xr:uid="{00000000-0005-0000-0000-0000DF3D0000}"/>
    <cellStyle name="Normal 59 3 3 6" xfId="15516" xr:uid="{00000000-0005-0000-0000-0000E03D0000}"/>
    <cellStyle name="Normal 59 3 4" xfId="3451" xr:uid="{00000000-0005-0000-0000-0000E13D0000}"/>
    <cellStyle name="Normal 59 3 4 2" xfId="10126" xr:uid="{00000000-0005-0000-0000-0000E23D0000}"/>
    <cellStyle name="Normal 59 3 4 2 2" xfId="18876" xr:uid="{00000000-0005-0000-0000-0000E33D0000}"/>
    <cellStyle name="Normal 59 3 4 3" xfId="8524" xr:uid="{00000000-0005-0000-0000-0000E43D0000}"/>
    <cellStyle name="Normal 59 3 4 3 2" xfId="17277" xr:uid="{00000000-0005-0000-0000-0000E53D0000}"/>
    <cellStyle name="Normal 59 3 4 4" xfId="11736" xr:uid="{00000000-0005-0000-0000-0000E63D0000}"/>
    <cellStyle name="Normal 59 3 4 4 2" xfId="20423" xr:uid="{00000000-0005-0000-0000-0000E73D0000}"/>
    <cellStyle name="Normal 59 3 4 5" xfId="13343" xr:uid="{00000000-0005-0000-0000-0000E83D0000}"/>
    <cellStyle name="Normal 59 3 4 5 2" xfId="22023" xr:uid="{00000000-0005-0000-0000-0000E93D0000}"/>
    <cellStyle name="Normal 59 3 4 6" xfId="15517" xr:uid="{00000000-0005-0000-0000-0000EA3D0000}"/>
    <cellStyle name="Normal 59 3 5" xfId="10123" xr:uid="{00000000-0005-0000-0000-0000EB3D0000}"/>
    <cellStyle name="Normal 59 3 5 2" xfId="18873" xr:uid="{00000000-0005-0000-0000-0000EC3D0000}"/>
    <cellStyle name="Normal 59 3 6" xfId="8521" xr:uid="{00000000-0005-0000-0000-0000ED3D0000}"/>
    <cellStyle name="Normal 59 3 6 2" xfId="17274" xr:uid="{00000000-0005-0000-0000-0000EE3D0000}"/>
    <cellStyle name="Normal 59 3 7" xfId="11733" xr:uid="{00000000-0005-0000-0000-0000EF3D0000}"/>
    <cellStyle name="Normal 59 3 7 2" xfId="20420" xr:uid="{00000000-0005-0000-0000-0000F03D0000}"/>
    <cellStyle name="Normal 59 3 8" xfId="13340" xr:uid="{00000000-0005-0000-0000-0000F13D0000}"/>
    <cellStyle name="Normal 59 3 8 2" xfId="22020" xr:uid="{00000000-0005-0000-0000-0000F23D0000}"/>
    <cellStyle name="Normal 59 3 9" xfId="15514" xr:uid="{00000000-0005-0000-0000-0000F33D0000}"/>
    <cellStyle name="Normal 59 4" xfId="3452" xr:uid="{00000000-0005-0000-0000-0000F43D0000}"/>
    <cellStyle name="Normal 59 4 2" xfId="10127" xr:uid="{00000000-0005-0000-0000-0000F53D0000}"/>
    <cellStyle name="Normal 59 4 2 2" xfId="18877" xr:uid="{00000000-0005-0000-0000-0000F63D0000}"/>
    <cellStyle name="Normal 59 4 3" xfId="8525" xr:uid="{00000000-0005-0000-0000-0000F73D0000}"/>
    <cellStyle name="Normal 59 4 3 2" xfId="17278" xr:uid="{00000000-0005-0000-0000-0000F83D0000}"/>
    <cellStyle name="Normal 59 4 4" xfId="11737" xr:uid="{00000000-0005-0000-0000-0000F93D0000}"/>
    <cellStyle name="Normal 59 4 4 2" xfId="20424" xr:uid="{00000000-0005-0000-0000-0000FA3D0000}"/>
    <cellStyle name="Normal 59 4 5" xfId="13344" xr:uid="{00000000-0005-0000-0000-0000FB3D0000}"/>
    <cellStyle name="Normal 59 4 5 2" xfId="22024" xr:uid="{00000000-0005-0000-0000-0000FC3D0000}"/>
    <cellStyle name="Normal 59 4 6" xfId="15518" xr:uid="{00000000-0005-0000-0000-0000FD3D0000}"/>
    <cellStyle name="Normal 59 5" xfId="3453" xr:uid="{00000000-0005-0000-0000-0000FE3D0000}"/>
    <cellStyle name="Normal 59 5 2" xfId="10128" xr:uid="{00000000-0005-0000-0000-0000FF3D0000}"/>
    <cellStyle name="Normal 59 5 2 2" xfId="18878" xr:uid="{00000000-0005-0000-0000-0000003E0000}"/>
    <cellStyle name="Normal 59 5 3" xfId="8526" xr:uid="{00000000-0005-0000-0000-0000013E0000}"/>
    <cellStyle name="Normal 59 5 3 2" xfId="17279" xr:uid="{00000000-0005-0000-0000-0000023E0000}"/>
    <cellStyle name="Normal 59 5 4" xfId="11738" xr:uid="{00000000-0005-0000-0000-0000033E0000}"/>
    <cellStyle name="Normal 59 5 4 2" xfId="20425" xr:uid="{00000000-0005-0000-0000-0000043E0000}"/>
    <cellStyle name="Normal 59 5 5" xfId="13345" xr:uid="{00000000-0005-0000-0000-0000053E0000}"/>
    <cellStyle name="Normal 59 5 5 2" xfId="22025" xr:uid="{00000000-0005-0000-0000-0000063E0000}"/>
    <cellStyle name="Normal 59 5 6" xfId="15519" xr:uid="{00000000-0005-0000-0000-0000073E0000}"/>
    <cellStyle name="Normal 59 6" xfId="3454" xr:uid="{00000000-0005-0000-0000-0000083E0000}"/>
    <cellStyle name="Normal 59 6 2" xfId="10129" xr:uid="{00000000-0005-0000-0000-0000093E0000}"/>
    <cellStyle name="Normal 59 6 2 2" xfId="18879" xr:uid="{00000000-0005-0000-0000-00000A3E0000}"/>
    <cellStyle name="Normal 59 6 3" xfId="8527" xr:uid="{00000000-0005-0000-0000-00000B3E0000}"/>
    <cellStyle name="Normal 59 6 3 2" xfId="17280" xr:uid="{00000000-0005-0000-0000-00000C3E0000}"/>
    <cellStyle name="Normal 59 6 4" xfId="11739" xr:uid="{00000000-0005-0000-0000-00000D3E0000}"/>
    <cellStyle name="Normal 59 6 4 2" xfId="20426" xr:uid="{00000000-0005-0000-0000-00000E3E0000}"/>
    <cellStyle name="Normal 59 6 5" xfId="13346" xr:uid="{00000000-0005-0000-0000-00000F3E0000}"/>
    <cellStyle name="Normal 59 6 5 2" xfId="22026" xr:uid="{00000000-0005-0000-0000-0000103E0000}"/>
    <cellStyle name="Normal 59 6 6" xfId="15520" xr:uid="{00000000-0005-0000-0000-0000113E0000}"/>
    <cellStyle name="Normal 59 7" xfId="10118" xr:uid="{00000000-0005-0000-0000-0000123E0000}"/>
    <cellStyle name="Normal 59 7 2" xfId="18868" xr:uid="{00000000-0005-0000-0000-0000133E0000}"/>
    <cellStyle name="Normal 59 8" xfId="8516" xr:uid="{00000000-0005-0000-0000-0000143E0000}"/>
    <cellStyle name="Normal 59 8 2" xfId="17269" xr:uid="{00000000-0005-0000-0000-0000153E0000}"/>
    <cellStyle name="Normal 59 9" xfId="11728" xr:uid="{00000000-0005-0000-0000-0000163E0000}"/>
    <cellStyle name="Normal 59 9 2" xfId="20415" xr:uid="{00000000-0005-0000-0000-0000173E0000}"/>
    <cellStyle name="Normal 6" xfId="135" xr:uid="{00000000-0005-0000-0000-0000183E0000}"/>
    <cellStyle name="Normal 6 10" xfId="3455" xr:uid="{00000000-0005-0000-0000-0000193E0000}"/>
    <cellStyle name="Normal 6 10 2" xfId="10462" xr:uid="{00000000-0005-0000-0000-00001A3E0000}"/>
    <cellStyle name="Normal 6 10 2 2" xfId="19205" xr:uid="{00000000-0005-0000-0000-00001B3E0000}"/>
    <cellStyle name="Normal 6 11" xfId="7399" xr:uid="{00000000-0005-0000-0000-00001C3E0000}"/>
    <cellStyle name="Normal 6 12" xfId="10620" xr:uid="{00000000-0005-0000-0000-00001D3E0000}"/>
    <cellStyle name="Normal 6 12 2" xfId="19323" xr:uid="{00000000-0005-0000-0000-00001E3E0000}"/>
    <cellStyle name="Normal 6 13" xfId="14068" xr:uid="{00000000-0005-0000-0000-00001F3E0000}"/>
    <cellStyle name="Normal 6 2" xfId="3456" xr:uid="{00000000-0005-0000-0000-0000203E0000}"/>
    <cellStyle name="Normal 6 2 10" xfId="11740" xr:uid="{00000000-0005-0000-0000-0000213E0000}"/>
    <cellStyle name="Normal 6 2 10 2" xfId="20427" xr:uid="{00000000-0005-0000-0000-0000223E0000}"/>
    <cellStyle name="Normal 6 2 11" xfId="13347" xr:uid="{00000000-0005-0000-0000-0000233E0000}"/>
    <cellStyle name="Normal 6 2 11 2" xfId="22027" xr:uid="{00000000-0005-0000-0000-0000243E0000}"/>
    <cellStyle name="Normal 6 2 12" xfId="15521" xr:uid="{00000000-0005-0000-0000-0000253E0000}"/>
    <cellStyle name="Normal 6 2 2" xfId="3457" xr:uid="{00000000-0005-0000-0000-0000263E0000}"/>
    <cellStyle name="Normal 6 2 2 2" xfId="3458" xr:uid="{00000000-0005-0000-0000-0000273E0000}"/>
    <cellStyle name="Normal 6 2 2 2 2" xfId="10132" xr:uid="{00000000-0005-0000-0000-0000283E0000}"/>
    <cellStyle name="Normal 6 2 2 2 2 2" xfId="18882" xr:uid="{00000000-0005-0000-0000-0000293E0000}"/>
    <cellStyle name="Normal 6 2 2 2 3" xfId="8530" xr:uid="{00000000-0005-0000-0000-00002A3E0000}"/>
    <cellStyle name="Normal 6 2 2 2 3 2" xfId="17283" xr:uid="{00000000-0005-0000-0000-00002B3E0000}"/>
    <cellStyle name="Normal 6 2 2 2 4" xfId="11742" xr:uid="{00000000-0005-0000-0000-00002C3E0000}"/>
    <cellStyle name="Normal 6 2 2 2 4 2" xfId="20429" xr:uid="{00000000-0005-0000-0000-00002D3E0000}"/>
    <cellStyle name="Normal 6 2 2 2 5" xfId="13349" xr:uid="{00000000-0005-0000-0000-00002E3E0000}"/>
    <cellStyle name="Normal 6 2 2 2 5 2" xfId="22029" xr:uid="{00000000-0005-0000-0000-00002F3E0000}"/>
    <cellStyle name="Normal 6 2 2 2 6" xfId="15523" xr:uid="{00000000-0005-0000-0000-0000303E0000}"/>
    <cellStyle name="Normal 6 2 2 3" xfId="3459" xr:uid="{00000000-0005-0000-0000-0000313E0000}"/>
    <cellStyle name="Normal 6 2 2 3 2" xfId="10133" xr:uid="{00000000-0005-0000-0000-0000323E0000}"/>
    <cellStyle name="Normal 6 2 2 3 2 2" xfId="18883" xr:uid="{00000000-0005-0000-0000-0000333E0000}"/>
    <cellStyle name="Normal 6 2 2 3 3" xfId="8531" xr:uid="{00000000-0005-0000-0000-0000343E0000}"/>
    <cellStyle name="Normal 6 2 2 3 3 2" xfId="17284" xr:uid="{00000000-0005-0000-0000-0000353E0000}"/>
    <cellStyle name="Normal 6 2 2 3 4" xfId="11743" xr:uid="{00000000-0005-0000-0000-0000363E0000}"/>
    <cellStyle name="Normal 6 2 2 3 4 2" xfId="20430" xr:uid="{00000000-0005-0000-0000-0000373E0000}"/>
    <cellStyle name="Normal 6 2 2 3 5" xfId="13350" xr:uid="{00000000-0005-0000-0000-0000383E0000}"/>
    <cellStyle name="Normal 6 2 2 3 5 2" xfId="22030" xr:uid="{00000000-0005-0000-0000-0000393E0000}"/>
    <cellStyle name="Normal 6 2 2 3 6" xfId="15524" xr:uid="{00000000-0005-0000-0000-00003A3E0000}"/>
    <cellStyle name="Normal 6 2 2 4" xfId="3460" xr:uid="{00000000-0005-0000-0000-00003B3E0000}"/>
    <cellStyle name="Normal 6 2 2 4 2" xfId="10134" xr:uid="{00000000-0005-0000-0000-00003C3E0000}"/>
    <cellStyle name="Normal 6 2 2 4 2 2" xfId="18884" xr:uid="{00000000-0005-0000-0000-00003D3E0000}"/>
    <cellStyle name="Normal 6 2 2 4 3" xfId="8532" xr:uid="{00000000-0005-0000-0000-00003E3E0000}"/>
    <cellStyle name="Normal 6 2 2 4 3 2" xfId="17285" xr:uid="{00000000-0005-0000-0000-00003F3E0000}"/>
    <cellStyle name="Normal 6 2 2 4 4" xfId="11744" xr:uid="{00000000-0005-0000-0000-0000403E0000}"/>
    <cellStyle name="Normal 6 2 2 4 4 2" xfId="20431" xr:uid="{00000000-0005-0000-0000-0000413E0000}"/>
    <cellStyle name="Normal 6 2 2 4 5" xfId="13351" xr:uid="{00000000-0005-0000-0000-0000423E0000}"/>
    <cellStyle name="Normal 6 2 2 4 5 2" xfId="22031" xr:uid="{00000000-0005-0000-0000-0000433E0000}"/>
    <cellStyle name="Normal 6 2 2 4 6" xfId="15525" xr:uid="{00000000-0005-0000-0000-0000443E0000}"/>
    <cellStyle name="Normal 6 2 2 5" xfId="10131" xr:uid="{00000000-0005-0000-0000-0000453E0000}"/>
    <cellStyle name="Normal 6 2 2 5 2" xfId="18881" xr:uid="{00000000-0005-0000-0000-0000463E0000}"/>
    <cellStyle name="Normal 6 2 2 6" xfId="8529" xr:uid="{00000000-0005-0000-0000-0000473E0000}"/>
    <cellStyle name="Normal 6 2 2 6 2" xfId="17282" xr:uid="{00000000-0005-0000-0000-0000483E0000}"/>
    <cellStyle name="Normal 6 2 2 7" xfId="11741" xr:uid="{00000000-0005-0000-0000-0000493E0000}"/>
    <cellStyle name="Normal 6 2 2 7 2" xfId="20428" xr:uid="{00000000-0005-0000-0000-00004A3E0000}"/>
    <cellStyle name="Normal 6 2 2 8" xfId="13348" xr:uid="{00000000-0005-0000-0000-00004B3E0000}"/>
    <cellStyle name="Normal 6 2 2 8 2" xfId="22028" xr:uid="{00000000-0005-0000-0000-00004C3E0000}"/>
    <cellStyle name="Normal 6 2 2 9" xfId="15522" xr:uid="{00000000-0005-0000-0000-00004D3E0000}"/>
    <cellStyle name="Normal 6 2 3" xfId="3461" xr:uid="{00000000-0005-0000-0000-00004E3E0000}"/>
    <cellStyle name="Normal 6 2 3 2" xfId="3462" xr:uid="{00000000-0005-0000-0000-00004F3E0000}"/>
    <cellStyle name="Normal 6 2 3 2 2" xfId="10136" xr:uid="{00000000-0005-0000-0000-0000503E0000}"/>
    <cellStyle name="Normal 6 2 3 2 2 2" xfId="18886" xr:uid="{00000000-0005-0000-0000-0000513E0000}"/>
    <cellStyle name="Normal 6 2 3 2 3" xfId="8534" xr:uid="{00000000-0005-0000-0000-0000523E0000}"/>
    <cellStyle name="Normal 6 2 3 2 3 2" xfId="17287" xr:uid="{00000000-0005-0000-0000-0000533E0000}"/>
    <cellStyle name="Normal 6 2 3 2 4" xfId="11746" xr:uid="{00000000-0005-0000-0000-0000543E0000}"/>
    <cellStyle name="Normal 6 2 3 2 4 2" xfId="20433" xr:uid="{00000000-0005-0000-0000-0000553E0000}"/>
    <cellStyle name="Normal 6 2 3 2 5" xfId="13353" xr:uid="{00000000-0005-0000-0000-0000563E0000}"/>
    <cellStyle name="Normal 6 2 3 2 5 2" xfId="22033" xr:uid="{00000000-0005-0000-0000-0000573E0000}"/>
    <cellStyle name="Normal 6 2 3 2 6" xfId="15527" xr:uid="{00000000-0005-0000-0000-0000583E0000}"/>
    <cellStyle name="Normal 6 2 3 3" xfId="3463" xr:uid="{00000000-0005-0000-0000-0000593E0000}"/>
    <cellStyle name="Normal 6 2 3 3 2" xfId="10137" xr:uid="{00000000-0005-0000-0000-00005A3E0000}"/>
    <cellStyle name="Normal 6 2 3 3 2 2" xfId="18887" xr:uid="{00000000-0005-0000-0000-00005B3E0000}"/>
    <cellStyle name="Normal 6 2 3 3 3" xfId="8535" xr:uid="{00000000-0005-0000-0000-00005C3E0000}"/>
    <cellStyle name="Normal 6 2 3 3 3 2" xfId="17288" xr:uid="{00000000-0005-0000-0000-00005D3E0000}"/>
    <cellStyle name="Normal 6 2 3 3 4" xfId="11747" xr:uid="{00000000-0005-0000-0000-00005E3E0000}"/>
    <cellStyle name="Normal 6 2 3 3 4 2" xfId="20434" xr:uid="{00000000-0005-0000-0000-00005F3E0000}"/>
    <cellStyle name="Normal 6 2 3 3 5" xfId="13354" xr:uid="{00000000-0005-0000-0000-0000603E0000}"/>
    <cellStyle name="Normal 6 2 3 3 5 2" xfId="22034" xr:uid="{00000000-0005-0000-0000-0000613E0000}"/>
    <cellStyle name="Normal 6 2 3 3 6" xfId="15528" xr:uid="{00000000-0005-0000-0000-0000623E0000}"/>
    <cellStyle name="Normal 6 2 3 4" xfId="3464" xr:uid="{00000000-0005-0000-0000-0000633E0000}"/>
    <cellStyle name="Normal 6 2 3 4 2" xfId="10138" xr:uid="{00000000-0005-0000-0000-0000643E0000}"/>
    <cellStyle name="Normal 6 2 3 4 2 2" xfId="18888" xr:uid="{00000000-0005-0000-0000-0000653E0000}"/>
    <cellStyle name="Normal 6 2 3 4 3" xfId="8536" xr:uid="{00000000-0005-0000-0000-0000663E0000}"/>
    <cellStyle name="Normal 6 2 3 4 3 2" xfId="17289" xr:uid="{00000000-0005-0000-0000-0000673E0000}"/>
    <cellStyle name="Normal 6 2 3 4 4" xfId="11748" xr:uid="{00000000-0005-0000-0000-0000683E0000}"/>
    <cellStyle name="Normal 6 2 3 4 4 2" xfId="20435" xr:uid="{00000000-0005-0000-0000-0000693E0000}"/>
    <cellStyle name="Normal 6 2 3 4 5" xfId="13355" xr:uid="{00000000-0005-0000-0000-00006A3E0000}"/>
    <cellStyle name="Normal 6 2 3 4 5 2" xfId="22035" xr:uid="{00000000-0005-0000-0000-00006B3E0000}"/>
    <cellStyle name="Normal 6 2 3 4 6" xfId="15529" xr:uid="{00000000-0005-0000-0000-00006C3E0000}"/>
    <cellStyle name="Normal 6 2 3 5" xfId="10135" xr:uid="{00000000-0005-0000-0000-00006D3E0000}"/>
    <cellStyle name="Normal 6 2 3 5 2" xfId="18885" xr:uid="{00000000-0005-0000-0000-00006E3E0000}"/>
    <cellStyle name="Normal 6 2 3 6" xfId="8533" xr:uid="{00000000-0005-0000-0000-00006F3E0000}"/>
    <cellStyle name="Normal 6 2 3 6 2" xfId="17286" xr:uid="{00000000-0005-0000-0000-0000703E0000}"/>
    <cellStyle name="Normal 6 2 3 7" xfId="11745" xr:uid="{00000000-0005-0000-0000-0000713E0000}"/>
    <cellStyle name="Normal 6 2 3 7 2" xfId="20432" xr:uid="{00000000-0005-0000-0000-0000723E0000}"/>
    <cellStyle name="Normal 6 2 3 8" xfId="13352" xr:uid="{00000000-0005-0000-0000-0000733E0000}"/>
    <cellStyle name="Normal 6 2 3 8 2" xfId="22032" xr:uid="{00000000-0005-0000-0000-0000743E0000}"/>
    <cellStyle name="Normal 6 2 3 9" xfId="15526" xr:uid="{00000000-0005-0000-0000-0000753E0000}"/>
    <cellStyle name="Normal 6 2 4" xfId="3465" xr:uid="{00000000-0005-0000-0000-0000763E0000}"/>
    <cellStyle name="Normal 6 2 4 2" xfId="10139" xr:uid="{00000000-0005-0000-0000-0000773E0000}"/>
    <cellStyle name="Normal 6 2 4 2 2" xfId="18889" xr:uid="{00000000-0005-0000-0000-0000783E0000}"/>
    <cellStyle name="Normal 6 2 4 3" xfId="8537" xr:uid="{00000000-0005-0000-0000-0000793E0000}"/>
    <cellStyle name="Normal 6 2 4 3 2" xfId="17290" xr:uid="{00000000-0005-0000-0000-00007A3E0000}"/>
    <cellStyle name="Normal 6 2 4 4" xfId="11749" xr:uid="{00000000-0005-0000-0000-00007B3E0000}"/>
    <cellStyle name="Normal 6 2 4 4 2" xfId="20436" xr:uid="{00000000-0005-0000-0000-00007C3E0000}"/>
    <cellStyle name="Normal 6 2 4 5" xfId="13356" xr:uid="{00000000-0005-0000-0000-00007D3E0000}"/>
    <cellStyle name="Normal 6 2 4 5 2" xfId="22036" xr:uid="{00000000-0005-0000-0000-00007E3E0000}"/>
    <cellStyle name="Normal 6 2 4 6" xfId="15530" xr:uid="{00000000-0005-0000-0000-00007F3E0000}"/>
    <cellStyle name="Normal 6 2 5" xfId="3466" xr:uid="{00000000-0005-0000-0000-0000803E0000}"/>
    <cellStyle name="Normal 6 2 5 2" xfId="10140" xr:uid="{00000000-0005-0000-0000-0000813E0000}"/>
    <cellStyle name="Normal 6 2 5 2 2" xfId="18890" xr:uid="{00000000-0005-0000-0000-0000823E0000}"/>
    <cellStyle name="Normal 6 2 5 3" xfId="8538" xr:uid="{00000000-0005-0000-0000-0000833E0000}"/>
    <cellStyle name="Normal 6 2 5 3 2" xfId="17291" xr:uid="{00000000-0005-0000-0000-0000843E0000}"/>
    <cellStyle name="Normal 6 2 5 4" xfId="11750" xr:uid="{00000000-0005-0000-0000-0000853E0000}"/>
    <cellStyle name="Normal 6 2 5 4 2" xfId="20437" xr:uid="{00000000-0005-0000-0000-0000863E0000}"/>
    <cellStyle name="Normal 6 2 5 5" xfId="13357" xr:uid="{00000000-0005-0000-0000-0000873E0000}"/>
    <cellStyle name="Normal 6 2 5 5 2" xfId="22037" xr:uid="{00000000-0005-0000-0000-0000883E0000}"/>
    <cellStyle name="Normal 6 2 5 6" xfId="15531" xr:uid="{00000000-0005-0000-0000-0000893E0000}"/>
    <cellStyle name="Normal 6 2 6" xfId="3467" xr:uid="{00000000-0005-0000-0000-00008A3E0000}"/>
    <cellStyle name="Normal 6 2 6 2" xfId="10141" xr:uid="{00000000-0005-0000-0000-00008B3E0000}"/>
    <cellStyle name="Normal 6 2 6 2 2" xfId="18891" xr:uid="{00000000-0005-0000-0000-00008C3E0000}"/>
    <cellStyle name="Normal 6 2 6 3" xfId="8539" xr:uid="{00000000-0005-0000-0000-00008D3E0000}"/>
    <cellStyle name="Normal 6 2 6 3 2" xfId="17292" xr:uid="{00000000-0005-0000-0000-00008E3E0000}"/>
    <cellStyle name="Normal 6 2 6 4" xfId="11751" xr:uid="{00000000-0005-0000-0000-00008F3E0000}"/>
    <cellStyle name="Normal 6 2 6 4 2" xfId="20438" xr:uid="{00000000-0005-0000-0000-0000903E0000}"/>
    <cellStyle name="Normal 6 2 6 5" xfId="13358" xr:uid="{00000000-0005-0000-0000-0000913E0000}"/>
    <cellStyle name="Normal 6 2 6 5 2" xfId="22038" xr:uid="{00000000-0005-0000-0000-0000923E0000}"/>
    <cellStyle name="Normal 6 2 6 6" xfId="15532" xr:uid="{00000000-0005-0000-0000-0000933E0000}"/>
    <cellStyle name="Normal 6 2 7" xfId="4900" xr:uid="{00000000-0005-0000-0000-0000943E0000}"/>
    <cellStyle name="Normal 6 2 8" xfId="10130" xr:uid="{00000000-0005-0000-0000-0000953E0000}"/>
    <cellStyle name="Normal 6 2 8 2" xfId="18880" xr:uid="{00000000-0005-0000-0000-0000963E0000}"/>
    <cellStyle name="Normal 6 2 9" xfId="8528" xr:uid="{00000000-0005-0000-0000-0000973E0000}"/>
    <cellStyle name="Normal 6 2 9 2" xfId="17281" xr:uid="{00000000-0005-0000-0000-0000983E0000}"/>
    <cellStyle name="Normal 6 3" xfId="3468" xr:uid="{00000000-0005-0000-0000-0000993E0000}"/>
    <cellStyle name="Normal 6 3 2" xfId="3469" xr:uid="{00000000-0005-0000-0000-00009A3E0000}"/>
    <cellStyle name="Normal 6 3 2 2" xfId="10143" xr:uid="{00000000-0005-0000-0000-00009B3E0000}"/>
    <cellStyle name="Normal 6 3 2 2 2" xfId="18893" xr:uid="{00000000-0005-0000-0000-00009C3E0000}"/>
    <cellStyle name="Normal 6 3 2 3" xfId="8541" xr:uid="{00000000-0005-0000-0000-00009D3E0000}"/>
    <cellStyle name="Normal 6 3 2 3 2" xfId="17294" xr:uid="{00000000-0005-0000-0000-00009E3E0000}"/>
    <cellStyle name="Normal 6 3 2 4" xfId="11753" xr:uid="{00000000-0005-0000-0000-00009F3E0000}"/>
    <cellStyle name="Normal 6 3 2 4 2" xfId="20440" xr:uid="{00000000-0005-0000-0000-0000A03E0000}"/>
    <cellStyle name="Normal 6 3 2 5" xfId="13360" xr:uid="{00000000-0005-0000-0000-0000A13E0000}"/>
    <cellStyle name="Normal 6 3 2 5 2" xfId="22040" xr:uid="{00000000-0005-0000-0000-0000A23E0000}"/>
    <cellStyle name="Normal 6 3 2 6" xfId="15534" xr:uid="{00000000-0005-0000-0000-0000A33E0000}"/>
    <cellStyle name="Normal 6 3 3" xfId="3470" xr:uid="{00000000-0005-0000-0000-0000A43E0000}"/>
    <cellStyle name="Normal 6 3 3 2" xfId="10144" xr:uid="{00000000-0005-0000-0000-0000A53E0000}"/>
    <cellStyle name="Normal 6 3 3 2 2" xfId="18894" xr:uid="{00000000-0005-0000-0000-0000A63E0000}"/>
    <cellStyle name="Normal 6 3 3 3" xfId="8542" xr:uid="{00000000-0005-0000-0000-0000A73E0000}"/>
    <cellStyle name="Normal 6 3 3 3 2" xfId="17295" xr:uid="{00000000-0005-0000-0000-0000A83E0000}"/>
    <cellStyle name="Normal 6 3 3 4" xfId="11754" xr:uid="{00000000-0005-0000-0000-0000A93E0000}"/>
    <cellStyle name="Normal 6 3 3 4 2" xfId="20441" xr:uid="{00000000-0005-0000-0000-0000AA3E0000}"/>
    <cellStyle name="Normal 6 3 3 5" xfId="13361" xr:uid="{00000000-0005-0000-0000-0000AB3E0000}"/>
    <cellStyle name="Normal 6 3 3 5 2" xfId="22041" xr:uid="{00000000-0005-0000-0000-0000AC3E0000}"/>
    <cellStyle name="Normal 6 3 3 6" xfId="15535" xr:uid="{00000000-0005-0000-0000-0000AD3E0000}"/>
    <cellStyle name="Normal 6 3 4" xfId="3471" xr:uid="{00000000-0005-0000-0000-0000AE3E0000}"/>
    <cellStyle name="Normal 6 3 4 2" xfId="10145" xr:uid="{00000000-0005-0000-0000-0000AF3E0000}"/>
    <cellStyle name="Normal 6 3 4 2 2" xfId="18895" xr:uid="{00000000-0005-0000-0000-0000B03E0000}"/>
    <cellStyle name="Normal 6 3 4 3" xfId="8543" xr:uid="{00000000-0005-0000-0000-0000B13E0000}"/>
    <cellStyle name="Normal 6 3 4 3 2" xfId="17296" xr:uid="{00000000-0005-0000-0000-0000B23E0000}"/>
    <cellStyle name="Normal 6 3 4 4" xfId="11755" xr:uid="{00000000-0005-0000-0000-0000B33E0000}"/>
    <cellStyle name="Normal 6 3 4 4 2" xfId="20442" xr:uid="{00000000-0005-0000-0000-0000B43E0000}"/>
    <cellStyle name="Normal 6 3 4 5" xfId="13362" xr:uid="{00000000-0005-0000-0000-0000B53E0000}"/>
    <cellStyle name="Normal 6 3 4 5 2" xfId="22042" xr:uid="{00000000-0005-0000-0000-0000B63E0000}"/>
    <cellStyle name="Normal 6 3 4 6" xfId="15536" xr:uid="{00000000-0005-0000-0000-0000B73E0000}"/>
    <cellStyle name="Normal 6 3 5" xfId="10142" xr:uid="{00000000-0005-0000-0000-0000B83E0000}"/>
    <cellStyle name="Normal 6 3 5 2" xfId="18892" xr:uid="{00000000-0005-0000-0000-0000B93E0000}"/>
    <cellStyle name="Normal 6 3 6" xfId="8540" xr:uid="{00000000-0005-0000-0000-0000BA3E0000}"/>
    <cellStyle name="Normal 6 3 6 2" xfId="17293" xr:uid="{00000000-0005-0000-0000-0000BB3E0000}"/>
    <cellStyle name="Normal 6 3 7" xfId="11752" xr:uid="{00000000-0005-0000-0000-0000BC3E0000}"/>
    <cellStyle name="Normal 6 3 7 2" xfId="20439" xr:uid="{00000000-0005-0000-0000-0000BD3E0000}"/>
    <cellStyle name="Normal 6 3 8" xfId="13359" xr:uid="{00000000-0005-0000-0000-0000BE3E0000}"/>
    <cellStyle name="Normal 6 3 8 2" xfId="22039" xr:uid="{00000000-0005-0000-0000-0000BF3E0000}"/>
    <cellStyle name="Normal 6 3 9" xfId="15533" xr:uid="{00000000-0005-0000-0000-0000C03E0000}"/>
    <cellStyle name="Normal 6 4" xfId="3472" xr:uid="{00000000-0005-0000-0000-0000C13E0000}"/>
    <cellStyle name="Normal 6 4 2" xfId="3473" xr:uid="{00000000-0005-0000-0000-0000C23E0000}"/>
    <cellStyle name="Normal 6 4 2 2" xfId="10147" xr:uid="{00000000-0005-0000-0000-0000C33E0000}"/>
    <cellStyle name="Normal 6 4 2 2 2" xfId="18897" xr:uid="{00000000-0005-0000-0000-0000C43E0000}"/>
    <cellStyle name="Normal 6 4 2 3" xfId="8545" xr:uid="{00000000-0005-0000-0000-0000C53E0000}"/>
    <cellStyle name="Normal 6 4 2 3 2" xfId="17298" xr:uid="{00000000-0005-0000-0000-0000C63E0000}"/>
    <cellStyle name="Normal 6 4 2 4" xfId="11757" xr:uid="{00000000-0005-0000-0000-0000C73E0000}"/>
    <cellStyle name="Normal 6 4 2 4 2" xfId="20444" xr:uid="{00000000-0005-0000-0000-0000C83E0000}"/>
    <cellStyle name="Normal 6 4 2 5" xfId="13364" xr:uid="{00000000-0005-0000-0000-0000C93E0000}"/>
    <cellStyle name="Normal 6 4 2 5 2" xfId="22044" xr:uid="{00000000-0005-0000-0000-0000CA3E0000}"/>
    <cellStyle name="Normal 6 4 2 6" xfId="15538" xr:uid="{00000000-0005-0000-0000-0000CB3E0000}"/>
    <cellStyle name="Normal 6 4 3" xfId="3474" xr:uid="{00000000-0005-0000-0000-0000CC3E0000}"/>
    <cellStyle name="Normal 6 4 3 2" xfId="10148" xr:uid="{00000000-0005-0000-0000-0000CD3E0000}"/>
    <cellStyle name="Normal 6 4 3 2 2" xfId="18898" xr:uid="{00000000-0005-0000-0000-0000CE3E0000}"/>
    <cellStyle name="Normal 6 4 3 3" xfId="8546" xr:uid="{00000000-0005-0000-0000-0000CF3E0000}"/>
    <cellStyle name="Normal 6 4 3 3 2" xfId="17299" xr:uid="{00000000-0005-0000-0000-0000D03E0000}"/>
    <cellStyle name="Normal 6 4 3 4" xfId="11758" xr:uid="{00000000-0005-0000-0000-0000D13E0000}"/>
    <cellStyle name="Normal 6 4 3 4 2" xfId="20445" xr:uid="{00000000-0005-0000-0000-0000D23E0000}"/>
    <cellStyle name="Normal 6 4 3 5" xfId="13365" xr:uid="{00000000-0005-0000-0000-0000D33E0000}"/>
    <cellStyle name="Normal 6 4 3 5 2" xfId="22045" xr:uid="{00000000-0005-0000-0000-0000D43E0000}"/>
    <cellStyle name="Normal 6 4 3 6" xfId="15539" xr:uid="{00000000-0005-0000-0000-0000D53E0000}"/>
    <cellStyle name="Normal 6 4 4" xfId="3475" xr:uid="{00000000-0005-0000-0000-0000D63E0000}"/>
    <cellStyle name="Normal 6 4 4 2" xfId="10149" xr:uid="{00000000-0005-0000-0000-0000D73E0000}"/>
    <cellStyle name="Normal 6 4 4 2 2" xfId="18899" xr:uid="{00000000-0005-0000-0000-0000D83E0000}"/>
    <cellStyle name="Normal 6 4 4 3" xfId="8547" xr:uid="{00000000-0005-0000-0000-0000D93E0000}"/>
    <cellStyle name="Normal 6 4 4 3 2" xfId="17300" xr:uid="{00000000-0005-0000-0000-0000DA3E0000}"/>
    <cellStyle name="Normal 6 4 4 4" xfId="11759" xr:uid="{00000000-0005-0000-0000-0000DB3E0000}"/>
    <cellStyle name="Normal 6 4 4 4 2" xfId="20446" xr:uid="{00000000-0005-0000-0000-0000DC3E0000}"/>
    <cellStyle name="Normal 6 4 4 5" xfId="13366" xr:uid="{00000000-0005-0000-0000-0000DD3E0000}"/>
    <cellStyle name="Normal 6 4 4 5 2" xfId="22046" xr:uid="{00000000-0005-0000-0000-0000DE3E0000}"/>
    <cellStyle name="Normal 6 4 4 6" xfId="15540" xr:uid="{00000000-0005-0000-0000-0000DF3E0000}"/>
    <cellStyle name="Normal 6 4 5" xfId="10146" xr:uid="{00000000-0005-0000-0000-0000E03E0000}"/>
    <cellStyle name="Normal 6 4 5 2" xfId="18896" xr:uid="{00000000-0005-0000-0000-0000E13E0000}"/>
    <cellStyle name="Normal 6 4 6" xfId="8544" xr:uid="{00000000-0005-0000-0000-0000E23E0000}"/>
    <cellStyle name="Normal 6 4 6 2" xfId="17297" xr:uid="{00000000-0005-0000-0000-0000E33E0000}"/>
    <cellStyle name="Normal 6 4 7" xfId="11756" xr:uid="{00000000-0005-0000-0000-0000E43E0000}"/>
    <cellStyle name="Normal 6 4 7 2" xfId="20443" xr:uid="{00000000-0005-0000-0000-0000E53E0000}"/>
    <cellStyle name="Normal 6 4 8" xfId="13363" xr:uid="{00000000-0005-0000-0000-0000E63E0000}"/>
    <cellStyle name="Normal 6 4 8 2" xfId="22043" xr:uid="{00000000-0005-0000-0000-0000E73E0000}"/>
    <cellStyle name="Normal 6 4 9" xfId="15537" xr:uid="{00000000-0005-0000-0000-0000E83E0000}"/>
    <cellStyle name="Normal 6 5" xfId="3476" xr:uid="{00000000-0005-0000-0000-0000E93E0000}"/>
    <cellStyle name="Normal 6 5 2" xfId="3477" xr:uid="{00000000-0005-0000-0000-0000EA3E0000}"/>
    <cellStyle name="Normal 6 5 2 2" xfId="10151" xr:uid="{00000000-0005-0000-0000-0000EB3E0000}"/>
    <cellStyle name="Normal 6 5 2 2 2" xfId="18901" xr:uid="{00000000-0005-0000-0000-0000EC3E0000}"/>
    <cellStyle name="Normal 6 5 2 3" xfId="8549" xr:uid="{00000000-0005-0000-0000-0000ED3E0000}"/>
    <cellStyle name="Normal 6 5 2 3 2" xfId="17302" xr:uid="{00000000-0005-0000-0000-0000EE3E0000}"/>
    <cellStyle name="Normal 6 5 2 4" xfId="11761" xr:uid="{00000000-0005-0000-0000-0000EF3E0000}"/>
    <cellStyle name="Normal 6 5 2 4 2" xfId="20448" xr:uid="{00000000-0005-0000-0000-0000F03E0000}"/>
    <cellStyle name="Normal 6 5 2 5" xfId="13368" xr:uid="{00000000-0005-0000-0000-0000F13E0000}"/>
    <cellStyle name="Normal 6 5 2 5 2" xfId="22048" xr:uid="{00000000-0005-0000-0000-0000F23E0000}"/>
    <cellStyle name="Normal 6 5 2 6" xfId="15542" xr:uid="{00000000-0005-0000-0000-0000F33E0000}"/>
    <cellStyle name="Normal 6 5 3" xfId="3478" xr:uid="{00000000-0005-0000-0000-0000F43E0000}"/>
    <cellStyle name="Normal 6 5 3 2" xfId="10152" xr:uid="{00000000-0005-0000-0000-0000F53E0000}"/>
    <cellStyle name="Normal 6 5 3 2 2" xfId="18902" xr:uid="{00000000-0005-0000-0000-0000F63E0000}"/>
    <cellStyle name="Normal 6 5 3 3" xfId="8550" xr:uid="{00000000-0005-0000-0000-0000F73E0000}"/>
    <cellStyle name="Normal 6 5 3 3 2" xfId="17303" xr:uid="{00000000-0005-0000-0000-0000F83E0000}"/>
    <cellStyle name="Normal 6 5 3 4" xfId="11762" xr:uid="{00000000-0005-0000-0000-0000F93E0000}"/>
    <cellStyle name="Normal 6 5 3 4 2" xfId="20449" xr:uid="{00000000-0005-0000-0000-0000FA3E0000}"/>
    <cellStyle name="Normal 6 5 3 5" xfId="13369" xr:uid="{00000000-0005-0000-0000-0000FB3E0000}"/>
    <cellStyle name="Normal 6 5 3 5 2" xfId="22049" xr:uid="{00000000-0005-0000-0000-0000FC3E0000}"/>
    <cellStyle name="Normal 6 5 3 6" xfId="15543" xr:uid="{00000000-0005-0000-0000-0000FD3E0000}"/>
    <cellStyle name="Normal 6 5 4" xfId="3479" xr:uid="{00000000-0005-0000-0000-0000FE3E0000}"/>
    <cellStyle name="Normal 6 5 4 2" xfId="10153" xr:uid="{00000000-0005-0000-0000-0000FF3E0000}"/>
    <cellStyle name="Normal 6 5 4 2 2" xfId="18903" xr:uid="{00000000-0005-0000-0000-0000003F0000}"/>
    <cellStyle name="Normal 6 5 4 3" xfId="8551" xr:uid="{00000000-0005-0000-0000-0000013F0000}"/>
    <cellStyle name="Normal 6 5 4 3 2" xfId="17304" xr:uid="{00000000-0005-0000-0000-0000023F0000}"/>
    <cellStyle name="Normal 6 5 4 4" xfId="11763" xr:uid="{00000000-0005-0000-0000-0000033F0000}"/>
    <cellStyle name="Normal 6 5 4 4 2" xfId="20450" xr:uid="{00000000-0005-0000-0000-0000043F0000}"/>
    <cellStyle name="Normal 6 5 4 5" xfId="13370" xr:uid="{00000000-0005-0000-0000-0000053F0000}"/>
    <cellStyle name="Normal 6 5 4 5 2" xfId="22050" xr:uid="{00000000-0005-0000-0000-0000063F0000}"/>
    <cellStyle name="Normal 6 5 4 6" xfId="15544" xr:uid="{00000000-0005-0000-0000-0000073F0000}"/>
    <cellStyle name="Normal 6 5 5" xfId="10150" xr:uid="{00000000-0005-0000-0000-0000083F0000}"/>
    <cellStyle name="Normal 6 5 5 2" xfId="18900" xr:uid="{00000000-0005-0000-0000-0000093F0000}"/>
    <cellStyle name="Normal 6 5 6" xfId="8548" xr:uid="{00000000-0005-0000-0000-00000A3F0000}"/>
    <cellStyle name="Normal 6 5 6 2" xfId="17301" xr:uid="{00000000-0005-0000-0000-00000B3F0000}"/>
    <cellStyle name="Normal 6 5 7" xfId="11760" xr:uid="{00000000-0005-0000-0000-00000C3F0000}"/>
    <cellStyle name="Normal 6 5 7 2" xfId="20447" xr:uid="{00000000-0005-0000-0000-00000D3F0000}"/>
    <cellStyle name="Normal 6 5 8" xfId="13367" xr:uid="{00000000-0005-0000-0000-00000E3F0000}"/>
    <cellStyle name="Normal 6 5 8 2" xfId="22047" xr:uid="{00000000-0005-0000-0000-00000F3F0000}"/>
    <cellStyle name="Normal 6 5 9" xfId="15541" xr:uid="{00000000-0005-0000-0000-0000103F0000}"/>
    <cellStyle name="Normal 6 6" xfId="3480" xr:uid="{00000000-0005-0000-0000-0000113F0000}"/>
    <cellStyle name="Normal 6 6 2" xfId="10154" xr:uid="{00000000-0005-0000-0000-0000123F0000}"/>
    <cellStyle name="Normal 6 6 2 2" xfId="18904" xr:uid="{00000000-0005-0000-0000-0000133F0000}"/>
    <cellStyle name="Normal 6 6 3" xfId="8552" xr:uid="{00000000-0005-0000-0000-0000143F0000}"/>
    <cellStyle name="Normal 6 6 3 2" xfId="17305" xr:uid="{00000000-0005-0000-0000-0000153F0000}"/>
    <cellStyle name="Normal 6 6 4" xfId="11764" xr:uid="{00000000-0005-0000-0000-0000163F0000}"/>
    <cellStyle name="Normal 6 6 4 2" xfId="20451" xr:uid="{00000000-0005-0000-0000-0000173F0000}"/>
    <cellStyle name="Normal 6 6 5" xfId="13371" xr:uid="{00000000-0005-0000-0000-0000183F0000}"/>
    <cellStyle name="Normal 6 6 5 2" xfId="22051" xr:uid="{00000000-0005-0000-0000-0000193F0000}"/>
    <cellStyle name="Normal 6 6 6" xfId="15545" xr:uid="{00000000-0005-0000-0000-00001A3F0000}"/>
    <cellStyle name="Normal 6 7" xfId="3481" xr:uid="{00000000-0005-0000-0000-00001B3F0000}"/>
    <cellStyle name="Normal 6 7 2" xfId="10155" xr:uid="{00000000-0005-0000-0000-00001C3F0000}"/>
    <cellStyle name="Normal 6 7 2 2" xfId="18905" xr:uid="{00000000-0005-0000-0000-00001D3F0000}"/>
    <cellStyle name="Normal 6 7 3" xfId="8553" xr:uid="{00000000-0005-0000-0000-00001E3F0000}"/>
    <cellStyle name="Normal 6 7 3 2" xfId="17306" xr:uid="{00000000-0005-0000-0000-00001F3F0000}"/>
    <cellStyle name="Normal 6 7 4" xfId="11765" xr:uid="{00000000-0005-0000-0000-0000203F0000}"/>
    <cellStyle name="Normal 6 7 4 2" xfId="20452" xr:uid="{00000000-0005-0000-0000-0000213F0000}"/>
    <cellStyle name="Normal 6 7 5" xfId="13372" xr:uid="{00000000-0005-0000-0000-0000223F0000}"/>
    <cellStyle name="Normal 6 7 5 2" xfId="22052" xr:uid="{00000000-0005-0000-0000-0000233F0000}"/>
    <cellStyle name="Normal 6 7 6" xfId="15546" xr:uid="{00000000-0005-0000-0000-0000243F0000}"/>
    <cellStyle name="Normal 6 8" xfId="3482" xr:uid="{00000000-0005-0000-0000-0000253F0000}"/>
    <cellStyle name="Normal 6 8 2" xfId="10156" xr:uid="{00000000-0005-0000-0000-0000263F0000}"/>
    <cellStyle name="Normal 6 8 2 2" xfId="18906" xr:uid="{00000000-0005-0000-0000-0000273F0000}"/>
    <cellStyle name="Normal 6 8 3" xfId="8554" xr:uid="{00000000-0005-0000-0000-0000283F0000}"/>
    <cellStyle name="Normal 6 8 3 2" xfId="17307" xr:uid="{00000000-0005-0000-0000-0000293F0000}"/>
    <cellStyle name="Normal 6 8 4" xfId="11766" xr:uid="{00000000-0005-0000-0000-00002A3F0000}"/>
    <cellStyle name="Normal 6 8 4 2" xfId="20453" xr:uid="{00000000-0005-0000-0000-00002B3F0000}"/>
    <cellStyle name="Normal 6 8 5" xfId="13373" xr:uid="{00000000-0005-0000-0000-00002C3F0000}"/>
    <cellStyle name="Normal 6 8 5 2" xfId="22053" xr:uid="{00000000-0005-0000-0000-00002D3F0000}"/>
    <cellStyle name="Normal 6 8 6" xfId="15547" xr:uid="{00000000-0005-0000-0000-00002E3F0000}"/>
    <cellStyle name="Normal 6 9" xfId="3483" xr:uid="{00000000-0005-0000-0000-00002F3F0000}"/>
    <cellStyle name="Normal 6 9 2" xfId="10157" xr:uid="{00000000-0005-0000-0000-0000303F0000}"/>
    <cellStyle name="Normal 6 9 2 2" xfId="18907" xr:uid="{00000000-0005-0000-0000-0000313F0000}"/>
    <cellStyle name="Normal 6 9 3" xfId="8555" xr:uid="{00000000-0005-0000-0000-0000323F0000}"/>
    <cellStyle name="Normal 6 9 3 2" xfId="17308" xr:uid="{00000000-0005-0000-0000-0000333F0000}"/>
    <cellStyle name="Normal 6 9 4" xfId="11767" xr:uid="{00000000-0005-0000-0000-0000343F0000}"/>
    <cellStyle name="Normal 6 9 4 2" xfId="20454" xr:uid="{00000000-0005-0000-0000-0000353F0000}"/>
    <cellStyle name="Normal 6 9 5" xfId="13374" xr:uid="{00000000-0005-0000-0000-0000363F0000}"/>
    <cellStyle name="Normal 6 9 5 2" xfId="22054" xr:uid="{00000000-0005-0000-0000-0000373F0000}"/>
    <cellStyle name="Normal 6 9 6" xfId="15548" xr:uid="{00000000-0005-0000-0000-0000383F0000}"/>
    <cellStyle name="Normal 60" xfId="3484" xr:uid="{00000000-0005-0000-0000-0000393F0000}"/>
    <cellStyle name="Normal 60 2" xfId="3485" xr:uid="{00000000-0005-0000-0000-00003A3F0000}"/>
    <cellStyle name="Normal 60 2 2" xfId="10159" xr:uid="{00000000-0005-0000-0000-00003B3F0000}"/>
    <cellStyle name="Normal 60 2 2 2" xfId="18909" xr:uid="{00000000-0005-0000-0000-00003C3F0000}"/>
    <cellStyle name="Normal 60 2 3" xfId="8557" xr:uid="{00000000-0005-0000-0000-00003D3F0000}"/>
    <cellStyle name="Normal 60 2 3 2" xfId="17310" xr:uid="{00000000-0005-0000-0000-00003E3F0000}"/>
    <cellStyle name="Normal 60 2 4" xfId="11769" xr:uid="{00000000-0005-0000-0000-00003F3F0000}"/>
    <cellStyle name="Normal 60 2 4 2" xfId="20456" xr:uid="{00000000-0005-0000-0000-0000403F0000}"/>
    <cellStyle name="Normal 60 2 5" xfId="13376" xr:uid="{00000000-0005-0000-0000-0000413F0000}"/>
    <cellStyle name="Normal 60 2 5 2" xfId="22056" xr:uid="{00000000-0005-0000-0000-0000423F0000}"/>
    <cellStyle name="Normal 60 2 6" xfId="15550" xr:uid="{00000000-0005-0000-0000-0000433F0000}"/>
    <cellStyle name="Normal 60 3" xfId="3486" xr:uid="{00000000-0005-0000-0000-0000443F0000}"/>
    <cellStyle name="Normal 60 3 2" xfId="10160" xr:uid="{00000000-0005-0000-0000-0000453F0000}"/>
    <cellStyle name="Normal 60 3 2 2" xfId="18910" xr:uid="{00000000-0005-0000-0000-0000463F0000}"/>
    <cellStyle name="Normal 60 3 3" xfId="8558" xr:uid="{00000000-0005-0000-0000-0000473F0000}"/>
    <cellStyle name="Normal 60 3 3 2" xfId="17311" xr:uid="{00000000-0005-0000-0000-0000483F0000}"/>
    <cellStyle name="Normal 60 3 4" xfId="11770" xr:uid="{00000000-0005-0000-0000-0000493F0000}"/>
    <cellStyle name="Normal 60 3 4 2" xfId="20457" xr:uid="{00000000-0005-0000-0000-00004A3F0000}"/>
    <cellStyle name="Normal 60 3 5" xfId="13377" xr:uid="{00000000-0005-0000-0000-00004B3F0000}"/>
    <cellStyle name="Normal 60 3 5 2" xfId="22057" xr:uid="{00000000-0005-0000-0000-00004C3F0000}"/>
    <cellStyle name="Normal 60 3 6" xfId="15551" xr:uid="{00000000-0005-0000-0000-00004D3F0000}"/>
    <cellStyle name="Normal 60 4" xfId="3487" xr:uid="{00000000-0005-0000-0000-00004E3F0000}"/>
    <cellStyle name="Normal 60 4 2" xfId="10161" xr:uid="{00000000-0005-0000-0000-00004F3F0000}"/>
    <cellStyle name="Normal 60 4 2 2" xfId="18911" xr:uid="{00000000-0005-0000-0000-0000503F0000}"/>
    <cellStyle name="Normal 60 4 3" xfId="8559" xr:uid="{00000000-0005-0000-0000-0000513F0000}"/>
    <cellStyle name="Normal 60 4 3 2" xfId="17312" xr:uid="{00000000-0005-0000-0000-0000523F0000}"/>
    <cellStyle name="Normal 60 4 4" xfId="11771" xr:uid="{00000000-0005-0000-0000-0000533F0000}"/>
    <cellStyle name="Normal 60 4 4 2" xfId="20458" xr:uid="{00000000-0005-0000-0000-0000543F0000}"/>
    <cellStyle name="Normal 60 4 5" xfId="13378" xr:uid="{00000000-0005-0000-0000-0000553F0000}"/>
    <cellStyle name="Normal 60 4 5 2" xfId="22058" xr:uid="{00000000-0005-0000-0000-0000563F0000}"/>
    <cellStyle name="Normal 60 4 6" xfId="15552" xr:uid="{00000000-0005-0000-0000-0000573F0000}"/>
    <cellStyle name="Normal 60 5" xfId="10158" xr:uid="{00000000-0005-0000-0000-0000583F0000}"/>
    <cellStyle name="Normal 60 5 2" xfId="18908" xr:uid="{00000000-0005-0000-0000-0000593F0000}"/>
    <cellStyle name="Normal 60 6" xfId="8556" xr:uid="{00000000-0005-0000-0000-00005A3F0000}"/>
    <cellStyle name="Normal 60 6 2" xfId="17309" xr:uid="{00000000-0005-0000-0000-00005B3F0000}"/>
    <cellStyle name="Normal 60 7" xfId="11768" xr:uid="{00000000-0005-0000-0000-00005C3F0000}"/>
    <cellStyle name="Normal 60 7 2" xfId="20455" xr:uid="{00000000-0005-0000-0000-00005D3F0000}"/>
    <cellStyle name="Normal 60 8" xfId="13375" xr:uid="{00000000-0005-0000-0000-00005E3F0000}"/>
    <cellStyle name="Normal 60 8 2" xfId="22055" xr:uid="{00000000-0005-0000-0000-00005F3F0000}"/>
    <cellStyle name="Normal 60 9" xfId="15549" xr:uid="{00000000-0005-0000-0000-0000603F0000}"/>
    <cellStyle name="Normal 61" xfId="3488" xr:uid="{00000000-0005-0000-0000-0000613F0000}"/>
    <cellStyle name="Normal 61 2" xfId="3489" xr:uid="{00000000-0005-0000-0000-0000623F0000}"/>
    <cellStyle name="Normal 61 2 2" xfId="10163" xr:uid="{00000000-0005-0000-0000-0000633F0000}"/>
    <cellStyle name="Normal 61 2 2 2" xfId="18913" xr:uid="{00000000-0005-0000-0000-0000643F0000}"/>
    <cellStyle name="Normal 61 2 3" xfId="8561" xr:uid="{00000000-0005-0000-0000-0000653F0000}"/>
    <cellStyle name="Normal 61 2 3 2" xfId="17314" xr:uid="{00000000-0005-0000-0000-0000663F0000}"/>
    <cellStyle name="Normal 61 2 4" xfId="11773" xr:uid="{00000000-0005-0000-0000-0000673F0000}"/>
    <cellStyle name="Normal 61 2 4 2" xfId="20460" xr:uid="{00000000-0005-0000-0000-0000683F0000}"/>
    <cellStyle name="Normal 61 2 5" xfId="13380" xr:uid="{00000000-0005-0000-0000-0000693F0000}"/>
    <cellStyle name="Normal 61 2 5 2" xfId="22060" xr:uid="{00000000-0005-0000-0000-00006A3F0000}"/>
    <cellStyle name="Normal 61 2 6" xfId="15554" xr:uid="{00000000-0005-0000-0000-00006B3F0000}"/>
    <cellStyle name="Normal 61 3" xfId="3490" xr:uid="{00000000-0005-0000-0000-00006C3F0000}"/>
    <cellStyle name="Normal 61 3 2" xfId="10164" xr:uid="{00000000-0005-0000-0000-00006D3F0000}"/>
    <cellStyle name="Normal 61 3 2 2" xfId="18914" xr:uid="{00000000-0005-0000-0000-00006E3F0000}"/>
    <cellStyle name="Normal 61 3 3" xfId="8562" xr:uid="{00000000-0005-0000-0000-00006F3F0000}"/>
    <cellStyle name="Normal 61 3 3 2" xfId="17315" xr:uid="{00000000-0005-0000-0000-0000703F0000}"/>
    <cellStyle name="Normal 61 3 4" xfId="11774" xr:uid="{00000000-0005-0000-0000-0000713F0000}"/>
    <cellStyle name="Normal 61 3 4 2" xfId="20461" xr:uid="{00000000-0005-0000-0000-0000723F0000}"/>
    <cellStyle name="Normal 61 3 5" xfId="13381" xr:uid="{00000000-0005-0000-0000-0000733F0000}"/>
    <cellStyle name="Normal 61 3 5 2" xfId="22061" xr:uid="{00000000-0005-0000-0000-0000743F0000}"/>
    <cellStyle name="Normal 61 3 6" xfId="15555" xr:uid="{00000000-0005-0000-0000-0000753F0000}"/>
    <cellStyle name="Normal 61 4" xfId="3491" xr:uid="{00000000-0005-0000-0000-0000763F0000}"/>
    <cellStyle name="Normal 61 4 2" xfId="10165" xr:uid="{00000000-0005-0000-0000-0000773F0000}"/>
    <cellStyle name="Normal 61 4 2 2" xfId="18915" xr:uid="{00000000-0005-0000-0000-0000783F0000}"/>
    <cellStyle name="Normal 61 4 3" xfId="8563" xr:uid="{00000000-0005-0000-0000-0000793F0000}"/>
    <cellStyle name="Normal 61 4 3 2" xfId="17316" xr:uid="{00000000-0005-0000-0000-00007A3F0000}"/>
    <cellStyle name="Normal 61 4 4" xfId="11775" xr:uid="{00000000-0005-0000-0000-00007B3F0000}"/>
    <cellStyle name="Normal 61 4 4 2" xfId="20462" xr:uid="{00000000-0005-0000-0000-00007C3F0000}"/>
    <cellStyle name="Normal 61 4 5" xfId="13382" xr:uid="{00000000-0005-0000-0000-00007D3F0000}"/>
    <cellStyle name="Normal 61 4 5 2" xfId="22062" xr:uid="{00000000-0005-0000-0000-00007E3F0000}"/>
    <cellStyle name="Normal 61 4 6" xfId="15556" xr:uid="{00000000-0005-0000-0000-00007F3F0000}"/>
    <cellStyle name="Normal 61 5" xfId="10162" xr:uid="{00000000-0005-0000-0000-0000803F0000}"/>
    <cellStyle name="Normal 61 5 2" xfId="18912" xr:uid="{00000000-0005-0000-0000-0000813F0000}"/>
    <cellStyle name="Normal 61 6" xfId="8560" xr:uid="{00000000-0005-0000-0000-0000823F0000}"/>
    <cellStyle name="Normal 61 6 2" xfId="17313" xr:uid="{00000000-0005-0000-0000-0000833F0000}"/>
    <cellStyle name="Normal 61 7" xfId="11772" xr:uid="{00000000-0005-0000-0000-0000843F0000}"/>
    <cellStyle name="Normal 61 7 2" xfId="20459" xr:uid="{00000000-0005-0000-0000-0000853F0000}"/>
    <cellStyle name="Normal 61 8" xfId="13379" xr:uid="{00000000-0005-0000-0000-0000863F0000}"/>
    <cellStyle name="Normal 61 8 2" xfId="22059" xr:uid="{00000000-0005-0000-0000-0000873F0000}"/>
    <cellStyle name="Normal 61 9" xfId="15553" xr:uid="{00000000-0005-0000-0000-0000883F0000}"/>
    <cellStyle name="Normal 62" xfId="3492" xr:uid="{00000000-0005-0000-0000-0000893F0000}"/>
    <cellStyle name="Normal 62 2" xfId="3493" xr:uid="{00000000-0005-0000-0000-00008A3F0000}"/>
    <cellStyle name="Normal 62 2 2" xfId="10167" xr:uid="{00000000-0005-0000-0000-00008B3F0000}"/>
    <cellStyle name="Normal 62 2 2 2" xfId="18917" xr:uid="{00000000-0005-0000-0000-00008C3F0000}"/>
    <cellStyle name="Normal 62 2 3" xfId="8565" xr:uid="{00000000-0005-0000-0000-00008D3F0000}"/>
    <cellStyle name="Normal 62 2 3 2" xfId="17318" xr:uid="{00000000-0005-0000-0000-00008E3F0000}"/>
    <cellStyle name="Normal 62 2 4" xfId="11777" xr:uid="{00000000-0005-0000-0000-00008F3F0000}"/>
    <cellStyle name="Normal 62 2 4 2" xfId="20464" xr:uid="{00000000-0005-0000-0000-0000903F0000}"/>
    <cellStyle name="Normal 62 2 5" xfId="13384" xr:uid="{00000000-0005-0000-0000-0000913F0000}"/>
    <cellStyle name="Normal 62 2 5 2" xfId="22064" xr:uid="{00000000-0005-0000-0000-0000923F0000}"/>
    <cellStyle name="Normal 62 2 6" xfId="15558" xr:uid="{00000000-0005-0000-0000-0000933F0000}"/>
    <cellStyle name="Normal 62 3" xfId="3494" xr:uid="{00000000-0005-0000-0000-0000943F0000}"/>
    <cellStyle name="Normal 62 3 2" xfId="10168" xr:uid="{00000000-0005-0000-0000-0000953F0000}"/>
    <cellStyle name="Normal 62 3 2 2" xfId="18918" xr:uid="{00000000-0005-0000-0000-0000963F0000}"/>
    <cellStyle name="Normal 62 3 3" xfId="8566" xr:uid="{00000000-0005-0000-0000-0000973F0000}"/>
    <cellStyle name="Normal 62 3 3 2" xfId="17319" xr:uid="{00000000-0005-0000-0000-0000983F0000}"/>
    <cellStyle name="Normal 62 3 4" xfId="11778" xr:uid="{00000000-0005-0000-0000-0000993F0000}"/>
    <cellStyle name="Normal 62 3 4 2" xfId="20465" xr:uid="{00000000-0005-0000-0000-00009A3F0000}"/>
    <cellStyle name="Normal 62 3 5" xfId="13385" xr:uid="{00000000-0005-0000-0000-00009B3F0000}"/>
    <cellStyle name="Normal 62 3 5 2" xfId="22065" xr:uid="{00000000-0005-0000-0000-00009C3F0000}"/>
    <cellStyle name="Normal 62 3 6" xfId="15559" xr:uid="{00000000-0005-0000-0000-00009D3F0000}"/>
    <cellStyle name="Normal 62 4" xfId="3495" xr:uid="{00000000-0005-0000-0000-00009E3F0000}"/>
    <cellStyle name="Normal 62 4 2" xfId="10169" xr:uid="{00000000-0005-0000-0000-00009F3F0000}"/>
    <cellStyle name="Normal 62 4 2 2" xfId="18919" xr:uid="{00000000-0005-0000-0000-0000A03F0000}"/>
    <cellStyle name="Normal 62 4 3" xfId="8567" xr:uid="{00000000-0005-0000-0000-0000A13F0000}"/>
    <cellStyle name="Normal 62 4 3 2" xfId="17320" xr:uid="{00000000-0005-0000-0000-0000A23F0000}"/>
    <cellStyle name="Normal 62 4 4" xfId="11779" xr:uid="{00000000-0005-0000-0000-0000A33F0000}"/>
    <cellStyle name="Normal 62 4 4 2" xfId="20466" xr:uid="{00000000-0005-0000-0000-0000A43F0000}"/>
    <cellStyle name="Normal 62 4 5" xfId="13386" xr:uid="{00000000-0005-0000-0000-0000A53F0000}"/>
    <cellStyle name="Normal 62 4 5 2" xfId="22066" xr:uid="{00000000-0005-0000-0000-0000A63F0000}"/>
    <cellStyle name="Normal 62 4 6" xfId="15560" xr:uid="{00000000-0005-0000-0000-0000A73F0000}"/>
    <cellStyle name="Normal 62 5" xfId="10166" xr:uid="{00000000-0005-0000-0000-0000A83F0000}"/>
    <cellStyle name="Normal 62 5 2" xfId="18916" xr:uid="{00000000-0005-0000-0000-0000A93F0000}"/>
    <cellStyle name="Normal 62 6" xfId="8564" xr:uid="{00000000-0005-0000-0000-0000AA3F0000}"/>
    <cellStyle name="Normal 62 6 2" xfId="17317" xr:uid="{00000000-0005-0000-0000-0000AB3F0000}"/>
    <cellStyle name="Normal 62 7" xfId="11776" xr:uid="{00000000-0005-0000-0000-0000AC3F0000}"/>
    <cellStyle name="Normal 62 7 2" xfId="20463" xr:uid="{00000000-0005-0000-0000-0000AD3F0000}"/>
    <cellStyle name="Normal 62 8" xfId="13383" xr:uid="{00000000-0005-0000-0000-0000AE3F0000}"/>
    <cellStyle name="Normal 62 8 2" xfId="22063" xr:uid="{00000000-0005-0000-0000-0000AF3F0000}"/>
    <cellStyle name="Normal 62 9" xfId="15557" xr:uid="{00000000-0005-0000-0000-0000B03F0000}"/>
    <cellStyle name="Normal 63" xfId="3496" xr:uid="{00000000-0005-0000-0000-0000B13F0000}"/>
    <cellStyle name="Normal 63 2" xfId="3497" xr:uid="{00000000-0005-0000-0000-0000B23F0000}"/>
    <cellStyle name="Normal 63 2 2" xfId="10171" xr:uid="{00000000-0005-0000-0000-0000B33F0000}"/>
    <cellStyle name="Normal 63 2 2 2" xfId="18921" xr:uid="{00000000-0005-0000-0000-0000B43F0000}"/>
    <cellStyle name="Normal 63 2 3" xfId="8569" xr:uid="{00000000-0005-0000-0000-0000B53F0000}"/>
    <cellStyle name="Normal 63 2 3 2" xfId="17322" xr:uid="{00000000-0005-0000-0000-0000B63F0000}"/>
    <cellStyle name="Normal 63 2 4" xfId="11781" xr:uid="{00000000-0005-0000-0000-0000B73F0000}"/>
    <cellStyle name="Normal 63 2 4 2" xfId="20468" xr:uid="{00000000-0005-0000-0000-0000B83F0000}"/>
    <cellStyle name="Normal 63 2 5" xfId="13388" xr:uid="{00000000-0005-0000-0000-0000B93F0000}"/>
    <cellStyle name="Normal 63 2 5 2" xfId="22068" xr:uid="{00000000-0005-0000-0000-0000BA3F0000}"/>
    <cellStyle name="Normal 63 2 6" xfId="15562" xr:uid="{00000000-0005-0000-0000-0000BB3F0000}"/>
    <cellStyle name="Normal 63 3" xfId="3498" xr:uid="{00000000-0005-0000-0000-0000BC3F0000}"/>
    <cellStyle name="Normal 63 3 2" xfId="10172" xr:uid="{00000000-0005-0000-0000-0000BD3F0000}"/>
    <cellStyle name="Normal 63 3 2 2" xfId="18922" xr:uid="{00000000-0005-0000-0000-0000BE3F0000}"/>
    <cellStyle name="Normal 63 3 3" xfId="8570" xr:uid="{00000000-0005-0000-0000-0000BF3F0000}"/>
    <cellStyle name="Normal 63 3 3 2" xfId="17323" xr:uid="{00000000-0005-0000-0000-0000C03F0000}"/>
    <cellStyle name="Normal 63 3 4" xfId="11782" xr:uid="{00000000-0005-0000-0000-0000C13F0000}"/>
    <cellStyle name="Normal 63 3 4 2" xfId="20469" xr:uid="{00000000-0005-0000-0000-0000C23F0000}"/>
    <cellStyle name="Normal 63 3 5" xfId="13389" xr:uid="{00000000-0005-0000-0000-0000C33F0000}"/>
    <cellStyle name="Normal 63 3 5 2" xfId="22069" xr:uid="{00000000-0005-0000-0000-0000C43F0000}"/>
    <cellStyle name="Normal 63 3 6" xfId="15563" xr:uid="{00000000-0005-0000-0000-0000C53F0000}"/>
    <cellStyle name="Normal 63 4" xfId="3499" xr:uid="{00000000-0005-0000-0000-0000C63F0000}"/>
    <cellStyle name="Normal 63 4 2" xfId="10173" xr:uid="{00000000-0005-0000-0000-0000C73F0000}"/>
    <cellStyle name="Normal 63 4 2 2" xfId="18923" xr:uid="{00000000-0005-0000-0000-0000C83F0000}"/>
    <cellStyle name="Normal 63 4 3" xfId="8571" xr:uid="{00000000-0005-0000-0000-0000C93F0000}"/>
    <cellStyle name="Normal 63 4 3 2" xfId="17324" xr:uid="{00000000-0005-0000-0000-0000CA3F0000}"/>
    <cellStyle name="Normal 63 4 4" xfId="11783" xr:uid="{00000000-0005-0000-0000-0000CB3F0000}"/>
    <cellStyle name="Normal 63 4 4 2" xfId="20470" xr:uid="{00000000-0005-0000-0000-0000CC3F0000}"/>
    <cellStyle name="Normal 63 4 5" xfId="13390" xr:uid="{00000000-0005-0000-0000-0000CD3F0000}"/>
    <cellStyle name="Normal 63 4 5 2" xfId="22070" xr:uid="{00000000-0005-0000-0000-0000CE3F0000}"/>
    <cellStyle name="Normal 63 4 6" xfId="15564" xr:uid="{00000000-0005-0000-0000-0000CF3F0000}"/>
    <cellStyle name="Normal 63 5" xfId="10170" xr:uid="{00000000-0005-0000-0000-0000D03F0000}"/>
    <cellStyle name="Normal 63 5 2" xfId="18920" xr:uid="{00000000-0005-0000-0000-0000D13F0000}"/>
    <cellStyle name="Normal 63 6" xfId="8568" xr:uid="{00000000-0005-0000-0000-0000D23F0000}"/>
    <cellStyle name="Normal 63 6 2" xfId="17321" xr:uid="{00000000-0005-0000-0000-0000D33F0000}"/>
    <cellStyle name="Normal 63 7" xfId="11780" xr:uid="{00000000-0005-0000-0000-0000D43F0000}"/>
    <cellStyle name="Normal 63 7 2" xfId="20467" xr:uid="{00000000-0005-0000-0000-0000D53F0000}"/>
    <cellStyle name="Normal 63 8" xfId="13387" xr:uid="{00000000-0005-0000-0000-0000D63F0000}"/>
    <cellStyle name="Normal 63 8 2" xfId="22067" xr:uid="{00000000-0005-0000-0000-0000D73F0000}"/>
    <cellStyle name="Normal 63 9" xfId="15561" xr:uid="{00000000-0005-0000-0000-0000D83F0000}"/>
    <cellStyle name="Normal 64" xfId="3500" xr:uid="{00000000-0005-0000-0000-0000D93F0000}"/>
    <cellStyle name="Normal 64 2" xfId="3501" xr:uid="{00000000-0005-0000-0000-0000DA3F0000}"/>
    <cellStyle name="Normal 64 2 2" xfId="10175" xr:uid="{00000000-0005-0000-0000-0000DB3F0000}"/>
    <cellStyle name="Normal 64 2 2 2" xfId="18925" xr:uid="{00000000-0005-0000-0000-0000DC3F0000}"/>
    <cellStyle name="Normal 64 2 3" xfId="8573" xr:uid="{00000000-0005-0000-0000-0000DD3F0000}"/>
    <cellStyle name="Normal 64 2 3 2" xfId="17326" xr:uid="{00000000-0005-0000-0000-0000DE3F0000}"/>
    <cellStyle name="Normal 64 2 4" xfId="11785" xr:uid="{00000000-0005-0000-0000-0000DF3F0000}"/>
    <cellStyle name="Normal 64 2 4 2" xfId="20472" xr:uid="{00000000-0005-0000-0000-0000E03F0000}"/>
    <cellStyle name="Normal 64 2 5" xfId="13392" xr:uid="{00000000-0005-0000-0000-0000E13F0000}"/>
    <cellStyle name="Normal 64 2 5 2" xfId="22072" xr:uid="{00000000-0005-0000-0000-0000E23F0000}"/>
    <cellStyle name="Normal 64 2 6" xfId="15566" xr:uid="{00000000-0005-0000-0000-0000E33F0000}"/>
    <cellStyle name="Normal 64 3" xfId="3502" xr:uid="{00000000-0005-0000-0000-0000E43F0000}"/>
    <cellStyle name="Normal 64 3 2" xfId="10176" xr:uid="{00000000-0005-0000-0000-0000E53F0000}"/>
    <cellStyle name="Normal 64 3 2 2" xfId="18926" xr:uid="{00000000-0005-0000-0000-0000E63F0000}"/>
    <cellStyle name="Normal 64 3 3" xfId="8574" xr:uid="{00000000-0005-0000-0000-0000E73F0000}"/>
    <cellStyle name="Normal 64 3 3 2" xfId="17327" xr:uid="{00000000-0005-0000-0000-0000E83F0000}"/>
    <cellStyle name="Normal 64 3 4" xfId="11786" xr:uid="{00000000-0005-0000-0000-0000E93F0000}"/>
    <cellStyle name="Normal 64 3 4 2" xfId="20473" xr:uid="{00000000-0005-0000-0000-0000EA3F0000}"/>
    <cellStyle name="Normal 64 3 5" xfId="13393" xr:uid="{00000000-0005-0000-0000-0000EB3F0000}"/>
    <cellStyle name="Normal 64 3 5 2" xfId="22073" xr:uid="{00000000-0005-0000-0000-0000EC3F0000}"/>
    <cellStyle name="Normal 64 3 6" xfId="15567" xr:uid="{00000000-0005-0000-0000-0000ED3F0000}"/>
    <cellStyle name="Normal 64 4" xfId="3503" xr:uid="{00000000-0005-0000-0000-0000EE3F0000}"/>
    <cellStyle name="Normal 64 4 2" xfId="10177" xr:uid="{00000000-0005-0000-0000-0000EF3F0000}"/>
    <cellStyle name="Normal 64 4 2 2" xfId="18927" xr:uid="{00000000-0005-0000-0000-0000F03F0000}"/>
    <cellStyle name="Normal 64 4 3" xfId="8575" xr:uid="{00000000-0005-0000-0000-0000F13F0000}"/>
    <cellStyle name="Normal 64 4 3 2" xfId="17328" xr:uid="{00000000-0005-0000-0000-0000F23F0000}"/>
    <cellStyle name="Normal 64 4 4" xfId="11787" xr:uid="{00000000-0005-0000-0000-0000F33F0000}"/>
    <cellStyle name="Normal 64 4 4 2" xfId="20474" xr:uid="{00000000-0005-0000-0000-0000F43F0000}"/>
    <cellStyle name="Normal 64 4 5" xfId="13394" xr:uid="{00000000-0005-0000-0000-0000F53F0000}"/>
    <cellStyle name="Normal 64 4 5 2" xfId="22074" xr:uid="{00000000-0005-0000-0000-0000F63F0000}"/>
    <cellStyle name="Normal 64 4 6" xfId="15568" xr:uid="{00000000-0005-0000-0000-0000F73F0000}"/>
    <cellStyle name="Normal 64 5" xfId="10174" xr:uid="{00000000-0005-0000-0000-0000F83F0000}"/>
    <cellStyle name="Normal 64 5 2" xfId="18924" xr:uid="{00000000-0005-0000-0000-0000F93F0000}"/>
    <cellStyle name="Normal 64 6" xfId="8572" xr:uid="{00000000-0005-0000-0000-0000FA3F0000}"/>
    <cellStyle name="Normal 64 6 2" xfId="17325" xr:uid="{00000000-0005-0000-0000-0000FB3F0000}"/>
    <cellStyle name="Normal 64 7" xfId="11784" xr:uid="{00000000-0005-0000-0000-0000FC3F0000}"/>
    <cellStyle name="Normal 64 7 2" xfId="20471" xr:uid="{00000000-0005-0000-0000-0000FD3F0000}"/>
    <cellStyle name="Normal 64 8" xfId="13391" xr:uid="{00000000-0005-0000-0000-0000FE3F0000}"/>
    <cellStyle name="Normal 64 8 2" xfId="22071" xr:uid="{00000000-0005-0000-0000-0000FF3F0000}"/>
    <cellStyle name="Normal 64 9" xfId="15565" xr:uid="{00000000-0005-0000-0000-000000400000}"/>
    <cellStyle name="Normal 65" xfId="3504" xr:uid="{00000000-0005-0000-0000-000001400000}"/>
    <cellStyle name="Normal 65 10" xfId="13395" xr:uid="{00000000-0005-0000-0000-000002400000}"/>
    <cellStyle name="Normal 65 10 2" xfId="22075" xr:uid="{00000000-0005-0000-0000-000003400000}"/>
    <cellStyle name="Normal 65 11" xfId="15569" xr:uid="{00000000-0005-0000-0000-000004400000}"/>
    <cellStyle name="Normal 65 2" xfId="3505" xr:uid="{00000000-0005-0000-0000-000005400000}"/>
    <cellStyle name="Normal 65 2 2" xfId="3506" xr:uid="{00000000-0005-0000-0000-000006400000}"/>
    <cellStyle name="Normal 65 2 2 2" xfId="10180" xr:uid="{00000000-0005-0000-0000-000007400000}"/>
    <cellStyle name="Normal 65 2 2 2 2" xfId="18930" xr:uid="{00000000-0005-0000-0000-000008400000}"/>
    <cellStyle name="Normal 65 2 2 3" xfId="8578" xr:uid="{00000000-0005-0000-0000-000009400000}"/>
    <cellStyle name="Normal 65 2 2 3 2" xfId="17331" xr:uid="{00000000-0005-0000-0000-00000A400000}"/>
    <cellStyle name="Normal 65 2 2 4" xfId="11790" xr:uid="{00000000-0005-0000-0000-00000B400000}"/>
    <cellStyle name="Normal 65 2 2 4 2" xfId="20477" xr:uid="{00000000-0005-0000-0000-00000C400000}"/>
    <cellStyle name="Normal 65 2 2 5" xfId="13397" xr:uid="{00000000-0005-0000-0000-00000D400000}"/>
    <cellStyle name="Normal 65 2 2 5 2" xfId="22077" xr:uid="{00000000-0005-0000-0000-00000E400000}"/>
    <cellStyle name="Normal 65 2 2 6" xfId="15571" xr:uid="{00000000-0005-0000-0000-00000F400000}"/>
    <cellStyle name="Normal 65 2 3" xfId="3507" xr:uid="{00000000-0005-0000-0000-000010400000}"/>
    <cellStyle name="Normal 65 2 3 2" xfId="10181" xr:uid="{00000000-0005-0000-0000-000011400000}"/>
    <cellStyle name="Normal 65 2 3 2 2" xfId="18931" xr:uid="{00000000-0005-0000-0000-000012400000}"/>
    <cellStyle name="Normal 65 2 3 3" xfId="8579" xr:uid="{00000000-0005-0000-0000-000013400000}"/>
    <cellStyle name="Normal 65 2 3 3 2" xfId="17332" xr:uid="{00000000-0005-0000-0000-000014400000}"/>
    <cellStyle name="Normal 65 2 3 4" xfId="11791" xr:uid="{00000000-0005-0000-0000-000015400000}"/>
    <cellStyle name="Normal 65 2 3 4 2" xfId="20478" xr:uid="{00000000-0005-0000-0000-000016400000}"/>
    <cellStyle name="Normal 65 2 3 5" xfId="13398" xr:uid="{00000000-0005-0000-0000-000017400000}"/>
    <cellStyle name="Normal 65 2 3 5 2" xfId="22078" xr:uid="{00000000-0005-0000-0000-000018400000}"/>
    <cellStyle name="Normal 65 2 3 6" xfId="15572" xr:uid="{00000000-0005-0000-0000-000019400000}"/>
    <cellStyle name="Normal 65 2 4" xfId="3508" xr:uid="{00000000-0005-0000-0000-00001A400000}"/>
    <cellStyle name="Normal 65 2 4 2" xfId="10182" xr:uid="{00000000-0005-0000-0000-00001B400000}"/>
    <cellStyle name="Normal 65 2 4 2 2" xfId="18932" xr:uid="{00000000-0005-0000-0000-00001C400000}"/>
    <cellStyle name="Normal 65 2 4 3" xfId="8580" xr:uid="{00000000-0005-0000-0000-00001D400000}"/>
    <cellStyle name="Normal 65 2 4 3 2" xfId="17333" xr:uid="{00000000-0005-0000-0000-00001E400000}"/>
    <cellStyle name="Normal 65 2 4 4" xfId="11792" xr:uid="{00000000-0005-0000-0000-00001F400000}"/>
    <cellStyle name="Normal 65 2 4 4 2" xfId="20479" xr:uid="{00000000-0005-0000-0000-000020400000}"/>
    <cellStyle name="Normal 65 2 4 5" xfId="13399" xr:uid="{00000000-0005-0000-0000-000021400000}"/>
    <cellStyle name="Normal 65 2 4 5 2" xfId="22079" xr:uid="{00000000-0005-0000-0000-000022400000}"/>
    <cellStyle name="Normal 65 2 4 6" xfId="15573" xr:uid="{00000000-0005-0000-0000-000023400000}"/>
    <cellStyle name="Normal 65 2 5" xfId="10179" xr:uid="{00000000-0005-0000-0000-000024400000}"/>
    <cellStyle name="Normal 65 2 5 2" xfId="18929" xr:uid="{00000000-0005-0000-0000-000025400000}"/>
    <cellStyle name="Normal 65 2 6" xfId="8577" xr:uid="{00000000-0005-0000-0000-000026400000}"/>
    <cellStyle name="Normal 65 2 6 2" xfId="17330" xr:uid="{00000000-0005-0000-0000-000027400000}"/>
    <cellStyle name="Normal 65 2 7" xfId="11789" xr:uid="{00000000-0005-0000-0000-000028400000}"/>
    <cellStyle name="Normal 65 2 7 2" xfId="20476" xr:uid="{00000000-0005-0000-0000-000029400000}"/>
    <cellStyle name="Normal 65 2 8" xfId="13396" xr:uid="{00000000-0005-0000-0000-00002A400000}"/>
    <cellStyle name="Normal 65 2 8 2" xfId="22076" xr:uid="{00000000-0005-0000-0000-00002B400000}"/>
    <cellStyle name="Normal 65 2 9" xfId="15570" xr:uid="{00000000-0005-0000-0000-00002C400000}"/>
    <cellStyle name="Normal 65 3" xfId="3509" xr:uid="{00000000-0005-0000-0000-00002D400000}"/>
    <cellStyle name="Normal 65 3 2" xfId="3510" xr:uid="{00000000-0005-0000-0000-00002E400000}"/>
    <cellStyle name="Normal 65 3 2 2" xfId="10184" xr:uid="{00000000-0005-0000-0000-00002F400000}"/>
    <cellStyle name="Normal 65 3 2 2 2" xfId="18934" xr:uid="{00000000-0005-0000-0000-000030400000}"/>
    <cellStyle name="Normal 65 3 2 3" xfId="8582" xr:uid="{00000000-0005-0000-0000-000031400000}"/>
    <cellStyle name="Normal 65 3 2 3 2" xfId="17335" xr:uid="{00000000-0005-0000-0000-000032400000}"/>
    <cellStyle name="Normal 65 3 2 4" xfId="11794" xr:uid="{00000000-0005-0000-0000-000033400000}"/>
    <cellStyle name="Normal 65 3 2 4 2" xfId="20481" xr:uid="{00000000-0005-0000-0000-000034400000}"/>
    <cellStyle name="Normal 65 3 2 5" xfId="13401" xr:uid="{00000000-0005-0000-0000-000035400000}"/>
    <cellStyle name="Normal 65 3 2 5 2" xfId="22081" xr:uid="{00000000-0005-0000-0000-000036400000}"/>
    <cellStyle name="Normal 65 3 2 6" xfId="15575" xr:uid="{00000000-0005-0000-0000-000037400000}"/>
    <cellStyle name="Normal 65 3 3" xfId="3511" xr:uid="{00000000-0005-0000-0000-000038400000}"/>
    <cellStyle name="Normal 65 3 3 2" xfId="10185" xr:uid="{00000000-0005-0000-0000-000039400000}"/>
    <cellStyle name="Normal 65 3 3 2 2" xfId="18935" xr:uid="{00000000-0005-0000-0000-00003A400000}"/>
    <cellStyle name="Normal 65 3 3 3" xfId="8583" xr:uid="{00000000-0005-0000-0000-00003B400000}"/>
    <cellStyle name="Normal 65 3 3 3 2" xfId="17336" xr:uid="{00000000-0005-0000-0000-00003C400000}"/>
    <cellStyle name="Normal 65 3 3 4" xfId="11795" xr:uid="{00000000-0005-0000-0000-00003D400000}"/>
    <cellStyle name="Normal 65 3 3 4 2" xfId="20482" xr:uid="{00000000-0005-0000-0000-00003E400000}"/>
    <cellStyle name="Normal 65 3 3 5" xfId="13402" xr:uid="{00000000-0005-0000-0000-00003F400000}"/>
    <cellStyle name="Normal 65 3 3 5 2" xfId="22082" xr:uid="{00000000-0005-0000-0000-000040400000}"/>
    <cellStyle name="Normal 65 3 3 6" xfId="15576" xr:uid="{00000000-0005-0000-0000-000041400000}"/>
    <cellStyle name="Normal 65 3 4" xfId="3512" xr:uid="{00000000-0005-0000-0000-000042400000}"/>
    <cellStyle name="Normal 65 3 4 2" xfId="10186" xr:uid="{00000000-0005-0000-0000-000043400000}"/>
    <cellStyle name="Normal 65 3 4 2 2" xfId="18936" xr:uid="{00000000-0005-0000-0000-000044400000}"/>
    <cellStyle name="Normal 65 3 4 3" xfId="8584" xr:uid="{00000000-0005-0000-0000-000045400000}"/>
    <cellStyle name="Normal 65 3 4 3 2" xfId="17337" xr:uid="{00000000-0005-0000-0000-000046400000}"/>
    <cellStyle name="Normal 65 3 4 4" xfId="11796" xr:uid="{00000000-0005-0000-0000-000047400000}"/>
    <cellStyle name="Normal 65 3 4 4 2" xfId="20483" xr:uid="{00000000-0005-0000-0000-000048400000}"/>
    <cellStyle name="Normal 65 3 4 5" xfId="13403" xr:uid="{00000000-0005-0000-0000-000049400000}"/>
    <cellStyle name="Normal 65 3 4 5 2" xfId="22083" xr:uid="{00000000-0005-0000-0000-00004A400000}"/>
    <cellStyle name="Normal 65 3 4 6" xfId="15577" xr:uid="{00000000-0005-0000-0000-00004B400000}"/>
    <cellStyle name="Normal 65 3 5" xfId="10183" xr:uid="{00000000-0005-0000-0000-00004C400000}"/>
    <cellStyle name="Normal 65 3 5 2" xfId="18933" xr:uid="{00000000-0005-0000-0000-00004D400000}"/>
    <cellStyle name="Normal 65 3 6" xfId="8581" xr:uid="{00000000-0005-0000-0000-00004E400000}"/>
    <cellStyle name="Normal 65 3 6 2" xfId="17334" xr:uid="{00000000-0005-0000-0000-00004F400000}"/>
    <cellStyle name="Normal 65 3 7" xfId="11793" xr:uid="{00000000-0005-0000-0000-000050400000}"/>
    <cellStyle name="Normal 65 3 7 2" xfId="20480" xr:uid="{00000000-0005-0000-0000-000051400000}"/>
    <cellStyle name="Normal 65 3 8" xfId="13400" xr:uid="{00000000-0005-0000-0000-000052400000}"/>
    <cellStyle name="Normal 65 3 8 2" xfId="22080" xr:uid="{00000000-0005-0000-0000-000053400000}"/>
    <cellStyle name="Normal 65 3 9" xfId="15574" xr:uid="{00000000-0005-0000-0000-000054400000}"/>
    <cellStyle name="Normal 65 4" xfId="3513" xr:uid="{00000000-0005-0000-0000-000055400000}"/>
    <cellStyle name="Normal 65 4 2" xfId="10187" xr:uid="{00000000-0005-0000-0000-000056400000}"/>
    <cellStyle name="Normal 65 4 2 2" xfId="18937" xr:uid="{00000000-0005-0000-0000-000057400000}"/>
    <cellStyle name="Normal 65 4 3" xfId="8585" xr:uid="{00000000-0005-0000-0000-000058400000}"/>
    <cellStyle name="Normal 65 4 3 2" xfId="17338" xr:uid="{00000000-0005-0000-0000-000059400000}"/>
    <cellStyle name="Normal 65 4 4" xfId="11797" xr:uid="{00000000-0005-0000-0000-00005A400000}"/>
    <cellStyle name="Normal 65 4 4 2" xfId="20484" xr:uid="{00000000-0005-0000-0000-00005B400000}"/>
    <cellStyle name="Normal 65 4 5" xfId="13404" xr:uid="{00000000-0005-0000-0000-00005C400000}"/>
    <cellStyle name="Normal 65 4 5 2" xfId="22084" xr:uid="{00000000-0005-0000-0000-00005D400000}"/>
    <cellStyle name="Normal 65 4 6" xfId="15578" xr:uid="{00000000-0005-0000-0000-00005E400000}"/>
    <cellStyle name="Normal 65 5" xfId="3514" xr:uid="{00000000-0005-0000-0000-00005F400000}"/>
    <cellStyle name="Normal 65 5 2" xfId="10188" xr:uid="{00000000-0005-0000-0000-000060400000}"/>
    <cellStyle name="Normal 65 5 2 2" xfId="18938" xr:uid="{00000000-0005-0000-0000-000061400000}"/>
    <cellStyle name="Normal 65 5 3" xfId="8586" xr:uid="{00000000-0005-0000-0000-000062400000}"/>
    <cellStyle name="Normal 65 5 3 2" xfId="17339" xr:uid="{00000000-0005-0000-0000-000063400000}"/>
    <cellStyle name="Normal 65 5 4" xfId="11798" xr:uid="{00000000-0005-0000-0000-000064400000}"/>
    <cellStyle name="Normal 65 5 4 2" xfId="20485" xr:uid="{00000000-0005-0000-0000-000065400000}"/>
    <cellStyle name="Normal 65 5 5" xfId="13405" xr:uid="{00000000-0005-0000-0000-000066400000}"/>
    <cellStyle name="Normal 65 5 5 2" xfId="22085" xr:uid="{00000000-0005-0000-0000-000067400000}"/>
    <cellStyle name="Normal 65 5 6" xfId="15579" xr:uid="{00000000-0005-0000-0000-000068400000}"/>
    <cellStyle name="Normal 65 6" xfId="3515" xr:uid="{00000000-0005-0000-0000-000069400000}"/>
    <cellStyle name="Normal 65 6 2" xfId="10189" xr:uid="{00000000-0005-0000-0000-00006A400000}"/>
    <cellStyle name="Normal 65 6 2 2" xfId="18939" xr:uid="{00000000-0005-0000-0000-00006B400000}"/>
    <cellStyle name="Normal 65 6 3" xfId="8587" xr:uid="{00000000-0005-0000-0000-00006C400000}"/>
    <cellStyle name="Normal 65 6 3 2" xfId="17340" xr:uid="{00000000-0005-0000-0000-00006D400000}"/>
    <cellStyle name="Normal 65 6 4" xfId="11799" xr:uid="{00000000-0005-0000-0000-00006E400000}"/>
    <cellStyle name="Normal 65 6 4 2" xfId="20486" xr:uid="{00000000-0005-0000-0000-00006F400000}"/>
    <cellStyle name="Normal 65 6 5" xfId="13406" xr:uid="{00000000-0005-0000-0000-000070400000}"/>
    <cellStyle name="Normal 65 6 5 2" xfId="22086" xr:uid="{00000000-0005-0000-0000-000071400000}"/>
    <cellStyle name="Normal 65 6 6" xfId="15580" xr:uid="{00000000-0005-0000-0000-000072400000}"/>
    <cellStyle name="Normal 65 7" xfId="10178" xr:uid="{00000000-0005-0000-0000-000073400000}"/>
    <cellStyle name="Normal 65 7 2" xfId="18928" xr:uid="{00000000-0005-0000-0000-000074400000}"/>
    <cellStyle name="Normal 65 8" xfId="8576" xr:uid="{00000000-0005-0000-0000-000075400000}"/>
    <cellStyle name="Normal 65 8 2" xfId="17329" xr:uid="{00000000-0005-0000-0000-000076400000}"/>
    <cellStyle name="Normal 65 9" xfId="11788" xr:uid="{00000000-0005-0000-0000-000077400000}"/>
    <cellStyle name="Normal 65 9 2" xfId="20475" xr:uid="{00000000-0005-0000-0000-000078400000}"/>
    <cellStyle name="Normal 66" xfId="3516" xr:uid="{00000000-0005-0000-0000-000079400000}"/>
    <cellStyle name="Normal 66 2" xfId="3517" xr:uid="{00000000-0005-0000-0000-00007A400000}"/>
    <cellStyle name="Normal 66 2 2" xfId="3518" xr:uid="{00000000-0005-0000-0000-00007B400000}"/>
    <cellStyle name="Normal 66 2 2 2" xfId="10191" xr:uid="{00000000-0005-0000-0000-00007C400000}"/>
    <cellStyle name="Normal 66 2 2 2 2" xfId="18941" xr:uid="{00000000-0005-0000-0000-00007D400000}"/>
    <cellStyle name="Normal 66 2 2 3" xfId="8589" xr:uid="{00000000-0005-0000-0000-00007E400000}"/>
    <cellStyle name="Normal 66 2 2 3 2" xfId="17342" xr:uid="{00000000-0005-0000-0000-00007F400000}"/>
    <cellStyle name="Normal 66 2 2 4" xfId="11801" xr:uid="{00000000-0005-0000-0000-000080400000}"/>
    <cellStyle name="Normal 66 2 2 4 2" xfId="20488" xr:uid="{00000000-0005-0000-0000-000081400000}"/>
    <cellStyle name="Normal 66 2 2 5" xfId="13408" xr:uid="{00000000-0005-0000-0000-000082400000}"/>
    <cellStyle name="Normal 66 2 2 5 2" xfId="22088" xr:uid="{00000000-0005-0000-0000-000083400000}"/>
    <cellStyle name="Normal 66 2 2 6" xfId="15582" xr:uid="{00000000-0005-0000-0000-000084400000}"/>
    <cellStyle name="Normal 66 2 3" xfId="3519" xr:uid="{00000000-0005-0000-0000-000085400000}"/>
    <cellStyle name="Normal 66 2 3 2" xfId="10192" xr:uid="{00000000-0005-0000-0000-000086400000}"/>
    <cellStyle name="Normal 66 2 3 2 2" xfId="18942" xr:uid="{00000000-0005-0000-0000-000087400000}"/>
    <cellStyle name="Normal 66 2 3 3" xfId="8590" xr:uid="{00000000-0005-0000-0000-000088400000}"/>
    <cellStyle name="Normal 66 2 3 3 2" xfId="17343" xr:uid="{00000000-0005-0000-0000-000089400000}"/>
    <cellStyle name="Normal 66 2 3 4" xfId="11802" xr:uid="{00000000-0005-0000-0000-00008A400000}"/>
    <cellStyle name="Normal 66 2 3 4 2" xfId="20489" xr:uid="{00000000-0005-0000-0000-00008B400000}"/>
    <cellStyle name="Normal 66 2 3 5" xfId="13409" xr:uid="{00000000-0005-0000-0000-00008C400000}"/>
    <cellStyle name="Normal 66 2 3 5 2" xfId="22089" xr:uid="{00000000-0005-0000-0000-00008D400000}"/>
    <cellStyle name="Normal 66 2 3 6" xfId="15583" xr:uid="{00000000-0005-0000-0000-00008E400000}"/>
    <cellStyle name="Normal 66 2 4" xfId="3520" xr:uid="{00000000-0005-0000-0000-00008F400000}"/>
    <cellStyle name="Normal 66 2 4 2" xfId="10193" xr:uid="{00000000-0005-0000-0000-000090400000}"/>
    <cellStyle name="Normal 66 2 4 2 2" xfId="18943" xr:uid="{00000000-0005-0000-0000-000091400000}"/>
    <cellStyle name="Normal 66 2 4 3" xfId="8591" xr:uid="{00000000-0005-0000-0000-000092400000}"/>
    <cellStyle name="Normal 66 2 4 3 2" xfId="17344" xr:uid="{00000000-0005-0000-0000-000093400000}"/>
    <cellStyle name="Normal 66 2 4 4" xfId="11803" xr:uid="{00000000-0005-0000-0000-000094400000}"/>
    <cellStyle name="Normal 66 2 4 4 2" xfId="20490" xr:uid="{00000000-0005-0000-0000-000095400000}"/>
    <cellStyle name="Normal 66 2 4 5" xfId="13410" xr:uid="{00000000-0005-0000-0000-000096400000}"/>
    <cellStyle name="Normal 66 2 4 5 2" xfId="22090" xr:uid="{00000000-0005-0000-0000-000097400000}"/>
    <cellStyle name="Normal 66 2 4 6" xfId="15584" xr:uid="{00000000-0005-0000-0000-000098400000}"/>
    <cellStyle name="Normal 66 2 5" xfId="10190" xr:uid="{00000000-0005-0000-0000-000099400000}"/>
    <cellStyle name="Normal 66 2 5 2" xfId="18940" xr:uid="{00000000-0005-0000-0000-00009A400000}"/>
    <cellStyle name="Normal 66 2 6" xfId="8588" xr:uid="{00000000-0005-0000-0000-00009B400000}"/>
    <cellStyle name="Normal 66 2 6 2" xfId="17341" xr:uid="{00000000-0005-0000-0000-00009C400000}"/>
    <cellStyle name="Normal 66 2 7" xfId="11800" xr:uid="{00000000-0005-0000-0000-00009D400000}"/>
    <cellStyle name="Normal 66 2 7 2" xfId="20487" xr:uid="{00000000-0005-0000-0000-00009E400000}"/>
    <cellStyle name="Normal 66 2 8" xfId="13407" xr:uid="{00000000-0005-0000-0000-00009F400000}"/>
    <cellStyle name="Normal 66 2 8 2" xfId="22087" xr:uid="{00000000-0005-0000-0000-0000A0400000}"/>
    <cellStyle name="Normal 66 2 9" xfId="15581" xr:uid="{00000000-0005-0000-0000-0000A1400000}"/>
    <cellStyle name="Normal 66 3" xfId="3521" xr:uid="{00000000-0005-0000-0000-0000A2400000}"/>
    <cellStyle name="Normal 67" xfId="3522" xr:uid="{00000000-0005-0000-0000-0000A3400000}"/>
    <cellStyle name="Normal 67 2" xfId="3523" xr:uid="{00000000-0005-0000-0000-0000A4400000}"/>
    <cellStyle name="Normal 67 2 2" xfId="10195" xr:uid="{00000000-0005-0000-0000-0000A5400000}"/>
    <cellStyle name="Normal 67 2 2 2" xfId="18945" xr:uid="{00000000-0005-0000-0000-0000A6400000}"/>
    <cellStyle name="Normal 67 2 3" xfId="8593" xr:uid="{00000000-0005-0000-0000-0000A7400000}"/>
    <cellStyle name="Normal 67 2 3 2" xfId="17346" xr:uid="{00000000-0005-0000-0000-0000A8400000}"/>
    <cellStyle name="Normal 67 2 4" xfId="11805" xr:uid="{00000000-0005-0000-0000-0000A9400000}"/>
    <cellStyle name="Normal 67 2 4 2" xfId="20492" xr:uid="{00000000-0005-0000-0000-0000AA400000}"/>
    <cellStyle name="Normal 67 2 5" xfId="13412" xr:uid="{00000000-0005-0000-0000-0000AB400000}"/>
    <cellStyle name="Normal 67 2 5 2" xfId="22092" xr:uid="{00000000-0005-0000-0000-0000AC400000}"/>
    <cellStyle name="Normal 67 2 6" xfId="15586" xr:uid="{00000000-0005-0000-0000-0000AD400000}"/>
    <cellStyle name="Normal 67 3" xfId="3524" xr:uid="{00000000-0005-0000-0000-0000AE400000}"/>
    <cellStyle name="Normal 67 3 2" xfId="10196" xr:uid="{00000000-0005-0000-0000-0000AF400000}"/>
    <cellStyle name="Normal 67 3 2 2" xfId="18946" xr:uid="{00000000-0005-0000-0000-0000B0400000}"/>
    <cellStyle name="Normal 67 3 3" xfId="8594" xr:uid="{00000000-0005-0000-0000-0000B1400000}"/>
    <cellStyle name="Normal 67 3 3 2" xfId="17347" xr:uid="{00000000-0005-0000-0000-0000B2400000}"/>
    <cellStyle name="Normal 67 3 4" xfId="11806" xr:uid="{00000000-0005-0000-0000-0000B3400000}"/>
    <cellStyle name="Normal 67 3 4 2" xfId="20493" xr:uid="{00000000-0005-0000-0000-0000B4400000}"/>
    <cellStyle name="Normal 67 3 5" xfId="13413" xr:uid="{00000000-0005-0000-0000-0000B5400000}"/>
    <cellStyle name="Normal 67 3 5 2" xfId="22093" xr:uid="{00000000-0005-0000-0000-0000B6400000}"/>
    <cellStyle name="Normal 67 3 6" xfId="15587" xr:uid="{00000000-0005-0000-0000-0000B7400000}"/>
    <cellStyle name="Normal 67 4" xfId="3525" xr:uid="{00000000-0005-0000-0000-0000B8400000}"/>
    <cellStyle name="Normal 67 4 2" xfId="10197" xr:uid="{00000000-0005-0000-0000-0000B9400000}"/>
    <cellStyle name="Normal 67 4 2 2" xfId="18947" xr:uid="{00000000-0005-0000-0000-0000BA400000}"/>
    <cellStyle name="Normal 67 4 3" xfId="8595" xr:uid="{00000000-0005-0000-0000-0000BB400000}"/>
    <cellStyle name="Normal 67 4 3 2" xfId="17348" xr:uid="{00000000-0005-0000-0000-0000BC400000}"/>
    <cellStyle name="Normal 67 4 4" xfId="11807" xr:uid="{00000000-0005-0000-0000-0000BD400000}"/>
    <cellStyle name="Normal 67 4 4 2" xfId="20494" xr:uid="{00000000-0005-0000-0000-0000BE400000}"/>
    <cellStyle name="Normal 67 4 5" xfId="13414" xr:uid="{00000000-0005-0000-0000-0000BF400000}"/>
    <cellStyle name="Normal 67 4 5 2" xfId="22094" xr:uid="{00000000-0005-0000-0000-0000C0400000}"/>
    <cellStyle name="Normal 67 4 6" xfId="15588" xr:uid="{00000000-0005-0000-0000-0000C1400000}"/>
    <cellStyle name="Normal 67 5" xfId="10194" xr:uid="{00000000-0005-0000-0000-0000C2400000}"/>
    <cellStyle name="Normal 67 5 2" xfId="18944" xr:uid="{00000000-0005-0000-0000-0000C3400000}"/>
    <cellStyle name="Normal 67 6" xfId="8592" xr:uid="{00000000-0005-0000-0000-0000C4400000}"/>
    <cellStyle name="Normal 67 6 2" xfId="17345" xr:uid="{00000000-0005-0000-0000-0000C5400000}"/>
    <cellStyle name="Normal 67 7" xfId="11804" xr:uid="{00000000-0005-0000-0000-0000C6400000}"/>
    <cellStyle name="Normal 67 7 2" xfId="20491" xr:uid="{00000000-0005-0000-0000-0000C7400000}"/>
    <cellStyle name="Normal 67 8" xfId="13411" xr:uid="{00000000-0005-0000-0000-0000C8400000}"/>
    <cellStyle name="Normal 67 8 2" xfId="22091" xr:uid="{00000000-0005-0000-0000-0000C9400000}"/>
    <cellStyle name="Normal 67 9" xfId="15585" xr:uid="{00000000-0005-0000-0000-0000CA400000}"/>
    <cellStyle name="Normal 68" xfId="3526" xr:uid="{00000000-0005-0000-0000-0000CB400000}"/>
    <cellStyle name="Normal 68 2" xfId="3527" xr:uid="{00000000-0005-0000-0000-0000CC400000}"/>
    <cellStyle name="Normal 68 2 2" xfId="10199" xr:uid="{00000000-0005-0000-0000-0000CD400000}"/>
    <cellStyle name="Normal 68 2 2 2" xfId="18949" xr:uid="{00000000-0005-0000-0000-0000CE400000}"/>
    <cellStyle name="Normal 68 2 3" xfId="8597" xr:uid="{00000000-0005-0000-0000-0000CF400000}"/>
    <cellStyle name="Normal 68 2 3 2" xfId="17350" xr:uid="{00000000-0005-0000-0000-0000D0400000}"/>
    <cellStyle name="Normal 68 2 4" xfId="11809" xr:uid="{00000000-0005-0000-0000-0000D1400000}"/>
    <cellStyle name="Normal 68 2 4 2" xfId="20496" xr:uid="{00000000-0005-0000-0000-0000D2400000}"/>
    <cellStyle name="Normal 68 2 5" xfId="13416" xr:uid="{00000000-0005-0000-0000-0000D3400000}"/>
    <cellStyle name="Normal 68 2 5 2" xfId="22096" xr:uid="{00000000-0005-0000-0000-0000D4400000}"/>
    <cellStyle name="Normal 68 2 6" xfId="15590" xr:uid="{00000000-0005-0000-0000-0000D5400000}"/>
    <cellStyle name="Normal 68 3" xfId="3528" xr:uid="{00000000-0005-0000-0000-0000D6400000}"/>
    <cellStyle name="Normal 68 3 2" xfId="10200" xr:uid="{00000000-0005-0000-0000-0000D7400000}"/>
    <cellStyle name="Normal 68 3 2 2" xfId="18950" xr:uid="{00000000-0005-0000-0000-0000D8400000}"/>
    <cellStyle name="Normal 68 3 3" xfId="8598" xr:uid="{00000000-0005-0000-0000-0000D9400000}"/>
    <cellStyle name="Normal 68 3 3 2" xfId="17351" xr:uid="{00000000-0005-0000-0000-0000DA400000}"/>
    <cellStyle name="Normal 68 3 4" xfId="11810" xr:uid="{00000000-0005-0000-0000-0000DB400000}"/>
    <cellStyle name="Normal 68 3 4 2" xfId="20497" xr:uid="{00000000-0005-0000-0000-0000DC400000}"/>
    <cellStyle name="Normal 68 3 5" xfId="13417" xr:uid="{00000000-0005-0000-0000-0000DD400000}"/>
    <cellStyle name="Normal 68 3 5 2" xfId="22097" xr:uid="{00000000-0005-0000-0000-0000DE400000}"/>
    <cellStyle name="Normal 68 3 6" xfId="15591" xr:uid="{00000000-0005-0000-0000-0000DF400000}"/>
    <cellStyle name="Normal 68 4" xfId="3529" xr:uid="{00000000-0005-0000-0000-0000E0400000}"/>
    <cellStyle name="Normal 68 4 2" xfId="10201" xr:uid="{00000000-0005-0000-0000-0000E1400000}"/>
    <cellStyle name="Normal 68 4 2 2" xfId="18951" xr:uid="{00000000-0005-0000-0000-0000E2400000}"/>
    <cellStyle name="Normal 68 4 3" xfId="8599" xr:uid="{00000000-0005-0000-0000-0000E3400000}"/>
    <cellStyle name="Normal 68 4 3 2" xfId="17352" xr:uid="{00000000-0005-0000-0000-0000E4400000}"/>
    <cellStyle name="Normal 68 4 4" xfId="11811" xr:uid="{00000000-0005-0000-0000-0000E5400000}"/>
    <cellStyle name="Normal 68 4 4 2" xfId="20498" xr:uid="{00000000-0005-0000-0000-0000E6400000}"/>
    <cellStyle name="Normal 68 4 5" xfId="13418" xr:uid="{00000000-0005-0000-0000-0000E7400000}"/>
    <cellStyle name="Normal 68 4 5 2" xfId="22098" xr:uid="{00000000-0005-0000-0000-0000E8400000}"/>
    <cellStyle name="Normal 68 4 6" xfId="15592" xr:uid="{00000000-0005-0000-0000-0000E9400000}"/>
    <cellStyle name="Normal 68 5" xfId="10198" xr:uid="{00000000-0005-0000-0000-0000EA400000}"/>
    <cellStyle name="Normal 68 5 2" xfId="18948" xr:uid="{00000000-0005-0000-0000-0000EB400000}"/>
    <cellStyle name="Normal 68 6" xfId="8596" xr:uid="{00000000-0005-0000-0000-0000EC400000}"/>
    <cellStyle name="Normal 68 6 2" xfId="17349" xr:uid="{00000000-0005-0000-0000-0000ED400000}"/>
    <cellStyle name="Normal 68 7" xfId="11808" xr:uid="{00000000-0005-0000-0000-0000EE400000}"/>
    <cellStyle name="Normal 68 7 2" xfId="20495" xr:uid="{00000000-0005-0000-0000-0000EF400000}"/>
    <cellStyle name="Normal 68 8" xfId="13415" xr:uid="{00000000-0005-0000-0000-0000F0400000}"/>
    <cellStyle name="Normal 68 8 2" xfId="22095" xr:uid="{00000000-0005-0000-0000-0000F1400000}"/>
    <cellStyle name="Normal 68 9" xfId="15589" xr:uid="{00000000-0005-0000-0000-0000F2400000}"/>
    <cellStyle name="Normal 69" xfId="3530" xr:uid="{00000000-0005-0000-0000-0000F3400000}"/>
    <cellStyle name="Normal 69 2" xfId="3531" xr:uid="{00000000-0005-0000-0000-0000F4400000}"/>
    <cellStyle name="Normal 69 2 2" xfId="10203" xr:uid="{00000000-0005-0000-0000-0000F5400000}"/>
    <cellStyle name="Normal 69 2 2 2" xfId="18953" xr:uid="{00000000-0005-0000-0000-0000F6400000}"/>
    <cellStyle name="Normal 69 2 3" xfId="8601" xr:uid="{00000000-0005-0000-0000-0000F7400000}"/>
    <cellStyle name="Normal 69 2 3 2" xfId="17354" xr:uid="{00000000-0005-0000-0000-0000F8400000}"/>
    <cellStyle name="Normal 69 2 4" xfId="11813" xr:uid="{00000000-0005-0000-0000-0000F9400000}"/>
    <cellStyle name="Normal 69 2 4 2" xfId="20500" xr:uid="{00000000-0005-0000-0000-0000FA400000}"/>
    <cellStyle name="Normal 69 2 5" xfId="13420" xr:uid="{00000000-0005-0000-0000-0000FB400000}"/>
    <cellStyle name="Normal 69 2 5 2" xfId="22100" xr:uid="{00000000-0005-0000-0000-0000FC400000}"/>
    <cellStyle name="Normal 69 2 6" xfId="15594" xr:uid="{00000000-0005-0000-0000-0000FD400000}"/>
    <cellStyle name="Normal 69 3" xfId="3532" xr:uid="{00000000-0005-0000-0000-0000FE400000}"/>
    <cellStyle name="Normal 69 3 2" xfId="10204" xr:uid="{00000000-0005-0000-0000-0000FF400000}"/>
    <cellStyle name="Normal 69 3 2 2" xfId="18954" xr:uid="{00000000-0005-0000-0000-000000410000}"/>
    <cellStyle name="Normal 69 3 3" xfId="8602" xr:uid="{00000000-0005-0000-0000-000001410000}"/>
    <cellStyle name="Normal 69 3 3 2" xfId="17355" xr:uid="{00000000-0005-0000-0000-000002410000}"/>
    <cellStyle name="Normal 69 3 4" xfId="11814" xr:uid="{00000000-0005-0000-0000-000003410000}"/>
    <cellStyle name="Normal 69 3 4 2" xfId="20501" xr:uid="{00000000-0005-0000-0000-000004410000}"/>
    <cellStyle name="Normal 69 3 5" xfId="13421" xr:uid="{00000000-0005-0000-0000-000005410000}"/>
    <cellStyle name="Normal 69 3 5 2" xfId="22101" xr:uid="{00000000-0005-0000-0000-000006410000}"/>
    <cellStyle name="Normal 69 3 6" xfId="15595" xr:uid="{00000000-0005-0000-0000-000007410000}"/>
    <cellStyle name="Normal 69 4" xfId="3533" xr:uid="{00000000-0005-0000-0000-000008410000}"/>
    <cellStyle name="Normal 69 4 2" xfId="10205" xr:uid="{00000000-0005-0000-0000-000009410000}"/>
    <cellStyle name="Normal 69 4 2 2" xfId="18955" xr:uid="{00000000-0005-0000-0000-00000A410000}"/>
    <cellStyle name="Normal 69 4 3" xfId="8603" xr:uid="{00000000-0005-0000-0000-00000B410000}"/>
    <cellStyle name="Normal 69 4 3 2" xfId="17356" xr:uid="{00000000-0005-0000-0000-00000C410000}"/>
    <cellStyle name="Normal 69 4 4" xfId="11815" xr:uid="{00000000-0005-0000-0000-00000D410000}"/>
    <cellStyle name="Normal 69 4 4 2" xfId="20502" xr:uid="{00000000-0005-0000-0000-00000E410000}"/>
    <cellStyle name="Normal 69 4 5" xfId="13422" xr:uid="{00000000-0005-0000-0000-00000F410000}"/>
    <cellStyle name="Normal 69 4 5 2" xfId="22102" xr:uid="{00000000-0005-0000-0000-000010410000}"/>
    <cellStyle name="Normal 69 4 6" xfId="15596" xr:uid="{00000000-0005-0000-0000-000011410000}"/>
    <cellStyle name="Normal 69 5" xfId="10202" xr:uid="{00000000-0005-0000-0000-000012410000}"/>
    <cellStyle name="Normal 69 5 2" xfId="18952" xr:uid="{00000000-0005-0000-0000-000013410000}"/>
    <cellStyle name="Normal 69 6" xfId="8600" xr:uid="{00000000-0005-0000-0000-000014410000}"/>
    <cellStyle name="Normal 69 6 2" xfId="17353" xr:uid="{00000000-0005-0000-0000-000015410000}"/>
    <cellStyle name="Normal 69 7" xfId="11812" xr:uid="{00000000-0005-0000-0000-000016410000}"/>
    <cellStyle name="Normal 69 7 2" xfId="20499" xr:uid="{00000000-0005-0000-0000-000017410000}"/>
    <cellStyle name="Normal 69 8" xfId="13419" xr:uid="{00000000-0005-0000-0000-000018410000}"/>
    <cellStyle name="Normal 69 8 2" xfId="22099" xr:uid="{00000000-0005-0000-0000-000019410000}"/>
    <cellStyle name="Normal 69 9" xfId="15593" xr:uid="{00000000-0005-0000-0000-00001A410000}"/>
    <cellStyle name="Normal 7" xfId="137" xr:uid="{00000000-0005-0000-0000-00001B410000}"/>
    <cellStyle name="Normal 7 10" xfId="14723" xr:uid="{00000000-0005-0000-0000-00001C410000}"/>
    <cellStyle name="Normal 7 2" xfId="3535" xr:uid="{00000000-0005-0000-0000-00001D410000}"/>
    <cellStyle name="Normal 7 2 10" xfId="3536" xr:uid="{00000000-0005-0000-0000-00001E410000}"/>
    <cellStyle name="Normal 7 2 10 2" xfId="10207" xr:uid="{00000000-0005-0000-0000-00001F410000}"/>
    <cellStyle name="Normal 7 2 10 2 2" xfId="18957" xr:uid="{00000000-0005-0000-0000-000020410000}"/>
    <cellStyle name="Normal 7 2 10 3" xfId="8605" xr:uid="{00000000-0005-0000-0000-000021410000}"/>
    <cellStyle name="Normal 7 2 10 3 2" xfId="17358" xr:uid="{00000000-0005-0000-0000-000022410000}"/>
    <cellStyle name="Normal 7 2 10 4" xfId="11817" xr:uid="{00000000-0005-0000-0000-000023410000}"/>
    <cellStyle name="Normal 7 2 10 4 2" xfId="20504" xr:uid="{00000000-0005-0000-0000-000024410000}"/>
    <cellStyle name="Normal 7 2 10 5" xfId="13424" xr:uid="{00000000-0005-0000-0000-000025410000}"/>
    <cellStyle name="Normal 7 2 10 5 2" xfId="22104" xr:uid="{00000000-0005-0000-0000-000026410000}"/>
    <cellStyle name="Normal 7 2 10 6" xfId="15598" xr:uid="{00000000-0005-0000-0000-000027410000}"/>
    <cellStyle name="Normal 7 2 2" xfId="3537" xr:uid="{00000000-0005-0000-0000-000028410000}"/>
    <cellStyle name="Normal 7 2 2 2" xfId="3538" xr:uid="{00000000-0005-0000-0000-000029410000}"/>
    <cellStyle name="Normal 7 2 2 2 2" xfId="10209" xr:uid="{00000000-0005-0000-0000-00002A410000}"/>
    <cellStyle name="Normal 7 2 2 2 2 2" xfId="18959" xr:uid="{00000000-0005-0000-0000-00002B410000}"/>
    <cellStyle name="Normal 7 2 2 2 3" xfId="8607" xr:uid="{00000000-0005-0000-0000-00002C410000}"/>
    <cellStyle name="Normal 7 2 2 2 3 2" xfId="17360" xr:uid="{00000000-0005-0000-0000-00002D410000}"/>
    <cellStyle name="Normal 7 2 2 2 4" xfId="11819" xr:uid="{00000000-0005-0000-0000-00002E410000}"/>
    <cellStyle name="Normal 7 2 2 2 4 2" xfId="20506" xr:uid="{00000000-0005-0000-0000-00002F410000}"/>
    <cellStyle name="Normal 7 2 2 2 5" xfId="13426" xr:uid="{00000000-0005-0000-0000-000030410000}"/>
    <cellStyle name="Normal 7 2 2 2 5 2" xfId="22106" xr:uid="{00000000-0005-0000-0000-000031410000}"/>
    <cellStyle name="Normal 7 2 2 2 6" xfId="15600" xr:uid="{00000000-0005-0000-0000-000032410000}"/>
    <cellStyle name="Normal 7 2 2 3" xfId="3539" xr:uid="{00000000-0005-0000-0000-000033410000}"/>
    <cellStyle name="Normal 7 2 2 3 2" xfId="10210" xr:uid="{00000000-0005-0000-0000-000034410000}"/>
    <cellStyle name="Normal 7 2 2 3 2 2" xfId="18960" xr:uid="{00000000-0005-0000-0000-000035410000}"/>
    <cellStyle name="Normal 7 2 2 3 3" xfId="8608" xr:uid="{00000000-0005-0000-0000-000036410000}"/>
    <cellStyle name="Normal 7 2 2 3 3 2" xfId="17361" xr:uid="{00000000-0005-0000-0000-000037410000}"/>
    <cellStyle name="Normal 7 2 2 3 4" xfId="11820" xr:uid="{00000000-0005-0000-0000-000038410000}"/>
    <cellStyle name="Normal 7 2 2 3 4 2" xfId="20507" xr:uid="{00000000-0005-0000-0000-000039410000}"/>
    <cellStyle name="Normal 7 2 2 3 5" xfId="13427" xr:uid="{00000000-0005-0000-0000-00003A410000}"/>
    <cellStyle name="Normal 7 2 2 3 5 2" xfId="22107" xr:uid="{00000000-0005-0000-0000-00003B410000}"/>
    <cellStyle name="Normal 7 2 2 3 6" xfId="15601" xr:uid="{00000000-0005-0000-0000-00003C410000}"/>
    <cellStyle name="Normal 7 2 2 4" xfId="3540" xr:uid="{00000000-0005-0000-0000-00003D410000}"/>
    <cellStyle name="Normal 7 2 2 4 2" xfId="10211" xr:uid="{00000000-0005-0000-0000-00003E410000}"/>
    <cellStyle name="Normal 7 2 2 4 2 2" xfId="18961" xr:uid="{00000000-0005-0000-0000-00003F410000}"/>
    <cellStyle name="Normal 7 2 2 4 3" xfId="8609" xr:uid="{00000000-0005-0000-0000-000040410000}"/>
    <cellStyle name="Normal 7 2 2 4 3 2" xfId="17362" xr:uid="{00000000-0005-0000-0000-000041410000}"/>
    <cellStyle name="Normal 7 2 2 4 4" xfId="11821" xr:uid="{00000000-0005-0000-0000-000042410000}"/>
    <cellStyle name="Normal 7 2 2 4 4 2" xfId="20508" xr:uid="{00000000-0005-0000-0000-000043410000}"/>
    <cellStyle name="Normal 7 2 2 4 5" xfId="13428" xr:uid="{00000000-0005-0000-0000-000044410000}"/>
    <cellStyle name="Normal 7 2 2 4 5 2" xfId="22108" xr:uid="{00000000-0005-0000-0000-000045410000}"/>
    <cellStyle name="Normal 7 2 2 4 6" xfId="15602" xr:uid="{00000000-0005-0000-0000-000046410000}"/>
    <cellStyle name="Normal 7 2 2 5" xfId="10208" xr:uid="{00000000-0005-0000-0000-000047410000}"/>
    <cellStyle name="Normal 7 2 2 5 2" xfId="18958" xr:uid="{00000000-0005-0000-0000-000048410000}"/>
    <cellStyle name="Normal 7 2 2 6" xfId="8606" xr:uid="{00000000-0005-0000-0000-000049410000}"/>
    <cellStyle name="Normal 7 2 2 6 2" xfId="17359" xr:uid="{00000000-0005-0000-0000-00004A410000}"/>
    <cellStyle name="Normal 7 2 2 7" xfId="11818" xr:uid="{00000000-0005-0000-0000-00004B410000}"/>
    <cellStyle name="Normal 7 2 2 7 2" xfId="20505" xr:uid="{00000000-0005-0000-0000-00004C410000}"/>
    <cellStyle name="Normal 7 2 2 8" xfId="13425" xr:uid="{00000000-0005-0000-0000-00004D410000}"/>
    <cellStyle name="Normal 7 2 2 8 2" xfId="22105" xr:uid="{00000000-0005-0000-0000-00004E410000}"/>
    <cellStyle name="Normal 7 2 2 9" xfId="15599" xr:uid="{00000000-0005-0000-0000-00004F410000}"/>
    <cellStyle name="Normal 7 2 3" xfId="3541" xr:uid="{00000000-0005-0000-0000-000050410000}"/>
    <cellStyle name="Normal 7 2 3 2" xfId="3542" xr:uid="{00000000-0005-0000-0000-000051410000}"/>
    <cellStyle name="Normal 7 2 3 2 2" xfId="10213" xr:uid="{00000000-0005-0000-0000-000052410000}"/>
    <cellStyle name="Normal 7 2 3 2 2 2" xfId="18963" xr:uid="{00000000-0005-0000-0000-000053410000}"/>
    <cellStyle name="Normal 7 2 3 2 3" xfId="8611" xr:uid="{00000000-0005-0000-0000-000054410000}"/>
    <cellStyle name="Normal 7 2 3 2 3 2" xfId="17364" xr:uid="{00000000-0005-0000-0000-000055410000}"/>
    <cellStyle name="Normal 7 2 3 2 4" xfId="11823" xr:uid="{00000000-0005-0000-0000-000056410000}"/>
    <cellStyle name="Normal 7 2 3 2 4 2" xfId="20510" xr:uid="{00000000-0005-0000-0000-000057410000}"/>
    <cellStyle name="Normal 7 2 3 2 5" xfId="13430" xr:uid="{00000000-0005-0000-0000-000058410000}"/>
    <cellStyle name="Normal 7 2 3 2 5 2" xfId="22110" xr:uid="{00000000-0005-0000-0000-000059410000}"/>
    <cellStyle name="Normal 7 2 3 2 6" xfId="15604" xr:uid="{00000000-0005-0000-0000-00005A410000}"/>
    <cellStyle name="Normal 7 2 3 3" xfId="3543" xr:uid="{00000000-0005-0000-0000-00005B410000}"/>
    <cellStyle name="Normal 7 2 3 3 2" xfId="10214" xr:uid="{00000000-0005-0000-0000-00005C410000}"/>
    <cellStyle name="Normal 7 2 3 3 2 2" xfId="18964" xr:uid="{00000000-0005-0000-0000-00005D410000}"/>
    <cellStyle name="Normal 7 2 3 3 3" xfId="8612" xr:uid="{00000000-0005-0000-0000-00005E410000}"/>
    <cellStyle name="Normal 7 2 3 3 3 2" xfId="17365" xr:uid="{00000000-0005-0000-0000-00005F410000}"/>
    <cellStyle name="Normal 7 2 3 3 4" xfId="11824" xr:uid="{00000000-0005-0000-0000-000060410000}"/>
    <cellStyle name="Normal 7 2 3 3 4 2" xfId="20511" xr:uid="{00000000-0005-0000-0000-000061410000}"/>
    <cellStyle name="Normal 7 2 3 3 5" xfId="13431" xr:uid="{00000000-0005-0000-0000-000062410000}"/>
    <cellStyle name="Normal 7 2 3 3 5 2" xfId="22111" xr:uid="{00000000-0005-0000-0000-000063410000}"/>
    <cellStyle name="Normal 7 2 3 3 6" xfId="15605" xr:uid="{00000000-0005-0000-0000-000064410000}"/>
    <cellStyle name="Normal 7 2 3 4" xfId="3544" xr:uid="{00000000-0005-0000-0000-000065410000}"/>
    <cellStyle name="Normal 7 2 3 4 2" xfId="10215" xr:uid="{00000000-0005-0000-0000-000066410000}"/>
    <cellStyle name="Normal 7 2 3 4 2 2" xfId="18965" xr:uid="{00000000-0005-0000-0000-000067410000}"/>
    <cellStyle name="Normal 7 2 3 4 3" xfId="8613" xr:uid="{00000000-0005-0000-0000-000068410000}"/>
    <cellStyle name="Normal 7 2 3 4 3 2" xfId="17366" xr:uid="{00000000-0005-0000-0000-000069410000}"/>
    <cellStyle name="Normal 7 2 3 4 4" xfId="11825" xr:uid="{00000000-0005-0000-0000-00006A410000}"/>
    <cellStyle name="Normal 7 2 3 4 4 2" xfId="20512" xr:uid="{00000000-0005-0000-0000-00006B410000}"/>
    <cellStyle name="Normal 7 2 3 4 5" xfId="13432" xr:uid="{00000000-0005-0000-0000-00006C410000}"/>
    <cellStyle name="Normal 7 2 3 4 5 2" xfId="22112" xr:uid="{00000000-0005-0000-0000-00006D410000}"/>
    <cellStyle name="Normal 7 2 3 4 6" xfId="15606" xr:uid="{00000000-0005-0000-0000-00006E410000}"/>
    <cellStyle name="Normal 7 2 3 5" xfId="10212" xr:uid="{00000000-0005-0000-0000-00006F410000}"/>
    <cellStyle name="Normal 7 2 3 5 2" xfId="18962" xr:uid="{00000000-0005-0000-0000-000070410000}"/>
    <cellStyle name="Normal 7 2 3 6" xfId="8610" xr:uid="{00000000-0005-0000-0000-000071410000}"/>
    <cellStyle name="Normal 7 2 3 6 2" xfId="17363" xr:uid="{00000000-0005-0000-0000-000072410000}"/>
    <cellStyle name="Normal 7 2 3 7" xfId="11822" xr:uid="{00000000-0005-0000-0000-000073410000}"/>
    <cellStyle name="Normal 7 2 3 7 2" xfId="20509" xr:uid="{00000000-0005-0000-0000-000074410000}"/>
    <cellStyle name="Normal 7 2 3 8" xfId="13429" xr:uid="{00000000-0005-0000-0000-000075410000}"/>
    <cellStyle name="Normal 7 2 3 8 2" xfId="22109" xr:uid="{00000000-0005-0000-0000-000076410000}"/>
    <cellStyle name="Normal 7 2 3 9" xfId="15603" xr:uid="{00000000-0005-0000-0000-000077410000}"/>
    <cellStyle name="Normal 7 2 4" xfId="3545" xr:uid="{00000000-0005-0000-0000-000078410000}"/>
    <cellStyle name="Normal 7 2 4 2" xfId="3546" xr:uid="{00000000-0005-0000-0000-000079410000}"/>
    <cellStyle name="Normal 7 2 4 2 2" xfId="3547" xr:uid="{00000000-0005-0000-0000-00007A410000}"/>
    <cellStyle name="Normal 7 2 4 2 2 2" xfId="3548" xr:uid="{00000000-0005-0000-0000-00007B410000}"/>
    <cellStyle name="Normal 7 2 4 2 2 2 2" xfId="10217" xr:uid="{00000000-0005-0000-0000-00007C410000}"/>
    <cellStyle name="Normal 7 2 4 2 2 2 2 2" xfId="18967" xr:uid="{00000000-0005-0000-0000-00007D410000}"/>
    <cellStyle name="Normal 7 2 4 2 2 2 3" xfId="8615" xr:uid="{00000000-0005-0000-0000-00007E410000}"/>
    <cellStyle name="Normal 7 2 4 2 2 2 3 2" xfId="17368" xr:uid="{00000000-0005-0000-0000-00007F410000}"/>
    <cellStyle name="Normal 7 2 4 2 2 2 4" xfId="11827" xr:uid="{00000000-0005-0000-0000-000080410000}"/>
    <cellStyle name="Normal 7 2 4 2 2 2 4 2" xfId="20514" xr:uid="{00000000-0005-0000-0000-000081410000}"/>
    <cellStyle name="Normal 7 2 4 2 2 2 5" xfId="13434" xr:uid="{00000000-0005-0000-0000-000082410000}"/>
    <cellStyle name="Normal 7 2 4 2 2 2 5 2" xfId="22114" xr:uid="{00000000-0005-0000-0000-000083410000}"/>
    <cellStyle name="Normal 7 2 4 2 2 2 6" xfId="15608" xr:uid="{00000000-0005-0000-0000-000084410000}"/>
    <cellStyle name="Normal 7 2 4 2 2 3" xfId="3549" xr:uid="{00000000-0005-0000-0000-000085410000}"/>
    <cellStyle name="Normal 7 2 4 2 2 3 2" xfId="10218" xr:uid="{00000000-0005-0000-0000-000086410000}"/>
    <cellStyle name="Normal 7 2 4 2 2 3 2 2" xfId="18968" xr:uid="{00000000-0005-0000-0000-000087410000}"/>
    <cellStyle name="Normal 7 2 4 2 2 3 3" xfId="8616" xr:uid="{00000000-0005-0000-0000-000088410000}"/>
    <cellStyle name="Normal 7 2 4 2 2 3 3 2" xfId="17369" xr:uid="{00000000-0005-0000-0000-000089410000}"/>
    <cellStyle name="Normal 7 2 4 2 2 3 4" xfId="11828" xr:uid="{00000000-0005-0000-0000-00008A410000}"/>
    <cellStyle name="Normal 7 2 4 2 2 3 4 2" xfId="20515" xr:uid="{00000000-0005-0000-0000-00008B410000}"/>
    <cellStyle name="Normal 7 2 4 2 2 3 5" xfId="13435" xr:uid="{00000000-0005-0000-0000-00008C410000}"/>
    <cellStyle name="Normal 7 2 4 2 2 3 5 2" xfId="22115" xr:uid="{00000000-0005-0000-0000-00008D410000}"/>
    <cellStyle name="Normal 7 2 4 2 2 3 6" xfId="15609" xr:uid="{00000000-0005-0000-0000-00008E410000}"/>
    <cellStyle name="Normal 7 2 4 2 2 4" xfId="3550" xr:uid="{00000000-0005-0000-0000-00008F410000}"/>
    <cellStyle name="Normal 7 2 4 2 2 4 2" xfId="10219" xr:uid="{00000000-0005-0000-0000-000090410000}"/>
    <cellStyle name="Normal 7 2 4 2 2 4 2 2" xfId="18969" xr:uid="{00000000-0005-0000-0000-000091410000}"/>
    <cellStyle name="Normal 7 2 4 2 2 4 3" xfId="8617" xr:uid="{00000000-0005-0000-0000-000092410000}"/>
    <cellStyle name="Normal 7 2 4 2 2 4 3 2" xfId="17370" xr:uid="{00000000-0005-0000-0000-000093410000}"/>
    <cellStyle name="Normal 7 2 4 2 2 4 4" xfId="11829" xr:uid="{00000000-0005-0000-0000-000094410000}"/>
    <cellStyle name="Normal 7 2 4 2 2 4 4 2" xfId="20516" xr:uid="{00000000-0005-0000-0000-000095410000}"/>
    <cellStyle name="Normal 7 2 4 2 2 4 5" xfId="13436" xr:uid="{00000000-0005-0000-0000-000096410000}"/>
    <cellStyle name="Normal 7 2 4 2 2 4 5 2" xfId="22116" xr:uid="{00000000-0005-0000-0000-000097410000}"/>
    <cellStyle name="Normal 7 2 4 2 2 4 6" xfId="15610" xr:uid="{00000000-0005-0000-0000-000098410000}"/>
    <cellStyle name="Normal 7 2 4 2 3" xfId="3551" xr:uid="{00000000-0005-0000-0000-000099410000}"/>
    <cellStyle name="Normal 7 2 4 2 4" xfId="3552" xr:uid="{00000000-0005-0000-0000-00009A410000}"/>
    <cellStyle name="Normal 7 2 4 2 5" xfId="10216" xr:uid="{00000000-0005-0000-0000-00009B410000}"/>
    <cellStyle name="Normal 7 2 4 2 5 2" xfId="18966" xr:uid="{00000000-0005-0000-0000-00009C410000}"/>
    <cellStyle name="Normal 7 2 4 2 6" xfId="8614" xr:uid="{00000000-0005-0000-0000-00009D410000}"/>
    <cellStyle name="Normal 7 2 4 2 6 2" xfId="17367" xr:uid="{00000000-0005-0000-0000-00009E410000}"/>
    <cellStyle name="Normal 7 2 4 2 7" xfId="11826" xr:uid="{00000000-0005-0000-0000-00009F410000}"/>
    <cellStyle name="Normal 7 2 4 2 7 2" xfId="20513" xr:uid="{00000000-0005-0000-0000-0000A0410000}"/>
    <cellStyle name="Normal 7 2 4 2 8" xfId="13433" xr:uid="{00000000-0005-0000-0000-0000A1410000}"/>
    <cellStyle name="Normal 7 2 4 2 8 2" xfId="22113" xr:uid="{00000000-0005-0000-0000-0000A2410000}"/>
    <cellStyle name="Normal 7 2 4 2 9" xfId="15607" xr:uid="{00000000-0005-0000-0000-0000A3410000}"/>
    <cellStyle name="Normal 7 2 4 3" xfId="3553" xr:uid="{00000000-0005-0000-0000-0000A4410000}"/>
    <cellStyle name="Normal 7 2 4 3 2" xfId="3554" xr:uid="{00000000-0005-0000-0000-0000A5410000}"/>
    <cellStyle name="Normal 7 2 4 3 2 2" xfId="10221" xr:uid="{00000000-0005-0000-0000-0000A6410000}"/>
    <cellStyle name="Normal 7 2 4 3 2 2 2" xfId="18971" xr:uid="{00000000-0005-0000-0000-0000A7410000}"/>
    <cellStyle name="Normal 7 2 4 3 2 3" xfId="8619" xr:uid="{00000000-0005-0000-0000-0000A8410000}"/>
    <cellStyle name="Normal 7 2 4 3 2 3 2" xfId="17372" xr:uid="{00000000-0005-0000-0000-0000A9410000}"/>
    <cellStyle name="Normal 7 2 4 3 2 4" xfId="11831" xr:uid="{00000000-0005-0000-0000-0000AA410000}"/>
    <cellStyle name="Normal 7 2 4 3 2 4 2" xfId="20518" xr:uid="{00000000-0005-0000-0000-0000AB410000}"/>
    <cellStyle name="Normal 7 2 4 3 2 5" xfId="13438" xr:uid="{00000000-0005-0000-0000-0000AC410000}"/>
    <cellStyle name="Normal 7 2 4 3 2 5 2" xfId="22118" xr:uid="{00000000-0005-0000-0000-0000AD410000}"/>
    <cellStyle name="Normal 7 2 4 3 2 6" xfId="15612" xr:uid="{00000000-0005-0000-0000-0000AE410000}"/>
    <cellStyle name="Normal 7 2 4 3 3" xfId="3555" xr:uid="{00000000-0005-0000-0000-0000AF410000}"/>
    <cellStyle name="Normal 7 2 4 3 3 2" xfId="10222" xr:uid="{00000000-0005-0000-0000-0000B0410000}"/>
    <cellStyle name="Normal 7 2 4 3 3 2 2" xfId="18972" xr:uid="{00000000-0005-0000-0000-0000B1410000}"/>
    <cellStyle name="Normal 7 2 4 3 3 3" xfId="8620" xr:uid="{00000000-0005-0000-0000-0000B2410000}"/>
    <cellStyle name="Normal 7 2 4 3 3 3 2" xfId="17373" xr:uid="{00000000-0005-0000-0000-0000B3410000}"/>
    <cellStyle name="Normal 7 2 4 3 3 4" xfId="11832" xr:uid="{00000000-0005-0000-0000-0000B4410000}"/>
    <cellStyle name="Normal 7 2 4 3 3 4 2" xfId="20519" xr:uid="{00000000-0005-0000-0000-0000B5410000}"/>
    <cellStyle name="Normal 7 2 4 3 3 5" xfId="13439" xr:uid="{00000000-0005-0000-0000-0000B6410000}"/>
    <cellStyle name="Normal 7 2 4 3 3 5 2" xfId="22119" xr:uid="{00000000-0005-0000-0000-0000B7410000}"/>
    <cellStyle name="Normal 7 2 4 3 3 6" xfId="15613" xr:uid="{00000000-0005-0000-0000-0000B8410000}"/>
    <cellStyle name="Normal 7 2 4 3 4" xfId="3556" xr:uid="{00000000-0005-0000-0000-0000B9410000}"/>
    <cellStyle name="Normal 7 2 4 3 4 2" xfId="10223" xr:uid="{00000000-0005-0000-0000-0000BA410000}"/>
    <cellStyle name="Normal 7 2 4 3 4 2 2" xfId="18973" xr:uid="{00000000-0005-0000-0000-0000BB410000}"/>
    <cellStyle name="Normal 7 2 4 3 4 3" xfId="8621" xr:uid="{00000000-0005-0000-0000-0000BC410000}"/>
    <cellStyle name="Normal 7 2 4 3 4 3 2" xfId="17374" xr:uid="{00000000-0005-0000-0000-0000BD410000}"/>
    <cellStyle name="Normal 7 2 4 3 4 4" xfId="11833" xr:uid="{00000000-0005-0000-0000-0000BE410000}"/>
    <cellStyle name="Normal 7 2 4 3 4 4 2" xfId="20520" xr:uid="{00000000-0005-0000-0000-0000BF410000}"/>
    <cellStyle name="Normal 7 2 4 3 4 5" xfId="13440" xr:uid="{00000000-0005-0000-0000-0000C0410000}"/>
    <cellStyle name="Normal 7 2 4 3 4 5 2" xfId="22120" xr:uid="{00000000-0005-0000-0000-0000C1410000}"/>
    <cellStyle name="Normal 7 2 4 3 4 6" xfId="15614" xr:uid="{00000000-0005-0000-0000-0000C2410000}"/>
    <cellStyle name="Normal 7 2 4 3 5" xfId="10220" xr:uid="{00000000-0005-0000-0000-0000C3410000}"/>
    <cellStyle name="Normal 7 2 4 3 5 2" xfId="18970" xr:uid="{00000000-0005-0000-0000-0000C4410000}"/>
    <cellStyle name="Normal 7 2 4 3 6" xfId="8618" xr:uid="{00000000-0005-0000-0000-0000C5410000}"/>
    <cellStyle name="Normal 7 2 4 3 6 2" xfId="17371" xr:uid="{00000000-0005-0000-0000-0000C6410000}"/>
    <cellStyle name="Normal 7 2 4 3 7" xfId="11830" xr:uid="{00000000-0005-0000-0000-0000C7410000}"/>
    <cellStyle name="Normal 7 2 4 3 7 2" xfId="20517" xr:uid="{00000000-0005-0000-0000-0000C8410000}"/>
    <cellStyle name="Normal 7 2 4 3 8" xfId="13437" xr:uid="{00000000-0005-0000-0000-0000C9410000}"/>
    <cellStyle name="Normal 7 2 4 3 8 2" xfId="22117" xr:uid="{00000000-0005-0000-0000-0000CA410000}"/>
    <cellStyle name="Normal 7 2 4 3 9" xfId="15611" xr:uid="{00000000-0005-0000-0000-0000CB410000}"/>
    <cellStyle name="Normal 7 2 4 4" xfId="3557" xr:uid="{00000000-0005-0000-0000-0000CC410000}"/>
    <cellStyle name="Normal 7 2 4 4 2" xfId="3558" xr:uid="{00000000-0005-0000-0000-0000CD410000}"/>
    <cellStyle name="Normal 7 2 4 4 2 2" xfId="10225" xr:uid="{00000000-0005-0000-0000-0000CE410000}"/>
    <cellStyle name="Normal 7 2 4 4 2 2 2" xfId="18975" xr:uid="{00000000-0005-0000-0000-0000CF410000}"/>
    <cellStyle name="Normal 7 2 4 4 2 3" xfId="8623" xr:uid="{00000000-0005-0000-0000-0000D0410000}"/>
    <cellStyle name="Normal 7 2 4 4 2 3 2" xfId="17376" xr:uid="{00000000-0005-0000-0000-0000D1410000}"/>
    <cellStyle name="Normal 7 2 4 4 2 4" xfId="11835" xr:uid="{00000000-0005-0000-0000-0000D2410000}"/>
    <cellStyle name="Normal 7 2 4 4 2 4 2" xfId="20522" xr:uid="{00000000-0005-0000-0000-0000D3410000}"/>
    <cellStyle name="Normal 7 2 4 4 2 5" xfId="13442" xr:uid="{00000000-0005-0000-0000-0000D4410000}"/>
    <cellStyle name="Normal 7 2 4 4 2 5 2" xfId="22122" xr:uid="{00000000-0005-0000-0000-0000D5410000}"/>
    <cellStyle name="Normal 7 2 4 4 2 6" xfId="15616" xr:uid="{00000000-0005-0000-0000-0000D6410000}"/>
    <cellStyle name="Normal 7 2 4 4 3" xfId="3559" xr:uid="{00000000-0005-0000-0000-0000D7410000}"/>
    <cellStyle name="Normal 7 2 4 4 3 2" xfId="10226" xr:uid="{00000000-0005-0000-0000-0000D8410000}"/>
    <cellStyle name="Normal 7 2 4 4 3 2 2" xfId="18976" xr:uid="{00000000-0005-0000-0000-0000D9410000}"/>
    <cellStyle name="Normal 7 2 4 4 3 3" xfId="8624" xr:uid="{00000000-0005-0000-0000-0000DA410000}"/>
    <cellStyle name="Normal 7 2 4 4 3 3 2" xfId="17377" xr:uid="{00000000-0005-0000-0000-0000DB410000}"/>
    <cellStyle name="Normal 7 2 4 4 3 4" xfId="11836" xr:uid="{00000000-0005-0000-0000-0000DC410000}"/>
    <cellStyle name="Normal 7 2 4 4 3 4 2" xfId="20523" xr:uid="{00000000-0005-0000-0000-0000DD410000}"/>
    <cellStyle name="Normal 7 2 4 4 3 5" xfId="13443" xr:uid="{00000000-0005-0000-0000-0000DE410000}"/>
    <cellStyle name="Normal 7 2 4 4 3 5 2" xfId="22123" xr:uid="{00000000-0005-0000-0000-0000DF410000}"/>
    <cellStyle name="Normal 7 2 4 4 3 6" xfId="15617" xr:uid="{00000000-0005-0000-0000-0000E0410000}"/>
    <cellStyle name="Normal 7 2 4 4 4" xfId="3560" xr:uid="{00000000-0005-0000-0000-0000E1410000}"/>
    <cellStyle name="Normal 7 2 4 4 4 2" xfId="10227" xr:uid="{00000000-0005-0000-0000-0000E2410000}"/>
    <cellStyle name="Normal 7 2 4 4 4 2 2" xfId="18977" xr:uid="{00000000-0005-0000-0000-0000E3410000}"/>
    <cellStyle name="Normal 7 2 4 4 4 3" xfId="8625" xr:uid="{00000000-0005-0000-0000-0000E4410000}"/>
    <cellStyle name="Normal 7 2 4 4 4 3 2" xfId="17378" xr:uid="{00000000-0005-0000-0000-0000E5410000}"/>
    <cellStyle name="Normal 7 2 4 4 4 4" xfId="11837" xr:uid="{00000000-0005-0000-0000-0000E6410000}"/>
    <cellStyle name="Normal 7 2 4 4 4 4 2" xfId="20524" xr:uid="{00000000-0005-0000-0000-0000E7410000}"/>
    <cellStyle name="Normal 7 2 4 4 4 5" xfId="13444" xr:uid="{00000000-0005-0000-0000-0000E8410000}"/>
    <cellStyle name="Normal 7 2 4 4 4 5 2" xfId="22124" xr:uid="{00000000-0005-0000-0000-0000E9410000}"/>
    <cellStyle name="Normal 7 2 4 4 4 6" xfId="15618" xr:uid="{00000000-0005-0000-0000-0000EA410000}"/>
    <cellStyle name="Normal 7 2 4 4 5" xfId="10224" xr:uid="{00000000-0005-0000-0000-0000EB410000}"/>
    <cellStyle name="Normal 7 2 4 4 5 2" xfId="18974" xr:uid="{00000000-0005-0000-0000-0000EC410000}"/>
    <cellStyle name="Normal 7 2 4 4 6" xfId="8622" xr:uid="{00000000-0005-0000-0000-0000ED410000}"/>
    <cellStyle name="Normal 7 2 4 4 6 2" xfId="17375" xr:uid="{00000000-0005-0000-0000-0000EE410000}"/>
    <cellStyle name="Normal 7 2 4 4 7" xfId="11834" xr:uid="{00000000-0005-0000-0000-0000EF410000}"/>
    <cellStyle name="Normal 7 2 4 4 7 2" xfId="20521" xr:uid="{00000000-0005-0000-0000-0000F0410000}"/>
    <cellStyle name="Normal 7 2 4 4 8" xfId="13441" xr:uid="{00000000-0005-0000-0000-0000F1410000}"/>
    <cellStyle name="Normal 7 2 4 4 8 2" xfId="22121" xr:uid="{00000000-0005-0000-0000-0000F2410000}"/>
    <cellStyle name="Normal 7 2 4 4 9" xfId="15615" xr:uid="{00000000-0005-0000-0000-0000F3410000}"/>
    <cellStyle name="Normal 7 2 4 5" xfId="3561" xr:uid="{00000000-0005-0000-0000-0000F4410000}"/>
    <cellStyle name="Normal 7 2 4 5 2" xfId="10228" xr:uid="{00000000-0005-0000-0000-0000F5410000}"/>
    <cellStyle name="Normal 7 2 4 5 2 2" xfId="18978" xr:uid="{00000000-0005-0000-0000-0000F6410000}"/>
    <cellStyle name="Normal 7 2 4 5 3" xfId="8626" xr:uid="{00000000-0005-0000-0000-0000F7410000}"/>
    <cellStyle name="Normal 7 2 4 5 3 2" xfId="17379" xr:uid="{00000000-0005-0000-0000-0000F8410000}"/>
    <cellStyle name="Normal 7 2 4 5 4" xfId="11838" xr:uid="{00000000-0005-0000-0000-0000F9410000}"/>
    <cellStyle name="Normal 7 2 4 5 4 2" xfId="20525" xr:uid="{00000000-0005-0000-0000-0000FA410000}"/>
    <cellStyle name="Normal 7 2 4 5 5" xfId="13445" xr:uid="{00000000-0005-0000-0000-0000FB410000}"/>
    <cellStyle name="Normal 7 2 4 5 5 2" xfId="22125" xr:uid="{00000000-0005-0000-0000-0000FC410000}"/>
    <cellStyle name="Normal 7 2 4 5 6" xfId="15619" xr:uid="{00000000-0005-0000-0000-0000FD410000}"/>
    <cellStyle name="Normal 7 2 4 6" xfId="3562" xr:uid="{00000000-0005-0000-0000-0000FE410000}"/>
    <cellStyle name="Normal 7 2 4 6 2" xfId="10229" xr:uid="{00000000-0005-0000-0000-0000FF410000}"/>
    <cellStyle name="Normal 7 2 4 6 2 2" xfId="18979" xr:uid="{00000000-0005-0000-0000-000000420000}"/>
    <cellStyle name="Normal 7 2 4 6 3" xfId="8627" xr:uid="{00000000-0005-0000-0000-000001420000}"/>
    <cellStyle name="Normal 7 2 4 6 3 2" xfId="17380" xr:uid="{00000000-0005-0000-0000-000002420000}"/>
    <cellStyle name="Normal 7 2 4 6 4" xfId="11839" xr:uid="{00000000-0005-0000-0000-000003420000}"/>
    <cellStyle name="Normal 7 2 4 6 4 2" xfId="20526" xr:uid="{00000000-0005-0000-0000-000004420000}"/>
    <cellStyle name="Normal 7 2 4 6 5" xfId="13446" xr:uid="{00000000-0005-0000-0000-000005420000}"/>
    <cellStyle name="Normal 7 2 4 6 5 2" xfId="22126" xr:uid="{00000000-0005-0000-0000-000006420000}"/>
    <cellStyle name="Normal 7 2 4 6 6" xfId="15620" xr:uid="{00000000-0005-0000-0000-000007420000}"/>
    <cellStyle name="Normal 7 2 4 7" xfId="3563" xr:uid="{00000000-0005-0000-0000-000008420000}"/>
    <cellStyle name="Normal 7 2 4 7 2" xfId="10230" xr:uid="{00000000-0005-0000-0000-000009420000}"/>
    <cellStyle name="Normal 7 2 4 7 2 2" xfId="18980" xr:uid="{00000000-0005-0000-0000-00000A420000}"/>
    <cellStyle name="Normal 7 2 4 7 3" xfId="8628" xr:uid="{00000000-0005-0000-0000-00000B420000}"/>
    <cellStyle name="Normal 7 2 4 7 3 2" xfId="17381" xr:uid="{00000000-0005-0000-0000-00000C420000}"/>
    <cellStyle name="Normal 7 2 4 7 4" xfId="11840" xr:uid="{00000000-0005-0000-0000-00000D420000}"/>
    <cellStyle name="Normal 7 2 4 7 4 2" xfId="20527" xr:uid="{00000000-0005-0000-0000-00000E420000}"/>
    <cellStyle name="Normal 7 2 4 7 5" xfId="13447" xr:uid="{00000000-0005-0000-0000-00000F420000}"/>
    <cellStyle name="Normal 7 2 4 7 5 2" xfId="22127" xr:uid="{00000000-0005-0000-0000-000010420000}"/>
    <cellStyle name="Normal 7 2 4 7 6" xfId="15621" xr:uid="{00000000-0005-0000-0000-000011420000}"/>
    <cellStyle name="Normal 7 2 5" xfId="3564" xr:uid="{00000000-0005-0000-0000-000012420000}"/>
    <cellStyle name="Normal 7 2 6" xfId="3565" xr:uid="{00000000-0005-0000-0000-000013420000}"/>
    <cellStyle name="Normal 7 2 7" xfId="3566" xr:uid="{00000000-0005-0000-0000-000014420000}"/>
    <cellStyle name="Normal 7 2 7 2" xfId="10231" xr:uid="{00000000-0005-0000-0000-000015420000}"/>
    <cellStyle name="Normal 7 2 7 2 2" xfId="18981" xr:uid="{00000000-0005-0000-0000-000016420000}"/>
    <cellStyle name="Normal 7 2 7 3" xfId="8629" xr:uid="{00000000-0005-0000-0000-000017420000}"/>
    <cellStyle name="Normal 7 2 7 3 2" xfId="17382" xr:uid="{00000000-0005-0000-0000-000018420000}"/>
    <cellStyle name="Normal 7 2 7 4" xfId="11841" xr:uid="{00000000-0005-0000-0000-000019420000}"/>
    <cellStyle name="Normal 7 2 7 4 2" xfId="20528" xr:uid="{00000000-0005-0000-0000-00001A420000}"/>
    <cellStyle name="Normal 7 2 7 5" xfId="13448" xr:uid="{00000000-0005-0000-0000-00001B420000}"/>
    <cellStyle name="Normal 7 2 7 5 2" xfId="22128" xr:uid="{00000000-0005-0000-0000-00001C420000}"/>
    <cellStyle name="Normal 7 2 7 6" xfId="15622" xr:uid="{00000000-0005-0000-0000-00001D420000}"/>
    <cellStyle name="Normal 7 2 8" xfId="3567" xr:uid="{00000000-0005-0000-0000-00001E420000}"/>
    <cellStyle name="Normal 7 2 8 2" xfId="10232" xr:uid="{00000000-0005-0000-0000-00001F420000}"/>
    <cellStyle name="Normal 7 2 8 2 2" xfId="18982" xr:uid="{00000000-0005-0000-0000-000020420000}"/>
    <cellStyle name="Normal 7 2 8 3" xfId="8630" xr:uid="{00000000-0005-0000-0000-000021420000}"/>
    <cellStyle name="Normal 7 2 8 3 2" xfId="17383" xr:uid="{00000000-0005-0000-0000-000022420000}"/>
    <cellStyle name="Normal 7 2 8 4" xfId="11842" xr:uid="{00000000-0005-0000-0000-000023420000}"/>
    <cellStyle name="Normal 7 2 8 4 2" xfId="20529" xr:uid="{00000000-0005-0000-0000-000024420000}"/>
    <cellStyle name="Normal 7 2 8 5" xfId="13449" xr:uid="{00000000-0005-0000-0000-000025420000}"/>
    <cellStyle name="Normal 7 2 8 5 2" xfId="22129" xr:uid="{00000000-0005-0000-0000-000026420000}"/>
    <cellStyle name="Normal 7 2 8 6" xfId="15623" xr:uid="{00000000-0005-0000-0000-000027420000}"/>
    <cellStyle name="Normal 7 2 9" xfId="3568" xr:uid="{00000000-0005-0000-0000-000028420000}"/>
    <cellStyle name="Normal 7 2 9 2" xfId="10233" xr:uid="{00000000-0005-0000-0000-000029420000}"/>
    <cellStyle name="Normal 7 2 9 2 2" xfId="18983" xr:uid="{00000000-0005-0000-0000-00002A420000}"/>
    <cellStyle name="Normal 7 2 9 3" xfId="8631" xr:uid="{00000000-0005-0000-0000-00002B420000}"/>
    <cellStyle name="Normal 7 2 9 3 2" xfId="17384" xr:uid="{00000000-0005-0000-0000-00002C420000}"/>
    <cellStyle name="Normal 7 2 9 4" xfId="11843" xr:uid="{00000000-0005-0000-0000-00002D420000}"/>
    <cellStyle name="Normal 7 2 9 4 2" xfId="20530" xr:uid="{00000000-0005-0000-0000-00002E420000}"/>
    <cellStyle name="Normal 7 2 9 5" xfId="13450" xr:uid="{00000000-0005-0000-0000-00002F420000}"/>
    <cellStyle name="Normal 7 2 9 5 2" xfId="22130" xr:uid="{00000000-0005-0000-0000-000030420000}"/>
    <cellStyle name="Normal 7 2 9 6" xfId="15624" xr:uid="{00000000-0005-0000-0000-000031420000}"/>
    <cellStyle name="Normal 7 3" xfId="3569" xr:uid="{00000000-0005-0000-0000-000032420000}"/>
    <cellStyle name="Normal 7 3 2" xfId="3570" xr:uid="{00000000-0005-0000-0000-000033420000}"/>
    <cellStyle name="Normal 7 3 3" xfId="10234" xr:uid="{00000000-0005-0000-0000-000034420000}"/>
    <cellStyle name="Normal 7 3 3 2" xfId="18984" xr:uid="{00000000-0005-0000-0000-000035420000}"/>
    <cellStyle name="Normal 7 3 4" xfId="8632" xr:uid="{00000000-0005-0000-0000-000036420000}"/>
    <cellStyle name="Normal 7 3 4 2" xfId="17385" xr:uid="{00000000-0005-0000-0000-000037420000}"/>
    <cellStyle name="Normal 7 3 5" xfId="11844" xr:uid="{00000000-0005-0000-0000-000038420000}"/>
    <cellStyle name="Normal 7 3 5 2" xfId="20531" xr:uid="{00000000-0005-0000-0000-000039420000}"/>
    <cellStyle name="Normal 7 3 6" xfId="13451" xr:uid="{00000000-0005-0000-0000-00003A420000}"/>
    <cellStyle name="Normal 7 3 6 2" xfId="22131" xr:uid="{00000000-0005-0000-0000-00003B420000}"/>
    <cellStyle name="Normal 7 3 7" xfId="15625" xr:uid="{00000000-0005-0000-0000-00003C420000}"/>
    <cellStyle name="Normal 7 4" xfId="3571" xr:uid="{00000000-0005-0000-0000-00003D420000}"/>
    <cellStyle name="Normal 7 5" xfId="3534" xr:uid="{00000000-0005-0000-0000-00003E420000}"/>
    <cellStyle name="Normal 7 5 2" xfId="10206" xr:uid="{00000000-0005-0000-0000-00003F420000}"/>
    <cellStyle name="Normal 7 5 2 2" xfId="18956" xr:uid="{00000000-0005-0000-0000-000040420000}"/>
    <cellStyle name="Normal 7 5 3" xfId="11816" xr:uid="{00000000-0005-0000-0000-000041420000}"/>
    <cellStyle name="Normal 7 5 3 2" xfId="20503" xr:uid="{00000000-0005-0000-0000-000042420000}"/>
    <cellStyle name="Normal 7 5 4" xfId="15597" xr:uid="{00000000-0005-0000-0000-000043420000}"/>
    <cellStyle name="Normal 7 6" xfId="10464" xr:uid="{00000000-0005-0000-0000-000044420000}"/>
    <cellStyle name="Normal 7 6 2" xfId="19207" xr:uid="{00000000-0005-0000-0000-000045420000}"/>
    <cellStyle name="Normal 7 7" xfId="8604" xr:uid="{00000000-0005-0000-0000-000046420000}"/>
    <cellStyle name="Normal 7 7 2" xfId="17357" xr:uid="{00000000-0005-0000-0000-000047420000}"/>
    <cellStyle name="Normal 7 8" xfId="10622" xr:uid="{00000000-0005-0000-0000-000048420000}"/>
    <cellStyle name="Normal 7 8 2" xfId="19325" xr:uid="{00000000-0005-0000-0000-000049420000}"/>
    <cellStyle name="Normal 7 9" xfId="13423" xr:uid="{00000000-0005-0000-0000-00004A420000}"/>
    <cellStyle name="Normal 7 9 2" xfId="22103" xr:uid="{00000000-0005-0000-0000-00004B420000}"/>
    <cellStyle name="Normal 70" xfId="3572" xr:uid="{00000000-0005-0000-0000-00004C420000}"/>
    <cellStyle name="Normal 70 2" xfId="3573" xr:uid="{00000000-0005-0000-0000-00004D420000}"/>
    <cellStyle name="Normal 70 2 2" xfId="10236" xr:uid="{00000000-0005-0000-0000-00004E420000}"/>
    <cellStyle name="Normal 70 2 2 2" xfId="18986" xr:uid="{00000000-0005-0000-0000-00004F420000}"/>
    <cellStyle name="Normal 70 2 3" xfId="8634" xr:uid="{00000000-0005-0000-0000-000050420000}"/>
    <cellStyle name="Normal 70 2 3 2" xfId="17387" xr:uid="{00000000-0005-0000-0000-000051420000}"/>
    <cellStyle name="Normal 70 2 4" xfId="11846" xr:uid="{00000000-0005-0000-0000-000052420000}"/>
    <cellStyle name="Normal 70 2 4 2" xfId="20533" xr:uid="{00000000-0005-0000-0000-000053420000}"/>
    <cellStyle name="Normal 70 2 5" xfId="13453" xr:uid="{00000000-0005-0000-0000-000054420000}"/>
    <cellStyle name="Normal 70 2 5 2" xfId="22133" xr:uid="{00000000-0005-0000-0000-000055420000}"/>
    <cellStyle name="Normal 70 2 6" xfId="15627" xr:uid="{00000000-0005-0000-0000-000056420000}"/>
    <cellStyle name="Normal 70 3" xfId="3574" xr:uid="{00000000-0005-0000-0000-000057420000}"/>
    <cellStyle name="Normal 70 3 2" xfId="10237" xr:uid="{00000000-0005-0000-0000-000058420000}"/>
    <cellStyle name="Normal 70 3 2 2" xfId="18987" xr:uid="{00000000-0005-0000-0000-000059420000}"/>
    <cellStyle name="Normal 70 3 3" xfId="8635" xr:uid="{00000000-0005-0000-0000-00005A420000}"/>
    <cellStyle name="Normal 70 3 3 2" xfId="17388" xr:uid="{00000000-0005-0000-0000-00005B420000}"/>
    <cellStyle name="Normal 70 3 4" xfId="11847" xr:uid="{00000000-0005-0000-0000-00005C420000}"/>
    <cellStyle name="Normal 70 3 4 2" xfId="20534" xr:uid="{00000000-0005-0000-0000-00005D420000}"/>
    <cellStyle name="Normal 70 3 5" xfId="13454" xr:uid="{00000000-0005-0000-0000-00005E420000}"/>
    <cellStyle name="Normal 70 3 5 2" xfId="22134" xr:uid="{00000000-0005-0000-0000-00005F420000}"/>
    <cellStyle name="Normal 70 3 6" xfId="15628" xr:uid="{00000000-0005-0000-0000-000060420000}"/>
    <cellStyle name="Normal 70 4" xfId="3575" xr:uid="{00000000-0005-0000-0000-000061420000}"/>
    <cellStyle name="Normal 70 4 2" xfId="10238" xr:uid="{00000000-0005-0000-0000-000062420000}"/>
    <cellStyle name="Normal 70 4 2 2" xfId="18988" xr:uid="{00000000-0005-0000-0000-000063420000}"/>
    <cellStyle name="Normal 70 4 3" xfId="8636" xr:uid="{00000000-0005-0000-0000-000064420000}"/>
    <cellStyle name="Normal 70 4 3 2" xfId="17389" xr:uid="{00000000-0005-0000-0000-000065420000}"/>
    <cellStyle name="Normal 70 4 4" xfId="11848" xr:uid="{00000000-0005-0000-0000-000066420000}"/>
    <cellStyle name="Normal 70 4 4 2" xfId="20535" xr:uid="{00000000-0005-0000-0000-000067420000}"/>
    <cellStyle name="Normal 70 4 5" xfId="13455" xr:uid="{00000000-0005-0000-0000-000068420000}"/>
    <cellStyle name="Normal 70 4 5 2" xfId="22135" xr:uid="{00000000-0005-0000-0000-000069420000}"/>
    <cellStyle name="Normal 70 4 6" xfId="15629" xr:uid="{00000000-0005-0000-0000-00006A420000}"/>
    <cellStyle name="Normal 70 5" xfId="10235" xr:uid="{00000000-0005-0000-0000-00006B420000}"/>
    <cellStyle name="Normal 70 5 2" xfId="18985" xr:uid="{00000000-0005-0000-0000-00006C420000}"/>
    <cellStyle name="Normal 70 6" xfId="8633" xr:uid="{00000000-0005-0000-0000-00006D420000}"/>
    <cellStyle name="Normal 70 6 2" xfId="17386" xr:uid="{00000000-0005-0000-0000-00006E420000}"/>
    <cellStyle name="Normal 70 7" xfId="11845" xr:uid="{00000000-0005-0000-0000-00006F420000}"/>
    <cellStyle name="Normal 70 7 2" xfId="20532" xr:uid="{00000000-0005-0000-0000-000070420000}"/>
    <cellStyle name="Normal 70 8" xfId="13452" xr:uid="{00000000-0005-0000-0000-000071420000}"/>
    <cellStyle name="Normal 70 8 2" xfId="22132" xr:uid="{00000000-0005-0000-0000-000072420000}"/>
    <cellStyle name="Normal 70 9" xfId="15626" xr:uid="{00000000-0005-0000-0000-000073420000}"/>
    <cellStyle name="Normal 71" xfId="3576" xr:uid="{00000000-0005-0000-0000-000074420000}"/>
    <cellStyle name="Normal 71 2" xfId="3577" xr:uid="{00000000-0005-0000-0000-000075420000}"/>
    <cellStyle name="Normal 71 2 2" xfId="10240" xr:uid="{00000000-0005-0000-0000-000076420000}"/>
    <cellStyle name="Normal 71 2 2 2" xfId="18990" xr:uid="{00000000-0005-0000-0000-000077420000}"/>
    <cellStyle name="Normal 71 2 3" xfId="8638" xr:uid="{00000000-0005-0000-0000-000078420000}"/>
    <cellStyle name="Normal 71 2 3 2" xfId="17391" xr:uid="{00000000-0005-0000-0000-000079420000}"/>
    <cellStyle name="Normal 71 2 4" xfId="11850" xr:uid="{00000000-0005-0000-0000-00007A420000}"/>
    <cellStyle name="Normal 71 2 4 2" xfId="20537" xr:uid="{00000000-0005-0000-0000-00007B420000}"/>
    <cellStyle name="Normal 71 2 5" xfId="13457" xr:uid="{00000000-0005-0000-0000-00007C420000}"/>
    <cellStyle name="Normal 71 2 5 2" xfId="22137" xr:uid="{00000000-0005-0000-0000-00007D420000}"/>
    <cellStyle name="Normal 71 2 6" xfId="15631" xr:uid="{00000000-0005-0000-0000-00007E420000}"/>
    <cellStyle name="Normal 71 3" xfId="3578" xr:uid="{00000000-0005-0000-0000-00007F420000}"/>
    <cellStyle name="Normal 71 3 2" xfId="10241" xr:uid="{00000000-0005-0000-0000-000080420000}"/>
    <cellStyle name="Normal 71 3 2 2" xfId="18991" xr:uid="{00000000-0005-0000-0000-000081420000}"/>
    <cellStyle name="Normal 71 3 3" xfId="8639" xr:uid="{00000000-0005-0000-0000-000082420000}"/>
    <cellStyle name="Normal 71 3 3 2" xfId="17392" xr:uid="{00000000-0005-0000-0000-000083420000}"/>
    <cellStyle name="Normal 71 3 4" xfId="11851" xr:uid="{00000000-0005-0000-0000-000084420000}"/>
    <cellStyle name="Normal 71 3 4 2" xfId="20538" xr:uid="{00000000-0005-0000-0000-000085420000}"/>
    <cellStyle name="Normal 71 3 5" xfId="13458" xr:uid="{00000000-0005-0000-0000-000086420000}"/>
    <cellStyle name="Normal 71 3 5 2" xfId="22138" xr:uid="{00000000-0005-0000-0000-000087420000}"/>
    <cellStyle name="Normal 71 3 6" xfId="15632" xr:uid="{00000000-0005-0000-0000-000088420000}"/>
    <cellStyle name="Normal 71 4" xfId="3579" xr:uid="{00000000-0005-0000-0000-000089420000}"/>
    <cellStyle name="Normal 71 4 2" xfId="10242" xr:uid="{00000000-0005-0000-0000-00008A420000}"/>
    <cellStyle name="Normal 71 4 2 2" xfId="18992" xr:uid="{00000000-0005-0000-0000-00008B420000}"/>
    <cellStyle name="Normal 71 4 3" xfId="8640" xr:uid="{00000000-0005-0000-0000-00008C420000}"/>
    <cellStyle name="Normal 71 4 3 2" xfId="17393" xr:uid="{00000000-0005-0000-0000-00008D420000}"/>
    <cellStyle name="Normal 71 4 4" xfId="11852" xr:uid="{00000000-0005-0000-0000-00008E420000}"/>
    <cellStyle name="Normal 71 4 4 2" xfId="20539" xr:uid="{00000000-0005-0000-0000-00008F420000}"/>
    <cellStyle name="Normal 71 4 5" xfId="13459" xr:uid="{00000000-0005-0000-0000-000090420000}"/>
    <cellStyle name="Normal 71 4 5 2" xfId="22139" xr:uid="{00000000-0005-0000-0000-000091420000}"/>
    <cellStyle name="Normal 71 4 6" xfId="15633" xr:uid="{00000000-0005-0000-0000-000092420000}"/>
    <cellStyle name="Normal 71 5" xfId="10239" xr:uid="{00000000-0005-0000-0000-000093420000}"/>
    <cellStyle name="Normal 71 5 2" xfId="18989" xr:uid="{00000000-0005-0000-0000-000094420000}"/>
    <cellStyle name="Normal 71 6" xfId="8637" xr:uid="{00000000-0005-0000-0000-000095420000}"/>
    <cellStyle name="Normal 71 6 2" xfId="17390" xr:uid="{00000000-0005-0000-0000-000096420000}"/>
    <cellStyle name="Normal 71 7" xfId="11849" xr:uid="{00000000-0005-0000-0000-000097420000}"/>
    <cellStyle name="Normal 71 7 2" xfId="20536" xr:uid="{00000000-0005-0000-0000-000098420000}"/>
    <cellStyle name="Normal 71 8" xfId="13456" xr:uid="{00000000-0005-0000-0000-000099420000}"/>
    <cellStyle name="Normal 71 8 2" xfId="22136" xr:uid="{00000000-0005-0000-0000-00009A420000}"/>
    <cellStyle name="Normal 71 9" xfId="15630" xr:uid="{00000000-0005-0000-0000-00009B420000}"/>
    <cellStyle name="Normal 72" xfId="3580" xr:uid="{00000000-0005-0000-0000-00009C420000}"/>
    <cellStyle name="Normal 72 2" xfId="3581" xr:uid="{00000000-0005-0000-0000-00009D420000}"/>
    <cellStyle name="Normal 72 2 2" xfId="10244" xr:uid="{00000000-0005-0000-0000-00009E420000}"/>
    <cellStyle name="Normal 72 2 2 2" xfId="18994" xr:uid="{00000000-0005-0000-0000-00009F420000}"/>
    <cellStyle name="Normal 72 2 3" xfId="8642" xr:uid="{00000000-0005-0000-0000-0000A0420000}"/>
    <cellStyle name="Normal 72 2 3 2" xfId="17395" xr:uid="{00000000-0005-0000-0000-0000A1420000}"/>
    <cellStyle name="Normal 72 2 4" xfId="11854" xr:uid="{00000000-0005-0000-0000-0000A2420000}"/>
    <cellStyle name="Normal 72 2 4 2" xfId="20541" xr:uid="{00000000-0005-0000-0000-0000A3420000}"/>
    <cellStyle name="Normal 72 2 5" xfId="13461" xr:uid="{00000000-0005-0000-0000-0000A4420000}"/>
    <cellStyle name="Normal 72 2 5 2" xfId="22141" xr:uid="{00000000-0005-0000-0000-0000A5420000}"/>
    <cellStyle name="Normal 72 2 6" xfId="15635" xr:uid="{00000000-0005-0000-0000-0000A6420000}"/>
    <cellStyle name="Normal 72 3" xfId="3582" xr:uid="{00000000-0005-0000-0000-0000A7420000}"/>
    <cellStyle name="Normal 72 3 2" xfId="10245" xr:uid="{00000000-0005-0000-0000-0000A8420000}"/>
    <cellStyle name="Normal 72 3 2 2" xfId="18995" xr:uid="{00000000-0005-0000-0000-0000A9420000}"/>
    <cellStyle name="Normal 72 3 3" xfId="8643" xr:uid="{00000000-0005-0000-0000-0000AA420000}"/>
    <cellStyle name="Normal 72 3 3 2" xfId="17396" xr:uid="{00000000-0005-0000-0000-0000AB420000}"/>
    <cellStyle name="Normal 72 3 4" xfId="11855" xr:uid="{00000000-0005-0000-0000-0000AC420000}"/>
    <cellStyle name="Normal 72 3 4 2" xfId="20542" xr:uid="{00000000-0005-0000-0000-0000AD420000}"/>
    <cellStyle name="Normal 72 3 5" xfId="13462" xr:uid="{00000000-0005-0000-0000-0000AE420000}"/>
    <cellStyle name="Normal 72 3 5 2" xfId="22142" xr:uid="{00000000-0005-0000-0000-0000AF420000}"/>
    <cellStyle name="Normal 72 3 6" xfId="15636" xr:uid="{00000000-0005-0000-0000-0000B0420000}"/>
    <cellStyle name="Normal 72 4" xfId="3583" xr:uid="{00000000-0005-0000-0000-0000B1420000}"/>
    <cellStyle name="Normal 72 4 2" xfId="10246" xr:uid="{00000000-0005-0000-0000-0000B2420000}"/>
    <cellStyle name="Normal 72 4 2 2" xfId="18996" xr:uid="{00000000-0005-0000-0000-0000B3420000}"/>
    <cellStyle name="Normal 72 4 3" xfId="8644" xr:uid="{00000000-0005-0000-0000-0000B4420000}"/>
    <cellStyle name="Normal 72 4 3 2" xfId="17397" xr:uid="{00000000-0005-0000-0000-0000B5420000}"/>
    <cellStyle name="Normal 72 4 4" xfId="11856" xr:uid="{00000000-0005-0000-0000-0000B6420000}"/>
    <cellStyle name="Normal 72 4 4 2" xfId="20543" xr:uid="{00000000-0005-0000-0000-0000B7420000}"/>
    <cellStyle name="Normal 72 4 5" xfId="13463" xr:uid="{00000000-0005-0000-0000-0000B8420000}"/>
    <cellStyle name="Normal 72 4 5 2" xfId="22143" xr:uid="{00000000-0005-0000-0000-0000B9420000}"/>
    <cellStyle name="Normal 72 4 6" xfId="15637" xr:uid="{00000000-0005-0000-0000-0000BA420000}"/>
    <cellStyle name="Normal 72 5" xfId="10243" xr:uid="{00000000-0005-0000-0000-0000BB420000}"/>
    <cellStyle name="Normal 72 5 2" xfId="18993" xr:uid="{00000000-0005-0000-0000-0000BC420000}"/>
    <cellStyle name="Normal 72 6" xfId="8641" xr:uid="{00000000-0005-0000-0000-0000BD420000}"/>
    <cellStyle name="Normal 72 6 2" xfId="17394" xr:uid="{00000000-0005-0000-0000-0000BE420000}"/>
    <cellStyle name="Normal 72 7" xfId="11853" xr:uid="{00000000-0005-0000-0000-0000BF420000}"/>
    <cellStyle name="Normal 72 7 2" xfId="20540" xr:uid="{00000000-0005-0000-0000-0000C0420000}"/>
    <cellStyle name="Normal 72 8" xfId="13460" xr:uid="{00000000-0005-0000-0000-0000C1420000}"/>
    <cellStyle name="Normal 72 8 2" xfId="22140" xr:uid="{00000000-0005-0000-0000-0000C2420000}"/>
    <cellStyle name="Normal 72 9" xfId="15634" xr:uid="{00000000-0005-0000-0000-0000C3420000}"/>
    <cellStyle name="Normal 73" xfId="3584" xr:uid="{00000000-0005-0000-0000-0000C4420000}"/>
    <cellStyle name="Normal 73 2" xfId="3585" xr:uid="{00000000-0005-0000-0000-0000C5420000}"/>
    <cellStyle name="Normal 73 2 2" xfId="10248" xr:uid="{00000000-0005-0000-0000-0000C6420000}"/>
    <cellStyle name="Normal 73 2 2 2" xfId="18998" xr:uid="{00000000-0005-0000-0000-0000C7420000}"/>
    <cellStyle name="Normal 73 2 3" xfId="8646" xr:uid="{00000000-0005-0000-0000-0000C8420000}"/>
    <cellStyle name="Normal 73 2 3 2" xfId="17399" xr:uid="{00000000-0005-0000-0000-0000C9420000}"/>
    <cellStyle name="Normal 73 2 4" xfId="11858" xr:uid="{00000000-0005-0000-0000-0000CA420000}"/>
    <cellStyle name="Normal 73 2 4 2" xfId="20545" xr:uid="{00000000-0005-0000-0000-0000CB420000}"/>
    <cellStyle name="Normal 73 2 5" xfId="13465" xr:uid="{00000000-0005-0000-0000-0000CC420000}"/>
    <cellStyle name="Normal 73 2 5 2" xfId="22145" xr:uid="{00000000-0005-0000-0000-0000CD420000}"/>
    <cellStyle name="Normal 73 2 6" xfId="15639" xr:uid="{00000000-0005-0000-0000-0000CE420000}"/>
    <cellStyle name="Normal 73 3" xfId="3586" xr:uid="{00000000-0005-0000-0000-0000CF420000}"/>
    <cellStyle name="Normal 73 3 2" xfId="10249" xr:uid="{00000000-0005-0000-0000-0000D0420000}"/>
    <cellStyle name="Normal 73 3 2 2" xfId="18999" xr:uid="{00000000-0005-0000-0000-0000D1420000}"/>
    <cellStyle name="Normal 73 3 3" xfId="8647" xr:uid="{00000000-0005-0000-0000-0000D2420000}"/>
    <cellStyle name="Normal 73 3 3 2" xfId="17400" xr:uid="{00000000-0005-0000-0000-0000D3420000}"/>
    <cellStyle name="Normal 73 3 4" xfId="11859" xr:uid="{00000000-0005-0000-0000-0000D4420000}"/>
    <cellStyle name="Normal 73 3 4 2" xfId="20546" xr:uid="{00000000-0005-0000-0000-0000D5420000}"/>
    <cellStyle name="Normal 73 3 5" xfId="13466" xr:uid="{00000000-0005-0000-0000-0000D6420000}"/>
    <cellStyle name="Normal 73 3 5 2" xfId="22146" xr:uid="{00000000-0005-0000-0000-0000D7420000}"/>
    <cellStyle name="Normal 73 3 6" xfId="15640" xr:uid="{00000000-0005-0000-0000-0000D8420000}"/>
    <cellStyle name="Normal 73 4" xfId="3587" xr:uid="{00000000-0005-0000-0000-0000D9420000}"/>
    <cellStyle name="Normal 73 4 2" xfId="10250" xr:uid="{00000000-0005-0000-0000-0000DA420000}"/>
    <cellStyle name="Normal 73 4 2 2" xfId="19000" xr:uid="{00000000-0005-0000-0000-0000DB420000}"/>
    <cellStyle name="Normal 73 4 3" xfId="8648" xr:uid="{00000000-0005-0000-0000-0000DC420000}"/>
    <cellStyle name="Normal 73 4 3 2" xfId="17401" xr:uid="{00000000-0005-0000-0000-0000DD420000}"/>
    <cellStyle name="Normal 73 4 4" xfId="11860" xr:uid="{00000000-0005-0000-0000-0000DE420000}"/>
    <cellStyle name="Normal 73 4 4 2" xfId="20547" xr:uid="{00000000-0005-0000-0000-0000DF420000}"/>
    <cellStyle name="Normal 73 4 5" xfId="13467" xr:uid="{00000000-0005-0000-0000-0000E0420000}"/>
    <cellStyle name="Normal 73 4 5 2" xfId="22147" xr:uid="{00000000-0005-0000-0000-0000E1420000}"/>
    <cellStyle name="Normal 73 4 6" xfId="15641" xr:uid="{00000000-0005-0000-0000-0000E2420000}"/>
    <cellStyle name="Normal 73 5" xfId="10247" xr:uid="{00000000-0005-0000-0000-0000E3420000}"/>
    <cellStyle name="Normal 73 5 2" xfId="18997" xr:uid="{00000000-0005-0000-0000-0000E4420000}"/>
    <cellStyle name="Normal 73 6" xfId="8645" xr:uid="{00000000-0005-0000-0000-0000E5420000}"/>
    <cellStyle name="Normal 73 6 2" xfId="17398" xr:uid="{00000000-0005-0000-0000-0000E6420000}"/>
    <cellStyle name="Normal 73 7" xfId="11857" xr:uid="{00000000-0005-0000-0000-0000E7420000}"/>
    <cellStyle name="Normal 73 7 2" xfId="20544" xr:uid="{00000000-0005-0000-0000-0000E8420000}"/>
    <cellStyle name="Normal 73 8" xfId="13464" xr:uid="{00000000-0005-0000-0000-0000E9420000}"/>
    <cellStyle name="Normal 73 8 2" xfId="22144" xr:uid="{00000000-0005-0000-0000-0000EA420000}"/>
    <cellStyle name="Normal 73 9" xfId="15638" xr:uid="{00000000-0005-0000-0000-0000EB420000}"/>
    <cellStyle name="Normal 74" xfId="3588" xr:uid="{00000000-0005-0000-0000-0000EC420000}"/>
    <cellStyle name="Normal 74 2" xfId="3589" xr:uid="{00000000-0005-0000-0000-0000ED420000}"/>
    <cellStyle name="Normal 74 2 2" xfId="10252" xr:uid="{00000000-0005-0000-0000-0000EE420000}"/>
    <cellStyle name="Normal 74 2 2 2" xfId="19002" xr:uid="{00000000-0005-0000-0000-0000EF420000}"/>
    <cellStyle name="Normal 74 2 3" xfId="8650" xr:uid="{00000000-0005-0000-0000-0000F0420000}"/>
    <cellStyle name="Normal 74 2 3 2" xfId="17403" xr:uid="{00000000-0005-0000-0000-0000F1420000}"/>
    <cellStyle name="Normal 74 2 4" xfId="11862" xr:uid="{00000000-0005-0000-0000-0000F2420000}"/>
    <cellStyle name="Normal 74 2 4 2" xfId="20549" xr:uid="{00000000-0005-0000-0000-0000F3420000}"/>
    <cellStyle name="Normal 74 2 5" xfId="13469" xr:uid="{00000000-0005-0000-0000-0000F4420000}"/>
    <cellStyle name="Normal 74 2 5 2" xfId="22149" xr:uid="{00000000-0005-0000-0000-0000F5420000}"/>
    <cellStyle name="Normal 74 2 6" xfId="15643" xr:uid="{00000000-0005-0000-0000-0000F6420000}"/>
    <cellStyle name="Normal 74 3" xfId="3590" xr:uid="{00000000-0005-0000-0000-0000F7420000}"/>
    <cellStyle name="Normal 74 3 2" xfId="10253" xr:uid="{00000000-0005-0000-0000-0000F8420000}"/>
    <cellStyle name="Normal 74 3 2 2" xfId="19003" xr:uid="{00000000-0005-0000-0000-0000F9420000}"/>
    <cellStyle name="Normal 74 3 3" xfId="8651" xr:uid="{00000000-0005-0000-0000-0000FA420000}"/>
    <cellStyle name="Normal 74 3 3 2" xfId="17404" xr:uid="{00000000-0005-0000-0000-0000FB420000}"/>
    <cellStyle name="Normal 74 3 4" xfId="11863" xr:uid="{00000000-0005-0000-0000-0000FC420000}"/>
    <cellStyle name="Normal 74 3 4 2" xfId="20550" xr:uid="{00000000-0005-0000-0000-0000FD420000}"/>
    <cellStyle name="Normal 74 3 5" xfId="13470" xr:uid="{00000000-0005-0000-0000-0000FE420000}"/>
    <cellStyle name="Normal 74 3 5 2" xfId="22150" xr:uid="{00000000-0005-0000-0000-0000FF420000}"/>
    <cellStyle name="Normal 74 3 6" xfId="15644" xr:uid="{00000000-0005-0000-0000-000000430000}"/>
    <cellStyle name="Normal 74 4" xfId="3591" xr:uid="{00000000-0005-0000-0000-000001430000}"/>
    <cellStyle name="Normal 74 4 2" xfId="10254" xr:uid="{00000000-0005-0000-0000-000002430000}"/>
    <cellStyle name="Normal 74 4 2 2" xfId="19004" xr:uid="{00000000-0005-0000-0000-000003430000}"/>
    <cellStyle name="Normal 74 4 3" xfId="8652" xr:uid="{00000000-0005-0000-0000-000004430000}"/>
    <cellStyle name="Normal 74 4 3 2" xfId="17405" xr:uid="{00000000-0005-0000-0000-000005430000}"/>
    <cellStyle name="Normal 74 4 4" xfId="11864" xr:uid="{00000000-0005-0000-0000-000006430000}"/>
    <cellStyle name="Normal 74 4 4 2" xfId="20551" xr:uid="{00000000-0005-0000-0000-000007430000}"/>
    <cellStyle name="Normal 74 4 5" xfId="13471" xr:uid="{00000000-0005-0000-0000-000008430000}"/>
    <cellStyle name="Normal 74 4 5 2" xfId="22151" xr:uid="{00000000-0005-0000-0000-000009430000}"/>
    <cellStyle name="Normal 74 4 6" xfId="15645" xr:uid="{00000000-0005-0000-0000-00000A430000}"/>
    <cellStyle name="Normal 74 5" xfId="10251" xr:uid="{00000000-0005-0000-0000-00000B430000}"/>
    <cellStyle name="Normal 74 5 2" xfId="19001" xr:uid="{00000000-0005-0000-0000-00000C430000}"/>
    <cellStyle name="Normal 74 6" xfId="8649" xr:uid="{00000000-0005-0000-0000-00000D430000}"/>
    <cellStyle name="Normal 74 6 2" xfId="17402" xr:uid="{00000000-0005-0000-0000-00000E430000}"/>
    <cellStyle name="Normal 74 7" xfId="11861" xr:uid="{00000000-0005-0000-0000-00000F430000}"/>
    <cellStyle name="Normal 74 7 2" xfId="20548" xr:uid="{00000000-0005-0000-0000-000010430000}"/>
    <cellStyle name="Normal 74 8" xfId="13468" xr:uid="{00000000-0005-0000-0000-000011430000}"/>
    <cellStyle name="Normal 74 8 2" xfId="22148" xr:uid="{00000000-0005-0000-0000-000012430000}"/>
    <cellStyle name="Normal 74 9" xfId="15642" xr:uid="{00000000-0005-0000-0000-000013430000}"/>
    <cellStyle name="Normal 75" xfId="3592" xr:uid="{00000000-0005-0000-0000-000014430000}"/>
    <cellStyle name="Normal 75 2" xfId="3593" xr:uid="{00000000-0005-0000-0000-000015430000}"/>
    <cellStyle name="Normal 75 2 2" xfId="10256" xr:uid="{00000000-0005-0000-0000-000016430000}"/>
    <cellStyle name="Normal 75 2 2 2" xfId="19006" xr:uid="{00000000-0005-0000-0000-000017430000}"/>
    <cellStyle name="Normal 75 2 3" xfId="8654" xr:uid="{00000000-0005-0000-0000-000018430000}"/>
    <cellStyle name="Normal 75 2 3 2" xfId="17407" xr:uid="{00000000-0005-0000-0000-000019430000}"/>
    <cellStyle name="Normal 75 2 4" xfId="11866" xr:uid="{00000000-0005-0000-0000-00001A430000}"/>
    <cellStyle name="Normal 75 2 4 2" xfId="20553" xr:uid="{00000000-0005-0000-0000-00001B430000}"/>
    <cellStyle name="Normal 75 2 5" xfId="13473" xr:uid="{00000000-0005-0000-0000-00001C430000}"/>
    <cellStyle name="Normal 75 2 5 2" xfId="22153" xr:uid="{00000000-0005-0000-0000-00001D430000}"/>
    <cellStyle name="Normal 75 2 6" xfId="15647" xr:uid="{00000000-0005-0000-0000-00001E430000}"/>
    <cellStyle name="Normal 75 3" xfId="3594" xr:uid="{00000000-0005-0000-0000-00001F430000}"/>
    <cellStyle name="Normal 75 3 2" xfId="10257" xr:uid="{00000000-0005-0000-0000-000020430000}"/>
    <cellStyle name="Normal 75 3 2 2" xfId="19007" xr:uid="{00000000-0005-0000-0000-000021430000}"/>
    <cellStyle name="Normal 75 3 3" xfId="8655" xr:uid="{00000000-0005-0000-0000-000022430000}"/>
    <cellStyle name="Normal 75 3 3 2" xfId="17408" xr:uid="{00000000-0005-0000-0000-000023430000}"/>
    <cellStyle name="Normal 75 3 4" xfId="11867" xr:uid="{00000000-0005-0000-0000-000024430000}"/>
    <cellStyle name="Normal 75 3 4 2" xfId="20554" xr:uid="{00000000-0005-0000-0000-000025430000}"/>
    <cellStyle name="Normal 75 3 5" xfId="13474" xr:uid="{00000000-0005-0000-0000-000026430000}"/>
    <cellStyle name="Normal 75 3 5 2" xfId="22154" xr:uid="{00000000-0005-0000-0000-000027430000}"/>
    <cellStyle name="Normal 75 3 6" xfId="15648" xr:uid="{00000000-0005-0000-0000-000028430000}"/>
    <cellStyle name="Normal 75 4" xfId="3595" xr:uid="{00000000-0005-0000-0000-000029430000}"/>
    <cellStyle name="Normal 75 4 2" xfId="10258" xr:uid="{00000000-0005-0000-0000-00002A430000}"/>
    <cellStyle name="Normal 75 4 2 2" xfId="19008" xr:uid="{00000000-0005-0000-0000-00002B430000}"/>
    <cellStyle name="Normal 75 4 3" xfId="8656" xr:uid="{00000000-0005-0000-0000-00002C430000}"/>
    <cellStyle name="Normal 75 4 3 2" xfId="17409" xr:uid="{00000000-0005-0000-0000-00002D430000}"/>
    <cellStyle name="Normal 75 4 4" xfId="11868" xr:uid="{00000000-0005-0000-0000-00002E430000}"/>
    <cellStyle name="Normal 75 4 4 2" xfId="20555" xr:uid="{00000000-0005-0000-0000-00002F430000}"/>
    <cellStyle name="Normal 75 4 5" xfId="13475" xr:uid="{00000000-0005-0000-0000-000030430000}"/>
    <cellStyle name="Normal 75 4 5 2" xfId="22155" xr:uid="{00000000-0005-0000-0000-000031430000}"/>
    <cellStyle name="Normal 75 4 6" xfId="15649" xr:uid="{00000000-0005-0000-0000-000032430000}"/>
    <cellStyle name="Normal 75 5" xfId="10255" xr:uid="{00000000-0005-0000-0000-000033430000}"/>
    <cellStyle name="Normal 75 5 2" xfId="19005" xr:uid="{00000000-0005-0000-0000-000034430000}"/>
    <cellStyle name="Normal 75 6" xfId="8653" xr:uid="{00000000-0005-0000-0000-000035430000}"/>
    <cellStyle name="Normal 75 6 2" xfId="17406" xr:uid="{00000000-0005-0000-0000-000036430000}"/>
    <cellStyle name="Normal 75 7" xfId="11865" xr:uid="{00000000-0005-0000-0000-000037430000}"/>
    <cellStyle name="Normal 75 7 2" xfId="20552" xr:uid="{00000000-0005-0000-0000-000038430000}"/>
    <cellStyle name="Normal 75 8" xfId="13472" xr:uid="{00000000-0005-0000-0000-000039430000}"/>
    <cellStyle name="Normal 75 8 2" xfId="22152" xr:uid="{00000000-0005-0000-0000-00003A430000}"/>
    <cellStyle name="Normal 75 9" xfId="15646" xr:uid="{00000000-0005-0000-0000-00003B430000}"/>
    <cellStyle name="Normal 76" xfId="3596" xr:uid="{00000000-0005-0000-0000-00003C430000}"/>
    <cellStyle name="Normal 76 2" xfId="3597" xr:uid="{00000000-0005-0000-0000-00003D430000}"/>
    <cellStyle name="Normal 76 2 2" xfId="10260" xr:uid="{00000000-0005-0000-0000-00003E430000}"/>
    <cellStyle name="Normal 76 2 2 2" xfId="19010" xr:uid="{00000000-0005-0000-0000-00003F430000}"/>
    <cellStyle name="Normal 76 2 3" xfId="8658" xr:uid="{00000000-0005-0000-0000-000040430000}"/>
    <cellStyle name="Normal 76 2 3 2" xfId="17411" xr:uid="{00000000-0005-0000-0000-000041430000}"/>
    <cellStyle name="Normal 76 2 4" xfId="11870" xr:uid="{00000000-0005-0000-0000-000042430000}"/>
    <cellStyle name="Normal 76 2 4 2" xfId="20557" xr:uid="{00000000-0005-0000-0000-000043430000}"/>
    <cellStyle name="Normal 76 2 5" xfId="13477" xr:uid="{00000000-0005-0000-0000-000044430000}"/>
    <cellStyle name="Normal 76 2 5 2" xfId="22157" xr:uid="{00000000-0005-0000-0000-000045430000}"/>
    <cellStyle name="Normal 76 2 6" xfId="15651" xr:uid="{00000000-0005-0000-0000-000046430000}"/>
    <cellStyle name="Normal 76 3" xfId="3598" xr:uid="{00000000-0005-0000-0000-000047430000}"/>
    <cellStyle name="Normal 76 3 2" xfId="10261" xr:uid="{00000000-0005-0000-0000-000048430000}"/>
    <cellStyle name="Normal 76 3 2 2" xfId="19011" xr:uid="{00000000-0005-0000-0000-000049430000}"/>
    <cellStyle name="Normal 76 3 3" xfId="8659" xr:uid="{00000000-0005-0000-0000-00004A430000}"/>
    <cellStyle name="Normal 76 3 3 2" xfId="17412" xr:uid="{00000000-0005-0000-0000-00004B430000}"/>
    <cellStyle name="Normal 76 3 4" xfId="11871" xr:uid="{00000000-0005-0000-0000-00004C430000}"/>
    <cellStyle name="Normal 76 3 4 2" xfId="20558" xr:uid="{00000000-0005-0000-0000-00004D430000}"/>
    <cellStyle name="Normal 76 3 5" xfId="13478" xr:uid="{00000000-0005-0000-0000-00004E430000}"/>
    <cellStyle name="Normal 76 3 5 2" xfId="22158" xr:uid="{00000000-0005-0000-0000-00004F430000}"/>
    <cellStyle name="Normal 76 3 6" xfId="15652" xr:uid="{00000000-0005-0000-0000-000050430000}"/>
    <cellStyle name="Normal 76 4" xfId="3599" xr:uid="{00000000-0005-0000-0000-000051430000}"/>
    <cellStyle name="Normal 76 4 2" xfId="10262" xr:uid="{00000000-0005-0000-0000-000052430000}"/>
    <cellStyle name="Normal 76 4 2 2" xfId="19012" xr:uid="{00000000-0005-0000-0000-000053430000}"/>
    <cellStyle name="Normal 76 4 3" xfId="8660" xr:uid="{00000000-0005-0000-0000-000054430000}"/>
    <cellStyle name="Normal 76 4 3 2" xfId="17413" xr:uid="{00000000-0005-0000-0000-000055430000}"/>
    <cellStyle name="Normal 76 4 4" xfId="11872" xr:uid="{00000000-0005-0000-0000-000056430000}"/>
    <cellStyle name="Normal 76 4 4 2" xfId="20559" xr:uid="{00000000-0005-0000-0000-000057430000}"/>
    <cellStyle name="Normal 76 4 5" xfId="13479" xr:uid="{00000000-0005-0000-0000-000058430000}"/>
    <cellStyle name="Normal 76 4 5 2" xfId="22159" xr:uid="{00000000-0005-0000-0000-000059430000}"/>
    <cellStyle name="Normal 76 4 6" xfId="15653" xr:uid="{00000000-0005-0000-0000-00005A430000}"/>
    <cellStyle name="Normal 76 5" xfId="10259" xr:uid="{00000000-0005-0000-0000-00005B430000}"/>
    <cellStyle name="Normal 76 5 2" xfId="19009" xr:uid="{00000000-0005-0000-0000-00005C430000}"/>
    <cellStyle name="Normal 76 6" xfId="8657" xr:uid="{00000000-0005-0000-0000-00005D430000}"/>
    <cellStyle name="Normal 76 6 2" xfId="17410" xr:uid="{00000000-0005-0000-0000-00005E430000}"/>
    <cellStyle name="Normal 76 7" xfId="11869" xr:uid="{00000000-0005-0000-0000-00005F430000}"/>
    <cellStyle name="Normal 76 7 2" xfId="20556" xr:uid="{00000000-0005-0000-0000-000060430000}"/>
    <cellStyle name="Normal 76 8" xfId="13476" xr:uid="{00000000-0005-0000-0000-000061430000}"/>
    <cellStyle name="Normal 76 8 2" xfId="22156" xr:uid="{00000000-0005-0000-0000-000062430000}"/>
    <cellStyle name="Normal 76 9" xfId="15650" xr:uid="{00000000-0005-0000-0000-000063430000}"/>
    <cellStyle name="Normal 77" xfId="3600" xr:uid="{00000000-0005-0000-0000-000064430000}"/>
    <cellStyle name="Normal 77 2" xfId="3601" xr:uid="{00000000-0005-0000-0000-000065430000}"/>
    <cellStyle name="Normal 77 2 2" xfId="10264" xr:uid="{00000000-0005-0000-0000-000066430000}"/>
    <cellStyle name="Normal 77 2 2 2" xfId="19014" xr:uid="{00000000-0005-0000-0000-000067430000}"/>
    <cellStyle name="Normal 77 2 3" xfId="8662" xr:uid="{00000000-0005-0000-0000-000068430000}"/>
    <cellStyle name="Normal 77 2 3 2" xfId="17415" xr:uid="{00000000-0005-0000-0000-000069430000}"/>
    <cellStyle name="Normal 77 2 4" xfId="11874" xr:uid="{00000000-0005-0000-0000-00006A430000}"/>
    <cellStyle name="Normal 77 2 4 2" xfId="20561" xr:uid="{00000000-0005-0000-0000-00006B430000}"/>
    <cellStyle name="Normal 77 2 5" xfId="13481" xr:uid="{00000000-0005-0000-0000-00006C430000}"/>
    <cellStyle name="Normal 77 2 5 2" xfId="22161" xr:uid="{00000000-0005-0000-0000-00006D430000}"/>
    <cellStyle name="Normal 77 2 6" xfId="15655" xr:uid="{00000000-0005-0000-0000-00006E430000}"/>
    <cellStyle name="Normal 77 3" xfId="3602" xr:uid="{00000000-0005-0000-0000-00006F430000}"/>
    <cellStyle name="Normal 77 3 2" xfId="10265" xr:uid="{00000000-0005-0000-0000-000070430000}"/>
    <cellStyle name="Normal 77 3 2 2" xfId="19015" xr:uid="{00000000-0005-0000-0000-000071430000}"/>
    <cellStyle name="Normal 77 3 3" xfId="8663" xr:uid="{00000000-0005-0000-0000-000072430000}"/>
    <cellStyle name="Normal 77 3 3 2" xfId="17416" xr:uid="{00000000-0005-0000-0000-000073430000}"/>
    <cellStyle name="Normal 77 3 4" xfId="11875" xr:uid="{00000000-0005-0000-0000-000074430000}"/>
    <cellStyle name="Normal 77 3 4 2" xfId="20562" xr:uid="{00000000-0005-0000-0000-000075430000}"/>
    <cellStyle name="Normal 77 3 5" xfId="13482" xr:uid="{00000000-0005-0000-0000-000076430000}"/>
    <cellStyle name="Normal 77 3 5 2" xfId="22162" xr:uid="{00000000-0005-0000-0000-000077430000}"/>
    <cellStyle name="Normal 77 3 6" xfId="15656" xr:uid="{00000000-0005-0000-0000-000078430000}"/>
    <cellStyle name="Normal 77 4" xfId="3603" xr:uid="{00000000-0005-0000-0000-000079430000}"/>
    <cellStyle name="Normal 77 4 2" xfId="10266" xr:uid="{00000000-0005-0000-0000-00007A430000}"/>
    <cellStyle name="Normal 77 4 2 2" xfId="19016" xr:uid="{00000000-0005-0000-0000-00007B430000}"/>
    <cellStyle name="Normal 77 4 3" xfId="8664" xr:uid="{00000000-0005-0000-0000-00007C430000}"/>
    <cellStyle name="Normal 77 4 3 2" xfId="17417" xr:uid="{00000000-0005-0000-0000-00007D430000}"/>
    <cellStyle name="Normal 77 4 4" xfId="11876" xr:uid="{00000000-0005-0000-0000-00007E430000}"/>
    <cellStyle name="Normal 77 4 4 2" xfId="20563" xr:uid="{00000000-0005-0000-0000-00007F430000}"/>
    <cellStyle name="Normal 77 4 5" xfId="13483" xr:uid="{00000000-0005-0000-0000-000080430000}"/>
    <cellStyle name="Normal 77 4 5 2" xfId="22163" xr:uid="{00000000-0005-0000-0000-000081430000}"/>
    <cellStyle name="Normal 77 4 6" xfId="15657" xr:uid="{00000000-0005-0000-0000-000082430000}"/>
    <cellStyle name="Normal 77 5" xfId="10263" xr:uid="{00000000-0005-0000-0000-000083430000}"/>
    <cellStyle name="Normal 77 5 2" xfId="19013" xr:uid="{00000000-0005-0000-0000-000084430000}"/>
    <cellStyle name="Normal 77 6" xfId="8661" xr:uid="{00000000-0005-0000-0000-000085430000}"/>
    <cellStyle name="Normal 77 6 2" xfId="17414" xr:uid="{00000000-0005-0000-0000-000086430000}"/>
    <cellStyle name="Normal 77 7" xfId="11873" xr:uid="{00000000-0005-0000-0000-000087430000}"/>
    <cellStyle name="Normal 77 7 2" xfId="20560" xr:uid="{00000000-0005-0000-0000-000088430000}"/>
    <cellStyle name="Normal 77 8" xfId="13480" xr:uid="{00000000-0005-0000-0000-000089430000}"/>
    <cellStyle name="Normal 77 8 2" xfId="22160" xr:uid="{00000000-0005-0000-0000-00008A430000}"/>
    <cellStyle name="Normal 77 9" xfId="15654" xr:uid="{00000000-0005-0000-0000-00008B430000}"/>
    <cellStyle name="Normal 78" xfId="3604" xr:uid="{00000000-0005-0000-0000-00008C430000}"/>
    <cellStyle name="Normal 78 2" xfId="3605" xr:uid="{00000000-0005-0000-0000-00008D430000}"/>
    <cellStyle name="Normal 78 2 2" xfId="10268" xr:uid="{00000000-0005-0000-0000-00008E430000}"/>
    <cellStyle name="Normal 78 2 2 2" xfId="19018" xr:uid="{00000000-0005-0000-0000-00008F430000}"/>
    <cellStyle name="Normal 78 2 3" xfId="8666" xr:uid="{00000000-0005-0000-0000-000090430000}"/>
    <cellStyle name="Normal 78 2 3 2" xfId="17419" xr:uid="{00000000-0005-0000-0000-000091430000}"/>
    <cellStyle name="Normal 78 2 4" xfId="11878" xr:uid="{00000000-0005-0000-0000-000092430000}"/>
    <cellStyle name="Normal 78 2 4 2" xfId="20565" xr:uid="{00000000-0005-0000-0000-000093430000}"/>
    <cellStyle name="Normal 78 2 5" xfId="13485" xr:uid="{00000000-0005-0000-0000-000094430000}"/>
    <cellStyle name="Normal 78 2 5 2" xfId="22165" xr:uid="{00000000-0005-0000-0000-000095430000}"/>
    <cellStyle name="Normal 78 2 6" xfId="15659" xr:uid="{00000000-0005-0000-0000-000096430000}"/>
    <cellStyle name="Normal 78 3" xfId="3606" xr:uid="{00000000-0005-0000-0000-000097430000}"/>
    <cellStyle name="Normal 78 3 2" xfId="10269" xr:uid="{00000000-0005-0000-0000-000098430000}"/>
    <cellStyle name="Normal 78 3 2 2" xfId="19019" xr:uid="{00000000-0005-0000-0000-000099430000}"/>
    <cellStyle name="Normal 78 3 3" xfId="8667" xr:uid="{00000000-0005-0000-0000-00009A430000}"/>
    <cellStyle name="Normal 78 3 3 2" xfId="17420" xr:uid="{00000000-0005-0000-0000-00009B430000}"/>
    <cellStyle name="Normal 78 3 4" xfId="11879" xr:uid="{00000000-0005-0000-0000-00009C430000}"/>
    <cellStyle name="Normal 78 3 4 2" xfId="20566" xr:uid="{00000000-0005-0000-0000-00009D430000}"/>
    <cellStyle name="Normal 78 3 5" xfId="13486" xr:uid="{00000000-0005-0000-0000-00009E430000}"/>
    <cellStyle name="Normal 78 3 5 2" xfId="22166" xr:uid="{00000000-0005-0000-0000-00009F430000}"/>
    <cellStyle name="Normal 78 3 6" xfId="15660" xr:uid="{00000000-0005-0000-0000-0000A0430000}"/>
    <cellStyle name="Normal 78 4" xfId="3607" xr:uid="{00000000-0005-0000-0000-0000A1430000}"/>
    <cellStyle name="Normal 78 4 2" xfId="10270" xr:uid="{00000000-0005-0000-0000-0000A2430000}"/>
    <cellStyle name="Normal 78 4 2 2" xfId="19020" xr:uid="{00000000-0005-0000-0000-0000A3430000}"/>
    <cellStyle name="Normal 78 4 3" xfId="8668" xr:uid="{00000000-0005-0000-0000-0000A4430000}"/>
    <cellStyle name="Normal 78 4 3 2" xfId="17421" xr:uid="{00000000-0005-0000-0000-0000A5430000}"/>
    <cellStyle name="Normal 78 4 4" xfId="11880" xr:uid="{00000000-0005-0000-0000-0000A6430000}"/>
    <cellStyle name="Normal 78 4 4 2" xfId="20567" xr:uid="{00000000-0005-0000-0000-0000A7430000}"/>
    <cellStyle name="Normal 78 4 5" xfId="13487" xr:uid="{00000000-0005-0000-0000-0000A8430000}"/>
    <cellStyle name="Normal 78 4 5 2" xfId="22167" xr:uid="{00000000-0005-0000-0000-0000A9430000}"/>
    <cellStyle name="Normal 78 4 6" xfId="15661" xr:uid="{00000000-0005-0000-0000-0000AA430000}"/>
    <cellStyle name="Normal 78 5" xfId="10267" xr:uid="{00000000-0005-0000-0000-0000AB430000}"/>
    <cellStyle name="Normal 78 5 2" xfId="19017" xr:uid="{00000000-0005-0000-0000-0000AC430000}"/>
    <cellStyle name="Normal 78 6" xfId="8665" xr:uid="{00000000-0005-0000-0000-0000AD430000}"/>
    <cellStyle name="Normal 78 6 2" xfId="17418" xr:uid="{00000000-0005-0000-0000-0000AE430000}"/>
    <cellStyle name="Normal 78 7" xfId="11877" xr:uid="{00000000-0005-0000-0000-0000AF430000}"/>
    <cellStyle name="Normal 78 7 2" xfId="20564" xr:uid="{00000000-0005-0000-0000-0000B0430000}"/>
    <cellStyle name="Normal 78 8" xfId="13484" xr:uid="{00000000-0005-0000-0000-0000B1430000}"/>
    <cellStyle name="Normal 78 8 2" xfId="22164" xr:uid="{00000000-0005-0000-0000-0000B2430000}"/>
    <cellStyle name="Normal 78 9" xfId="15658" xr:uid="{00000000-0005-0000-0000-0000B3430000}"/>
    <cellStyle name="Normal 79" xfId="3608" xr:uid="{00000000-0005-0000-0000-0000B4430000}"/>
    <cellStyle name="Normal 79 2" xfId="3609" xr:uid="{00000000-0005-0000-0000-0000B5430000}"/>
    <cellStyle name="Normal 79 2 2" xfId="10272" xr:uid="{00000000-0005-0000-0000-0000B6430000}"/>
    <cellStyle name="Normal 79 2 2 2" xfId="19022" xr:uid="{00000000-0005-0000-0000-0000B7430000}"/>
    <cellStyle name="Normal 79 2 3" xfId="8670" xr:uid="{00000000-0005-0000-0000-0000B8430000}"/>
    <cellStyle name="Normal 79 2 3 2" xfId="17423" xr:uid="{00000000-0005-0000-0000-0000B9430000}"/>
    <cellStyle name="Normal 79 2 4" xfId="11882" xr:uid="{00000000-0005-0000-0000-0000BA430000}"/>
    <cellStyle name="Normal 79 2 4 2" xfId="20569" xr:uid="{00000000-0005-0000-0000-0000BB430000}"/>
    <cellStyle name="Normal 79 2 5" xfId="13489" xr:uid="{00000000-0005-0000-0000-0000BC430000}"/>
    <cellStyle name="Normal 79 2 5 2" xfId="22169" xr:uid="{00000000-0005-0000-0000-0000BD430000}"/>
    <cellStyle name="Normal 79 2 6" xfId="15663" xr:uid="{00000000-0005-0000-0000-0000BE430000}"/>
    <cellStyle name="Normal 79 3" xfId="3610" xr:uid="{00000000-0005-0000-0000-0000BF430000}"/>
    <cellStyle name="Normal 79 3 2" xfId="10273" xr:uid="{00000000-0005-0000-0000-0000C0430000}"/>
    <cellStyle name="Normal 79 3 2 2" xfId="19023" xr:uid="{00000000-0005-0000-0000-0000C1430000}"/>
    <cellStyle name="Normal 79 3 3" xfId="8671" xr:uid="{00000000-0005-0000-0000-0000C2430000}"/>
    <cellStyle name="Normal 79 3 3 2" xfId="17424" xr:uid="{00000000-0005-0000-0000-0000C3430000}"/>
    <cellStyle name="Normal 79 3 4" xfId="11883" xr:uid="{00000000-0005-0000-0000-0000C4430000}"/>
    <cellStyle name="Normal 79 3 4 2" xfId="20570" xr:uid="{00000000-0005-0000-0000-0000C5430000}"/>
    <cellStyle name="Normal 79 3 5" xfId="13490" xr:uid="{00000000-0005-0000-0000-0000C6430000}"/>
    <cellStyle name="Normal 79 3 5 2" xfId="22170" xr:uid="{00000000-0005-0000-0000-0000C7430000}"/>
    <cellStyle name="Normal 79 3 6" xfId="15664" xr:uid="{00000000-0005-0000-0000-0000C8430000}"/>
    <cellStyle name="Normal 79 4" xfId="3611" xr:uid="{00000000-0005-0000-0000-0000C9430000}"/>
    <cellStyle name="Normal 79 4 2" xfId="10274" xr:uid="{00000000-0005-0000-0000-0000CA430000}"/>
    <cellStyle name="Normal 79 4 2 2" xfId="19024" xr:uid="{00000000-0005-0000-0000-0000CB430000}"/>
    <cellStyle name="Normal 79 4 3" xfId="8672" xr:uid="{00000000-0005-0000-0000-0000CC430000}"/>
    <cellStyle name="Normal 79 4 3 2" xfId="17425" xr:uid="{00000000-0005-0000-0000-0000CD430000}"/>
    <cellStyle name="Normal 79 4 4" xfId="11884" xr:uid="{00000000-0005-0000-0000-0000CE430000}"/>
    <cellStyle name="Normal 79 4 4 2" xfId="20571" xr:uid="{00000000-0005-0000-0000-0000CF430000}"/>
    <cellStyle name="Normal 79 4 5" xfId="13491" xr:uid="{00000000-0005-0000-0000-0000D0430000}"/>
    <cellStyle name="Normal 79 4 5 2" xfId="22171" xr:uid="{00000000-0005-0000-0000-0000D1430000}"/>
    <cellStyle name="Normal 79 4 6" xfId="15665" xr:uid="{00000000-0005-0000-0000-0000D2430000}"/>
    <cellStyle name="Normal 79 5" xfId="10271" xr:uid="{00000000-0005-0000-0000-0000D3430000}"/>
    <cellStyle name="Normal 79 5 2" xfId="19021" xr:uid="{00000000-0005-0000-0000-0000D4430000}"/>
    <cellStyle name="Normal 79 6" xfId="8669" xr:uid="{00000000-0005-0000-0000-0000D5430000}"/>
    <cellStyle name="Normal 79 6 2" xfId="17422" xr:uid="{00000000-0005-0000-0000-0000D6430000}"/>
    <cellStyle name="Normal 79 7" xfId="11881" xr:uid="{00000000-0005-0000-0000-0000D7430000}"/>
    <cellStyle name="Normal 79 7 2" xfId="20568" xr:uid="{00000000-0005-0000-0000-0000D8430000}"/>
    <cellStyle name="Normal 79 8" xfId="13488" xr:uid="{00000000-0005-0000-0000-0000D9430000}"/>
    <cellStyle name="Normal 79 8 2" xfId="22168" xr:uid="{00000000-0005-0000-0000-0000DA430000}"/>
    <cellStyle name="Normal 79 9" xfId="15662" xr:uid="{00000000-0005-0000-0000-0000DB430000}"/>
    <cellStyle name="Normal 8" xfId="143" xr:uid="{00000000-0005-0000-0000-0000DC430000}"/>
    <cellStyle name="Normal 8 10" xfId="3613" xr:uid="{00000000-0005-0000-0000-0000DD430000}"/>
    <cellStyle name="Normal 8 11" xfId="3614" xr:uid="{00000000-0005-0000-0000-0000DE430000}"/>
    <cellStyle name="Normal 8 12" xfId="3615" xr:uid="{00000000-0005-0000-0000-0000DF430000}"/>
    <cellStyle name="Normal 8 13" xfId="3616" xr:uid="{00000000-0005-0000-0000-0000E0430000}"/>
    <cellStyle name="Normal 8 14" xfId="3617" xr:uid="{00000000-0005-0000-0000-0000E1430000}"/>
    <cellStyle name="Normal 8 15" xfId="3618" xr:uid="{00000000-0005-0000-0000-0000E2430000}"/>
    <cellStyle name="Normal 8 16" xfId="3619" xr:uid="{00000000-0005-0000-0000-0000E3430000}"/>
    <cellStyle name="Normal 8 17" xfId="3620" xr:uid="{00000000-0005-0000-0000-0000E4430000}"/>
    <cellStyle name="Normal 8 18" xfId="3621" xr:uid="{00000000-0005-0000-0000-0000E5430000}"/>
    <cellStyle name="Normal 8 19" xfId="3622" xr:uid="{00000000-0005-0000-0000-0000E6430000}"/>
    <cellStyle name="Normal 8 2" xfId="3623" xr:uid="{00000000-0005-0000-0000-0000E7430000}"/>
    <cellStyle name="Normal 8 2 10" xfId="13493" xr:uid="{00000000-0005-0000-0000-0000E8430000}"/>
    <cellStyle name="Normal 8 2 10 2" xfId="22173" xr:uid="{00000000-0005-0000-0000-0000E9430000}"/>
    <cellStyle name="Normal 8 2 11" xfId="15667" xr:uid="{00000000-0005-0000-0000-0000EA430000}"/>
    <cellStyle name="Normal 8 2 2" xfId="3624" xr:uid="{00000000-0005-0000-0000-0000EB430000}"/>
    <cellStyle name="Normal 8 2 2 10" xfId="8675" xr:uid="{00000000-0005-0000-0000-0000EC430000}"/>
    <cellStyle name="Normal 8 2 2 10 2" xfId="17428" xr:uid="{00000000-0005-0000-0000-0000ED430000}"/>
    <cellStyle name="Normal 8 2 2 11" xfId="11887" xr:uid="{00000000-0005-0000-0000-0000EE430000}"/>
    <cellStyle name="Normal 8 2 2 11 2" xfId="20574" xr:uid="{00000000-0005-0000-0000-0000EF430000}"/>
    <cellStyle name="Normal 8 2 2 12" xfId="13494" xr:uid="{00000000-0005-0000-0000-0000F0430000}"/>
    <cellStyle name="Normal 8 2 2 12 2" xfId="22174" xr:uid="{00000000-0005-0000-0000-0000F1430000}"/>
    <cellStyle name="Normal 8 2 2 13" xfId="15668" xr:uid="{00000000-0005-0000-0000-0000F2430000}"/>
    <cellStyle name="Normal 8 2 2 2" xfId="3625" xr:uid="{00000000-0005-0000-0000-0000F3430000}"/>
    <cellStyle name="Normal 8 2 2 2 2" xfId="3626" xr:uid="{00000000-0005-0000-0000-0000F4430000}"/>
    <cellStyle name="Normal 8 2 2 2 2 2" xfId="3627" xr:uid="{00000000-0005-0000-0000-0000F5430000}"/>
    <cellStyle name="Normal 8 2 2 2 2 3" xfId="3628" xr:uid="{00000000-0005-0000-0000-0000F6430000}"/>
    <cellStyle name="Normal 8 2 2 2 2 4" xfId="3629" xr:uid="{00000000-0005-0000-0000-0000F7430000}"/>
    <cellStyle name="Normal 8 2 2 2 3" xfId="3630" xr:uid="{00000000-0005-0000-0000-0000F8430000}"/>
    <cellStyle name="Normal 8 2 2 2 4" xfId="3631" xr:uid="{00000000-0005-0000-0000-0000F9430000}"/>
    <cellStyle name="Normal 8 2 2 3" xfId="3632" xr:uid="{00000000-0005-0000-0000-0000FA430000}"/>
    <cellStyle name="Normal 8 2 2 4" xfId="3633" xr:uid="{00000000-0005-0000-0000-0000FB430000}"/>
    <cellStyle name="Normal 8 2 2 5" xfId="3634" xr:uid="{00000000-0005-0000-0000-0000FC430000}"/>
    <cellStyle name="Normal 8 2 2 6" xfId="3635" xr:uid="{00000000-0005-0000-0000-0000FD430000}"/>
    <cellStyle name="Normal 8 2 2 7" xfId="3636" xr:uid="{00000000-0005-0000-0000-0000FE430000}"/>
    <cellStyle name="Normal 8 2 2 8" xfId="3637" xr:uid="{00000000-0005-0000-0000-0000FF430000}"/>
    <cellStyle name="Normal 8 2 2 9" xfId="10277" xr:uid="{00000000-0005-0000-0000-000000440000}"/>
    <cellStyle name="Normal 8 2 2 9 2" xfId="19027" xr:uid="{00000000-0005-0000-0000-000001440000}"/>
    <cellStyle name="Normal 8 2 3" xfId="3638" xr:uid="{00000000-0005-0000-0000-000002440000}"/>
    <cellStyle name="Normal 8 2 4" xfId="3639" xr:uid="{00000000-0005-0000-0000-000003440000}"/>
    <cellStyle name="Normal 8 2 5" xfId="3640" xr:uid="{00000000-0005-0000-0000-000004440000}"/>
    <cellStyle name="Normal 8 2 6" xfId="3641" xr:uid="{00000000-0005-0000-0000-000005440000}"/>
    <cellStyle name="Normal 8 2 7" xfId="10276" xr:uid="{00000000-0005-0000-0000-000006440000}"/>
    <cellStyle name="Normal 8 2 7 2" xfId="19026" xr:uid="{00000000-0005-0000-0000-000007440000}"/>
    <cellStyle name="Normal 8 2 8" xfId="8674" xr:uid="{00000000-0005-0000-0000-000008440000}"/>
    <cellStyle name="Normal 8 2 8 2" xfId="17427" xr:uid="{00000000-0005-0000-0000-000009440000}"/>
    <cellStyle name="Normal 8 2 9" xfId="11886" xr:uid="{00000000-0005-0000-0000-00000A440000}"/>
    <cellStyle name="Normal 8 2 9 2" xfId="20573" xr:uid="{00000000-0005-0000-0000-00000B440000}"/>
    <cellStyle name="Normal 8 20" xfId="3642" xr:uid="{00000000-0005-0000-0000-00000C440000}"/>
    <cellStyle name="Normal 8 21" xfId="3643" xr:uid="{00000000-0005-0000-0000-00000D440000}"/>
    <cellStyle name="Normal 8 22" xfId="3644" xr:uid="{00000000-0005-0000-0000-00000E440000}"/>
    <cellStyle name="Normal 8 23" xfId="3645" xr:uid="{00000000-0005-0000-0000-00000F440000}"/>
    <cellStyle name="Normal 8 24" xfId="3646" xr:uid="{00000000-0005-0000-0000-000010440000}"/>
    <cellStyle name="Normal 8 25" xfId="3647" xr:uid="{00000000-0005-0000-0000-000011440000}"/>
    <cellStyle name="Normal 8 26" xfId="3648" xr:uid="{00000000-0005-0000-0000-000012440000}"/>
    <cellStyle name="Normal 8 27" xfId="3649" xr:uid="{00000000-0005-0000-0000-000013440000}"/>
    <cellStyle name="Normal 8 28" xfId="3650" xr:uid="{00000000-0005-0000-0000-000014440000}"/>
    <cellStyle name="Normal 8 29" xfId="3651" xr:uid="{00000000-0005-0000-0000-000015440000}"/>
    <cellStyle name="Normal 8 3" xfId="3652" xr:uid="{00000000-0005-0000-0000-000016440000}"/>
    <cellStyle name="Normal 8 3 2" xfId="3653" xr:uid="{00000000-0005-0000-0000-000017440000}"/>
    <cellStyle name="Normal 8 3 3" xfId="3654" xr:uid="{00000000-0005-0000-0000-000018440000}"/>
    <cellStyle name="Normal 8 30" xfId="3655" xr:uid="{00000000-0005-0000-0000-000019440000}"/>
    <cellStyle name="Normal 8 31" xfId="3656" xr:uid="{00000000-0005-0000-0000-00001A440000}"/>
    <cellStyle name="Normal 8 32" xfId="3657" xr:uid="{00000000-0005-0000-0000-00001B440000}"/>
    <cellStyle name="Normal 8 33" xfId="3658" xr:uid="{00000000-0005-0000-0000-00001C440000}"/>
    <cellStyle name="Normal 8 34" xfId="3659" xr:uid="{00000000-0005-0000-0000-00001D440000}"/>
    <cellStyle name="Normal 8 35" xfId="3660" xr:uid="{00000000-0005-0000-0000-00001E440000}"/>
    <cellStyle name="Normal 8 36" xfId="3661" xr:uid="{00000000-0005-0000-0000-00001F440000}"/>
    <cellStyle name="Normal 8 37" xfId="3662" xr:uid="{00000000-0005-0000-0000-000020440000}"/>
    <cellStyle name="Normal 8 38" xfId="3663" xr:uid="{00000000-0005-0000-0000-000021440000}"/>
    <cellStyle name="Normal 8 39" xfId="3664" xr:uid="{00000000-0005-0000-0000-000022440000}"/>
    <cellStyle name="Normal 8 4" xfId="3665" xr:uid="{00000000-0005-0000-0000-000023440000}"/>
    <cellStyle name="Normal 8 4 2" xfId="3666" xr:uid="{00000000-0005-0000-0000-000024440000}"/>
    <cellStyle name="Normal 8 40" xfId="3667" xr:uid="{00000000-0005-0000-0000-000025440000}"/>
    <cellStyle name="Normal 8 41" xfId="3668" xr:uid="{00000000-0005-0000-0000-000026440000}"/>
    <cellStyle name="Normal 8 42" xfId="3612" xr:uid="{00000000-0005-0000-0000-000027440000}"/>
    <cellStyle name="Normal 8 42 2" xfId="10275" xr:uid="{00000000-0005-0000-0000-000028440000}"/>
    <cellStyle name="Normal 8 42 2 2" xfId="19025" xr:uid="{00000000-0005-0000-0000-000029440000}"/>
    <cellStyle name="Normal 8 42 3" xfId="11885" xr:uid="{00000000-0005-0000-0000-00002A440000}"/>
    <cellStyle name="Normal 8 42 3 2" xfId="20572" xr:uid="{00000000-0005-0000-0000-00002B440000}"/>
    <cellStyle name="Normal 8 42 4" xfId="15666" xr:uid="{00000000-0005-0000-0000-00002C440000}"/>
    <cellStyle name="Normal 8 43" xfId="10468" xr:uid="{00000000-0005-0000-0000-00002D440000}"/>
    <cellStyle name="Normal 8 43 2" xfId="19211" xr:uid="{00000000-0005-0000-0000-00002E440000}"/>
    <cellStyle name="Normal 8 44" xfId="8673" xr:uid="{00000000-0005-0000-0000-00002F440000}"/>
    <cellStyle name="Normal 8 44 2" xfId="17426" xr:uid="{00000000-0005-0000-0000-000030440000}"/>
    <cellStyle name="Normal 8 45" xfId="10626" xr:uid="{00000000-0005-0000-0000-000031440000}"/>
    <cellStyle name="Normal 8 45 2" xfId="19329" xr:uid="{00000000-0005-0000-0000-000032440000}"/>
    <cellStyle name="Normal 8 46" xfId="13492" xr:uid="{00000000-0005-0000-0000-000033440000}"/>
    <cellStyle name="Normal 8 46 2" xfId="22172" xr:uid="{00000000-0005-0000-0000-000034440000}"/>
    <cellStyle name="Normal 8 47" xfId="14515" xr:uid="{00000000-0005-0000-0000-000035440000}"/>
    <cellStyle name="Normal 8 5" xfId="3669" xr:uid="{00000000-0005-0000-0000-000036440000}"/>
    <cellStyle name="Normal 8 6" xfId="3670" xr:uid="{00000000-0005-0000-0000-000037440000}"/>
    <cellStyle name="Normal 8 7" xfId="3671" xr:uid="{00000000-0005-0000-0000-000038440000}"/>
    <cellStyle name="Normal 8 8" xfId="3672" xr:uid="{00000000-0005-0000-0000-000039440000}"/>
    <cellStyle name="Normal 8 9" xfId="3673" xr:uid="{00000000-0005-0000-0000-00003A440000}"/>
    <cellStyle name="Normal 80" xfId="3674" xr:uid="{00000000-0005-0000-0000-00003B440000}"/>
    <cellStyle name="Normal 80 2" xfId="3675" xr:uid="{00000000-0005-0000-0000-00003C440000}"/>
    <cellStyle name="Normal 80 2 2" xfId="10279" xr:uid="{00000000-0005-0000-0000-00003D440000}"/>
    <cellStyle name="Normal 80 2 2 2" xfId="19029" xr:uid="{00000000-0005-0000-0000-00003E440000}"/>
    <cellStyle name="Normal 80 2 3" xfId="8677" xr:uid="{00000000-0005-0000-0000-00003F440000}"/>
    <cellStyle name="Normal 80 2 3 2" xfId="17430" xr:uid="{00000000-0005-0000-0000-000040440000}"/>
    <cellStyle name="Normal 80 2 4" xfId="11889" xr:uid="{00000000-0005-0000-0000-000041440000}"/>
    <cellStyle name="Normal 80 2 4 2" xfId="20576" xr:uid="{00000000-0005-0000-0000-000042440000}"/>
    <cellStyle name="Normal 80 2 5" xfId="13496" xr:uid="{00000000-0005-0000-0000-000043440000}"/>
    <cellStyle name="Normal 80 2 5 2" xfId="22176" xr:uid="{00000000-0005-0000-0000-000044440000}"/>
    <cellStyle name="Normal 80 2 6" xfId="15670" xr:uid="{00000000-0005-0000-0000-000045440000}"/>
    <cellStyle name="Normal 80 3" xfId="3676" xr:uid="{00000000-0005-0000-0000-000046440000}"/>
    <cellStyle name="Normal 80 3 2" xfId="10280" xr:uid="{00000000-0005-0000-0000-000047440000}"/>
    <cellStyle name="Normal 80 3 2 2" xfId="19030" xr:uid="{00000000-0005-0000-0000-000048440000}"/>
    <cellStyle name="Normal 80 3 3" xfId="8678" xr:uid="{00000000-0005-0000-0000-000049440000}"/>
    <cellStyle name="Normal 80 3 3 2" xfId="17431" xr:uid="{00000000-0005-0000-0000-00004A440000}"/>
    <cellStyle name="Normal 80 3 4" xfId="11890" xr:uid="{00000000-0005-0000-0000-00004B440000}"/>
    <cellStyle name="Normal 80 3 4 2" xfId="20577" xr:uid="{00000000-0005-0000-0000-00004C440000}"/>
    <cellStyle name="Normal 80 3 5" xfId="13497" xr:uid="{00000000-0005-0000-0000-00004D440000}"/>
    <cellStyle name="Normal 80 3 5 2" xfId="22177" xr:uid="{00000000-0005-0000-0000-00004E440000}"/>
    <cellStyle name="Normal 80 3 6" xfId="15671" xr:uid="{00000000-0005-0000-0000-00004F440000}"/>
    <cellStyle name="Normal 80 4" xfId="3677" xr:uid="{00000000-0005-0000-0000-000050440000}"/>
    <cellStyle name="Normal 80 4 2" xfId="10281" xr:uid="{00000000-0005-0000-0000-000051440000}"/>
    <cellStyle name="Normal 80 4 2 2" xfId="19031" xr:uid="{00000000-0005-0000-0000-000052440000}"/>
    <cellStyle name="Normal 80 4 3" xfId="8679" xr:uid="{00000000-0005-0000-0000-000053440000}"/>
    <cellStyle name="Normal 80 4 3 2" xfId="17432" xr:uid="{00000000-0005-0000-0000-000054440000}"/>
    <cellStyle name="Normal 80 4 4" xfId="11891" xr:uid="{00000000-0005-0000-0000-000055440000}"/>
    <cellStyle name="Normal 80 4 4 2" xfId="20578" xr:uid="{00000000-0005-0000-0000-000056440000}"/>
    <cellStyle name="Normal 80 4 5" xfId="13498" xr:uid="{00000000-0005-0000-0000-000057440000}"/>
    <cellStyle name="Normal 80 4 5 2" xfId="22178" xr:uid="{00000000-0005-0000-0000-000058440000}"/>
    <cellStyle name="Normal 80 4 6" xfId="15672" xr:uid="{00000000-0005-0000-0000-000059440000}"/>
    <cellStyle name="Normal 80 5" xfId="10278" xr:uid="{00000000-0005-0000-0000-00005A440000}"/>
    <cellStyle name="Normal 80 5 2" xfId="19028" xr:uid="{00000000-0005-0000-0000-00005B440000}"/>
    <cellStyle name="Normal 80 6" xfId="8676" xr:uid="{00000000-0005-0000-0000-00005C440000}"/>
    <cellStyle name="Normal 80 6 2" xfId="17429" xr:uid="{00000000-0005-0000-0000-00005D440000}"/>
    <cellStyle name="Normal 80 7" xfId="11888" xr:uid="{00000000-0005-0000-0000-00005E440000}"/>
    <cellStyle name="Normal 80 7 2" xfId="20575" xr:uid="{00000000-0005-0000-0000-00005F440000}"/>
    <cellStyle name="Normal 80 8" xfId="13495" xr:uid="{00000000-0005-0000-0000-000060440000}"/>
    <cellStyle name="Normal 80 8 2" xfId="22175" xr:uid="{00000000-0005-0000-0000-000061440000}"/>
    <cellStyle name="Normal 80 9" xfId="15669" xr:uid="{00000000-0005-0000-0000-000062440000}"/>
    <cellStyle name="Normal 81" xfId="3678" xr:uid="{00000000-0005-0000-0000-000063440000}"/>
    <cellStyle name="Normal 81 2" xfId="3679" xr:uid="{00000000-0005-0000-0000-000064440000}"/>
    <cellStyle name="Normal 81 2 2" xfId="10283" xr:uid="{00000000-0005-0000-0000-000065440000}"/>
    <cellStyle name="Normal 81 2 2 2" xfId="19033" xr:uid="{00000000-0005-0000-0000-000066440000}"/>
    <cellStyle name="Normal 81 2 3" xfId="8681" xr:uid="{00000000-0005-0000-0000-000067440000}"/>
    <cellStyle name="Normal 81 2 3 2" xfId="17434" xr:uid="{00000000-0005-0000-0000-000068440000}"/>
    <cellStyle name="Normal 81 2 4" xfId="11893" xr:uid="{00000000-0005-0000-0000-000069440000}"/>
    <cellStyle name="Normal 81 2 4 2" xfId="20580" xr:uid="{00000000-0005-0000-0000-00006A440000}"/>
    <cellStyle name="Normal 81 2 5" xfId="13500" xr:uid="{00000000-0005-0000-0000-00006B440000}"/>
    <cellStyle name="Normal 81 2 5 2" xfId="22180" xr:uid="{00000000-0005-0000-0000-00006C440000}"/>
    <cellStyle name="Normal 81 2 6" xfId="15674" xr:uid="{00000000-0005-0000-0000-00006D440000}"/>
    <cellStyle name="Normal 81 3" xfId="3680" xr:uid="{00000000-0005-0000-0000-00006E440000}"/>
    <cellStyle name="Normal 81 3 2" xfId="10284" xr:uid="{00000000-0005-0000-0000-00006F440000}"/>
    <cellStyle name="Normal 81 3 2 2" xfId="19034" xr:uid="{00000000-0005-0000-0000-000070440000}"/>
    <cellStyle name="Normal 81 3 3" xfId="8682" xr:uid="{00000000-0005-0000-0000-000071440000}"/>
    <cellStyle name="Normal 81 3 3 2" xfId="17435" xr:uid="{00000000-0005-0000-0000-000072440000}"/>
    <cellStyle name="Normal 81 3 4" xfId="11894" xr:uid="{00000000-0005-0000-0000-000073440000}"/>
    <cellStyle name="Normal 81 3 4 2" xfId="20581" xr:uid="{00000000-0005-0000-0000-000074440000}"/>
    <cellStyle name="Normal 81 3 5" xfId="13501" xr:uid="{00000000-0005-0000-0000-000075440000}"/>
    <cellStyle name="Normal 81 3 5 2" xfId="22181" xr:uid="{00000000-0005-0000-0000-000076440000}"/>
    <cellStyle name="Normal 81 3 6" xfId="15675" xr:uid="{00000000-0005-0000-0000-000077440000}"/>
    <cellStyle name="Normal 81 4" xfId="3681" xr:uid="{00000000-0005-0000-0000-000078440000}"/>
    <cellStyle name="Normal 81 4 2" xfId="10285" xr:uid="{00000000-0005-0000-0000-000079440000}"/>
    <cellStyle name="Normal 81 4 2 2" xfId="19035" xr:uid="{00000000-0005-0000-0000-00007A440000}"/>
    <cellStyle name="Normal 81 4 3" xfId="8683" xr:uid="{00000000-0005-0000-0000-00007B440000}"/>
    <cellStyle name="Normal 81 4 3 2" xfId="17436" xr:uid="{00000000-0005-0000-0000-00007C440000}"/>
    <cellStyle name="Normal 81 4 4" xfId="11895" xr:uid="{00000000-0005-0000-0000-00007D440000}"/>
    <cellStyle name="Normal 81 4 4 2" xfId="20582" xr:uid="{00000000-0005-0000-0000-00007E440000}"/>
    <cellStyle name="Normal 81 4 5" xfId="13502" xr:uid="{00000000-0005-0000-0000-00007F440000}"/>
    <cellStyle name="Normal 81 4 5 2" xfId="22182" xr:uid="{00000000-0005-0000-0000-000080440000}"/>
    <cellStyle name="Normal 81 4 6" xfId="15676" xr:uid="{00000000-0005-0000-0000-000081440000}"/>
    <cellStyle name="Normal 81 5" xfId="10282" xr:uid="{00000000-0005-0000-0000-000082440000}"/>
    <cellStyle name="Normal 81 5 2" xfId="19032" xr:uid="{00000000-0005-0000-0000-000083440000}"/>
    <cellStyle name="Normal 81 6" xfId="8680" xr:uid="{00000000-0005-0000-0000-000084440000}"/>
    <cellStyle name="Normal 81 6 2" xfId="17433" xr:uid="{00000000-0005-0000-0000-000085440000}"/>
    <cellStyle name="Normal 81 7" xfId="11892" xr:uid="{00000000-0005-0000-0000-000086440000}"/>
    <cellStyle name="Normal 81 7 2" xfId="20579" xr:uid="{00000000-0005-0000-0000-000087440000}"/>
    <cellStyle name="Normal 81 8" xfId="13499" xr:uid="{00000000-0005-0000-0000-000088440000}"/>
    <cellStyle name="Normal 81 8 2" xfId="22179" xr:uid="{00000000-0005-0000-0000-000089440000}"/>
    <cellStyle name="Normal 81 9" xfId="15673" xr:uid="{00000000-0005-0000-0000-00008A440000}"/>
    <cellStyle name="Normal 82" xfId="3682" xr:uid="{00000000-0005-0000-0000-00008B440000}"/>
    <cellStyle name="Normal 82 2" xfId="3683" xr:uid="{00000000-0005-0000-0000-00008C440000}"/>
    <cellStyle name="Normal 82 2 2" xfId="10287" xr:uid="{00000000-0005-0000-0000-00008D440000}"/>
    <cellStyle name="Normal 82 2 2 2" xfId="19037" xr:uid="{00000000-0005-0000-0000-00008E440000}"/>
    <cellStyle name="Normal 82 2 3" xfId="8685" xr:uid="{00000000-0005-0000-0000-00008F440000}"/>
    <cellStyle name="Normal 82 2 3 2" xfId="17438" xr:uid="{00000000-0005-0000-0000-000090440000}"/>
    <cellStyle name="Normal 82 2 4" xfId="11897" xr:uid="{00000000-0005-0000-0000-000091440000}"/>
    <cellStyle name="Normal 82 2 4 2" xfId="20584" xr:uid="{00000000-0005-0000-0000-000092440000}"/>
    <cellStyle name="Normal 82 2 5" xfId="13504" xr:uid="{00000000-0005-0000-0000-000093440000}"/>
    <cellStyle name="Normal 82 2 5 2" xfId="22184" xr:uid="{00000000-0005-0000-0000-000094440000}"/>
    <cellStyle name="Normal 82 2 6" xfId="15678" xr:uid="{00000000-0005-0000-0000-000095440000}"/>
    <cellStyle name="Normal 82 3" xfId="3684" xr:uid="{00000000-0005-0000-0000-000096440000}"/>
    <cellStyle name="Normal 82 3 2" xfId="10288" xr:uid="{00000000-0005-0000-0000-000097440000}"/>
    <cellStyle name="Normal 82 3 2 2" xfId="19038" xr:uid="{00000000-0005-0000-0000-000098440000}"/>
    <cellStyle name="Normal 82 3 3" xfId="8686" xr:uid="{00000000-0005-0000-0000-000099440000}"/>
    <cellStyle name="Normal 82 3 3 2" xfId="17439" xr:uid="{00000000-0005-0000-0000-00009A440000}"/>
    <cellStyle name="Normal 82 3 4" xfId="11898" xr:uid="{00000000-0005-0000-0000-00009B440000}"/>
    <cellStyle name="Normal 82 3 4 2" xfId="20585" xr:uid="{00000000-0005-0000-0000-00009C440000}"/>
    <cellStyle name="Normal 82 3 5" xfId="13505" xr:uid="{00000000-0005-0000-0000-00009D440000}"/>
    <cellStyle name="Normal 82 3 5 2" xfId="22185" xr:uid="{00000000-0005-0000-0000-00009E440000}"/>
    <cellStyle name="Normal 82 3 6" xfId="15679" xr:uid="{00000000-0005-0000-0000-00009F440000}"/>
    <cellStyle name="Normal 82 4" xfId="3685" xr:uid="{00000000-0005-0000-0000-0000A0440000}"/>
    <cellStyle name="Normal 82 4 2" xfId="10289" xr:uid="{00000000-0005-0000-0000-0000A1440000}"/>
    <cellStyle name="Normal 82 4 2 2" xfId="19039" xr:uid="{00000000-0005-0000-0000-0000A2440000}"/>
    <cellStyle name="Normal 82 4 3" xfId="8687" xr:uid="{00000000-0005-0000-0000-0000A3440000}"/>
    <cellStyle name="Normal 82 4 3 2" xfId="17440" xr:uid="{00000000-0005-0000-0000-0000A4440000}"/>
    <cellStyle name="Normal 82 4 4" xfId="11899" xr:uid="{00000000-0005-0000-0000-0000A5440000}"/>
    <cellStyle name="Normal 82 4 4 2" xfId="20586" xr:uid="{00000000-0005-0000-0000-0000A6440000}"/>
    <cellStyle name="Normal 82 4 5" xfId="13506" xr:uid="{00000000-0005-0000-0000-0000A7440000}"/>
    <cellStyle name="Normal 82 4 5 2" xfId="22186" xr:uid="{00000000-0005-0000-0000-0000A8440000}"/>
    <cellStyle name="Normal 82 4 6" xfId="15680" xr:uid="{00000000-0005-0000-0000-0000A9440000}"/>
    <cellStyle name="Normal 82 5" xfId="10286" xr:uid="{00000000-0005-0000-0000-0000AA440000}"/>
    <cellStyle name="Normal 82 5 2" xfId="19036" xr:uid="{00000000-0005-0000-0000-0000AB440000}"/>
    <cellStyle name="Normal 82 6" xfId="8684" xr:uid="{00000000-0005-0000-0000-0000AC440000}"/>
    <cellStyle name="Normal 82 6 2" xfId="17437" xr:uid="{00000000-0005-0000-0000-0000AD440000}"/>
    <cellStyle name="Normal 82 7" xfId="11896" xr:uid="{00000000-0005-0000-0000-0000AE440000}"/>
    <cellStyle name="Normal 82 7 2" xfId="20583" xr:uid="{00000000-0005-0000-0000-0000AF440000}"/>
    <cellStyle name="Normal 82 8" xfId="13503" xr:uid="{00000000-0005-0000-0000-0000B0440000}"/>
    <cellStyle name="Normal 82 8 2" xfId="22183" xr:uid="{00000000-0005-0000-0000-0000B1440000}"/>
    <cellStyle name="Normal 82 9" xfId="15677" xr:uid="{00000000-0005-0000-0000-0000B2440000}"/>
    <cellStyle name="Normal 83" xfId="3686" xr:uid="{00000000-0005-0000-0000-0000B3440000}"/>
    <cellStyle name="Normal 83 2" xfId="3687" xr:uid="{00000000-0005-0000-0000-0000B4440000}"/>
    <cellStyle name="Normal 83 2 2" xfId="10291" xr:uid="{00000000-0005-0000-0000-0000B5440000}"/>
    <cellStyle name="Normal 83 2 2 2" xfId="19041" xr:uid="{00000000-0005-0000-0000-0000B6440000}"/>
    <cellStyle name="Normal 83 2 3" xfId="8689" xr:uid="{00000000-0005-0000-0000-0000B7440000}"/>
    <cellStyle name="Normal 83 2 3 2" xfId="17442" xr:uid="{00000000-0005-0000-0000-0000B8440000}"/>
    <cellStyle name="Normal 83 2 4" xfId="11901" xr:uid="{00000000-0005-0000-0000-0000B9440000}"/>
    <cellStyle name="Normal 83 2 4 2" xfId="20588" xr:uid="{00000000-0005-0000-0000-0000BA440000}"/>
    <cellStyle name="Normal 83 2 5" xfId="13508" xr:uid="{00000000-0005-0000-0000-0000BB440000}"/>
    <cellStyle name="Normal 83 2 5 2" xfId="22188" xr:uid="{00000000-0005-0000-0000-0000BC440000}"/>
    <cellStyle name="Normal 83 2 6" xfId="15682" xr:uid="{00000000-0005-0000-0000-0000BD440000}"/>
    <cellStyle name="Normal 83 3" xfId="3688" xr:uid="{00000000-0005-0000-0000-0000BE440000}"/>
    <cellStyle name="Normal 83 3 2" xfId="10292" xr:uid="{00000000-0005-0000-0000-0000BF440000}"/>
    <cellStyle name="Normal 83 3 2 2" xfId="19042" xr:uid="{00000000-0005-0000-0000-0000C0440000}"/>
    <cellStyle name="Normal 83 3 3" xfId="8690" xr:uid="{00000000-0005-0000-0000-0000C1440000}"/>
    <cellStyle name="Normal 83 3 3 2" xfId="17443" xr:uid="{00000000-0005-0000-0000-0000C2440000}"/>
    <cellStyle name="Normal 83 3 4" xfId="11902" xr:uid="{00000000-0005-0000-0000-0000C3440000}"/>
    <cellStyle name="Normal 83 3 4 2" xfId="20589" xr:uid="{00000000-0005-0000-0000-0000C4440000}"/>
    <cellStyle name="Normal 83 3 5" xfId="13509" xr:uid="{00000000-0005-0000-0000-0000C5440000}"/>
    <cellStyle name="Normal 83 3 5 2" xfId="22189" xr:uid="{00000000-0005-0000-0000-0000C6440000}"/>
    <cellStyle name="Normal 83 3 6" xfId="15683" xr:uid="{00000000-0005-0000-0000-0000C7440000}"/>
    <cellStyle name="Normal 83 4" xfId="3689" xr:uid="{00000000-0005-0000-0000-0000C8440000}"/>
    <cellStyle name="Normal 83 4 2" xfId="10293" xr:uid="{00000000-0005-0000-0000-0000C9440000}"/>
    <cellStyle name="Normal 83 4 2 2" xfId="19043" xr:uid="{00000000-0005-0000-0000-0000CA440000}"/>
    <cellStyle name="Normal 83 4 3" xfId="8691" xr:uid="{00000000-0005-0000-0000-0000CB440000}"/>
    <cellStyle name="Normal 83 4 3 2" xfId="17444" xr:uid="{00000000-0005-0000-0000-0000CC440000}"/>
    <cellStyle name="Normal 83 4 4" xfId="11903" xr:uid="{00000000-0005-0000-0000-0000CD440000}"/>
    <cellStyle name="Normal 83 4 4 2" xfId="20590" xr:uid="{00000000-0005-0000-0000-0000CE440000}"/>
    <cellStyle name="Normal 83 4 5" xfId="13510" xr:uid="{00000000-0005-0000-0000-0000CF440000}"/>
    <cellStyle name="Normal 83 4 5 2" xfId="22190" xr:uid="{00000000-0005-0000-0000-0000D0440000}"/>
    <cellStyle name="Normal 83 4 6" xfId="15684" xr:uid="{00000000-0005-0000-0000-0000D1440000}"/>
    <cellStyle name="Normal 83 5" xfId="10290" xr:uid="{00000000-0005-0000-0000-0000D2440000}"/>
    <cellStyle name="Normal 83 5 2" xfId="19040" xr:uid="{00000000-0005-0000-0000-0000D3440000}"/>
    <cellStyle name="Normal 83 6" xfId="8688" xr:uid="{00000000-0005-0000-0000-0000D4440000}"/>
    <cellStyle name="Normal 83 6 2" xfId="17441" xr:uid="{00000000-0005-0000-0000-0000D5440000}"/>
    <cellStyle name="Normal 83 7" xfId="11900" xr:uid="{00000000-0005-0000-0000-0000D6440000}"/>
    <cellStyle name="Normal 83 7 2" xfId="20587" xr:uid="{00000000-0005-0000-0000-0000D7440000}"/>
    <cellStyle name="Normal 83 8" xfId="13507" xr:uid="{00000000-0005-0000-0000-0000D8440000}"/>
    <cellStyle name="Normal 83 8 2" xfId="22187" xr:uid="{00000000-0005-0000-0000-0000D9440000}"/>
    <cellStyle name="Normal 83 9" xfId="15681" xr:uid="{00000000-0005-0000-0000-0000DA440000}"/>
    <cellStyle name="Normal 84" xfId="3690" xr:uid="{00000000-0005-0000-0000-0000DB440000}"/>
    <cellStyle name="Normal 84 2" xfId="3691" xr:uid="{00000000-0005-0000-0000-0000DC440000}"/>
    <cellStyle name="Normal 84 2 2" xfId="10295" xr:uid="{00000000-0005-0000-0000-0000DD440000}"/>
    <cellStyle name="Normal 84 2 2 2" xfId="19045" xr:uid="{00000000-0005-0000-0000-0000DE440000}"/>
    <cellStyle name="Normal 84 2 3" xfId="8693" xr:uid="{00000000-0005-0000-0000-0000DF440000}"/>
    <cellStyle name="Normal 84 2 3 2" xfId="17446" xr:uid="{00000000-0005-0000-0000-0000E0440000}"/>
    <cellStyle name="Normal 84 2 4" xfId="11905" xr:uid="{00000000-0005-0000-0000-0000E1440000}"/>
    <cellStyle name="Normal 84 2 4 2" xfId="20592" xr:uid="{00000000-0005-0000-0000-0000E2440000}"/>
    <cellStyle name="Normal 84 2 5" xfId="13512" xr:uid="{00000000-0005-0000-0000-0000E3440000}"/>
    <cellStyle name="Normal 84 2 5 2" xfId="22192" xr:uid="{00000000-0005-0000-0000-0000E4440000}"/>
    <cellStyle name="Normal 84 2 6" xfId="15686" xr:uid="{00000000-0005-0000-0000-0000E5440000}"/>
    <cellStyle name="Normal 84 3" xfId="3692" xr:uid="{00000000-0005-0000-0000-0000E6440000}"/>
    <cellStyle name="Normal 84 3 2" xfId="10296" xr:uid="{00000000-0005-0000-0000-0000E7440000}"/>
    <cellStyle name="Normal 84 3 2 2" xfId="19046" xr:uid="{00000000-0005-0000-0000-0000E8440000}"/>
    <cellStyle name="Normal 84 3 3" xfId="8694" xr:uid="{00000000-0005-0000-0000-0000E9440000}"/>
    <cellStyle name="Normal 84 3 3 2" xfId="17447" xr:uid="{00000000-0005-0000-0000-0000EA440000}"/>
    <cellStyle name="Normal 84 3 4" xfId="11906" xr:uid="{00000000-0005-0000-0000-0000EB440000}"/>
    <cellStyle name="Normal 84 3 4 2" xfId="20593" xr:uid="{00000000-0005-0000-0000-0000EC440000}"/>
    <cellStyle name="Normal 84 3 5" xfId="13513" xr:uid="{00000000-0005-0000-0000-0000ED440000}"/>
    <cellStyle name="Normal 84 3 5 2" xfId="22193" xr:uid="{00000000-0005-0000-0000-0000EE440000}"/>
    <cellStyle name="Normal 84 3 6" xfId="15687" xr:uid="{00000000-0005-0000-0000-0000EF440000}"/>
    <cellStyle name="Normal 84 4" xfId="3693" xr:uid="{00000000-0005-0000-0000-0000F0440000}"/>
    <cellStyle name="Normal 84 4 2" xfId="10297" xr:uid="{00000000-0005-0000-0000-0000F1440000}"/>
    <cellStyle name="Normal 84 4 2 2" xfId="19047" xr:uid="{00000000-0005-0000-0000-0000F2440000}"/>
    <cellStyle name="Normal 84 4 3" xfId="8695" xr:uid="{00000000-0005-0000-0000-0000F3440000}"/>
    <cellStyle name="Normal 84 4 3 2" xfId="17448" xr:uid="{00000000-0005-0000-0000-0000F4440000}"/>
    <cellStyle name="Normal 84 4 4" xfId="11907" xr:uid="{00000000-0005-0000-0000-0000F5440000}"/>
    <cellStyle name="Normal 84 4 4 2" xfId="20594" xr:uid="{00000000-0005-0000-0000-0000F6440000}"/>
    <cellStyle name="Normal 84 4 5" xfId="13514" xr:uid="{00000000-0005-0000-0000-0000F7440000}"/>
    <cellStyle name="Normal 84 4 5 2" xfId="22194" xr:uid="{00000000-0005-0000-0000-0000F8440000}"/>
    <cellStyle name="Normal 84 4 6" xfId="15688" xr:uid="{00000000-0005-0000-0000-0000F9440000}"/>
    <cellStyle name="Normal 84 5" xfId="10294" xr:uid="{00000000-0005-0000-0000-0000FA440000}"/>
    <cellStyle name="Normal 84 5 2" xfId="19044" xr:uid="{00000000-0005-0000-0000-0000FB440000}"/>
    <cellStyle name="Normal 84 6" xfId="8692" xr:uid="{00000000-0005-0000-0000-0000FC440000}"/>
    <cellStyle name="Normal 84 6 2" xfId="17445" xr:uid="{00000000-0005-0000-0000-0000FD440000}"/>
    <cellStyle name="Normal 84 7" xfId="11904" xr:uid="{00000000-0005-0000-0000-0000FE440000}"/>
    <cellStyle name="Normal 84 7 2" xfId="20591" xr:uid="{00000000-0005-0000-0000-0000FF440000}"/>
    <cellStyle name="Normal 84 8" xfId="13511" xr:uid="{00000000-0005-0000-0000-000000450000}"/>
    <cellStyle name="Normal 84 8 2" xfId="22191" xr:uid="{00000000-0005-0000-0000-000001450000}"/>
    <cellStyle name="Normal 84 9" xfId="15685" xr:uid="{00000000-0005-0000-0000-000002450000}"/>
    <cellStyle name="Normal 85" xfId="3694" xr:uid="{00000000-0005-0000-0000-000003450000}"/>
    <cellStyle name="Normal 85 2" xfId="3695" xr:uid="{00000000-0005-0000-0000-000004450000}"/>
    <cellStyle name="Normal 85 2 2" xfId="10299" xr:uid="{00000000-0005-0000-0000-000005450000}"/>
    <cellStyle name="Normal 85 2 2 2" xfId="19049" xr:uid="{00000000-0005-0000-0000-000006450000}"/>
    <cellStyle name="Normal 85 2 3" xfId="8697" xr:uid="{00000000-0005-0000-0000-000007450000}"/>
    <cellStyle name="Normal 85 2 3 2" xfId="17450" xr:uid="{00000000-0005-0000-0000-000008450000}"/>
    <cellStyle name="Normal 85 2 4" xfId="11909" xr:uid="{00000000-0005-0000-0000-000009450000}"/>
    <cellStyle name="Normal 85 2 4 2" xfId="20596" xr:uid="{00000000-0005-0000-0000-00000A450000}"/>
    <cellStyle name="Normal 85 2 5" xfId="13516" xr:uid="{00000000-0005-0000-0000-00000B450000}"/>
    <cellStyle name="Normal 85 2 5 2" xfId="22196" xr:uid="{00000000-0005-0000-0000-00000C450000}"/>
    <cellStyle name="Normal 85 2 6" xfId="15690" xr:uid="{00000000-0005-0000-0000-00000D450000}"/>
    <cellStyle name="Normal 85 3" xfId="3696" xr:uid="{00000000-0005-0000-0000-00000E450000}"/>
    <cellStyle name="Normal 85 3 2" xfId="10300" xr:uid="{00000000-0005-0000-0000-00000F450000}"/>
    <cellStyle name="Normal 85 3 2 2" xfId="19050" xr:uid="{00000000-0005-0000-0000-000010450000}"/>
    <cellStyle name="Normal 85 3 3" xfId="8698" xr:uid="{00000000-0005-0000-0000-000011450000}"/>
    <cellStyle name="Normal 85 3 3 2" xfId="17451" xr:uid="{00000000-0005-0000-0000-000012450000}"/>
    <cellStyle name="Normal 85 3 4" xfId="11910" xr:uid="{00000000-0005-0000-0000-000013450000}"/>
    <cellStyle name="Normal 85 3 4 2" xfId="20597" xr:uid="{00000000-0005-0000-0000-000014450000}"/>
    <cellStyle name="Normal 85 3 5" xfId="13517" xr:uid="{00000000-0005-0000-0000-000015450000}"/>
    <cellStyle name="Normal 85 3 5 2" xfId="22197" xr:uid="{00000000-0005-0000-0000-000016450000}"/>
    <cellStyle name="Normal 85 3 6" xfId="15691" xr:uid="{00000000-0005-0000-0000-000017450000}"/>
    <cellStyle name="Normal 85 4" xfId="3697" xr:uid="{00000000-0005-0000-0000-000018450000}"/>
    <cellStyle name="Normal 85 4 2" xfId="10301" xr:uid="{00000000-0005-0000-0000-000019450000}"/>
    <cellStyle name="Normal 85 4 2 2" xfId="19051" xr:uid="{00000000-0005-0000-0000-00001A450000}"/>
    <cellStyle name="Normal 85 4 3" xfId="8699" xr:uid="{00000000-0005-0000-0000-00001B450000}"/>
    <cellStyle name="Normal 85 4 3 2" xfId="17452" xr:uid="{00000000-0005-0000-0000-00001C450000}"/>
    <cellStyle name="Normal 85 4 4" xfId="11911" xr:uid="{00000000-0005-0000-0000-00001D450000}"/>
    <cellStyle name="Normal 85 4 4 2" xfId="20598" xr:uid="{00000000-0005-0000-0000-00001E450000}"/>
    <cellStyle name="Normal 85 4 5" xfId="13518" xr:uid="{00000000-0005-0000-0000-00001F450000}"/>
    <cellStyle name="Normal 85 4 5 2" xfId="22198" xr:uid="{00000000-0005-0000-0000-000020450000}"/>
    <cellStyle name="Normal 85 4 6" xfId="15692" xr:uid="{00000000-0005-0000-0000-000021450000}"/>
    <cellStyle name="Normal 85 5" xfId="10298" xr:uid="{00000000-0005-0000-0000-000022450000}"/>
    <cellStyle name="Normal 85 5 2" xfId="19048" xr:uid="{00000000-0005-0000-0000-000023450000}"/>
    <cellStyle name="Normal 85 6" xfId="8696" xr:uid="{00000000-0005-0000-0000-000024450000}"/>
    <cellStyle name="Normal 85 6 2" xfId="17449" xr:uid="{00000000-0005-0000-0000-000025450000}"/>
    <cellStyle name="Normal 85 7" xfId="11908" xr:uid="{00000000-0005-0000-0000-000026450000}"/>
    <cellStyle name="Normal 85 7 2" xfId="20595" xr:uid="{00000000-0005-0000-0000-000027450000}"/>
    <cellStyle name="Normal 85 8" xfId="13515" xr:uid="{00000000-0005-0000-0000-000028450000}"/>
    <cellStyle name="Normal 85 8 2" xfId="22195" xr:uid="{00000000-0005-0000-0000-000029450000}"/>
    <cellStyle name="Normal 85 9" xfId="15689" xr:uid="{00000000-0005-0000-0000-00002A450000}"/>
    <cellStyle name="Normal 86" xfId="3698" xr:uid="{00000000-0005-0000-0000-00002B450000}"/>
    <cellStyle name="Normal 86 2" xfId="3699" xr:uid="{00000000-0005-0000-0000-00002C450000}"/>
    <cellStyle name="Normal 86 2 2" xfId="10303" xr:uid="{00000000-0005-0000-0000-00002D450000}"/>
    <cellStyle name="Normal 86 2 2 2" xfId="19053" xr:uid="{00000000-0005-0000-0000-00002E450000}"/>
    <cellStyle name="Normal 86 2 3" xfId="8701" xr:uid="{00000000-0005-0000-0000-00002F450000}"/>
    <cellStyle name="Normal 86 2 3 2" xfId="17454" xr:uid="{00000000-0005-0000-0000-000030450000}"/>
    <cellStyle name="Normal 86 2 4" xfId="11913" xr:uid="{00000000-0005-0000-0000-000031450000}"/>
    <cellStyle name="Normal 86 2 4 2" xfId="20600" xr:uid="{00000000-0005-0000-0000-000032450000}"/>
    <cellStyle name="Normal 86 2 5" xfId="13520" xr:uid="{00000000-0005-0000-0000-000033450000}"/>
    <cellStyle name="Normal 86 2 5 2" xfId="22200" xr:uid="{00000000-0005-0000-0000-000034450000}"/>
    <cellStyle name="Normal 86 2 6" xfId="15694" xr:uid="{00000000-0005-0000-0000-000035450000}"/>
    <cellStyle name="Normal 86 3" xfId="3700" xr:uid="{00000000-0005-0000-0000-000036450000}"/>
    <cellStyle name="Normal 86 3 2" xfId="10304" xr:uid="{00000000-0005-0000-0000-000037450000}"/>
    <cellStyle name="Normal 86 3 2 2" xfId="19054" xr:uid="{00000000-0005-0000-0000-000038450000}"/>
    <cellStyle name="Normal 86 3 3" xfId="8702" xr:uid="{00000000-0005-0000-0000-000039450000}"/>
    <cellStyle name="Normal 86 3 3 2" xfId="17455" xr:uid="{00000000-0005-0000-0000-00003A450000}"/>
    <cellStyle name="Normal 86 3 4" xfId="11914" xr:uid="{00000000-0005-0000-0000-00003B450000}"/>
    <cellStyle name="Normal 86 3 4 2" xfId="20601" xr:uid="{00000000-0005-0000-0000-00003C450000}"/>
    <cellStyle name="Normal 86 3 5" xfId="13521" xr:uid="{00000000-0005-0000-0000-00003D450000}"/>
    <cellStyle name="Normal 86 3 5 2" xfId="22201" xr:uid="{00000000-0005-0000-0000-00003E450000}"/>
    <cellStyle name="Normal 86 3 6" xfId="15695" xr:uid="{00000000-0005-0000-0000-00003F450000}"/>
    <cellStyle name="Normal 86 4" xfId="3701" xr:uid="{00000000-0005-0000-0000-000040450000}"/>
    <cellStyle name="Normal 86 4 2" xfId="10305" xr:uid="{00000000-0005-0000-0000-000041450000}"/>
    <cellStyle name="Normal 86 4 2 2" xfId="19055" xr:uid="{00000000-0005-0000-0000-000042450000}"/>
    <cellStyle name="Normal 86 4 3" xfId="8703" xr:uid="{00000000-0005-0000-0000-000043450000}"/>
    <cellStyle name="Normal 86 4 3 2" xfId="17456" xr:uid="{00000000-0005-0000-0000-000044450000}"/>
    <cellStyle name="Normal 86 4 4" xfId="11915" xr:uid="{00000000-0005-0000-0000-000045450000}"/>
    <cellStyle name="Normal 86 4 4 2" xfId="20602" xr:uid="{00000000-0005-0000-0000-000046450000}"/>
    <cellStyle name="Normal 86 4 5" xfId="13522" xr:uid="{00000000-0005-0000-0000-000047450000}"/>
    <cellStyle name="Normal 86 4 5 2" xfId="22202" xr:uid="{00000000-0005-0000-0000-000048450000}"/>
    <cellStyle name="Normal 86 4 6" xfId="15696" xr:uid="{00000000-0005-0000-0000-000049450000}"/>
    <cellStyle name="Normal 86 5" xfId="10302" xr:uid="{00000000-0005-0000-0000-00004A450000}"/>
    <cellStyle name="Normal 86 5 2" xfId="19052" xr:uid="{00000000-0005-0000-0000-00004B450000}"/>
    <cellStyle name="Normal 86 6" xfId="8700" xr:uid="{00000000-0005-0000-0000-00004C450000}"/>
    <cellStyle name="Normal 86 6 2" xfId="17453" xr:uid="{00000000-0005-0000-0000-00004D450000}"/>
    <cellStyle name="Normal 86 7" xfId="11912" xr:uid="{00000000-0005-0000-0000-00004E450000}"/>
    <cellStyle name="Normal 86 7 2" xfId="20599" xr:uid="{00000000-0005-0000-0000-00004F450000}"/>
    <cellStyle name="Normal 86 8" xfId="13519" xr:uid="{00000000-0005-0000-0000-000050450000}"/>
    <cellStyle name="Normal 86 8 2" xfId="22199" xr:uid="{00000000-0005-0000-0000-000051450000}"/>
    <cellStyle name="Normal 86 9" xfId="15693" xr:uid="{00000000-0005-0000-0000-000052450000}"/>
    <cellStyle name="Normal 87" xfId="3702" xr:uid="{00000000-0005-0000-0000-000053450000}"/>
    <cellStyle name="Normal 87 2" xfId="3703" xr:uid="{00000000-0005-0000-0000-000054450000}"/>
    <cellStyle name="Normal 87 2 2" xfId="10307" xr:uid="{00000000-0005-0000-0000-000055450000}"/>
    <cellStyle name="Normal 87 2 2 2" xfId="19057" xr:uid="{00000000-0005-0000-0000-000056450000}"/>
    <cellStyle name="Normal 87 2 3" xfId="8705" xr:uid="{00000000-0005-0000-0000-000057450000}"/>
    <cellStyle name="Normal 87 2 3 2" xfId="17458" xr:uid="{00000000-0005-0000-0000-000058450000}"/>
    <cellStyle name="Normal 87 2 4" xfId="11917" xr:uid="{00000000-0005-0000-0000-000059450000}"/>
    <cellStyle name="Normal 87 2 4 2" xfId="20604" xr:uid="{00000000-0005-0000-0000-00005A450000}"/>
    <cellStyle name="Normal 87 2 5" xfId="13524" xr:uid="{00000000-0005-0000-0000-00005B450000}"/>
    <cellStyle name="Normal 87 2 5 2" xfId="22204" xr:uid="{00000000-0005-0000-0000-00005C450000}"/>
    <cellStyle name="Normal 87 2 6" xfId="15698" xr:uid="{00000000-0005-0000-0000-00005D450000}"/>
    <cellStyle name="Normal 87 3" xfId="3704" xr:uid="{00000000-0005-0000-0000-00005E450000}"/>
    <cellStyle name="Normal 87 3 2" xfId="10308" xr:uid="{00000000-0005-0000-0000-00005F450000}"/>
    <cellStyle name="Normal 87 3 2 2" xfId="19058" xr:uid="{00000000-0005-0000-0000-000060450000}"/>
    <cellStyle name="Normal 87 3 3" xfId="8706" xr:uid="{00000000-0005-0000-0000-000061450000}"/>
    <cellStyle name="Normal 87 3 3 2" xfId="17459" xr:uid="{00000000-0005-0000-0000-000062450000}"/>
    <cellStyle name="Normal 87 3 4" xfId="11918" xr:uid="{00000000-0005-0000-0000-000063450000}"/>
    <cellStyle name="Normal 87 3 4 2" xfId="20605" xr:uid="{00000000-0005-0000-0000-000064450000}"/>
    <cellStyle name="Normal 87 3 5" xfId="13525" xr:uid="{00000000-0005-0000-0000-000065450000}"/>
    <cellStyle name="Normal 87 3 5 2" xfId="22205" xr:uid="{00000000-0005-0000-0000-000066450000}"/>
    <cellStyle name="Normal 87 3 6" xfId="15699" xr:uid="{00000000-0005-0000-0000-000067450000}"/>
    <cellStyle name="Normal 87 4" xfId="3705" xr:uid="{00000000-0005-0000-0000-000068450000}"/>
    <cellStyle name="Normal 87 4 2" xfId="10309" xr:uid="{00000000-0005-0000-0000-000069450000}"/>
    <cellStyle name="Normal 87 4 2 2" xfId="19059" xr:uid="{00000000-0005-0000-0000-00006A450000}"/>
    <cellStyle name="Normal 87 4 3" xfId="8707" xr:uid="{00000000-0005-0000-0000-00006B450000}"/>
    <cellStyle name="Normal 87 4 3 2" xfId="17460" xr:uid="{00000000-0005-0000-0000-00006C450000}"/>
    <cellStyle name="Normal 87 4 4" xfId="11919" xr:uid="{00000000-0005-0000-0000-00006D450000}"/>
    <cellStyle name="Normal 87 4 4 2" xfId="20606" xr:uid="{00000000-0005-0000-0000-00006E450000}"/>
    <cellStyle name="Normal 87 4 5" xfId="13526" xr:uid="{00000000-0005-0000-0000-00006F450000}"/>
    <cellStyle name="Normal 87 4 5 2" xfId="22206" xr:uid="{00000000-0005-0000-0000-000070450000}"/>
    <cellStyle name="Normal 87 4 6" xfId="15700" xr:uid="{00000000-0005-0000-0000-000071450000}"/>
    <cellStyle name="Normal 87 5" xfId="10306" xr:uid="{00000000-0005-0000-0000-000072450000}"/>
    <cellStyle name="Normal 87 5 2" xfId="19056" xr:uid="{00000000-0005-0000-0000-000073450000}"/>
    <cellStyle name="Normal 87 6" xfId="8704" xr:uid="{00000000-0005-0000-0000-000074450000}"/>
    <cellStyle name="Normal 87 6 2" xfId="17457" xr:uid="{00000000-0005-0000-0000-000075450000}"/>
    <cellStyle name="Normal 87 7" xfId="11916" xr:uid="{00000000-0005-0000-0000-000076450000}"/>
    <cellStyle name="Normal 87 7 2" xfId="20603" xr:uid="{00000000-0005-0000-0000-000077450000}"/>
    <cellStyle name="Normal 87 8" xfId="13523" xr:uid="{00000000-0005-0000-0000-000078450000}"/>
    <cellStyle name="Normal 87 8 2" xfId="22203" xr:uid="{00000000-0005-0000-0000-000079450000}"/>
    <cellStyle name="Normal 87 9" xfId="15697" xr:uid="{00000000-0005-0000-0000-00007A450000}"/>
    <cellStyle name="Normal 88" xfId="3706" xr:uid="{00000000-0005-0000-0000-00007B450000}"/>
    <cellStyle name="Normal 88 2" xfId="3707" xr:uid="{00000000-0005-0000-0000-00007C450000}"/>
    <cellStyle name="Normal 88 2 2" xfId="10311" xr:uid="{00000000-0005-0000-0000-00007D450000}"/>
    <cellStyle name="Normal 88 2 2 2" xfId="19061" xr:uid="{00000000-0005-0000-0000-00007E450000}"/>
    <cellStyle name="Normal 88 2 3" xfId="8709" xr:uid="{00000000-0005-0000-0000-00007F450000}"/>
    <cellStyle name="Normal 88 2 3 2" xfId="17462" xr:uid="{00000000-0005-0000-0000-000080450000}"/>
    <cellStyle name="Normal 88 2 4" xfId="11921" xr:uid="{00000000-0005-0000-0000-000081450000}"/>
    <cellStyle name="Normal 88 2 4 2" xfId="20608" xr:uid="{00000000-0005-0000-0000-000082450000}"/>
    <cellStyle name="Normal 88 2 5" xfId="13528" xr:uid="{00000000-0005-0000-0000-000083450000}"/>
    <cellStyle name="Normal 88 2 5 2" xfId="22208" xr:uid="{00000000-0005-0000-0000-000084450000}"/>
    <cellStyle name="Normal 88 2 6" xfId="15702" xr:uid="{00000000-0005-0000-0000-000085450000}"/>
    <cellStyle name="Normal 88 3" xfId="3708" xr:uid="{00000000-0005-0000-0000-000086450000}"/>
    <cellStyle name="Normal 88 3 2" xfId="10312" xr:uid="{00000000-0005-0000-0000-000087450000}"/>
    <cellStyle name="Normal 88 3 2 2" xfId="19062" xr:uid="{00000000-0005-0000-0000-000088450000}"/>
    <cellStyle name="Normal 88 3 3" xfId="8710" xr:uid="{00000000-0005-0000-0000-000089450000}"/>
    <cellStyle name="Normal 88 3 3 2" xfId="17463" xr:uid="{00000000-0005-0000-0000-00008A450000}"/>
    <cellStyle name="Normal 88 3 4" xfId="11922" xr:uid="{00000000-0005-0000-0000-00008B450000}"/>
    <cellStyle name="Normal 88 3 4 2" xfId="20609" xr:uid="{00000000-0005-0000-0000-00008C450000}"/>
    <cellStyle name="Normal 88 3 5" xfId="13529" xr:uid="{00000000-0005-0000-0000-00008D450000}"/>
    <cellStyle name="Normal 88 3 5 2" xfId="22209" xr:uid="{00000000-0005-0000-0000-00008E450000}"/>
    <cellStyle name="Normal 88 3 6" xfId="15703" xr:uid="{00000000-0005-0000-0000-00008F450000}"/>
    <cellStyle name="Normal 88 4" xfId="3709" xr:uid="{00000000-0005-0000-0000-000090450000}"/>
    <cellStyle name="Normal 88 4 2" xfId="10313" xr:uid="{00000000-0005-0000-0000-000091450000}"/>
    <cellStyle name="Normal 88 4 2 2" xfId="19063" xr:uid="{00000000-0005-0000-0000-000092450000}"/>
    <cellStyle name="Normal 88 4 3" xfId="8711" xr:uid="{00000000-0005-0000-0000-000093450000}"/>
    <cellStyle name="Normal 88 4 3 2" xfId="17464" xr:uid="{00000000-0005-0000-0000-000094450000}"/>
    <cellStyle name="Normal 88 4 4" xfId="11923" xr:uid="{00000000-0005-0000-0000-000095450000}"/>
    <cellStyle name="Normal 88 4 4 2" xfId="20610" xr:uid="{00000000-0005-0000-0000-000096450000}"/>
    <cellStyle name="Normal 88 4 5" xfId="13530" xr:uid="{00000000-0005-0000-0000-000097450000}"/>
    <cellStyle name="Normal 88 4 5 2" xfId="22210" xr:uid="{00000000-0005-0000-0000-000098450000}"/>
    <cellStyle name="Normal 88 4 6" xfId="15704" xr:uid="{00000000-0005-0000-0000-000099450000}"/>
    <cellStyle name="Normal 88 5" xfId="10310" xr:uid="{00000000-0005-0000-0000-00009A450000}"/>
    <cellStyle name="Normal 88 5 2" xfId="19060" xr:uid="{00000000-0005-0000-0000-00009B450000}"/>
    <cellStyle name="Normal 88 6" xfId="8708" xr:uid="{00000000-0005-0000-0000-00009C450000}"/>
    <cellStyle name="Normal 88 6 2" xfId="17461" xr:uid="{00000000-0005-0000-0000-00009D450000}"/>
    <cellStyle name="Normal 88 7" xfId="11920" xr:uid="{00000000-0005-0000-0000-00009E450000}"/>
    <cellStyle name="Normal 88 7 2" xfId="20607" xr:uid="{00000000-0005-0000-0000-00009F450000}"/>
    <cellStyle name="Normal 88 8" xfId="13527" xr:uid="{00000000-0005-0000-0000-0000A0450000}"/>
    <cellStyle name="Normal 88 8 2" xfId="22207" xr:uid="{00000000-0005-0000-0000-0000A1450000}"/>
    <cellStyle name="Normal 88 9" xfId="15701" xr:uid="{00000000-0005-0000-0000-0000A2450000}"/>
    <cellStyle name="Normal 89" xfId="3710" xr:uid="{00000000-0005-0000-0000-0000A3450000}"/>
    <cellStyle name="Normal 89 2" xfId="3711" xr:uid="{00000000-0005-0000-0000-0000A4450000}"/>
    <cellStyle name="Normal 89 2 2" xfId="10315" xr:uid="{00000000-0005-0000-0000-0000A5450000}"/>
    <cellStyle name="Normal 89 2 2 2" xfId="19065" xr:uid="{00000000-0005-0000-0000-0000A6450000}"/>
    <cellStyle name="Normal 89 2 3" xfId="8713" xr:uid="{00000000-0005-0000-0000-0000A7450000}"/>
    <cellStyle name="Normal 89 2 3 2" xfId="17466" xr:uid="{00000000-0005-0000-0000-0000A8450000}"/>
    <cellStyle name="Normal 89 2 4" xfId="11925" xr:uid="{00000000-0005-0000-0000-0000A9450000}"/>
    <cellStyle name="Normal 89 2 4 2" xfId="20612" xr:uid="{00000000-0005-0000-0000-0000AA450000}"/>
    <cellStyle name="Normal 89 2 5" xfId="13532" xr:uid="{00000000-0005-0000-0000-0000AB450000}"/>
    <cellStyle name="Normal 89 2 5 2" xfId="22212" xr:uid="{00000000-0005-0000-0000-0000AC450000}"/>
    <cellStyle name="Normal 89 2 6" xfId="15706" xr:uid="{00000000-0005-0000-0000-0000AD450000}"/>
    <cellStyle name="Normal 89 3" xfId="3712" xr:uid="{00000000-0005-0000-0000-0000AE450000}"/>
    <cellStyle name="Normal 89 3 2" xfId="10316" xr:uid="{00000000-0005-0000-0000-0000AF450000}"/>
    <cellStyle name="Normal 89 3 2 2" xfId="19066" xr:uid="{00000000-0005-0000-0000-0000B0450000}"/>
    <cellStyle name="Normal 89 3 3" xfId="8714" xr:uid="{00000000-0005-0000-0000-0000B1450000}"/>
    <cellStyle name="Normal 89 3 3 2" xfId="17467" xr:uid="{00000000-0005-0000-0000-0000B2450000}"/>
    <cellStyle name="Normal 89 3 4" xfId="11926" xr:uid="{00000000-0005-0000-0000-0000B3450000}"/>
    <cellStyle name="Normal 89 3 4 2" xfId="20613" xr:uid="{00000000-0005-0000-0000-0000B4450000}"/>
    <cellStyle name="Normal 89 3 5" xfId="13533" xr:uid="{00000000-0005-0000-0000-0000B5450000}"/>
    <cellStyle name="Normal 89 3 5 2" xfId="22213" xr:uid="{00000000-0005-0000-0000-0000B6450000}"/>
    <cellStyle name="Normal 89 3 6" xfId="15707" xr:uid="{00000000-0005-0000-0000-0000B7450000}"/>
    <cellStyle name="Normal 89 4" xfId="3713" xr:uid="{00000000-0005-0000-0000-0000B8450000}"/>
    <cellStyle name="Normal 89 4 2" xfId="10317" xr:uid="{00000000-0005-0000-0000-0000B9450000}"/>
    <cellStyle name="Normal 89 4 2 2" xfId="19067" xr:uid="{00000000-0005-0000-0000-0000BA450000}"/>
    <cellStyle name="Normal 89 4 3" xfId="8715" xr:uid="{00000000-0005-0000-0000-0000BB450000}"/>
    <cellStyle name="Normal 89 4 3 2" xfId="17468" xr:uid="{00000000-0005-0000-0000-0000BC450000}"/>
    <cellStyle name="Normal 89 4 4" xfId="11927" xr:uid="{00000000-0005-0000-0000-0000BD450000}"/>
    <cellStyle name="Normal 89 4 4 2" xfId="20614" xr:uid="{00000000-0005-0000-0000-0000BE450000}"/>
    <cellStyle name="Normal 89 4 5" xfId="13534" xr:uid="{00000000-0005-0000-0000-0000BF450000}"/>
    <cellStyle name="Normal 89 4 5 2" xfId="22214" xr:uid="{00000000-0005-0000-0000-0000C0450000}"/>
    <cellStyle name="Normal 89 4 6" xfId="15708" xr:uid="{00000000-0005-0000-0000-0000C1450000}"/>
    <cellStyle name="Normal 89 5" xfId="10314" xr:uid="{00000000-0005-0000-0000-0000C2450000}"/>
    <cellStyle name="Normal 89 5 2" xfId="19064" xr:uid="{00000000-0005-0000-0000-0000C3450000}"/>
    <cellStyle name="Normal 89 6" xfId="8712" xr:uid="{00000000-0005-0000-0000-0000C4450000}"/>
    <cellStyle name="Normal 89 6 2" xfId="17465" xr:uid="{00000000-0005-0000-0000-0000C5450000}"/>
    <cellStyle name="Normal 89 7" xfId="11924" xr:uid="{00000000-0005-0000-0000-0000C6450000}"/>
    <cellStyle name="Normal 89 7 2" xfId="20611" xr:uid="{00000000-0005-0000-0000-0000C7450000}"/>
    <cellStyle name="Normal 89 8" xfId="13531" xr:uid="{00000000-0005-0000-0000-0000C8450000}"/>
    <cellStyle name="Normal 89 8 2" xfId="22211" xr:uid="{00000000-0005-0000-0000-0000C9450000}"/>
    <cellStyle name="Normal 89 9" xfId="15705" xr:uid="{00000000-0005-0000-0000-0000CA450000}"/>
    <cellStyle name="Normal 9" xfId="120" xr:uid="{00000000-0005-0000-0000-0000CB450000}"/>
    <cellStyle name="Normal 9 10" xfId="3715" xr:uid="{00000000-0005-0000-0000-0000CC450000}"/>
    <cellStyle name="Normal 9 11" xfId="3716" xr:uid="{00000000-0005-0000-0000-0000CD450000}"/>
    <cellStyle name="Normal 9 12" xfId="3717" xr:uid="{00000000-0005-0000-0000-0000CE450000}"/>
    <cellStyle name="Normal 9 13" xfId="3718" xr:uid="{00000000-0005-0000-0000-0000CF450000}"/>
    <cellStyle name="Normal 9 14" xfId="3719" xr:uid="{00000000-0005-0000-0000-0000D0450000}"/>
    <cellStyle name="Normal 9 15" xfId="3720" xr:uid="{00000000-0005-0000-0000-0000D1450000}"/>
    <cellStyle name="Normal 9 16" xfId="3721" xr:uid="{00000000-0005-0000-0000-0000D2450000}"/>
    <cellStyle name="Normal 9 17" xfId="3722" xr:uid="{00000000-0005-0000-0000-0000D3450000}"/>
    <cellStyle name="Normal 9 18" xfId="3723" xr:uid="{00000000-0005-0000-0000-0000D4450000}"/>
    <cellStyle name="Normal 9 19" xfId="3724" xr:uid="{00000000-0005-0000-0000-0000D5450000}"/>
    <cellStyle name="Normal 9 2" xfId="3725" xr:uid="{00000000-0005-0000-0000-0000D6450000}"/>
    <cellStyle name="Normal 9 2 10" xfId="3726" xr:uid="{00000000-0005-0000-0000-0000D7450000}"/>
    <cellStyle name="Normal 9 2 11" xfId="3727" xr:uid="{00000000-0005-0000-0000-0000D8450000}"/>
    <cellStyle name="Normal 9 2 12" xfId="3728" xr:uid="{00000000-0005-0000-0000-0000D9450000}"/>
    <cellStyle name="Normal 9 2 13" xfId="3729" xr:uid="{00000000-0005-0000-0000-0000DA450000}"/>
    <cellStyle name="Normal 9 2 14" xfId="3730" xr:uid="{00000000-0005-0000-0000-0000DB450000}"/>
    <cellStyle name="Normal 9 2 15" xfId="3731" xr:uid="{00000000-0005-0000-0000-0000DC450000}"/>
    <cellStyle name="Normal 9 2 16" xfId="3732" xr:uid="{00000000-0005-0000-0000-0000DD450000}"/>
    <cellStyle name="Normal 9 2 17" xfId="3733" xr:uid="{00000000-0005-0000-0000-0000DE450000}"/>
    <cellStyle name="Normal 9 2 18" xfId="3734" xr:uid="{00000000-0005-0000-0000-0000DF450000}"/>
    <cellStyle name="Normal 9 2 19" xfId="3735" xr:uid="{00000000-0005-0000-0000-0000E0450000}"/>
    <cellStyle name="Normal 9 2 2" xfId="3736" xr:uid="{00000000-0005-0000-0000-0000E1450000}"/>
    <cellStyle name="Normal 9 2 2 2" xfId="3737" xr:uid="{00000000-0005-0000-0000-0000E2450000}"/>
    <cellStyle name="Normal 9 2 2 3" xfId="10319" xr:uid="{00000000-0005-0000-0000-0000E3450000}"/>
    <cellStyle name="Normal 9 2 2 3 2" xfId="19069" xr:uid="{00000000-0005-0000-0000-0000E4450000}"/>
    <cellStyle name="Normal 9 2 2 4" xfId="8717" xr:uid="{00000000-0005-0000-0000-0000E5450000}"/>
    <cellStyle name="Normal 9 2 2 4 2" xfId="17470" xr:uid="{00000000-0005-0000-0000-0000E6450000}"/>
    <cellStyle name="Normal 9 2 2 5" xfId="11929" xr:uid="{00000000-0005-0000-0000-0000E7450000}"/>
    <cellStyle name="Normal 9 2 2 5 2" xfId="20616" xr:uid="{00000000-0005-0000-0000-0000E8450000}"/>
    <cellStyle name="Normal 9 2 2 6" xfId="13536" xr:uid="{00000000-0005-0000-0000-0000E9450000}"/>
    <cellStyle name="Normal 9 2 2 6 2" xfId="22216" xr:uid="{00000000-0005-0000-0000-0000EA450000}"/>
    <cellStyle name="Normal 9 2 2 7" xfId="15709" xr:uid="{00000000-0005-0000-0000-0000EB450000}"/>
    <cellStyle name="Normal 9 2 20" xfId="3738" xr:uid="{00000000-0005-0000-0000-0000EC450000}"/>
    <cellStyle name="Normal 9 2 21" xfId="3739" xr:uid="{00000000-0005-0000-0000-0000ED450000}"/>
    <cellStyle name="Normal 9 2 22" xfId="3740" xr:uid="{00000000-0005-0000-0000-0000EE450000}"/>
    <cellStyle name="Normal 9 2 23" xfId="3741" xr:uid="{00000000-0005-0000-0000-0000EF450000}"/>
    <cellStyle name="Normal 9 2 24" xfId="3742" xr:uid="{00000000-0005-0000-0000-0000F0450000}"/>
    <cellStyle name="Normal 9 2 25" xfId="3743" xr:uid="{00000000-0005-0000-0000-0000F1450000}"/>
    <cellStyle name="Normal 9 2 26" xfId="3744" xr:uid="{00000000-0005-0000-0000-0000F2450000}"/>
    <cellStyle name="Normal 9 2 27" xfId="3745" xr:uid="{00000000-0005-0000-0000-0000F3450000}"/>
    <cellStyle name="Normal 9 2 28" xfId="3746" xr:uid="{00000000-0005-0000-0000-0000F4450000}"/>
    <cellStyle name="Normal 9 2 29" xfId="3747" xr:uid="{00000000-0005-0000-0000-0000F5450000}"/>
    <cellStyle name="Normal 9 2 3" xfId="3748" xr:uid="{00000000-0005-0000-0000-0000F6450000}"/>
    <cellStyle name="Normal 9 2 30" xfId="3749" xr:uid="{00000000-0005-0000-0000-0000F7450000}"/>
    <cellStyle name="Normal 9 2 31" xfId="3750" xr:uid="{00000000-0005-0000-0000-0000F8450000}"/>
    <cellStyle name="Normal 9 2 32" xfId="3751" xr:uid="{00000000-0005-0000-0000-0000F9450000}"/>
    <cellStyle name="Normal 9 2 33" xfId="3752" xr:uid="{00000000-0005-0000-0000-0000FA450000}"/>
    <cellStyle name="Normal 9 2 34" xfId="3753" xr:uid="{00000000-0005-0000-0000-0000FB450000}"/>
    <cellStyle name="Normal 9 2 35" xfId="3754" xr:uid="{00000000-0005-0000-0000-0000FC450000}"/>
    <cellStyle name="Normal 9 2 36" xfId="3755" xr:uid="{00000000-0005-0000-0000-0000FD450000}"/>
    <cellStyle name="Normal 9 2 37" xfId="3756" xr:uid="{00000000-0005-0000-0000-0000FE450000}"/>
    <cellStyle name="Normal 9 2 38" xfId="3757" xr:uid="{00000000-0005-0000-0000-0000FF450000}"/>
    <cellStyle name="Normal 9 2 39" xfId="3758" xr:uid="{00000000-0005-0000-0000-000000460000}"/>
    <cellStyle name="Normal 9 2 4" xfId="3759" xr:uid="{00000000-0005-0000-0000-000001460000}"/>
    <cellStyle name="Normal 9 2 40" xfId="3760" xr:uid="{00000000-0005-0000-0000-000002460000}"/>
    <cellStyle name="Normal 9 2 41" xfId="3761" xr:uid="{00000000-0005-0000-0000-000003460000}"/>
    <cellStyle name="Normal 9 2 42" xfId="3762" xr:uid="{00000000-0005-0000-0000-000004460000}"/>
    <cellStyle name="Normal 9 2 43" xfId="6938" xr:uid="{00000000-0005-0000-0000-000005460000}"/>
    <cellStyle name="Normal 9 2 43 2" xfId="10318" xr:uid="{00000000-0005-0000-0000-000006460000}"/>
    <cellStyle name="Normal 9 2 43 2 2" xfId="19068" xr:uid="{00000000-0005-0000-0000-000007460000}"/>
    <cellStyle name="Normal 9 2 43 3" xfId="16146" xr:uid="{00000000-0005-0000-0000-000008460000}"/>
    <cellStyle name="Normal 9 2 44" xfId="8716" xr:uid="{00000000-0005-0000-0000-000009460000}"/>
    <cellStyle name="Normal 9 2 44 2" xfId="17469" xr:uid="{00000000-0005-0000-0000-00000A460000}"/>
    <cellStyle name="Normal 9 2 45" xfId="11928" xr:uid="{00000000-0005-0000-0000-00000B460000}"/>
    <cellStyle name="Normal 9 2 45 2" xfId="20615" xr:uid="{00000000-0005-0000-0000-00000C460000}"/>
    <cellStyle name="Normal 9 2 46" xfId="13535" xr:uid="{00000000-0005-0000-0000-00000D460000}"/>
    <cellStyle name="Normal 9 2 46 2" xfId="22215" xr:uid="{00000000-0005-0000-0000-00000E460000}"/>
    <cellStyle name="Normal 9 2 47" xfId="14561" xr:uid="{00000000-0005-0000-0000-00000F460000}"/>
    <cellStyle name="Normal 9 2 5" xfId="3763" xr:uid="{00000000-0005-0000-0000-000010460000}"/>
    <cellStyle name="Normal 9 2 6" xfId="3764" xr:uid="{00000000-0005-0000-0000-000011460000}"/>
    <cellStyle name="Normal 9 2 7" xfId="3765" xr:uid="{00000000-0005-0000-0000-000012460000}"/>
    <cellStyle name="Normal 9 2 8" xfId="3766" xr:uid="{00000000-0005-0000-0000-000013460000}"/>
    <cellStyle name="Normal 9 2 9" xfId="3767" xr:uid="{00000000-0005-0000-0000-000014460000}"/>
    <cellStyle name="Normal 9 20" xfId="3768" xr:uid="{00000000-0005-0000-0000-000015460000}"/>
    <cellStyle name="Normal 9 21" xfId="3769" xr:uid="{00000000-0005-0000-0000-000016460000}"/>
    <cellStyle name="Normal 9 22" xfId="3770" xr:uid="{00000000-0005-0000-0000-000017460000}"/>
    <cellStyle name="Normal 9 23" xfId="3771" xr:uid="{00000000-0005-0000-0000-000018460000}"/>
    <cellStyle name="Normal 9 24" xfId="3772" xr:uid="{00000000-0005-0000-0000-000019460000}"/>
    <cellStyle name="Normal 9 25" xfId="3773" xr:uid="{00000000-0005-0000-0000-00001A460000}"/>
    <cellStyle name="Normal 9 26" xfId="3774" xr:uid="{00000000-0005-0000-0000-00001B460000}"/>
    <cellStyle name="Normal 9 27" xfId="3775" xr:uid="{00000000-0005-0000-0000-00001C460000}"/>
    <cellStyle name="Normal 9 28" xfId="3776" xr:uid="{00000000-0005-0000-0000-00001D460000}"/>
    <cellStyle name="Normal 9 29" xfId="3777" xr:uid="{00000000-0005-0000-0000-00001E460000}"/>
    <cellStyle name="Normal 9 3" xfId="3778" xr:uid="{00000000-0005-0000-0000-00001F460000}"/>
    <cellStyle name="Normal 9 3 2" xfId="3779" xr:uid="{00000000-0005-0000-0000-000020460000}"/>
    <cellStyle name="Normal 9 3 3" xfId="6939" xr:uid="{00000000-0005-0000-0000-000021460000}"/>
    <cellStyle name="Normal 9 3 3 2" xfId="16147" xr:uid="{00000000-0005-0000-0000-000022460000}"/>
    <cellStyle name="Normal 9 3 4" xfId="14562" xr:uid="{00000000-0005-0000-0000-000023460000}"/>
    <cellStyle name="Normal 9 30" xfId="3780" xr:uid="{00000000-0005-0000-0000-000024460000}"/>
    <cellStyle name="Normal 9 31" xfId="3781" xr:uid="{00000000-0005-0000-0000-000025460000}"/>
    <cellStyle name="Normal 9 32" xfId="3782" xr:uid="{00000000-0005-0000-0000-000026460000}"/>
    <cellStyle name="Normal 9 33" xfId="3783" xr:uid="{00000000-0005-0000-0000-000027460000}"/>
    <cellStyle name="Normal 9 34" xfId="3784" xr:uid="{00000000-0005-0000-0000-000028460000}"/>
    <cellStyle name="Normal 9 35" xfId="3785" xr:uid="{00000000-0005-0000-0000-000029460000}"/>
    <cellStyle name="Normal 9 36" xfId="3786" xr:uid="{00000000-0005-0000-0000-00002A460000}"/>
    <cellStyle name="Normal 9 37" xfId="3787" xr:uid="{00000000-0005-0000-0000-00002B460000}"/>
    <cellStyle name="Normal 9 38" xfId="3788" xr:uid="{00000000-0005-0000-0000-00002C460000}"/>
    <cellStyle name="Normal 9 39" xfId="3789" xr:uid="{00000000-0005-0000-0000-00002D460000}"/>
    <cellStyle name="Normal 9 4" xfId="3790" xr:uid="{00000000-0005-0000-0000-00002E460000}"/>
    <cellStyle name="Normal 9 4 2" xfId="3791" xr:uid="{00000000-0005-0000-0000-00002F460000}"/>
    <cellStyle name="Normal 9 4 3" xfId="6940" xr:uid="{00000000-0005-0000-0000-000030460000}"/>
    <cellStyle name="Normal 9 4 3 2" xfId="16148" xr:uid="{00000000-0005-0000-0000-000031460000}"/>
    <cellStyle name="Normal 9 4 4" xfId="14563" xr:uid="{00000000-0005-0000-0000-000032460000}"/>
    <cellStyle name="Normal 9 40" xfId="3792" xr:uid="{00000000-0005-0000-0000-000033460000}"/>
    <cellStyle name="Normal 9 41" xfId="3793" xr:uid="{00000000-0005-0000-0000-000034460000}"/>
    <cellStyle name="Normal 9 42" xfId="3714" xr:uid="{00000000-0005-0000-0000-000035460000}"/>
    <cellStyle name="Normal 9 42 2" xfId="10471" xr:uid="{00000000-0005-0000-0000-000036460000}"/>
    <cellStyle name="Normal 9 42 2 2" xfId="19214" xr:uid="{00000000-0005-0000-0000-000037460000}"/>
    <cellStyle name="Normal 9 43" xfId="6937" xr:uid="{00000000-0005-0000-0000-000038460000}"/>
    <cellStyle name="Normal 9 43 2" xfId="16145" xr:uid="{00000000-0005-0000-0000-000039460000}"/>
    <cellStyle name="Normal 9 44" xfId="14560" xr:uid="{00000000-0005-0000-0000-00003A460000}"/>
    <cellStyle name="Normal 9 5" xfId="3794" xr:uid="{00000000-0005-0000-0000-00003B460000}"/>
    <cellStyle name="Normal 9 5 2" xfId="6941" xr:uid="{00000000-0005-0000-0000-00003C460000}"/>
    <cellStyle name="Normal 9 5 2 2" xfId="16149" xr:uid="{00000000-0005-0000-0000-00003D460000}"/>
    <cellStyle name="Normal 9 5 3" xfId="14564" xr:uid="{00000000-0005-0000-0000-00003E460000}"/>
    <cellStyle name="Normal 9 6" xfId="3795" xr:uid="{00000000-0005-0000-0000-00003F460000}"/>
    <cellStyle name="Normal 9 6 2" xfId="6942" xr:uid="{00000000-0005-0000-0000-000040460000}"/>
    <cellStyle name="Normal 9 6 2 2" xfId="16150" xr:uid="{00000000-0005-0000-0000-000041460000}"/>
    <cellStyle name="Normal 9 6 3" xfId="14565" xr:uid="{00000000-0005-0000-0000-000042460000}"/>
    <cellStyle name="Normal 9 7" xfId="3796" xr:uid="{00000000-0005-0000-0000-000043460000}"/>
    <cellStyle name="Normal 9 8" xfId="3797" xr:uid="{00000000-0005-0000-0000-000044460000}"/>
    <cellStyle name="Normal 9 9" xfId="3798" xr:uid="{00000000-0005-0000-0000-000045460000}"/>
    <cellStyle name="Normal 90" xfId="3799" xr:uid="{00000000-0005-0000-0000-000046460000}"/>
    <cellStyle name="Normal 90 2" xfId="3800" xr:uid="{00000000-0005-0000-0000-000047460000}"/>
    <cellStyle name="Normal 90 2 2" xfId="10321" xr:uid="{00000000-0005-0000-0000-000048460000}"/>
    <cellStyle name="Normal 90 2 2 2" xfId="19071" xr:uid="{00000000-0005-0000-0000-000049460000}"/>
    <cellStyle name="Normal 90 2 3" xfId="8719" xr:uid="{00000000-0005-0000-0000-00004A460000}"/>
    <cellStyle name="Normal 90 2 3 2" xfId="17472" xr:uid="{00000000-0005-0000-0000-00004B460000}"/>
    <cellStyle name="Normal 90 2 4" xfId="11931" xr:uid="{00000000-0005-0000-0000-00004C460000}"/>
    <cellStyle name="Normal 90 2 4 2" xfId="20618" xr:uid="{00000000-0005-0000-0000-00004D460000}"/>
    <cellStyle name="Normal 90 2 5" xfId="13538" xr:uid="{00000000-0005-0000-0000-00004E460000}"/>
    <cellStyle name="Normal 90 2 5 2" xfId="22218" xr:uid="{00000000-0005-0000-0000-00004F460000}"/>
    <cellStyle name="Normal 90 2 6" xfId="15711" xr:uid="{00000000-0005-0000-0000-000050460000}"/>
    <cellStyle name="Normal 90 3" xfId="3801" xr:uid="{00000000-0005-0000-0000-000051460000}"/>
    <cellStyle name="Normal 90 3 2" xfId="10322" xr:uid="{00000000-0005-0000-0000-000052460000}"/>
    <cellStyle name="Normal 90 3 2 2" xfId="19072" xr:uid="{00000000-0005-0000-0000-000053460000}"/>
    <cellStyle name="Normal 90 3 3" xfId="8720" xr:uid="{00000000-0005-0000-0000-000054460000}"/>
    <cellStyle name="Normal 90 3 3 2" xfId="17473" xr:uid="{00000000-0005-0000-0000-000055460000}"/>
    <cellStyle name="Normal 90 3 4" xfId="11932" xr:uid="{00000000-0005-0000-0000-000056460000}"/>
    <cellStyle name="Normal 90 3 4 2" xfId="20619" xr:uid="{00000000-0005-0000-0000-000057460000}"/>
    <cellStyle name="Normal 90 3 5" xfId="13539" xr:uid="{00000000-0005-0000-0000-000058460000}"/>
    <cellStyle name="Normal 90 3 5 2" xfId="22219" xr:uid="{00000000-0005-0000-0000-000059460000}"/>
    <cellStyle name="Normal 90 3 6" xfId="15712" xr:uid="{00000000-0005-0000-0000-00005A460000}"/>
    <cellStyle name="Normal 90 4" xfId="3802" xr:uid="{00000000-0005-0000-0000-00005B460000}"/>
    <cellStyle name="Normal 90 4 2" xfId="10323" xr:uid="{00000000-0005-0000-0000-00005C460000}"/>
    <cellStyle name="Normal 90 4 2 2" xfId="19073" xr:uid="{00000000-0005-0000-0000-00005D460000}"/>
    <cellStyle name="Normal 90 4 3" xfId="8721" xr:uid="{00000000-0005-0000-0000-00005E460000}"/>
    <cellStyle name="Normal 90 4 3 2" xfId="17474" xr:uid="{00000000-0005-0000-0000-00005F460000}"/>
    <cellStyle name="Normal 90 4 4" xfId="11933" xr:uid="{00000000-0005-0000-0000-000060460000}"/>
    <cellStyle name="Normal 90 4 4 2" xfId="20620" xr:uid="{00000000-0005-0000-0000-000061460000}"/>
    <cellStyle name="Normal 90 4 5" xfId="13540" xr:uid="{00000000-0005-0000-0000-000062460000}"/>
    <cellStyle name="Normal 90 4 5 2" xfId="22220" xr:uid="{00000000-0005-0000-0000-000063460000}"/>
    <cellStyle name="Normal 90 4 6" xfId="15713" xr:uid="{00000000-0005-0000-0000-000064460000}"/>
    <cellStyle name="Normal 90 5" xfId="10320" xr:uid="{00000000-0005-0000-0000-000065460000}"/>
    <cellStyle name="Normal 90 5 2" xfId="19070" xr:uid="{00000000-0005-0000-0000-000066460000}"/>
    <cellStyle name="Normal 90 6" xfId="8718" xr:uid="{00000000-0005-0000-0000-000067460000}"/>
    <cellStyle name="Normal 90 6 2" xfId="17471" xr:uid="{00000000-0005-0000-0000-000068460000}"/>
    <cellStyle name="Normal 90 7" xfId="11930" xr:uid="{00000000-0005-0000-0000-000069460000}"/>
    <cellStyle name="Normal 90 7 2" xfId="20617" xr:uid="{00000000-0005-0000-0000-00006A460000}"/>
    <cellStyle name="Normal 90 8" xfId="13537" xr:uid="{00000000-0005-0000-0000-00006B460000}"/>
    <cellStyle name="Normal 90 8 2" xfId="22217" xr:uid="{00000000-0005-0000-0000-00006C460000}"/>
    <cellStyle name="Normal 90 9" xfId="15710" xr:uid="{00000000-0005-0000-0000-00006D460000}"/>
    <cellStyle name="Normal 91" xfId="3803" xr:uid="{00000000-0005-0000-0000-00006E460000}"/>
    <cellStyle name="Normal 91 2" xfId="3804" xr:uid="{00000000-0005-0000-0000-00006F460000}"/>
    <cellStyle name="Normal 91 2 2" xfId="10325" xr:uid="{00000000-0005-0000-0000-000070460000}"/>
    <cellStyle name="Normal 91 2 2 2" xfId="19075" xr:uid="{00000000-0005-0000-0000-000071460000}"/>
    <cellStyle name="Normal 91 2 3" xfId="8723" xr:uid="{00000000-0005-0000-0000-000072460000}"/>
    <cellStyle name="Normal 91 2 3 2" xfId="17476" xr:uid="{00000000-0005-0000-0000-000073460000}"/>
    <cellStyle name="Normal 91 2 4" xfId="11935" xr:uid="{00000000-0005-0000-0000-000074460000}"/>
    <cellStyle name="Normal 91 2 4 2" xfId="20622" xr:uid="{00000000-0005-0000-0000-000075460000}"/>
    <cellStyle name="Normal 91 2 5" xfId="13542" xr:uid="{00000000-0005-0000-0000-000076460000}"/>
    <cellStyle name="Normal 91 2 5 2" xfId="22222" xr:uid="{00000000-0005-0000-0000-000077460000}"/>
    <cellStyle name="Normal 91 2 6" xfId="15715" xr:uid="{00000000-0005-0000-0000-000078460000}"/>
    <cellStyle name="Normal 91 3" xfId="3805" xr:uid="{00000000-0005-0000-0000-000079460000}"/>
    <cellStyle name="Normal 91 3 2" xfId="10326" xr:uid="{00000000-0005-0000-0000-00007A460000}"/>
    <cellStyle name="Normal 91 3 2 2" xfId="19076" xr:uid="{00000000-0005-0000-0000-00007B460000}"/>
    <cellStyle name="Normal 91 3 3" xfId="8724" xr:uid="{00000000-0005-0000-0000-00007C460000}"/>
    <cellStyle name="Normal 91 3 3 2" xfId="17477" xr:uid="{00000000-0005-0000-0000-00007D460000}"/>
    <cellStyle name="Normal 91 3 4" xfId="11936" xr:uid="{00000000-0005-0000-0000-00007E460000}"/>
    <cellStyle name="Normal 91 3 4 2" xfId="20623" xr:uid="{00000000-0005-0000-0000-00007F460000}"/>
    <cellStyle name="Normal 91 3 5" xfId="13543" xr:uid="{00000000-0005-0000-0000-000080460000}"/>
    <cellStyle name="Normal 91 3 5 2" xfId="22223" xr:uid="{00000000-0005-0000-0000-000081460000}"/>
    <cellStyle name="Normal 91 3 6" xfId="15716" xr:uid="{00000000-0005-0000-0000-000082460000}"/>
    <cellStyle name="Normal 91 4" xfId="3806" xr:uid="{00000000-0005-0000-0000-000083460000}"/>
    <cellStyle name="Normal 91 4 2" xfId="10327" xr:uid="{00000000-0005-0000-0000-000084460000}"/>
    <cellStyle name="Normal 91 4 2 2" xfId="19077" xr:uid="{00000000-0005-0000-0000-000085460000}"/>
    <cellStyle name="Normal 91 4 3" xfId="8725" xr:uid="{00000000-0005-0000-0000-000086460000}"/>
    <cellStyle name="Normal 91 4 3 2" xfId="17478" xr:uid="{00000000-0005-0000-0000-000087460000}"/>
    <cellStyle name="Normal 91 4 4" xfId="11937" xr:uid="{00000000-0005-0000-0000-000088460000}"/>
    <cellStyle name="Normal 91 4 4 2" xfId="20624" xr:uid="{00000000-0005-0000-0000-000089460000}"/>
    <cellStyle name="Normal 91 4 5" xfId="13544" xr:uid="{00000000-0005-0000-0000-00008A460000}"/>
    <cellStyle name="Normal 91 4 5 2" xfId="22224" xr:uid="{00000000-0005-0000-0000-00008B460000}"/>
    <cellStyle name="Normal 91 4 6" xfId="15717" xr:uid="{00000000-0005-0000-0000-00008C460000}"/>
    <cellStyle name="Normal 91 5" xfId="10324" xr:uid="{00000000-0005-0000-0000-00008D460000}"/>
    <cellStyle name="Normal 91 5 2" xfId="19074" xr:uid="{00000000-0005-0000-0000-00008E460000}"/>
    <cellStyle name="Normal 91 6" xfId="8722" xr:uid="{00000000-0005-0000-0000-00008F460000}"/>
    <cellStyle name="Normal 91 6 2" xfId="17475" xr:uid="{00000000-0005-0000-0000-000090460000}"/>
    <cellStyle name="Normal 91 7" xfId="11934" xr:uid="{00000000-0005-0000-0000-000091460000}"/>
    <cellStyle name="Normal 91 7 2" xfId="20621" xr:uid="{00000000-0005-0000-0000-000092460000}"/>
    <cellStyle name="Normal 91 8" xfId="13541" xr:uid="{00000000-0005-0000-0000-000093460000}"/>
    <cellStyle name="Normal 91 8 2" xfId="22221" xr:uid="{00000000-0005-0000-0000-000094460000}"/>
    <cellStyle name="Normal 91 9" xfId="15714" xr:uid="{00000000-0005-0000-0000-000095460000}"/>
    <cellStyle name="Normal 92" xfId="3807" xr:uid="{00000000-0005-0000-0000-000096460000}"/>
    <cellStyle name="Normal 92 2" xfId="3808" xr:uid="{00000000-0005-0000-0000-000097460000}"/>
    <cellStyle name="Normal 92 2 2" xfId="10329" xr:uid="{00000000-0005-0000-0000-000098460000}"/>
    <cellStyle name="Normal 92 2 2 2" xfId="19079" xr:uid="{00000000-0005-0000-0000-000099460000}"/>
    <cellStyle name="Normal 92 2 3" xfId="8727" xr:uid="{00000000-0005-0000-0000-00009A460000}"/>
    <cellStyle name="Normal 92 2 3 2" xfId="17480" xr:uid="{00000000-0005-0000-0000-00009B460000}"/>
    <cellStyle name="Normal 92 2 4" xfId="11939" xr:uid="{00000000-0005-0000-0000-00009C460000}"/>
    <cellStyle name="Normal 92 2 4 2" xfId="20626" xr:uid="{00000000-0005-0000-0000-00009D460000}"/>
    <cellStyle name="Normal 92 2 5" xfId="13546" xr:uid="{00000000-0005-0000-0000-00009E460000}"/>
    <cellStyle name="Normal 92 2 5 2" xfId="22226" xr:uid="{00000000-0005-0000-0000-00009F460000}"/>
    <cellStyle name="Normal 92 2 6" xfId="15719" xr:uid="{00000000-0005-0000-0000-0000A0460000}"/>
    <cellStyle name="Normal 92 3" xfId="3809" xr:uid="{00000000-0005-0000-0000-0000A1460000}"/>
    <cellStyle name="Normal 92 3 2" xfId="10330" xr:uid="{00000000-0005-0000-0000-0000A2460000}"/>
    <cellStyle name="Normal 92 3 2 2" xfId="19080" xr:uid="{00000000-0005-0000-0000-0000A3460000}"/>
    <cellStyle name="Normal 92 3 3" xfId="8728" xr:uid="{00000000-0005-0000-0000-0000A4460000}"/>
    <cellStyle name="Normal 92 3 3 2" xfId="17481" xr:uid="{00000000-0005-0000-0000-0000A5460000}"/>
    <cellStyle name="Normal 92 3 4" xfId="11940" xr:uid="{00000000-0005-0000-0000-0000A6460000}"/>
    <cellStyle name="Normal 92 3 4 2" xfId="20627" xr:uid="{00000000-0005-0000-0000-0000A7460000}"/>
    <cellStyle name="Normal 92 3 5" xfId="13547" xr:uid="{00000000-0005-0000-0000-0000A8460000}"/>
    <cellStyle name="Normal 92 3 5 2" xfId="22227" xr:uid="{00000000-0005-0000-0000-0000A9460000}"/>
    <cellStyle name="Normal 92 3 6" xfId="15720" xr:uid="{00000000-0005-0000-0000-0000AA460000}"/>
    <cellStyle name="Normal 92 4" xfId="3810" xr:uid="{00000000-0005-0000-0000-0000AB460000}"/>
    <cellStyle name="Normal 92 4 2" xfId="10331" xr:uid="{00000000-0005-0000-0000-0000AC460000}"/>
    <cellStyle name="Normal 92 4 2 2" xfId="19081" xr:uid="{00000000-0005-0000-0000-0000AD460000}"/>
    <cellStyle name="Normal 92 4 3" xfId="8729" xr:uid="{00000000-0005-0000-0000-0000AE460000}"/>
    <cellStyle name="Normal 92 4 3 2" xfId="17482" xr:uid="{00000000-0005-0000-0000-0000AF460000}"/>
    <cellStyle name="Normal 92 4 4" xfId="11941" xr:uid="{00000000-0005-0000-0000-0000B0460000}"/>
    <cellStyle name="Normal 92 4 4 2" xfId="20628" xr:uid="{00000000-0005-0000-0000-0000B1460000}"/>
    <cellStyle name="Normal 92 4 5" xfId="13548" xr:uid="{00000000-0005-0000-0000-0000B2460000}"/>
    <cellStyle name="Normal 92 4 5 2" xfId="22228" xr:uid="{00000000-0005-0000-0000-0000B3460000}"/>
    <cellStyle name="Normal 92 4 6" xfId="15721" xr:uid="{00000000-0005-0000-0000-0000B4460000}"/>
    <cellStyle name="Normal 92 5" xfId="10328" xr:uid="{00000000-0005-0000-0000-0000B5460000}"/>
    <cellStyle name="Normal 92 5 2" xfId="19078" xr:uid="{00000000-0005-0000-0000-0000B6460000}"/>
    <cellStyle name="Normal 92 6" xfId="8726" xr:uid="{00000000-0005-0000-0000-0000B7460000}"/>
    <cellStyle name="Normal 92 6 2" xfId="17479" xr:uid="{00000000-0005-0000-0000-0000B8460000}"/>
    <cellStyle name="Normal 92 7" xfId="11938" xr:uid="{00000000-0005-0000-0000-0000B9460000}"/>
    <cellStyle name="Normal 92 7 2" xfId="20625" xr:uid="{00000000-0005-0000-0000-0000BA460000}"/>
    <cellStyle name="Normal 92 8" xfId="13545" xr:uid="{00000000-0005-0000-0000-0000BB460000}"/>
    <cellStyle name="Normal 92 8 2" xfId="22225" xr:uid="{00000000-0005-0000-0000-0000BC460000}"/>
    <cellStyle name="Normal 92 9" xfId="15718" xr:uid="{00000000-0005-0000-0000-0000BD460000}"/>
    <cellStyle name="Normal 93" xfId="3811" xr:uid="{00000000-0005-0000-0000-0000BE460000}"/>
    <cellStyle name="Normal 93 2" xfId="3812" xr:uid="{00000000-0005-0000-0000-0000BF460000}"/>
    <cellStyle name="Normal 93 2 2" xfId="10333" xr:uid="{00000000-0005-0000-0000-0000C0460000}"/>
    <cellStyle name="Normal 93 2 2 2" xfId="19083" xr:uid="{00000000-0005-0000-0000-0000C1460000}"/>
    <cellStyle name="Normal 93 2 3" xfId="8731" xr:uid="{00000000-0005-0000-0000-0000C2460000}"/>
    <cellStyle name="Normal 93 2 3 2" xfId="17484" xr:uid="{00000000-0005-0000-0000-0000C3460000}"/>
    <cellStyle name="Normal 93 2 4" xfId="11943" xr:uid="{00000000-0005-0000-0000-0000C4460000}"/>
    <cellStyle name="Normal 93 2 4 2" xfId="20630" xr:uid="{00000000-0005-0000-0000-0000C5460000}"/>
    <cellStyle name="Normal 93 2 5" xfId="13550" xr:uid="{00000000-0005-0000-0000-0000C6460000}"/>
    <cellStyle name="Normal 93 2 5 2" xfId="22230" xr:uid="{00000000-0005-0000-0000-0000C7460000}"/>
    <cellStyle name="Normal 93 2 6" xfId="15723" xr:uid="{00000000-0005-0000-0000-0000C8460000}"/>
    <cellStyle name="Normal 93 3" xfId="3813" xr:uid="{00000000-0005-0000-0000-0000C9460000}"/>
    <cellStyle name="Normal 93 3 2" xfId="10334" xr:uid="{00000000-0005-0000-0000-0000CA460000}"/>
    <cellStyle name="Normal 93 3 2 2" xfId="19084" xr:uid="{00000000-0005-0000-0000-0000CB460000}"/>
    <cellStyle name="Normal 93 3 3" xfId="8732" xr:uid="{00000000-0005-0000-0000-0000CC460000}"/>
    <cellStyle name="Normal 93 3 3 2" xfId="17485" xr:uid="{00000000-0005-0000-0000-0000CD460000}"/>
    <cellStyle name="Normal 93 3 4" xfId="11944" xr:uid="{00000000-0005-0000-0000-0000CE460000}"/>
    <cellStyle name="Normal 93 3 4 2" xfId="20631" xr:uid="{00000000-0005-0000-0000-0000CF460000}"/>
    <cellStyle name="Normal 93 3 5" xfId="13551" xr:uid="{00000000-0005-0000-0000-0000D0460000}"/>
    <cellStyle name="Normal 93 3 5 2" xfId="22231" xr:uid="{00000000-0005-0000-0000-0000D1460000}"/>
    <cellStyle name="Normal 93 3 6" xfId="15724" xr:uid="{00000000-0005-0000-0000-0000D2460000}"/>
    <cellStyle name="Normal 93 4" xfId="3814" xr:uid="{00000000-0005-0000-0000-0000D3460000}"/>
    <cellStyle name="Normal 93 4 2" xfId="10335" xr:uid="{00000000-0005-0000-0000-0000D4460000}"/>
    <cellStyle name="Normal 93 4 2 2" xfId="19085" xr:uid="{00000000-0005-0000-0000-0000D5460000}"/>
    <cellStyle name="Normal 93 4 3" xfId="8733" xr:uid="{00000000-0005-0000-0000-0000D6460000}"/>
    <cellStyle name="Normal 93 4 3 2" xfId="17486" xr:uid="{00000000-0005-0000-0000-0000D7460000}"/>
    <cellStyle name="Normal 93 4 4" xfId="11945" xr:uid="{00000000-0005-0000-0000-0000D8460000}"/>
    <cellStyle name="Normal 93 4 4 2" xfId="20632" xr:uid="{00000000-0005-0000-0000-0000D9460000}"/>
    <cellStyle name="Normal 93 4 5" xfId="13552" xr:uid="{00000000-0005-0000-0000-0000DA460000}"/>
    <cellStyle name="Normal 93 4 5 2" xfId="22232" xr:uid="{00000000-0005-0000-0000-0000DB460000}"/>
    <cellStyle name="Normal 93 4 6" xfId="15725" xr:uid="{00000000-0005-0000-0000-0000DC460000}"/>
    <cellStyle name="Normal 93 5" xfId="10332" xr:uid="{00000000-0005-0000-0000-0000DD460000}"/>
    <cellStyle name="Normal 93 5 2" xfId="19082" xr:uid="{00000000-0005-0000-0000-0000DE460000}"/>
    <cellStyle name="Normal 93 6" xfId="8730" xr:uid="{00000000-0005-0000-0000-0000DF460000}"/>
    <cellStyle name="Normal 93 6 2" xfId="17483" xr:uid="{00000000-0005-0000-0000-0000E0460000}"/>
    <cellStyle name="Normal 93 7" xfId="11942" xr:uid="{00000000-0005-0000-0000-0000E1460000}"/>
    <cellStyle name="Normal 93 7 2" xfId="20629" xr:uid="{00000000-0005-0000-0000-0000E2460000}"/>
    <cellStyle name="Normal 93 8" xfId="13549" xr:uid="{00000000-0005-0000-0000-0000E3460000}"/>
    <cellStyle name="Normal 93 8 2" xfId="22229" xr:uid="{00000000-0005-0000-0000-0000E4460000}"/>
    <cellStyle name="Normal 93 9" xfId="15722" xr:uid="{00000000-0005-0000-0000-0000E5460000}"/>
    <cellStyle name="Normal 94" xfId="3815" xr:uid="{00000000-0005-0000-0000-0000E6460000}"/>
    <cellStyle name="Normal 95" xfId="3816" xr:uid="{00000000-0005-0000-0000-0000E7460000}"/>
    <cellStyle name="Normal 95 2" xfId="3817" xr:uid="{00000000-0005-0000-0000-0000E8460000}"/>
    <cellStyle name="Normal 95 2 2" xfId="3818" xr:uid="{00000000-0005-0000-0000-0000E9460000}"/>
    <cellStyle name="Normal 95 2 2 2" xfId="3819" xr:uid="{00000000-0005-0000-0000-0000EA460000}"/>
    <cellStyle name="Normal 95 2 2 3" xfId="3820" xr:uid="{00000000-0005-0000-0000-0000EB460000}"/>
    <cellStyle name="Normal 95 2 2 4" xfId="3821" xr:uid="{00000000-0005-0000-0000-0000EC460000}"/>
    <cellStyle name="Normal 95 2 3" xfId="3822" xr:uid="{00000000-0005-0000-0000-0000ED460000}"/>
    <cellStyle name="Normal 95 2 4" xfId="3823" xr:uid="{00000000-0005-0000-0000-0000EE460000}"/>
    <cellStyle name="Normal 95 3" xfId="3824" xr:uid="{00000000-0005-0000-0000-0000EF460000}"/>
    <cellStyle name="Normal 95 4" xfId="3825" xr:uid="{00000000-0005-0000-0000-0000F0460000}"/>
    <cellStyle name="Normal 95 5" xfId="3826" xr:uid="{00000000-0005-0000-0000-0000F1460000}"/>
    <cellStyle name="Normal 95 6" xfId="3827" xr:uid="{00000000-0005-0000-0000-0000F2460000}"/>
    <cellStyle name="Normal 95 7" xfId="3828" xr:uid="{00000000-0005-0000-0000-0000F3460000}"/>
    <cellStyle name="Normal 96" xfId="3829" xr:uid="{00000000-0005-0000-0000-0000F4460000}"/>
    <cellStyle name="Normal 96 2" xfId="3830" xr:uid="{00000000-0005-0000-0000-0000F5460000}"/>
    <cellStyle name="Normal 96 2 2" xfId="10337" xr:uid="{00000000-0005-0000-0000-0000F6460000}"/>
    <cellStyle name="Normal 96 2 2 2" xfId="19087" xr:uid="{00000000-0005-0000-0000-0000F7460000}"/>
    <cellStyle name="Normal 96 2 3" xfId="8735" xr:uid="{00000000-0005-0000-0000-0000F8460000}"/>
    <cellStyle name="Normal 96 2 3 2" xfId="17488" xr:uid="{00000000-0005-0000-0000-0000F9460000}"/>
    <cellStyle name="Normal 96 2 4" xfId="11947" xr:uid="{00000000-0005-0000-0000-0000FA460000}"/>
    <cellStyle name="Normal 96 2 4 2" xfId="20634" xr:uid="{00000000-0005-0000-0000-0000FB460000}"/>
    <cellStyle name="Normal 96 2 5" xfId="13554" xr:uid="{00000000-0005-0000-0000-0000FC460000}"/>
    <cellStyle name="Normal 96 2 5 2" xfId="22234" xr:uid="{00000000-0005-0000-0000-0000FD460000}"/>
    <cellStyle name="Normal 96 2 6" xfId="15727" xr:uid="{00000000-0005-0000-0000-0000FE460000}"/>
    <cellStyle name="Normal 96 3" xfId="3831" xr:uid="{00000000-0005-0000-0000-0000FF460000}"/>
    <cellStyle name="Normal 96 3 2" xfId="10338" xr:uid="{00000000-0005-0000-0000-000000470000}"/>
    <cellStyle name="Normal 96 3 2 2" xfId="19088" xr:uid="{00000000-0005-0000-0000-000001470000}"/>
    <cellStyle name="Normal 96 3 3" xfId="8736" xr:uid="{00000000-0005-0000-0000-000002470000}"/>
    <cellStyle name="Normal 96 3 3 2" xfId="17489" xr:uid="{00000000-0005-0000-0000-000003470000}"/>
    <cellStyle name="Normal 96 3 4" xfId="11948" xr:uid="{00000000-0005-0000-0000-000004470000}"/>
    <cellStyle name="Normal 96 3 4 2" xfId="20635" xr:uid="{00000000-0005-0000-0000-000005470000}"/>
    <cellStyle name="Normal 96 3 5" xfId="13555" xr:uid="{00000000-0005-0000-0000-000006470000}"/>
    <cellStyle name="Normal 96 3 5 2" xfId="22235" xr:uid="{00000000-0005-0000-0000-000007470000}"/>
    <cellStyle name="Normal 96 3 6" xfId="15728" xr:uid="{00000000-0005-0000-0000-000008470000}"/>
    <cellStyle name="Normal 96 4" xfId="3832" xr:uid="{00000000-0005-0000-0000-000009470000}"/>
    <cellStyle name="Normal 96 4 2" xfId="10339" xr:uid="{00000000-0005-0000-0000-00000A470000}"/>
    <cellStyle name="Normal 96 4 2 2" xfId="19089" xr:uid="{00000000-0005-0000-0000-00000B470000}"/>
    <cellStyle name="Normal 96 4 3" xfId="8737" xr:uid="{00000000-0005-0000-0000-00000C470000}"/>
    <cellStyle name="Normal 96 4 3 2" xfId="17490" xr:uid="{00000000-0005-0000-0000-00000D470000}"/>
    <cellStyle name="Normal 96 4 4" xfId="11949" xr:uid="{00000000-0005-0000-0000-00000E470000}"/>
    <cellStyle name="Normal 96 4 4 2" xfId="20636" xr:uid="{00000000-0005-0000-0000-00000F470000}"/>
    <cellStyle name="Normal 96 4 5" xfId="13556" xr:uid="{00000000-0005-0000-0000-000010470000}"/>
    <cellStyle name="Normal 96 4 5 2" xfId="22236" xr:uid="{00000000-0005-0000-0000-000011470000}"/>
    <cellStyle name="Normal 96 4 6" xfId="15729" xr:uid="{00000000-0005-0000-0000-000012470000}"/>
    <cellStyle name="Normal 96 5" xfId="10336" xr:uid="{00000000-0005-0000-0000-000013470000}"/>
    <cellStyle name="Normal 96 5 2" xfId="19086" xr:uid="{00000000-0005-0000-0000-000014470000}"/>
    <cellStyle name="Normal 96 6" xfId="8734" xr:uid="{00000000-0005-0000-0000-000015470000}"/>
    <cellStyle name="Normal 96 6 2" xfId="17487" xr:uid="{00000000-0005-0000-0000-000016470000}"/>
    <cellStyle name="Normal 96 7" xfId="11946" xr:uid="{00000000-0005-0000-0000-000017470000}"/>
    <cellStyle name="Normal 96 7 2" xfId="20633" xr:uid="{00000000-0005-0000-0000-000018470000}"/>
    <cellStyle name="Normal 96 8" xfId="13553" xr:uid="{00000000-0005-0000-0000-000019470000}"/>
    <cellStyle name="Normal 96 8 2" xfId="22233" xr:uid="{00000000-0005-0000-0000-00001A470000}"/>
    <cellStyle name="Normal 96 9" xfId="15726" xr:uid="{00000000-0005-0000-0000-00001B470000}"/>
    <cellStyle name="Normal 97" xfId="3833" xr:uid="{00000000-0005-0000-0000-00001C470000}"/>
    <cellStyle name="Normal 97 2" xfId="3834" xr:uid="{00000000-0005-0000-0000-00001D470000}"/>
    <cellStyle name="Normal 97 2 2" xfId="10341" xr:uid="{00000000-0005-0000-0000-00001E470000}"/>
    <cellStyle name="Normal 97 2 2 2" xfId="19091" xr:uid="{00000000-0005-0000-0000-00001F470000}"/>
    <cellStyle name="Normal 97 2 3" xfId="8739" xr:uid="{00000000-0005-0000-0000-000020470000}"/>
    <cellStyle name="Normal 97 2 3 2" xfId="17492" xr:uid="{00000000-0005-0000-0000-000021470000}"/>
    <cellStyle name="Normal 97 2 4" xfId="11951" xr:uid="{00000000-0005-0000-0000-000022470000}"/>
    <cellStyle name="Normal 97 2 4 2" xfId="20638" xr:uid="{00000000-0005-0000-0000-000023470000}"/>
    <cellStyle name="Normal 97 2 5" xfId="13558" xr:uid="{00000000-0005-0000-0000-000024470000}"/>
    <cellStyle name="Normal 97 2 5 2" xfId="22238" xr:uid="{00000000-0005-0000-0000-000025470000}"/>
    <cellStyle name="Normal 97 2 6" xfId="15731" xr:uid="{00000000-0005-0000-0000-000026470000}"/>
    <cellStyle name="Normal 97 3" xfId="3835" xr:uid="{00000000-0005-0000-0000-000027470000}"/>
    <cellStyle name="Normal 97 3 2" xfId="10342" xr:uid="{00000000-0005-0000-0000-000028470000}"/>
    <cellStyle name="Normal 97 3 2 2" xfId="19092" xr:uid="{00000000-0005-0000-0000-000029470000}"/>
    <cellStyle name="Normal 97 3 3" xfId="8740" xr:uid="{00000000-0005-0000-0000-00002A470000}"/>
    <cellStyle name="Normal 97 3 3 2" xfId="17493" xr:uid="{00000000-0005-0000-0000-00002B470000}"/>
    <cellStyle name="Normal 97 3 4" xfId="11952" xr:uid="{00000000-0005-0000-0000-00002C470000}"/>
    <cellStyle name="Normal 97 3 4 2" xfId="20639" xr:uid="{00000000-0005-0000-0000-00002D470000}"/>
    <cellStyle name="Normal 97 3 5" xfId="13559" xr:uid="{00000000-0005-0000-0000-00002E470000}"/>
    <cellStyle name="Normal 97 3 5 2" xfId="22239" xr:uid="{00000000-0005-0000-0000-00002F470000}"/>
    <cellStyle name="Normal 97 3 6" xfId="15732" xr:uid="{00000000-0005-0000-0000-000030470000}"/>
    <cellStyle name="Normal 97 4" xfId="3836" xr:uid="{00000000-0005-0000-0000-000031470000}"/>
    <cellStyle name="Normal 97 4 2" xfId="10343" xr:uid="{00000000-0005-0000-0000-000032470000}"/>
    <cellStyle name="Normal 97 4 2 2" xfId="19093" xr:uid="{00000000-0005-0000-0000-000033470000}"/>
    <cellStyle name="Normal 97 4 3" xfId="8741" xr:uid="{00000000-0005-0000-0000-000034470000}"/>
    <cellStyle name="Normal 97 4 3 2" xfId="17494" xr:uid="{00000000-0005-0000-0000-000035470000}"/>
    <cellStyle name="Normal 97 4 4" xfId="11953" xr:uid="{00000000-0005-0000-0000-000036470000}"/>
    <cellStyle name="Normal 97 4 4 2" xfId="20640" xr:uid="{00000000-0005-0000-0000-000037470000}"/>
    <cellStyle name="Normal 97 4 5" xfId="13560" xr:uid="{00000000-0005-0000-0000-000038470000}"/>
    <cellStyle name="Normal 97 4 5 2" xfId="22240" xr:uid="{00000000-0005-0000-0000-000039470000}"/>
    <cellStyle name="Normal 97 4 6" xfId="15733" xr:uid="{00000000-0005-0000-0000-00003A470000}"/>
    <cellStyle name="Normal 97 5" xfId="10340" xr:uid="{00000000-0005-0000-0000-00003B470000}"/>
    <cellStyle name="Normal 97 5 2" xfId="19090" xr:uid="{00000000-0005-0000-0000-00003C470000}"/>
    <cellStyle name="Normal 97 6" xfId="8738" xr:uid="{00000000-0005-0000-0000-00003D470000}"/>
    <cellStyle name="Normal 97 6 2" xfId="17491" xr:uid="{00000000-0005-0000-0000-00003E470000}"/>
    <cellStyle name="Normal 97 7" xfId="11950" xr:uid="{00000000-0005-0000-0000-00003F470000}"/>
    <cellStyle name="Normal 97 7 2" xfId="20637" xr:uid="{00000000-0005-0000-0000-000040470000}"/>
    <cellStyle name="Normal 97 8" xfId="13557" xr:uid="{00000000-0005-0000-0000-000041470000}"/>
    <cellStyle name="Normal 97 8 2" xfId="22237" xr:uid="{00000000-0005-0000-0000-000042470000}"/>
    <cellStyle name="Normal 97 9" xfId="15730" xr:uid="{00000000-0005-0000-0000-000043470000}"/>
    <cellStyle name="Normal 98" xfId="3837" xr:uid="{00000000-0005-0000-0000-000044470000}"/>
    <cellStyle name="Normal 98 2" xfId="3838" xr:uid="{00000000-0005-0000-0000-000045470000}"/>
    <cellStyle name="Normal 98 2 2" xfId="10345" xr:uid="{00000000-0005-0000-0000-000046470000}"/>
    <cellStyle name="Normal 98 2 2 2" xfId="19095" xr:uid="{00000000-0005-0000-0000-000047470000}"/>
    <cellStyle name="Normal 98 2 3" xfId="8743" xr:uid="{00000000-0005-0000-0000-000048470000}"/>
    <cellStyle name="Normal 98 2 3 2" xfId="17496" xr:uid="{00000000-0005-0000-0000-000049470000}"/>
    <cellStyle name="Normal 98 2 4" xfId="11955" xr:uid="{00000000-0005-0000-0000-00004A470000}"/>
    <cellStyle name="Normal 98 2 4 2" xfId="20642" xr:uid="{00000000-0005-0000-0000-00004B470000}"/>
    <cellStyle name="Normal 98 2 5" xfId="13562" xr:uid="{00000000-0005-0000-0000-00004C470000}"/>
    <cellStyle name="Normal 98 2 5 2" xfId="22242" xr:uid="{00000000-0005-0000-0000-00004D470000}"/>
    <cellStyle name="Normal 98 2 6" xfId="15735" xr:uid="{00000000-0005-0000-0000-00004E470000}"/>
    <cellStyle name="Normal 98 3" xfId="3839" xr:uid="{00000000-0005-0000-0000-00004F470000}"/>
    <cellStyle name="Normal 98 3 2" xfId="10346" xr:uid="{00000000-0005-0000-0000-000050470000}"/>
    <cellStyle name="Normal 98 3 2 2" xfId="19096" xr:uid="{00000000-0005-0000-0000-000051470000}"/>
    <cellStyle name="Normal 98 3 3" xfId="8744" xr:uid="{00000000-0005-0000-0000-000052470000}"/>
    <cellStyle name="Normal 98 3 3 2" xfId="17497" xr:uid="{00000000-0005-0000-0000-000053470000}"/>
    <cellStyle name="Normal 98 3 4" xfId="11956" xr:uid="{00000000-0005-0000-0000-000054470000}"/>
    <cellStyle name="Normal 98 3 4 2" xfId="20643" xr:uid="{00000000-0005-0000-0000-000055470000}"/>
    <cellStyle name="Normal 98 3 5" xfId="13563" xr:uid="{00000000-0005-0000-0000-000056470000}"/>
    <cellStyle name="Normal 98 3 5 2" xfId="22243" xr:uid="{00000000-0005-0000-0000-000057470000}"/>
    <cellStyle name="Normal 98 3 6" xfId="15736" xr:uid="{00000000-0005-0000-0000-000058470000}"/>
    <cellStyle name="Normal 98 4" xfId="3840" xr:uid="{00000000-0005-0000-0000-000059470000}"/>
    <cellStyle name="Normal 98 4 2" xfId="10347" xr:uid="{00000000-0005-0000-0000-00005A470000}"/>
    <cellStyle name="Normal 98 4 2 2" xfId="19097" xr:uid="{00000000-0005-0000-0000-00005B470000}"/>
    <cellStyle name="Normal 98 4 3" xfId="8745" xr:uid="{00000000-0005-0000-0000-00005C470000}"/>
    <cellStyle name="Normal 98 4 3 2" xfId="17498" xr:uid="{00000000-0005-0000-0000-00005D470000}"/>
    <cellStyle name="Normal 98 4 4" xfId="11957" xr:uid="{00000000-0005-0000-0000-00005E470000}"/>
    <cellStyle name="Normal 98 4 4 2" xfId="20644" xr:uid="{00000000-0005-0000-0000-00005F470000}"/>
    <cellStyle name="Normal 98 4 5" xfId="13564" xr:uid="{00000000-0005-0000-0000-000060470000}"/>
    <cellStyle name="Normal 98 4 5 2" xfId="22244" xr:uid="{00000000-0005-0000-0000-000061470000}"/>
    <cellStyle name="Normal 98 4 6" xfId="15737" xr:uid="{00000000-0005-0000-0000-000062470000}"/>
    <cellStyle name="Normal 98 5" xfId="10344" xr:uid="{00000000-0005-0000-0000-000063470000}"/>
    <cellStyle name="Normal 98 5 2" xfId="19094" xr:uid="{00000000-0005-0000-0000-000064470000}"/>
    <cellStyle name="Normal 98 6" xfId="8742" xr:uid="{00000000-0005-0000-0000-000065470000}"/>
    <cellStyle name="Normal 98 6 2" xfId="17495" xr:uid="{00000000-0005-0000-0000-000066470000}"/>
    <cellStyle name="Normal 98 7" xfId="11954" xr:uid="{00000000-0005-0000-0000-000067470000}"/>
    <cellStyle name="Normal 98 7 2" xfId="20641" xr:uid="{00000000-0005-0000-0000-000068470000}"/>
    <cellStyle name="Normal 98 8" xfId="13561" xr:uid="{00000000-0005-0000-0000-000069470000}"/>
    <cellStyle name="Normal 98 8 2" xfId="22241" xr:uid="{00000000-0005-0000-0000-00006A470000}"/>
    <cellStyle name="Normal 98 9" xfId="15734" xr:uid="{00000000-0005-0000-0000-00006B470000}"/>
    <cellStyle name="Normal 99" xfId="3841" xr:uid="{00000000-0005-0000-0000-00006C470000}"/>
    <cellStyle name="Normal 99 2" xfId="3842" xr:uid="{00000000-0005-0000-0000-00006D470000}"/>
    <cellStyle name="Normal 99 2 2" xfId="10349" xr:uid="{00000000-0005-0000-0000-00006E470000}"/>
    <cellStyle name="Normal 99 2 2 2" xfId="19099" xr:uid="{00000000-0005-0000-0000-00006F470000}"/>
    <cellStyle name="Normal 99 2 3" xfId="8747" xr:uid="{00000000-0005-0000-0000-000070470000}"/>
    <cellStyle name="Normal 99 2 3 2" xfId="17500" xr:uid="{00000000-0005-0000-0000-000071470000}"/>
    <cellStyle name="Normal 99 2 4" xfId="11959" xr:uid="{00000000-0005-0000-0000-000072470000}"/>
    <cellStyle name="Normal 99 2 4 2" xfId="20646" xr:uid="{00000000-0005-0000-0000-000073470000}"/>
    <cellStyle name="Normal 99 2 5" xfId="13566" xr:uid="{00000000-0005-0000-0000-000074470000}"/>
    <cellStyle name="Normal 99 2 5 2" xfId="22246" xr:uid="{00000000-0005-0000-0000-000075470000}"/>
    <cellStyle name="Normal 99 2 6" xfId="15739" xr:uid="{00000000-0005-0000-0000-000076470000}"/>
    <cellStyle name="Normal 99 3" xfId="3843" xr:uid="{00000000-0005-0000-0000-000077470000}"/>
    <cellStyle name="Normal 99 3 2" xfId="10350" xr:uid="{00000000-0005-0000-0000-000078470000}"/>
    <cellStyle name="Normal 99 3 2 2" xfId="19100" xr:uid="{00000000-0005-0000-0000-000079470000}"/>
    <cellStyle name="Normal 99 3 3" xfId="8748" xr:uid="{00000000-0005-0000-0000-00007A470000}"/>
    <cellStyle name="Normal 99 3 3 2" xfId="17501" xr:uid="{00000000-0005-0000-0000-00007B470000}"/>
    <cellStyle name="Normal 99 3 4" xfId="11960" xr:uid="{00000000-0005-0000-0000-00007C470000}"/>
    <cellStyle name="Normal 99 3 4 2" xfId="20647" xr:uid="{00000000-0005-0000-0000-00007D470000}"/>
    <cellStyle name="Normal 99 3 5" xfId="13567" xr:uid="{00000000-0005-0000-0000-00007E470000}"/>
    <cellStyle name="Normal 99 3 5 2" xfId="22247" xr:uid="{00000000-0005-0000-0000-00007F470000}"/>
    <cellStyle name="Normal 99 3 6" xfId="15740" xr:uid="{00000000-0005-0000-0000-000080470000}"/>
    <cellStyle name="Normal 99 4" xfId="3844" xr:uid="{00000000-0005-0000-0000-000081470000}"/>
    <cellStyle name="Normal 99 4 2" xfId="10351" xr:uid="{00000000-0005-0000-0000-000082470000}"/>
    <cellStyle name="Normal 99 4 2 2" xfId="19101" xr:uid="{00000000-0005-0000-0000-000083470000}"/>
    <cellStyle name="Normal 99 4 3" xfId="8749" xr:uid="{00000000-0005-0000-0000-000084470000}"/>
    <cellStyle name="Normal 99 4 3 2" xfId="17502" xr:uid="{00000000-0005-0000-0000-000085470000}"/>
    <cellStyle name="Normal 99 4 4" xfId="11961" xr:uid="{00000000-0005-0000-0000-000086470000}"/>
    <cellStyle name="Normal 99 4 4 2" xfId="20648" xr:uid="{00000000-0005-0000-0000-000087470000}"/>
    <cellStyle name="Normal 99 4 5" xfId="13568" xr:uid="{00000000-0005-0000-0000-000088470000}"/>
    <cellStyle name="Normal 99 4 5 2" xfId="22248" xr:uid="{00000000-0005-0000-0000-000089470000}"/>
    <cellStyle name="Normal 99 4 6" xfId="15741" xr:uid="{00000000-0005-0000-0000-00008A470000}"/>
    <cellStyle name="Normal 99 5" xfId="10348" xr:uid="{00000000-0005-0000-0000-00008B470000}"/>
    <cellStyle name="Normal 99 5 2" xfId="19098" xr:uid="{00000000-0005-0000-0000-00008C470000}"/>
    <cellStyle name="Normal 99 6" xfId="8746" xr:uid="{00000000-0005-0000-0000-00008D470000}"/>
    <cellStyle name="Normal 99 6 2" xfId="17499" xr:uid="{00000000-0005-0000-0000-00008E470000}"/>
    <cellStyle name="Normal 99 7" xfId="11958" xr:uid="{00000000-0005-0000-0000-00008F470000}"/>
    <cellStyle name="Normal 99 7 2" xfId="20645" xr:uid="{00000000-0005-0000-0000-000090470000}"/>
    <cellStyle name="Normal 99 8" xfId="13565" xr:uid="{00000000-0005-0000-0000-000091470000}"/>
    <cellStyle name="Normal 99 8 2" xfId="22245" xr:uid="{00000000-0005-0000-0000-000092470000}"/>
    <cellStyle name="Normal 99 9" xfId="15738" xr:uid="{00000000-0005-0000-0000-000093470000}"/>
    <cellStyle name="Normal Bold" xfId="3845" xr:uid="{00000000-0005-0000-0000-000094470000}"/>
    <cellStyle name="Normal Pct" xfId="3846" xr:uid="{00000000-0005-0000-0000-000095470000}"/>
    <cellStyle name="Normal_BOOK INFO_PUBLICO_2005_2010" xfId="70" xr:uid="{00000000-0005-0000-0000-000096470000}"/>
    <cellStyle name="Normal_BOOK INFO_PUBLICO_2005_2010 2" xfId="113" xr:uid="{00000000-0005-0000-0000-000097470000}"/>
    <cellStyle name="Normal_BOOK INFO_PUBLICO_2005_2010_Book_2005_2T11-1" xfId="71" xr:uid="{00000000-0005-0000-0000-000098470000}"/>
    <cellStyle name="Normal_BOOK INFO_PUBLICO_2005_2010_Book_2005_2T11emerson" xfId="72" xr:uid="{00000000-0005-0000-0000-000099470000}"/>
    <cellStyle name="Normal1" xfId="3847" xr:uid="{00000000-0005-0000-0000-00009A470000}"/>
    <cellStyle name="Normal1 10" xfId="3848" xr:uid="{00000000-0005-0000-0000-00009B470000}"/>
    <cellStyle name="Normal1 11" xfId="3849" xr:uid="{00000000-0005-0000-0000-00009C470000}"/>
    <cellStyle name="Normal1 12" xfId="3850" xr:uid="{00000000-0005-0000-0000-00009D470000}"/>
    <cellStyle name="Normal1 2" xfId="3851" xr:uid="{00000000-0005-0000-0000-00009E470000}"/>
    <cellStyle name="Normal1 2 2" xfId="3852" xr:uid="{00000000-0005-0000-0000-00009F470000}"/>
    <cellStyle name="Normal1 2 3" xfId="3853" xr:uid="{00000000-0005-0000-0000-0000A0470000}"/>
    <cellStyle name="Normal1 2 4" xfId="3854" xr:uid="{00000000-0005-0000-0000-0000A1470000}"/>
    <cellStyle name="Normal1 2 5" xfId="3855" xr:uid="{00000000-0005-0000-0000-0000A2470000}"/>
    <cellStyle name="Normal1 2 6" xfId="3856" xr:uid="{00000000-0005-0000-0000-0000A3470000}"/>
    <cellStyle name="Normal1 3" xfId="3857" xr:uid="{00000000-0005-0000-0000-0000A4470000}"/>
    <cellStyle name="Normal1 3 2" xfId="3858" xr:uid="{00000000-0005-0000-0000-0000A5470000}"/>
    <cellStyle name="Normal1 3 3" xfId="3859" xr:uid="{00000000-0005-0000-0000-0000A6470000}"/>
    <cellStyle name="Normal1 3 4" xfId="3860" xr:uid="{00000000-0005-0000-0000-0000A7470000}"/>
    <cellStyle name="Normal1 3 5" xfId="3861" xr:uid="{00000000-0005-0000-0000-0000A8470000}"/>
    <cellStyle name="Normal1 3 6" xfId="3862" xr:uid="{00000000-0005-0000-0000-0000A9470000}"/>
    <cellStyle name="Normal1 4" xfId="3863" xr:uid="{00000000-0005-0000-0000-0000AA470000}"/>
    <cellStyle name="Normal1 4 2" xfId="3864" xr:uid="{00000000-0005-0000-0000-0000AB470000}"/>
    <cellStyle name="Normal1 4 3" xfId="3865" xr:uid="{00000000-0005-0000-0000-0000AC470000}"/>
    <cellStyle name="Normal1 4 4" xfId="3866" xr:uid="{00000000-0005-0000-0000-0000AD470000}"/>
    <cellStyle name="Normal1 4 5" xfId="3867" xr:uid="{00000000-0005-0000-0000-0000AE470000}"/>
    <cellStyle name="Normal1 4 6" xfId="3868" xr:uid="{00000000-0005-0000-0000-0000AF470000}"/>
    <cellStyle name="Normal1 5" xfId="3869" xr:uid="{00000000-0005-0000-0000-0000B0470000}"/>
    <cellStyle name="Normal1 5 2" xfId="3870" xr:uid="{00000000-0005-0000-0000-0000B1470000}"/>
    <cellStyle name="Normal1 5 3" xfId="3871" xr:uid="{00000000-0005-0000-0000-0000B2470000}"/>
    <cellStyle name="Normal1 5 4" xfId="3872" xr:uid="{00000000-0005-0000-0000-0000B3470000}"/>
    <cellStyle name="Normal1 5 5" xfId="3873" xr:uid="{00000000-0005-0000-0000-0000B4470000}"/>
    <cellStyle name="Normal1 5 6" xfId="3874" xr:uid="{00000000-0005-0000-0000-0000B5470000}"/>
    <cellStyle name="Normal1 5 7" xfId="3875" xr:uid="{00000000-0005-0000-0000-0000B6470000}"/>
    <cellStyle name="Normal1 6" xfId="3876" xr:uid="{00000000-0005-0000-0000-0000B7470000}"/>
    <cellStyle name="Normal1 6 2" xfId="3877" xr:uid="{00000000-0005-0000-0000-0000B8470000}"/>
    <cellStyle name="Normal1 6 3" xfId="3878" xr:uid="{00000000-0005-0000-0000-0000B9470000}"/>
    <cellStyle name="Normal1 6 4" xfId="3879" xr:uid="{00000000-0005-0000-0000-0000BA470000}"/>
    <cellStyle name="Normal1 6 5" xfId="3880" xr:uid="{00000000-0005-0000-0000-0000BB470000}"/>
    <cellStyle name="Normal1 6 6" xfId="3881" xr:uid="{00000000-0005-0000-0000-0000BC470000}"/>
    <cellStyle name="Normal1 7" xfId="3882" xr:uid="{00000000-0005-0000-0000-0000BD470000}"/>
    <cellStyle name="Normal1 7 2" xfId="3883" xr:uid="{00000000-0005-0000-0000-0000BE470000}"/>
    <cellStyle name="Normal1 7 3" xfId="3884" xr:uid="{00000000-0005-0000-0000-0000BF470000}"/>
    <cellStyle name="Normal1 7 4" xfId="3885" xr:uid="{00000000-0005-0000-0000-0000C0470000}"/>
    <cellStyle name="Normal1 7 5" xfId="3886" xr:uid="{00000000-0005-0000-0000-0000C1470000}"/>
    <cellStyle name="Normal1 7 6" xfId="3887" xr:uid="{00000000-0005-0000-0000-0000C2470000}"/>
    <cellStyle name="Normal1 8" xfId="3888" xr:uid="{00000000-0005-0000-0000-0000C3470000}"/>
    <cellStyle name="Normal1 9" xfId="3889" xr:uid="{00000000-0005-0000-0000-0000C4470000}"/>
    <cellStyle name="Normal2" xfId="3890" xr:uid="{00000000-0005-0000-0000-0000C5470000}"/>
    <cellStyle name="NormalGB" xfId="5091" xr:uid="{00000000-0005-0000-0000-0000C6470000}"/>
    <cellStyle name="Nota" xfId="73" xr:uid="{00000000-0005-0000-0000-0000C7470000}"/>
    <cellStyle name="Nota 10" xfId="5572" xr:uid="{00000000-0005-0000-0000-0000C8470000}"/>
    <cellStyle name="Nota 10 2" xfId="7398" xr:uid="{00000000-0005-0000-0000-0000C9470000}"/>
    <cellStyle name="Nota 10 2 2" xfId="14734" xr:uid="{00000000-0005-0000-0000-0000CA470000}"/>
    <cellStyle name="Nota 10 3" xfId="14069" xr:uid="{00000000-0005-0000-0000-0000CB470000}"/>
    <cellStyle name="Nota 10 4" xfId="16087" xr:uid="{00000000-0005-0000-0000-0000CC470000}"/>
    <cellStyle name="Nota 11" xfId="5523" xr:uid="{00000000-0005-0000-0000-0000CD470000}"/>
    <cellStyle name="Nota 11 2" xfId="14053" xr:uid="{00000000-0005-0000-0000-0000CE470000}"/>
    <cellStyle name="Nota 11 3" xfId="22532" xr:uid="{00000000-0005-0000-0000-0000CF470000}"/>
    <cellStyle name="Nota 12" xfId="5575" xr:uid="{00000000-0005-0000-0000-0000D0470000}"/>
    <cellStyle name="Nota 12 2" xfId="14070" xr:uid="{00000000-0005-0000-0000-0000D1470000}"/>
    <cellStyle name="Nota 12 3" xfId="16091" xr:uid="{00000000-0005-0000-0000-0000D2470000}"/>
    <cellStyle name="Nota 13" xfId="5519" xr:uid="{00000000-0005-0000-0000-0000D3470000}"/>
    <cellStyle name="Nota 13 2" xfId="14050" xr:uid="{00000000-0005-0000-0000-0000D4470000}"/>
    <cellStyle name="Nota 13 3" xfId="22537" xr:uid="{00000000-0005-0000-0000-0000D5470000}"/>
    <cellStyle name="Nota 14" xfId="5627" xr:uid="{00000000-0005-0000-0000-0000D6470000}"/>
    <cellStyle name="Nota 14 2" xfId="14088" xr:uid="{00000000-0005-0000-0000-0000D7470000}"/>
    <cellStyle name="Nota 14 3" xfId="16133" xr:uid="{00000000-0005-0000-0000-0000D8470000}"/>
    <cellStyle name="Nota 15" xfId="5731" xr:uid="{00000000-0005-0000-0000-0000D9470000}"/>
    <cellStyle name="Nota 15 2" xfId="14116" xr:uid="{00000000-0005-0000-0000-0000DA470000}"/>
    <cellStyle name="Nota 15 3" xfId="14052" xr:uid="{00000000-0005-0000-0000-0000DB470000}"/>
    <cellStyle name="Nota 16" xfId="5711" xr:uid="{00000000-0005-0000-0000-0000DC470000}"/>
    <cellStyle name="Nota 16 2" xfId="14113" xr:uid="{00000000-0005-0000-0000-0000DD470000}"/>
    <cellStyle name="Nota 16 3" xfId="14493" xr:uid="{00000000-0005-0000-0000-0000DE470000}"/>
    <cellStyle name="Nota 2" xfId="3891" xr:uid="{00000000-0005-0000-0000-0000DF470000}"/>
    <cellStyle name="Nota 2 10" xfId="13912" xr:uid="{00000000-0005-0000-0000-0000E0470000}"/>
    <cellStyle name="Nota 2 11" xfId="15742" xr:uid="{00000000-0005-0000-0000-0000E1470000}"/>
    <cellStyle name="Nota 2 12" xfId="22553" xr:uid="{00000000-0005-0000-0000-0000E2470000}"/>
    <cellStyle name="Nota 2 2" xfId="3892" xr:uid="{00000000-0005-0000-0000-0000E3470000}"/>
    <cellStyle name="Nota 2 2 2" xfId="6946" xr:uid="{00000000-0005-0000-0000-0000E4470000}"/>
    <cellStyle name="Nota 2 2 2 2" xfId="6947" xr:uid="{00000000-0005-0000-0000-0000E5470000}"/>
    <cellStyle name="Nota 2 2 2 2 2" xfId="6948" xr:uid="{00000000-0005-0000-0000-0000E6470000}"/>
    <cellStyle name="Nota 2 2 2 2 2 2" xfId="6949" xr:uid="{00000000-0005-0000-0000-0000E7470000}"/>
    <cellStyle name="Nota 2 2 2 2 2 2 2" xfId="6950" xr:uid="{00000000-0005-0000-0000-0000E8470000}"/>
    <cellStyle name="Nota 2 2 2 2 2 2 2 2" xfId="6951" xr:uid="{00000000-0005-0000-0000-0000E9470000}"/>
    <cellStyle name="Nota 2 2 2 2 2 2 2 2 2" xfId="14574" xr:uid="{00000000-0005-0000-0000-0000EA470000}"/>
    <cellStyle name="Nota 2 2 2 2 2 2 2 2 3" xfId="22616" xr:uid="{00000000-0005-0000-0000-0000EB470000}"/>
    <cellStyle name="Nota 2 2 2 2 2 2 2 3" xfId="14573" xr:uid="{00000000-0005-0000-0000-0000EC470000}"/>
    <cellStyle name="Nota 2 2 2 2 2 2 3" xfId="6952" xr:uid="{00000000-0005-0000-0000-0000ED470000}"/>
    <cellStyle name="Nota 2 2 2 2 2 2 3 2" xfId="14575" xr:uid="{00000000-0005-0000-0000-0000EE470000}"/>
    <cellStyle name="Nota 2 2 2 2 2 2 3 3" xfId="22601" xr:uid="{00000000-0005-0000-0000-0000EF470000}"/>
    <cellStyle name="Nota 2 2 2 2 2 2 4" xfId="14572" xr:uid="{00000000-0005-0000-0000-0000F0470000}"/>
    <cellStyle name="Nota 2 2 2 2 2 2 5" xfId="22570" xr:uid="{00000000-0005-0000-0000-0000F1470000}"/>
    <cellStyle name="Nota 2 2 2 2 2 3" xfId="6953" xr:uid="{00000000-0005-0000-0000-0000F2470000}"/>
    <cellStyle name="Nota 2 2 2 2 2 3 2" xfId="6954" xr:uid="{00000000-0005-0000-0000-0000F3470000}"/>
    <cellStyle name="Nota 2 2 2 2 2 3 2 2" xfId="14577" xr:uid="{00000000-0005-0000-0000-0000F4470000}"/>
    <cellStyle name="Nota 2 2 2 2 2 3 3" xfId="14576" xr:uid="{00000000-0005-0000-0000-0000F5470000}"/>
    <cellStyle name="Nota 2 2 2 2 2 3 4" xfId="22573" xr:uid="{00000000-0005-0000-0000-0000F6470000}"/>
    <cellStyle name="Nota 2 2 2 2 2 4" xfId="14571" xr:uid="{00000000-0005-0000-0000-0000F7470000}"/>
    <cellStyle name="Nota 2 2 2 2 3" xfId="6955" xr:uid="{00000000-0005-0000-0000-0000F8470000}"/>
    <cellStyle name="Nota 2 2 2 2 3 2" xfId="6956" xr:uid="{00000000-0005-0000-0000-0000F9470000}"/>
    <cellStyle name="Nota 2 2 2 2 3 2 2" xfId="14579" xr:uid="{00000000-0005-0000-0000-0000FA470000}"/>
    <cellStyle name="Nota 2 2 2 2 3 2 3" xfId="22615" xr:uid="{00000000-0005-0000-0000-0000FB470000}"/>
    <cellStyle name="Nota 2 2 2 2 3 3" xfId="14578" xr:uid="{00000000-0005-0000-0000-0000FC470000}"/>
    <cellStyle name="Nota 2 2 2 2 4" xfId="14570" xr:uid="{00000000-0005-0000-0000-0000FD470000}"/>
    <cellStyle name="Nota 2 2 2 2 5" xfId="22614" xr:uid="{00000000-0005-0000-0000-0000FE470000}"/>
    <cellStyle name="Nota 2 2 2 3" xfId="6957" xr:uid="{00000000-0005-0000-0000-0000FF470000}"/>
    <cellStyle name="Nota 2 2 2 3 2" xfId="14580" xr:uid="{00000000-0005-0000-0000-000000480000}"/>
    <cellStyle name="Nota 2 2 2 3 3" xfId="22600" xr:uid="{00000000-0005-0000-0000-000001480000}"/>
    <cellStyle name="Nota 2 2 2 4" xfId="6958" xr:uid="{00000000-0005-0000-0000-000002480000}"/>
    <cellStyle name="Nota 2 2 2 4 2" xfId="6959" xr:uid="{00000000-0005-0000-0000-000003480000}"/>
    <cellStyle name="Nota 2 2 2 4 2 2" xfId="14582" xr:uid="{00000000-0005-0000-0000-000004480000}"/>
    <cellStyle name="Nota 2 2 2 4 3" xfId="14581" xr:uid="{00000000-0005-0000-0000-000005480000}"/>
    <cellStyle name="Nota 2 2 2 4 4" xfId="22572" xr:uid="{00000000-0005-0000-0000-000006480000}"/>
    <cellStyle name="Nota 2 2 2 5" xfId="14569" xr:uid="{00000000-0005-0000-0000-000007480000}"/>
    <cellStyle name="Nota 2 2 3" xfId="6960" xr:uid="{00000000-0005-0000-0000-000008480000}"/>
    <cellStyle name="Nota 2 2 3 2" xfId="14583" xr:uid="{00000000-0005-0000-0000-000009480000}"/>
    <cellStyle name="Nota 2 2 4" xfId="6961" xr:uid="{00000000-0005-0000-0000-00000A480000}"/>
    <cellStyle name="Nota 2 2 4 2" xfId="6962" xr:uid="{00000000-0005-0000-0000-00000B480000}"/>
    <cellStyle name="Nota 2 2 4 2 2" xfId="14585" xr:uid="{00000000-0005-0000-0000-00000C480000}"/>
    <cellStyle name="Nota 2 2 4 2 3" xfId="22599" xr:uid="{00000000-0005-0000-0000-00000D480000}"/>
    <cellStyle name="Nota 2 2 4 3" xfId="14584" xr:uid="{00000000-0005-0000-0000-00000E480000}"/>
    <cellStyle name="Nota 2 2 5" xfId="6945" xr:uid="{00000000-0005-0000-0000-00000F480000}"/>
    <cellStyle name="Nota 2 2 5 2" xfId="16151" xr:uid="{00000000-0005-0000-0000-000010480000}"/>
    <cellStyle name="Nota 2 2 6" xfId="14568" xr:uid="{00000000-0005-0000-0000-000011480000}"/>
    <cellStyle name="Nota 2 2 7" xfId="22585" xr:uid="{00000000-0005-0000-0000-000012480000}"/>
    <cellStyle name="Nota 2 3" xfId="3893" xr:uid="{00000000-0005-0000-0000-000013480000}"/>
    <cellStyle name="Nota 2 3 2" xfId="6963" xr:uid="{00000000-0005-0000-0000-000014480000}"/>
    <cellStyle name="Nota 2 3 2 2" xfId="16152" xr:uid="{00000000-0005-0000-0000-000015480000}"/>
    <cellStyle name="Nota 2 3 3" xfId="14586" xr:uid="{00000000-0005-0000-0000-000016480000}"/>
    <cellStyle name="Nota 2 3 4" xfId="22571" xr:uid="{00000000-0005-0000-0000-000017480000}"/>
    <cellStyle name="Nota 2 4" xfId="3894" xr:uid="{00000000-0005-0000-0000-000018480000}"/>
    <cellStyle name="Nota 2 4 2" xfId="6964" xr:uid="{00000000-0005-0000-0000-000019480000}"/>
    <cellStyle name="Nota 2 4 2 2" xfId="16153" xr:uid="{00000000-0005-0000-0000-00001A480000}"/>
    <cellStyle name="Nota 2 4 3" xfId="14587" xr:uid="{00000000-0005-0000-0000-00001B480000}"/>
    <cellStyle name="Nota 2 4 4" xfId="22584" xr:uid="{00000000-0005-0000-0000-00001C480000}"/>
    <cellStyle name="Nota 2 5" xfId="6965" xr:uid="{00000000-0005-0000-0000-00001D480000}"/>
    <cellStyle name="Nota 2 5 2" xfId="14588" xr:uid="{00000000-0005-0000-0000-00001E480000}"/>
    <cellStyle name="Nota 2 5 3" xfId="14736" xr:uid="{00000000-0005-0000-0000-00001F480000}"/>
    <cellStyle name="Nota 2 6" xfId="6966" xr:uid="{00000000-0005-0000-0000-000020480000}"/>
    <cellStyle name="Nota 2 6 2" xfId="6967" xr:uid="{00000000-0005-0000-0000-000021480000}"/>
    <cellStyle name="Nota 2 6 2 2" xfId="14590" xr:uid="{00000000-0005-0000-0000-000022480000}"/>
    <cellStyle name="Nota 2 6 3" xfId="14589" xr:uid="{00000000-0005-0000-0000-000023480000}"/>
    <cellStyle name="Nota 2 6 4" xfId="14771" xr:uid="{00000000-0005-0000-0000-000024480000}"/>
    <cellStyle name="Nota 2 7" xfId="6944" xr:uid="{00000000-0005-0000-0000-000025480000}"/>
    <cellStyle name="Nota 2 7 2" xfId="14567" xr:uid="{00000000-0005-0000-0000-000026480000}"/>
    <cellStyle name="Nota 2 8" xfId="5092" xr:uid="{00000000-0005-0000-0000-000027480000}"/>
    <cellStyle name="Nota 2 8 2" xfId="16072" xr:uid="{00000000-0005-0000-0000-000028480000}"/>
    <cellStyle name="Nota 2 9" xfId="10538" xr:uid="{00000000-0005-0000-0000-000029480000}"/>
    <cellStyle name="Nota 2 9 2" xfId="19265" xr:uid="{00000000-0005-0000-0000-00002A480000}"/>
    <cellStyle name="Nota 3" xfId="3895" xr:uid="{00000000-0005-0000-0000-00002B480000}"/>
    <cellStyle name="Nota 3 10" xfId="16112" xr:uid="{00000000-0005-0000-0000-00002C480000}"/>
    <cellStyle name="Nota 3 2" xfId="3896" xr:uid="{00000000-0005-0000-0000-00002D480000}"/>
    <cellStyle name="Nota 3 2 2" xfId="6969" xr:uid="{00000000-0005-0000-0000-00002E480000}"/>
    <cellStyle name="Nota 3 2 2 2" xfId="16154" xr:uid="{00000000-0005-0000-0000-00002F480000}"/>
    <cellStyle name="Nota 3 2 3" xfId="14592" xr:uid="{00000000-0005-0000-0000-000030480000}"/>
    <cellStyle name="Nota 3 3" xfId="3897" xr:uid="{00000000-0005-0000-0000-000031480000}"/>
    <cellStyle name="Nota 3 3 2" xfId="6970" xr:uid="{00000000-0005-0000-0000-000032480000}"/>
    <cellStyle name="Nota 3 3 2 2" xfId="16155" xr:uid="{00000000-0005-0000-0000-000033480000}"/>
    <cellStyle name="Nota 3 3 3" xfId="14593" xr:uid="{00000000-0005-0000-0000-000034480000}"/>
    <cellStyle name="Nota 3 4" xfId="3898" xr:uid="{00000000-0005-0000-0000-000035480000}"/>
    <cellStyle name="Nota 3 4 2" xfId="6971" xr:uid="{00000000-0005-0000-0000-000036480000}"/>
    <cellStyle name="Nota 3 4 2 2" xfId="16156" xr:uid="{00000000-0005-0000-0000-000037480000}"/>
    <cellStyle name="Nota 3 4 3" xfId="14594" xr:uid="{00000000-0005-0000-0000-000038480000}"/>
    <cellStyle name="Nota 3 5" xfId="6968" xr:uid="{00000000-0005-0000-0000-000039480000}"/>
    <cellStyle name="Nota 3 5 2" xfId="14591" xr:uid="{00000000-0005-0000-0000-00003A480000}"/>
    <cellStyle name="Nota 3 6" xfId="5305" xr:uid="{00000000-0005-0000-0000-00003B480000}"/>
    <cellStyle name="Nota 3 6 2" xfId="16083" xr:uid="{00000000-0005-0000-0000-00003C480000}"/>
    <cellStyle name="Nota 3 7" xfId="10539" xr:uid="{00000000-0005-0000-0000-00003D480000}"/>
    <cellStyle name="Nota 3 7 2" xfId="19266" xr:uid="{00000000-0005-0000-0000-00003E480000}"/>
    <cellStyle name="Nota 3 8" xfId="13980" xr:uid="{00000000-0005-0000-0000-00003F480000}"/>
    <cellStyle name="Nota 3 9" xfId="15743" xr:uid="{00000000-0005-0000-0000-000040480000}"/>
    <cellStyle name="Nota 4" xfId="3899" xr:uid="{00000000-0005-0000-0000-000041480000}"/>
    <cellStyle name="Nota 4 2" xfId="3900" xr:uid="{00000000-0005-0000-0000-000042480000}"/>
    <cellStyle name="Nota 4 2 2" xfId="6973" xr:uid="{00000000-0005-0000-0000-000043480000}"/>
    <cellStyle name="Nota 4 2 2 2" xfId="16158" xr:uid="{00000000-0005-0000-0000-000044480000}"/>
    <cellStyle name="Nota 4 2 3" xfId="14596" xr:uid="{00000000-0005-0000-0000-000045480000}"/>
    <cellStyle name="Nota 4 3" xfId="3901" xr:uid="{00000000-0005-0000-0000-000046480000}"/>
    <cellStyle name="Nota 4 3 2" xfId="6974" xr:uid="{00000000-0005-0000-0000-000047480000}"/>
    <cellStyle name="Nota 4 3 2 2" xfId="16159" xr:uid="{00000000-0005-0000-0000-000048480000}"/>
    <cellStyle name="Nota 4 3 3" xfId="14597" xr:uid="{00000000-0005-0000-0000-000049480000}"/>
    <cellStyle name="Nota 4 4" xfId="3902" xr:uid="{00000000-0005-0000-0000-00004A480000}"/>
    <cellStyle name="Nota 4 4 2" xfId="6972" xr:uid="{00000000-0005-0000-0000-00004B480000}"/>
    <cellStyle name="Nota 4 4 2 2" xfId="16157" xr:uid="{00000000-0005-0000-0000-00004C480000}"/>
    <cellStyle name="Nota 4 4 3" xfId="14595" xr:uid="{00000000-0005-0000-0000-00004D480000}"/>
    <cellStyle name="Nota 4 5" xfId="5242" xr:uid="{00000000-0005-0000-0000-00004E480000}"/>
    <cellStyle name="Nota 4 5 2" xfId="16082" xr:uid="{00000000-0005-0000-0000-00004F480000}"/>
    <cellStyle name="Nota 4 6" xfId="10540" xr:uid="{00000000-0005-0000-0000-000050480000}"/>
    <cellStyle name="Nota 4 6 2" xfId="19267" xr:uid="{00000000-0005-0000-0000-000051480000}"/>
    <cellStyle name="Nota 4 7" xfId="13963" xr:uid="{00000000-0005-0000-0000-000052480000}"/>
    <cellStyle name="Nota 4 8" xfId="15744" xr:uid="{00000000-0005-0000-0000-000053480000}"/>
    <cellStyle name="Nota 4 9" xfId="16117" xr:uid="{00000000-0005-0000-0000-000054480000}"/>
    <cellStyle name="Nota 5" xfId="3903" xr:uid="{00000000-0005-0000-0000-000055480000}"/>
    <cellStyle name="Nota 5 2" xfId="6976" xr:uid="{00000000-0005-0000-0000-000056480000}"/>
    <cellStyle name="Nota 5 2 2" xfId="14599" xr:uid="{00000000-0005-0000-0000-000057480000}"/>
    <cellStyle name="Nota 5 3" xfId="6975" xr:uid="{00000000-0005-0000-0000-000058480000}"/>
    <cellStyle name="Nota 5 3 2" xfId="14598" xr:uid="{00000000-0005-0000-0000-000059480000}"/>
    <cellStyle name="Nota 5 4" xfId="5308" xr:uid="{00000000-0005-0000-0000-00005A480000}"/>
    <cellStyle name="Nota 5 4 2" xfId="16084" xr:uid="{00000000-0005-0000-0000-00005B480000}"/>
    <cellStyle name="Nota 5 5" xfId="10541" xr:uid="{00000000-0005-0000-0000-00005C480000}"/>
    <cellStyle name="Nota 5 5 2" xfId="19268" xr:uid="{00000000-0005-0000-0000-00005D480000}"/>
    <cellStyle name="Nota 5 6" xfId="13981" xr:uid="{00000000-0005-0000-0000-00005E480000}"/>
    <cellStyle name="Nota 5 7" xfId="15745" xr:uid="{00000000-0005-0000-0000-00005F480000}"/>
    <cellStyle name="Nota 5 8" xfId="16162" xr:uid="{00000000-0005-0000-0000-000060480000}"/>
    <cellStyle name="Nota 6" xfId="3904" xr:uid="{00000000-0005-0000-0000-000061480000}"/>
    <cellStyle name="Nota 6 2" xfId="6978" xr:uid="{00000000-0005-0000-0000-000062480000}"/>
    <cellStyle name="Nota 6 2 2" xfId="14601" xr:uid="{00000000-0005-0000-0000-000063480000}"/>
    <cellStyle name="Nota 6 2 3" xfId="22569" xr:uid="{00000000-0005-0000-0000-000064480000}"/>
    <cellStyle name="Nota 6 3" xfId="7373" xr:uid="{00000000-0005-0000-0000-000065480000}"/>
    <cellStyle name="Nota 6 3 2" xfId="14727" xr:uid="{00000000-0005-0000-0000-000066480000}"/>
    <cellStyle name="Nota 6 4" xfId="6977" xr:uid="{00000000-0005-0000-0000-000067480000}"/>
    <cellStyle name="Nota 6 4 2" xfId="14600" xr:uid="{00000000-0005-0000-0000-000068480000}"/>
    <cellStyle name="Nota 6 5" xfId="5236" xr:uid="{00000000-0005-0000-0000-000069480000}"/>
    <cellStyle name="Nota 6 5 2" xfId="16081" xr:uid="{00000000-0005-0000-0000-00006A480000}"/>
    <cellStyle name="Nota 6 6" xfId="10542" xr:uid="{00000000-0005-0000-0000-00006B480000}"/>
    <cellStyle name="Nota 6 6 2" xfId="19269" xr:uid="{00000000-0005-0000-0000-00006C480000}"/>
    <cellStyle name="Nota 6 7" xfId="13961" xr:uid="{00000000-0005-0000-0000-00006D480000}"/>
    <cellStyle name="Nota 6 8" xfId="15746" xr:uid="{00000000-0005-0000-0000-00006E480000}"/>
    <cellStyle name="Nota 6 9" xfId="16080" xr:uid="{00000000-0005-0000-0000-00006F480000}"/>
    <cellStyle name="Nota 7" xfId="3905" xr:uid="{00000000-0005-0000-0000-000070480000}"/>
    <cellStyle name="Nota 7 2" xfId="7374" xr:uid="{00000000-0005-0000-0000-000071480000}"/>
    <cellStyle name="Nota 7 2 2" xfId="14728" xr:uid="{00000000-0005-0000-0000-000072480000}"/>
    <cellStyle name="Nota 7 3" xfId="6979" xr:uid="{00000000-0005-0000-0000-000073480000}"/>
    <cellStyle name="Nota 7 3 2" xfId="14602" xr:uid="{00000000-0005-0000-0000-000074480000}"/>
    <cellStyle name="Nota 7 4" xfId="5364" xr:uid="{00000000-0005-0000-0000-000075480000}"/>
    <cellStyle name="Nota 7 4 2" xfId="16086" xr:uid="{00000000-0005-0000-0000-000076480000}"/>
    <cellStyle name="Nota 7 5" xfId="10543" xr:uid="{00000000-0005-0000-0000-000077480000}"/>
    <cellStyle name="Nota 7 5 2" xfId="19270" xr:uid="{00000000-0005-0000-0000-000078480000}"/>
    <cellStyle name="Nota 7 6" xfId="14005" xr:uid="{00000000-0005-0000-0000-000079480000}"/>
    <cellStyle name="Nota 7 7" xfId="15747" xr:uid="{00000000-0005-0000-0000-00007A480000}"/>
    <cellStyle name="Nota 7 8" xfId="16122" xr:uid="{00000000-0005-0000-0000-00007B480000}"/>
    <cellStyle name="Nota 8" xfId="5392" xr:uid="{00000000-0005-0000-0000-00007C480000}"/>
    <cellStyle name="Nota 8 2" xfId="7372" xr:uid="{00000000-0005-0000-0000-00007D480000}"/>
    <cellStyle name="Nota 8 2 2" xfId="14726" xr:uid="{00000000-0005-0000-0000-00007E480000}"/>
    <cellStyle name="Nota 8 2 3" xfId="14510" xr:uid="{00000000-0005-0000-0000-00007F480000}"/>
    <cellStyle name="Nota 8 3" xfId="14015" xr:uid="{00000000-0005-0000-0000-000080480000}"/>
    <cellStyle name="Nota 8 4" xfId="16124" xr:uid="{00000000-0005-0000-0000-000081480000}"/>
    <cellStyle name="Nota 9" xfId="5419" xr:uid="{00000000-0005-0000-0000-000082480000}"/>
    <cellStyle name="Nota 9 2" xfId="6943" xr:uid="{00000000-0005-0000-0000-000083480000}"/>
    <cellStyle name="Nota 9 2 2" xfId="14566" xr:uid="{00000000-0005-0000-0000-000084480000}"/>
    <cellStyle name="Nota 9 2 3" xfId="22602" xr:uid="{00000000-0005-0000-0000-000085480000}"/>
    <cellStyle name="Nota 9 3" xfId="14023" xr:uid="{00000000-0005-0000-0000-000086480000}"/>
    <cellStyle name="Nota 9 4" xfId="16126" xr:uid="{00000000-0005-0000-0000-000087480000}"/>
    <cellStyle name="Notas" xfId="3906" xr:uid="{00000000-0005-0000-0000-000088480000}"/>
    <cellStyle name="Notas 2" xfId="3907" xr:uid="{00000000-0005-0000-0000-000089480000}"/>
    <cellStyle name="Notas 2 2" xfId="10545" xr:uid="{00000000-0005-0000-0000-00008A480000}"/>
    <cellStyle name="Notas 2 2 2" xfId="19272" xr:uid="{00000000-0005-0000-0000-00008B480000}"/>
    <cellStyle name="Notas 2 3" xfId="15749" xr:uid="{00000000-0005-0000-0000-00008C480000}"/>
    <cellStyle name="Notas 3" xfId="3908" xr:uid="{00000000-0005-0000-0000-00008D480000}"/>
    <cellStyle name="Notas 3 2" xfId="10546" xr:uid="{00000000-0005-0000-0000-00008E480000}"/>
    <cellStyle name="Notas 3 2 2" xfId="19273" xr:uid="{00000000-0005-0000-0000-00008F480000}"/>
    <cellStyle name="Notas 3 3" xfId="15750" xr:uid="{00000000-0005-0000-0000-000090480000}"/>
    <cellStyle name="Notas 4" xfId="10544" xr:uid="{00000000-0005-0000-0000-000091480000}"/>
    <cellStyle name="Notas 4 2" xfId="19271" xr:uid="{00000000-0005-0000-0000-000092480000}"/>
    <cellStyle name="Notas 5" xfId="15748" xr:uid="{00000000-0005-0000-0000-000093480000}"/>
    <cellStyle name="Note" xfId="74" xr:uid="{00000000-0005-0000-0000-000094480000}"/>
    <cellStyle name="Note 10" xfId="22552" xr:uid="{00000000-0005-0000-0000-000095480000}"/>
    <cellStyle name="Note 2" xfId="3910" xr:uid="{00000000-0005-0000-0000-000096480000}"/>
    <cellStyle name="Note 2 2" xfId="3911" xr:uid="{00000000-0005-0000-0000-000097480000}"/>
    <cellStyle name="Note 2 2 2" xfId="3912" xr:uid="{00000000-0005-0000-0000-000098480000}"/>
    <cellStyle name="Note 2 2 2 2" xfId="10550" xr:uid="{00000000-0005-0000-0000-000099480000}"/>
    <cellStyle name="Note 2 2 2 2 2" xfId="19277" xr:uid="{00000000-0005-0000-0000-00009A480000}"/>
    <cellStyle name="Note 2 2 2 3" xfId="15754" xr:uid="{00000000-0005-0000-0000-00009B480000}"/>
    <cellStyle name="Note 2 2 3" xfId="10549" xr:uid="{00000000-0005-0000-0000-00009C480000}"/>
    <cellStyle name="Note 2 2 3 2" xfId="19276" xr:uid="{00000000-0005-0000-0000-00009D480000}"/>
    <cellStyle name="Note 2 2 4" xfId="15753" xr:uid="{00000000-0005-0000-0000-00009E480000}"/>
    <cellStyle name="Note 2 3" xfId="3913" xr:uid="{00000000-0005-0000-0000-00009F480000}"/>
    <cellStyle name="Note 2 3 2" xfId="3914" xr:uid="{00000000-0005-0000-0000-0000A0480000}"/>
    <cellStyle name="Note 2 3 2 2" xfId="10552" xr:uid="{00000000-0005-0000-0000-0000A1480000}"/>
    <cellStyle name="Note 2 3 2 2 2" xfId="19279" xr:uid="{00000000-0005-0000-0000-0000A2480000}"/>
    <cellStyle name="Note 2 3 2 3" xfId="15756" xr:uid="{00000000-0005-0000-0000-0000A3480000}"/>
    <cellStyle name="Note 2 3 3" xfId="10551" xr:uid="{00000000-0005-0000-0000-0000A4480000}"/>
    <cellStyle name="Note 2 3 3 2" xfId="19278" xr:uid="{00000000-0005-0000-0000-0000A5480000}"/>
    <cellStyle name="Note 2 3 4" xfId="15755" xr:uid="{00000000-0005-0000-0000-0000A6480000}"/>
    <cellStyle name="Note 2 4" xfId="3915" xr:uid="{00000000-0005-0000-0000-0000A7480000}"/>
    <cellStyle name="Note 2 4 2" xfId="10553" xr:uid="{00000000-0005-0000-0000-0000A8480000}"/>
    <cellStyle name="Note 2 4 2 2" xfId="19280" xr:uid="{00000000-0005-0000-0000-0000A9480000}"/>
    <cellStyle name="Note 2 4 3" xfId="15757" xr:uid="{00000000-0005-0000-0000-0000AA480000}"/>
    <cellStyle name="Note 2 5" xfId="3916" xr:uid="{00000000-0005-0000-0000-0000AB480000}"/>
    <cellStyle name="Note 2 5 2" xfId="10554" xr:uid="{00000000-0005-0000-0000-0000AC480000}"/>
    <cellStyle name="Note 2 5 2 2" xfId="19281" xr:uid="{00000000-0005-0000-0000-0000AD480000}"/>
    <cellStyle name="Note 2 5 3" xfId="15758" xr:uid="{00000000-0005-0000-0000-0000AE480000}"/>
    <cellStyle name="Note 2 6" xfId="10548" xr:uid="{00000000-0005-0000-0000-0000AF480000}"/>
    <cellStyle name="Note 2 6 2" xfId="19275" xr:uid="{00000000-0005-0000-0000-0000B0480000}"/>
    <cellStyle name="Note 2 7" xfId="15752" xr:uid="{00000000-0005-0000-0000-0000B1480000}"/>
    <cellStyle name="Note 3" xfId="3917" xr:uid="{00000000-0005-0000-0000-0000B2480000}"/>
    <cellStyle name="Note 3 2" xfId="3918" xr:uid="{00000000-0005-0000-0000-0000B3480000}"/>
    <cellStyle name="Note 3 2 2" xfId="3919" xr:uid="{00000000-0005-0000-0000-0000B4480000}"/>
    <cellStyle name="Note 3 2 2 2" xfId="10557" xr:uid="{00000000-0005-0000-0000-0000B5480000}"/>
    <cellStyle name="Note 3 2 2 2 2" xfId="19284" xr:uid="{00000000-0005-0000-0000-0000B6480000}"/>
    <cellStyle name="Note 3 2 2 3" xfId="15761" xr:uid="{00000000-0005-0000-0000-0000B7480000}"/>
    <cellStyle name="Note 3 2 3" xfId="10556" xr:uid="{00000000-0005-0000-0000-0000B8480000}"/>
    <cellStyle name="Note 3 2 3 2" xfId="19283" xr:uid="{00000000-0005-0000-0000-0000B9480000}"/>
    <cellStyle name="Note 3 2 4" xfId="15760" xr:uid="{00000000-0005-0000-0000-0000BA480000}"/>
    <cellStyle name="Note 3 3" xfId="3920" xr:uid="{00000000-0005-0000-0000-0000BB480000}"/>
    <cellStyle name="Note 3 3 2" xfId="3921" xr:uid="{00000000-0005-0000-0000-0000BC480000}"/>
    <cellStyle name="Note 3 3 2 2" xfId="10559" xr:uid="{00000000-0005-0000-0000-0000BD480000}"/>
    <cellStyle name="Note 3 3 2 2 2" xfId="19286" xr:uid="{00000000-0005-0000-0000-0000BE480000}"/>
    <cellStyle name="Note 3 3 2 3" xfId="15763" xr:uid="{00000000-0005-0000-0000-0000BF480000}"/>
    <cellStyle name="Note 3 3 3" xfId="10558" xr:uid="{00000000-0005-0000-0000-0000C0480000}"/>
    <cellStyle name="Note 3 3 3 2" xfId="19285" xr:uid="{00000000-0005-0000-0000-0000C1480000}"/>
    <cellStyle name="Note 3 3 4" xfId="15762" xr:uid="{00000000-0005-0000-0000-0000C2480000}"/>
    <cellStyle name="Note 3 4" xfId="3922" xr:uid="{00000000-0005-0000-0000-0000C3480000}"/>
    <cellStyle name="Note 3 4 2" xfId="10560" xr:uid="{00000000-0005-0000-0000-0000C4480000}"/>
    <cellStyle name="Note 3 4 2 2" xfId="19287" xr:uid="{00000000-0005-0000-0000-0000C5480000}"/>
    <cellStyle name="Note 3 4 3" xfId="15764" xr:uid="{00000000-0005-0000-0000-0000C6480000}"/>
    <cellStyle name="Note 3 5" xfId="3923" xr:uid="{00000000-0005-0000-0000-0000C7480000}"/>
    <cellStyle name="Note 3 5 2" xfId="10561" xr:uid="{00000000-0005-0000-0000-0000C8480000}"/>
    <cellStyle name="Note 3 5 2 2" xfId="19288" xr:uid="{00000000-0005-0000-0000-0000C9480000}"/>
    <cellStyle name="Note 3 5 3" xfId="15765" xr:uid="{00000000-0005-0000-0000-0000CA480000}"/>
    <cellStyle name="Note 3 6" xfId="10555" xr:uid="{00000000-0005-0000-0000-0000CB480000}"/>
    <cellStyle name="Note 3 6 2" xfId="19282" xr:uid="{00000000-0005-0000-0000-0000CC480000}"/>
    <cellStyle name="Note 3 7" xfId="15759" xr:uid="{00000000-0005-0000-0000-0000CD480000}"/>
    <cellStyle name="Note 4" xfId="3924" xr:uid="{00000000-0005-0000-0000-0000CE480000}"/>
    <cellStyle name="Note 4 2" xfId="3925" xr:uid="{00000000-0005-0000-0000-0000CF480000}"/>
    <cellStyle name="Note 4 2 2" xfId="3926" xr:uid="{00000000-0005-0000-0000-0000D0480000}"/>
    <cellStyle name="Note 4 2 2 2" xfId="10564" xr:uid="{00000000-0005-0000-0000-0000D1480000}"/>
    <cellStyle name="Note 4 2 2 2 2" xfId="19291" xr:uid="{00000000-0005-0000-0000-0000D2480000}"/>
    <cellStyle name="Note 4 2 2 3" xfId="15768" xr:uid="{00000000-0005-0000-0000-0000D3480000}"/>
    <cellStyle name="Note 4 2 3" xfId="10563" xr:uid="{00000000-0005-0000-0000-0000D4480000}"/>
    <cellStyle name="Note 4 2 3 2" xfId="19290" xr:uid="{00000000-0005-0000-0000-0000D5480000}"/>
    <cellStyle name="Note 4 2 4" xfId="15767" xr:uid="{00000000-0005-0000-0000-0000D6480000}"/>
    <cellStyle name="Note 4 3" xfId="3927" xr:uid="{00000000-0005-0000-0000-0000D7480000}"/>
    <cellStyle name="Note 4 3 2" xfId="3928" xr:uid="{00000000-0005-0000-0000-0000D8480000}"/>
    <cellStyle name="Note 4 3 2 2" xfId="10566" xr:uid="{00000000-0005-0000-0000-0000D9480000}"/>
    <cellStyle name="Note 4 3 2 2 2" xfId="19293" xr:uid="{00000000-0005-0000-0000-0000DA480000}"/>
    <cellStyle name="Note 4 3 2 3" xfId="15770" xr:uid="{00000000-0005-0000-0000-0000DB480000}"/>
    <cellStyle name="Note 4 3 3" xfId="10565" xr:uid="{00000000-0005-0000-0000-0000DC480000}"/>
    <cellStyle name="Note 4 3 3 2" xfId="19292" xr:uid="{00000000-0005-0000-0000-0000DD480000}"/>
    <cellStyle name="Note 4 3 4" xfId="15769" xr:uid="{00000000-0005-0000-0000-0000DE480000}"/>
    <cellStyle name="Note 4 4" xfId="3929" xr:uid="{00000000-0005-0000-0000-0000DF480000}"/>
    <cellStyle name="Note 4 4 2" xfId="10567" xr:uid="{00000000-0005-0000-0000-0000E0480000}"/>
    <cellStyle name="Note 4 4 2 2" xfId="19294" xr:uid="{00000000-0005-0000-0000-0000E1480000}"/>
    <cellStyle name="Note 4 4 3" xfId="15771" xr:uid="{00000000-0005-0000-0000-0000E2480000}"/>
    <cellStyle name="Note 4 5" xfId="3930" xr:uid="{00000000-0005-0000-0000-0000E3480000}"/>
    <cellStyle name="Note 4 5 2" xfId="10568" xr:uid="{00000000-0005-0000-0000-0000E4480000}"/>
    <cellStyle name="Note 4 5 2 2" xfId="19295" xr:uid="{00000000-0005-0000-0000-0000E5480000}"/>
    <cellStyle name="Note 4 5 3" xfId="15772" xr:uid="{00000000-0005-0000-0000-0000E6480000}"/>
    <cellStyle name="Note 4 6" xfId="10562" xr:uid="{00000000-0005-0000-0000-0000E7480000}"/>
    <cellStyle name="Note 4 6 2" xfId="19289" xr:uid="{00000000-0005-0000-0000-0000E8480000}"/>
    <cellStyle name="Note 4 7" xfId="15766" xr:uid="{00000000-0005-0000-0000-0000E9480000}"/>
    <cellStyle name="Note 5" xfId="3931" xr:uid="{00000000-0005-0000-0000-0000EA480000}"/>
    <cellStyle name="Note 5 2" xfId="10569" xr:uid="{00000000-0005-0000-0000-0000EB480000}"/>
    <cellStyle name="Note 5 2 2" xfId="19296" xr:uid="{00000000-0005-0000-0000-0000EC480000}"/>
    <cellStyle name="Note 5 3" xfId="15773" xr:uid="{00000000-0005-0000-0000-0000ED480000}"/>
    <cellStyle name="Note 6" xfId="3932" xr:uid="{00000000-0005-0000-0000-0000EE480000}"/>
    <cellStyle name="Note 6 2" xfId="10570" xr:uid="{00000000-0005-0000-0000-0000EF480000}"/>
    <cellStyle name="Note 6 2 2" xfId="19297" xr:uid="{00000000-0005-0000-0000-0000F0480000}"/>
    <cellStyle name="Note 6 3" xfId="15774" xr:uid="{00000000-0005-0000-0000-0000F1480000}"/>
    <cellStyle name="Note 7" xfId="3909" xr:uid="{00000000-0005-0000-0000-0000F2480000}"/>
    <cellStyle name="Note 7 2" xfId="11962" xr:uid="{00000000-0005-0000-0000-0000F3480000}"/>
    <cellStyle name="Note 7 2 2" xfId="20649" xr:uid="{00000000-0005-0000-0000-0000F4480000}"/>
    <cellStyle name="Note 7 3" xfId="15751" xr:uid="{00000000-0005-0000-0000-0000F5480000}"/>
    <cellStyle name="Note 8" xfId="10547" xr:uid="{00000000-0005-0000-0000-0000F6480000}"/>
    <cellStyle name="Note 8 2" xfId="19274" xr:uid="{00000000-0005-0000-0000-0000F7480000}"/>
    <cellStyle name="Note 9" xfId="13913" xr:uid="{00000000-0005-0000-0000-0000F8480000}"/>
    <cellStyle name="NPPESalesPct" xfId="3933" xr:uid="{00000000-0005-0000-0000-0000F9480000}"/>
    <cellStyle name="num1Style" xfId="5093" xr:uid="{00000000-0005-0000-0000-0000FA480000}"/>
    <cellStyle name="num1Styleb" xfId="5094" xr:uid="{00000000-0005-0000-0000-0000FB480000}"/>
    <cellStyle name="num4Style" xfId="5095" xr:uid="{00000000-0005-0000-0000-0000FC480000}"/>
    <cellStyle name="num4Styleb" xfId="5096" xr:uid="{00000000-0005-0000-0000-0000FD480000}"/>
    <cellStyle name="numPStyle" xfId="5097" xr:uid="{00000000-0005-0000-0000-0000FE480000}"/>
    <cellStyle name="numPStyleb" xfId="5098" xr:uid="{00000000-0005-0000-0000-0000FF480000}"/>
    <cellStyle name="numXStyle" xfId="5099" xr:uid="{00000000-0005-0000-0000-000000490000}"/>
    <cellStyle name="numXStyleb" xfId="5100" xr:uid="{00000000-0005-0000-0000-000001490000}"/>
    <cellStyle name="NWI%S" xfId="3934" xr:uid="{00000000-0005-0000-0000-000002490000}"/>
    <cellStyle name="Oculta" xfId="3935" xr:uid="{00000000-0005-0000-0000-000003490000}"/>
    <cellStyle name="Oculta 10" xfId="3936" xr:uid="{00000000-0005-0000-0000-000004490000}"/>
    <cellStyle name="Oculta 11" xfId="3937" xr:uid="{00000000-0005-0000-0000-000005490000}"/>
    <cellStyle name="Oculta 12" xfId="3938" xr:uid="{00000000-0005-0000-0000-000006490000}"/>
    <cellStyle name="Oculta 13" xfId="3939" xr:uid="{00000000-0005-0000-0000-000007490000}"/>
    <cellStyle name="Oculta 14" xfId="3940" xr:uid="{00000000-0005-0000-0000-000008490000}"/>
    <cellStyle name="Oculta 15" xfId="3941" xr:uid="{00000000-0005-0000-0000-000009490000}"/>
    <cellStyle name="Oculta 16" xfId="3942" xr:uid="{00000000-0005-0000-0000-00000A490000}"/>
    <cellStyle name="Oculta 17" xfId="3943" xr:uid="{00000000-0005-0000-0000-00000B490000}"/>
    <cellStyle name="Oculta 18" xfId="3944" xr:uid="{00000000-0005-0000-0000-00000C490000}"/>
    <cellStyle name="Oculta 19" xfId="3945" xr:uid="{00000000-0005-0000-0000-00000D490000}"/>
    <cellStyle name="Oculta 2" xfId="3946" xr:uid="{00000000-0005-0000-0000-00000E490000}"/>
    <cellStyle name="Oculta 20" xfId="3947" xr:uid="{00000000-0005-0000-0000-00000F490000}"/>
    <cellStyle name="Oculta 21" xfId="3948" xr:uid="{00000000-0005-0000-0000-000010490000}"/>
    <cellStyle name="Oculta 22" xfId="3949" xr:uid="{00000000-0005-0000-0000-000011490000}"/>
    <cellStyle name="Oculta 23" xfId="3950" xr:uid="{00000000-0005-0000-0000-000012490000}"/>
    <cellStyle name="Oculta 24" xfId="3951" xr:uid="{00000000-0005-0000-0000-000013490000}"/>
    <cellStyle name="Oculta 25" xfId="3952" xr:uid="{00000000-0005-0000-0000-000014490000}"/>
    <cellStyle name="Oculta 26" xfId="3953" xr:uid="{00000000-0005-0000-0000-000015490000}"/>
    <cellStyle name="Oculta 27" xfId="3954" xr:uid="{00000000-0005-0000-0000-000016490000}"/>
    <cellStyle name="Oculta 28" xfId="3955" xr:uid="{00000000-0005-0000-0000-000017490000}"/>
    <cellStyle name="Oculta 29" xfId="3956" xr:uid="{00000000-0005-0000-0000-000018490000}"/>
    <cellStyle name="Oculta 3" xfId="3957" xr:uid="{00000000-0005-0000-0000-000019490000}"/>
    <cellStyle name="Oculta 30" xfId="3958" xr:uid="{00000000-0005-0000-0000-00001A490000}"/>
    <cellStyle name="Oculta 31" xfId="3959" xr:uid="{00000000-0005-0000-0000-00001B490000}"/>
    <cellStyle name="Oculta 32" xfId="3960" xr:uid="{00000000-0005-0000-0000-00001C490000}"/>
    <cellStyle name="Oculta 33" xfId="3961" xr:uid="{00000000-0005-0000-0000-00001D490000}"/>
    <cellStyle name="Oculta 34" xfId="3962" xr:uid="{00000000-0005-0000-0000-00001E490000}"/>
    <cellStyle name="Oculta 35" xfId="3963" xr:uid="{00000000-0005-0000-0000-00001F490000}"/>
    <cellStyle name="Oculta 36" xfId="3964" xr:uid="{00000000-0005-0000-0000-000020490000}"/>
    <cellStyle name="Oculta 37" xfId="3965" xr:uid="{00000000-0005-0000-0000-000021490000}"/>
    <cellStyle name="Oculta 38" xfId="3966" xr:uid="{00000000-0005-0000-0000-000022490000}"/>
    <cellStyle name="Oculta 39" xfId="3967" xr:uid="{00000000-0005-0000-0000-000023490000}"/>
    <cellStyle name="Oculta 4" xfId="3968" xr:uid="{00000000-0005-0000-0000-000024490000}"/>
    <cellStyle name="Oculta 40" xfId="3969" xr:uid="{00000000-0005-0000-0000-000025490000}"/>
    <cellStyle name="Oculta 5" xfId="3970" xr:uid="{00000000-0005-0000-0000-000026490000}"/>
    <cellStyle name="Oculta 6" xfId="3971" xr:uid="{00000000-0005-0000-0000-000027490000}"/>
    <cellStyle name="Oculta 7" xfId="3972" xr:uid="{00000000-0005-0000-0000-000028490000}"/>
    <cellStyle name="Oculta 8" xfId="3973" xr:uid="{00000000-0005-0000-0000-000029490000}"/>
    <cellStyle name="Oculta 9" xfId="3974" xr:uid="{00000000-0005-0000-0000-00002A490000}"/>
    <cellStyle name="Ordinary" xfId="5101" xr:uid="{00000000-0005-0000-0000-00002B490000}"/>
    <cellStyle name="OT" xfId="3975" xr:uid="{00000000-0005-0000-0000-00002C490000}"/>
    <cellStyle name="Output" xfId="75" xr:uid="{00000000-0005-0000-0000-00002D490000}"/>
    <cellStyle name="Output 2" xfId="3976" xr:uid="{00000000-0005-0000-0000-00002E490000}"/>
    <cellStyle name="Output 2 2" xfId="3977" xr:uid="{00000000-0005-0000-0000-00002F490000}"/>
    <cellStyle name="Output 2 2 2" xfId="10573" xr:uid="{00000000-0005-0000-0000-000030490000}"/>
    <cellStyle name="Output 2 3" xfId="10572" xr:uid="{00000000-0005-0000-0000-000031490000}"/>
    <cellStyle name="Output 3" xfId="3978" xr:uid="{00000000-0005-0000-0000-000032490000}"/>
    <cellStyle name="Output 3 2" xfId="3979" xr:uid="{00000000-0005-0000-0000-000033490000}"/>
    <cellStyle name="Output 3 2 2" xfId="10575" xr:uid="{00000000-0005-0000-0000-000034490000}"/>
    <cellStyle name="Output 3 3" xfId="10574" xr:uid="{00000000-0005-0000-0000-000035490000}"/>
    <cellStyle name="Output 4" xfId="3980" xr:uid="{00000000-0005-0000-0000-000036490000}"/>
    <cellStyle name="Output 4 2" xfId="10576" xr:uid="{00000000-0005-0000-0000-000037490000}"/>
    <cellStyle name="Output 5" xfId="3981" xr:uid="{00000000-0005-0000-0000-000038490000}"/>
    <cellStyle name="Output 5 2" xfId="10577" xr:uid="{00000000-0005-0000-0000-000039490000}"/>
    <cellStyle name="Output 6" xfId="3982" xr:uid="{00000000-0005-0000-0000-00003A490000}"/>
    <cellStyle name="Output 6 2" xfId="10578" xr:uid="{00000000-0005-0000-0000-00003B490000}"/>
    <cellStyle name="Output 7" xfId="3983" xr:uid="{00000000-0005-0000-0000-00003C490000}"/>
    <cellStyle name="Output 7 2" xfId="10579" xr:uid="{00000000-0005-0000-0000-00003D490000}"/>
    <cellStyle name="Output 8" xfId="10571" xr:uid="{00000000-0005-0000-0000-00003E490000}"/>
    <cellStyle name="Output 9" xfId="22551" xr:uid="{00000000-0005-0000-0000-00003F490000}"/>
    <cellStyle name="Page Number" xfId="5102" xr:uid="{00000000-0005-0000-0000-000040490000}"/>
    <cellStyle name="Percent" xfId="3984" xr:uid="{00000000-0005-0000-0000-000041490000}"/>
    <cellStyle name="Percent [0]" xfId="3985" xr:uid="{00000000-0005-0000-0000-000042490000}"/>
    <cellStyle name="Percent [0] 2" xfId="5103" xr:uid="{00000000-0005-0000-0000-000043490000}"/>
    <cellStyle name="Percent [00]" xfId="5104" xr:uid="{00000000-0005-0000-0000-000044490000}"/>
    <cellStyle name="Percent [1]" xfId="3986" xr:uid="{00000000-0005-0000-0000-000045490000}"/>
    <cellStyle name="Percent [2]" xfId="3987" xr:uid="{00000000-0005-0000-0000-000046490000}"/>
    <cellStyle name="Percent 2" xfId="3988" xr:uid="{00000000-0005-0000-0000-000047490000}"/>
    <cellStyle name="Percent 2 2" xfId="3989" xr:uid="{00000000-0005-0000-0000-000048490000}"/>
    <cellStyle name="Percent 2 2 2" xfId="10352" xr:uid="{00000000-0005-0000-0000-000049490000}"/>
    <cellStyle name="Percent 2 2 2 2" xfId="19102" xr:uid="{00000000-0005-0000-0000-00004A490000}"/>
    <cellStyle name="Percent 2 2 3" xfId="8750" xr:uid="{00000000-0005-0000-0000-00004B490000}"/>
    <cellStyle name="Percent 2 2 3 2" xfId="17503" xr:uid="{00000000-0005-0000-0000-00004C490000}"/>
    <cellStyle name="Percent 2 2 4" xfId="11963" xr:uid="{00000000-0005-0000-0000-00004D490000}"/>
    <cellStyle name="Percent 2 2 4 2" xfId="20650" xr:uid="{00000000-0005-0000-0000-00004E490000}"/>
    <cellStyle name="Percent 2 2 5" xfId="13569" xr:uid="{00000000-0005-0000-0000-00004F490000}"/>
    <cellStyle name="Percent 2 2 5 2" xfId="22249" xr:uid="{00000000-0005-0000-0000-000050490000}"/>
    <cellStyle name="Percent 2 2 6" xfId="15775" xr:uid="{00000000-0005-0000-0000-000051490000}"/>
    <cellStyle name="Percent 2 3" xfId="5105" xr:uid="{00000000-0005-0000-0000-000052490000}"/>
    <cellStyle name="Percent1" xfId="3990" xr:uid="{00000000-0005-0000-0000-000053490000}"/>
    <cellStyle name="Percentage" xfId="3991" xr:uid="{00000000-0005-0000-0000-000054490000}"/>
    <cellStyle name="Percentagem_Blue Tables for Brazil 06-2005-NEW  IRAQ Only" xfId="3992" xr:uid="{00000000-0005-0000-0000-000055490000}"/>
    <cellStyle name="PercentSales" xfId="3993" xr:uid="{00000000-0005-0000-0000-000056490000}"/>
    <cellStyle name="Percentual" xfId="5106" xr:uid="{00000000-0005-0000-0000-000057490000}"/>
    <cellStyle name="Ponto" xfId="5107" xr:uid="{00000000-0005-0000-0000-000058490000}"/>
    <cellStyle name="Porcentagem" xfId="76" builtinId="5"/>
    <cellStyle name="Porcentagem 10" xfId="3994" xr:uid="{00000000-0005-0000-0000-00005A490000}"/>
    <cellStyle name="Porcentagem 11" xfId="3995" xr:uid="{00000000-0005-0000-0000-00005B490000}"/>
    <cellStyle name="Porcentagem 11 10" xfId="11964" xr:uid="{00000000-0005-0000-0000-00005C490000}"/>
    <cellStyle name="Porcentagem 11 10 2" xfId="20651" xr:uid="{00000000-0005-0000-0000-00005D490000}"/>
    <cellStyle name="Porcentagem 11 11" xfId="13570" xr:uid="{00000000-0005-0000-0000-00005E490000}"/>
    <cellStyle name="Porcentagem 11 11 2" xfId="22250" xr:uid="{00000000-0005-0000-0000-00005F490000}"/>
    <cellStyle name="Porcentagem 11 12" xfId="15776" xr:uid="{00000000-0005-0000-0000-000060490000}"/>
    <cellStyle name="Porcentagem 11 2" xfId="3996" xr:uid="{00000000-0005-0000-0000-000061490000}"/>
    <cellStyle name="Porcentagem 11 3" xfId="3997" xr:uid="{00000000-0005-0000-0000-000062490000}"/>
    <cellStyle name="Porcentagem 11 4" xfId="3998" xr:uid="{00000000-0005-0000-0000-000063490000}"/>
    <cellStyle name="Porcentagem 11 5" xfId="3999" xr:uid="{00000000-0005-0000-0000-000064490000}"/>
    <cellStyle name="Porcentagem 11 6" xfId="4000" xr:uid="{00000000-0005-0000-0000-000065490000}"/>
    <cellStyle name="Porcentagem 11 7" xfId="4001" xr:uid="{00000000-0005-0000-0000-000066490000}"/>
    <cellStyle name="Porcentagem 11 8" xfId="10353" xr:uid="{00000000-0005-0000-0000-000067490000}"/>
    <cellStyle name="Porcentagem 11 8 2" xfId="19103" xr:uid="{00000000-0005-0000-0000-000068490000}"/>
    <cellStyle name="Porcentagem 11 9" xfId="8751" xr:uid="{00000000-0005-0000-0000-000069490000}"/>
    <cellStyle name="Porcentagem 11 9 2" xfId="17504" xr:uid="{00000000-0005-0000-0000-00006A490000}"/>
    <cellStyle name="Porcentagem 12" xfId="4002" xr:uid="{00000000-0005-0000-0000-00006B490000}"/>
    <cellStyle name="Porcentagem 12 2" xfId="10354" xr:uid="{00000000-0005-0000-0000-00006C490000}"/>
    <cellStyle name="Porcentagem 12 2 2" xfId="19104" xr:uid="{00000000-0005-0000-0000-00006D490000}"/>
    <cellStyle name="Porcentagem 12 3" xfId="8752" xr:uid="{00000000-0005-0000-0000-00006E490000}"/>
    <cellStyle name="Porcentagem 12 3 2" xfId="17505" xr:uid="{00000000-0005-0000-0000-00006F490000}"/>
    <cellStyle name="Porcentagem 12 4" xfId="11965" xr:uid="{00000000-0005-0000-0000-000070490000}"/>
    <cellStyle name="Porcentagem 12 4 2" xfId="20652" xr:uid="{00000000-0005-0000-0000-000071490000}"/>
    <cellStyle name="Porcentagem 12 5" xfId="13571" xr:uid="{00000000-0005-0000-0000-000072490000}"/>
    <cellStyle name="Porcentagem 12 5 2" xfId="22251" xr:uid="{00000000-0005-0000-0000-000073490000}"/>
    <cellStyle name="Porcentagem 12 6" xfId="15777" xr:uid="{00000000-0005-0000-0000-000074490000}"/>
    <cellStyle name="Porcentagem 13" xfId="4003" xr:uid="{00000000-0005-0000-0000-000075490000}"/>
    <cellStyle name="Porcentagem 13 10" xfId="8753" xr:uid="{00000000-0005-0000-0000-000076490000}"/>
    <cellStyle name="Porcentagem 13 10 2" xfId="17506" xr:uid="{00000000-0005-0000-0000-000077490000}"/>
    <cellStyle name="Porcentagem 13 11" xfId="11966" xr:uid="{00000000-0005-0000-0000-000078490000}"/>
    <cellStyle name="Porcentagem 13 11 2" xfId="20653" xr:uid="{00000000-0005-0000-0000-000079490000}"/>
    <cellStyle name="Porcentagem 13 12" xfId="13572" xr:uid="{00000000-0005-0000-0000-00007A490000}"/>
    <cellStyle name="Porcentagem 13 12 2" xfId="22252" xr:uid="{00000000-0005-0000-0000-00007B490000}"/>
    <cellStyle name="Porcentagem 13 13" xfId="15778" xr:uid="{00000000-0005-0000-0000-00007C490000}"/>
    <cellStyle name="Porcentagem 13 2" xfId="4004" xr:uid="{00000000-0005-0000-0000-00007D490000}"/>
    <cellStyle name="Porcentagem 13 2 10" xfId="11967" xr:uid="{00000000-0005-0000-0000-00007E490000}"/>
    <cellStyle name="Porcentagem 13 2 10 2" xfId="20654" xr:uid="{00000000-0005-0000-0000-00007F490000}"/>
    <cellStyle name="Porcentagem 13 2 11" xfId="13573" xr:uid="{00000000-0005-0000-0000-000080490000}"/>
    <cellStyle name="Porcentagem 13 2 11 2" xfId="22253" xr:uid="{00000000-0005-0000-0000-000081490000}"/>
    <cellStyle name="Porcentagem 13 2 12" xfId="15779" xr:uid="{00000000-0005-0000-0000-000082490000}"/>
    <cellStyle name="Porcentagem 13 2 2" xfId="4005" xr:uid="{00000000-0005-0000-0000-000083490000}"/>
    <cellStyle name="Porcentagem 13 2 3" xfId="4006" xr:uid="{00000000-0005-0000-0000-000084490000}"/>
    <cellStyle name="Porcentagem 13 2 4" xfId="4007" xr:uid="{00000000-0005-0000-0000-000085490000}"/>
    <cellStyle name="Porcentagem 13 2 5" xfId="4008" xr:uid="{00000000-0005-0000-0000-000086490000}"/>
    <cellStyle name="Porcentagem 13 2 6" xfId="4009" xr:uid="{00000000-0005-0000-0000-000087490000}"/>
    <cellStyle name="Porcentagem 13 2 7" xfId="4010" xr:uid="{00000000-0005-0000-0000-000088490000}"/>
    <cellStyle name="Porcentagem 13 2 8" xfId="10356" xr:uid="{00000000-0005-0000-0000-000089490000}"/>
    <cellStyle name="Porcentagem 13 2 8 2" xfId="19106" xr:uid="{00000000-0005-0000-0000-00008A490000}"/>
    <cellStyle name="Porcentagem 13 2 9" xfId="8754" xr:uid="{00000000-0005-0000-0000-00008B490000}"/>
    <cellStyle name="Porcentagem 13 2 9 2" xfId="17507" xr:uid="{00000000-0005-0000-0000-00008C490000}"/>
    <cellStyle name="Porcentagem 13 3" xfId="4011" xr:uid="{00000000-0005-0000-0000-00008D490000}"/>
    <cellStyle name="Porcentagem 13 4" xfId="4012" xr:uid="{00000000-0005-0000-0000-00008E490000}"/>
    <cellStyle name="Porcentagem 13 5" xfId="4013" xr:uid="{00000000-0005-0000-0000-00008F490000}"/>
    <cellStyle name="Porcentagem 13 6" xfId="4014" xr:uid="{00000000-0005-0000-0000-000090490000}"/>
    <cellStyle name="Porcentagem 13 7" xfId="4015" xr:uid="{00000000-0005-0000-0000-000091490000}"/>
    <cellStyle name="Porcentagem 13 8" xfId="4016" xr:uid="{00000000-0005-0000-0000-000092490000}"/>
    <cellStyle name="Porcentagem 13 9" xfId="10355" xr:uid="{00000000-0005-0000-0000-000093490000}"/>
    <cellStyle name="Porcentagem 13 9 2" xfId="19105" xr:uid="{00000000-0005-0000-0000-000094490000}"/>
    <cellStyle name="Porcentagem 14" xfId="4017" xr:uid="{00000000-0005-0000-0000-000095490000}"/>
    <cellStyle name="Porcentagem 15" xfId="4018" xr:uid="{00000000-0005-0000-0000-000096490000}"/>
    <cellStyle name="Porcentagem 16" xfId="4886" xr:uid="{00000000-0005-0000-0000-000097490000}"/>
    <cellStyle name="Porcentagem 16 2" xfId="9028" xr:uid="{00000000-0005-0000-0000-000098490000}"/>
    <cellStyle name="Porcentagem 16 2 2" xfId="17778" xr:uid="{00000000-0005-0000-0000-000099490000}"/>
    <cellStyle name="Porcentagem 16 3" xfId="12235" xr:uid="{00000000-0005-0000-0000-00009A490000}"/>
    <cellStyle name="Porcentagem 16 3 2" xfId="20920" xr:uid="{00000000-0005-0000-0000-00009B490000}"/>
    <cellStyle name="Porcentagem 16 4" xfId="16037" xr:uid="{00000000-0005-0000-0000-00009C490000}"/>
    <cellStyle name="Porcentagem 17" xfId="4918" xr:uid="{00000000-0005-0000-0000-00009D490000}"/>
    <cellStyle name="Porcentagem 17 2" xfId="16050" xr:uid="{00000000-0005-0000-0000-00009E490000}"/>
    <cellStyle name="Porcentagem 18" xfId="13843" xr:uid="{00000000-0005-0000-0000-00009F490000}"/>
    <cellStyle name="Porcentagem 18 2" xfId="22520" xr:uid="{00000000-0005-0000-0000-0000A0490000}"/>
    <cellStyle name="Porcentagem 19" xfId="13857" xr:uid="{00000000-0005-0000-0000-0000A1490000}"/>
    <cellStyle name="Porcentagem 2" xfId="77" xr:uid="{00000000-0005-0000-0000-0000A2490000}"/>
    <cellStyle name="Porcentagem 2 10" xfId="4019" xr:uid="{00000000-0005-0000-0000-0000A3490000}"/>
    <cellStyle name="Porcentagem 2 10 2" xfId="4020" xr:uid="{00000000-0005-0000-0000-0000A4490000}"/>
    <cellStyle name="Porcentagem 2 11" xfId="4021" xr:uid="{00000000-0005-0000-0000-0000A5490000}"/>
    <cellStyle name="Porcentagem 2 11 2" xfId="4022" xr:uid="{00000000-0005-0000-0000-0000A6490000}"/>
    <cellStyle name="Porcentagem 2 12" xfId="4023" xr:uid="{00000000-0005-0000-0000-0000A7490000}"/>
    <cellStyle name="Porcentagem 2 12 2" xfId="4024" xr:uid="{00000000-0005-0000-0000-0000A8490000}"/>
    <cellStyle name="Porcentagem 2 13" xfId="4025" xr:uid="{00000000-0005-0000-0000-0000A9490000}"/>
    <cellStyle name="Porcentagem 2 13 2" xfId="4026" xr:uid="{00000000-0005-0000-0000-0000AA490000}"/>
    <cellStyle name="Porcentagem 2 14" xfId="4027" xr:uid="{00000000-0005-0000-0000-0000AB490000}"/>
    <cellStyle name="Porcentagem 2 14 2" xfId="4028" xr:uid="{00000000-0005-0000-0000-0000AC490000}"/>
    <cellStyle name="Porcentagem 2 15" xfId="4029" xr:uid="{00000000-0005-0000-0000-0000AD490000}"/>
    <cellStyle name="Porcentagem 2 15 2" xfId="4030" xr:uid="{00000000-0005-0000-0000-0000AE490000}"/>
    <cellStyle name="Porcentagem 2 16" xfId="4031" xr:uid="{00000000-0005-0000-0000-0000AF490000}"/>
    <cellStyle name="Porcentagem 2 16 2" xfId="4032" xr:uid="{00000000-0005-0000-0000-0000B0490000}"/>
    <cellStyle name="Porcentagem 2 17" xfId="4033" xr:uid="{00000000-0005-0000-0000-0000B1490000}"/>
    <cellStyle name="Porcentagem 2 17 2" xfId="4034" xr:uid="{00000000-0005-0000-0000-0000B2490000}"/>
    <cellStyle name="Porcentagem 2 18" xfId="4035" xr:uid="{00000000-0005-0000-0000-0000B3490000}"/>
    <cellStyle name="Porcentagem 2 18 2" xfId="4036" xr:uid="{00000000-0005-0000-0000-0000B4490000}"/>
    <cellStyle name="Porcentagem 2 19" xfId="4037" xr:uid="{00000000-0005-0000-0000-0000B5490000}"/>
    <cellStyle name="Porcentagem 2 19 2" xfId="4038" xr:uid="{00000000-0005-0000-0000-0000B6490000}"/>
    <cellStyle name="Porcentagem 2 2" xfId="128" xr:uid="{00000000-0005-0000-0000-0000B7490000}"/>
    <cellStyle name="Porcentagem 2 2 2" xfId="4039" xr:uid="{00000000-0005-0000-0000-0000B8490000}"/>
    <cellStyle name="Porcentagem 2 2 2 2" xfId="4040" xr:uid="{00000000-0005-0000-0000-0000B9490000}"/>
    <cellStyle name="Porcentagem 2 2 2 2 2" xfId="10358" xr:uid="{00000000-0005-0000-0000-0000BA490000}"/>
    <cellStyle name="Porcentagem 2 2 2 2 2 2" xfId="19108" xr:uid="{00000000-0005-0000-0000-0000BB490000}"/>
    <cellStyle name="Porcentagem 2 2 2 2 3" xfId="8757" xr:uid="{00000000-0005-0000-0000-0000BC490000}"/>
    <cellStyle name="Porcentagem 2 2 2 2 3 2" xfId="17509" xr:uid="{00000000-0005-0000-0000-0000BD490000}"/>
    <cellStyle name="Porcentagem 2 2 2 2 4" xfId="11969" xr:uid="{00000000-0005-0000-0000-0000BE490000}"/>
    <cellStyle name="Porcentagem 2 2 2 2 4 2" xfId="20656" xr:uid="{00000000-0005-0000-0000-0000BF490000}"/>
    <cellStyle name="Porcentagem 2 2 2 2 5" xfId="13575" xr:uid="{00000000-0005-0000-0000-0000C0490000}"/>
    <cellStyle name="Porcentagem 2 2 2 2 5 2" xfId="22255" xr:uid="{00000000-0005-0000-0000-0000C1490000}"/>
    <cellStyle name="Porcentagem 2 2 2 2 6" xfId="15781" xr:uid="{00000000-0005-0000-0000-0000C2490000}"/>
    <cellStyle name="Porcentagem 2 2 2 3" xfId="4041" xr:uid="{00000000-0005-0000-0000-0000C3490000}"/>
    <cellStyle name="Porcentagem 2 2 2 3 2" xfId="10359" xr:uid="{00000000-0005-0000-0000-0000C4490000}"/>
    <cellStyle name="Porcentagem 2 2 2 3 2 2" xfId="19109" xr:uid="{00000000-0005-0000-0000-0000C5490000}"/>
    <cellStyle name="Porcentagem 2 2 2 3 3" xfId="8758" xr:uid="{00000000-0005-0000-0000-0000C6490000}"/>
    <cellStyle name="Porcentagem 2 2 2 3 3 2" xfId="17510" xr:uid="{00000000-0005-0000-0000-0000C7490000}"/>
    <cellStyle name="Porcentagem 2 2 2 3 4" xfId="11970" xr:uid="{00000000-0005-0000-0000-0000C8490000}"/>
    <cellStyle name="Porcentagem 2 2 2 3 4 2" xfId="20657" xr:uid="{00000000-0005-0000-0000-0000C9490000}"/>
    <cellStyle name="Porcentagem 2 2 2 3 5" xfId="13576" xr:uid="{00000000-0005-0000-0000-0000CA490000}"/>
    <cellStyle name="Porcentagem 2 2 2 3 5 2" xfId="22256" xr:uid="{00000000-0005-0000-0000-0000CB490000}"/>
    <cellStyle name="Porcentagem 2 2 2 3 6" xfId="15782" xr:uid="{00000000-0005-0000-0000-0000CC490000}"/>
    <cellStyle name="Porcentagem 2 2 2 4" xfId="4042" xr:uid="{00000000-0005-0000-0000-0000CD490000}"/>
    <cellStyle name="Porcentagem 2 2 2 4 2" xfId="10360" xr:uid="{00000000-0005-0000-0000-0000CE490000}"/>
    <cellStyle name="Porcentagem 2 2 2 4 2 2" xfId="19110" xr:uid="{00000000-0005-0000-0000-0000CF490000}"/>
    <cellStyle name="Porcentagem 2 2 2 4 3" xfId="8759" xr:uid="{00000000-0005-0000-0000-0000D0490000}"/>
    <cellStyle name="Porcentagem 2 2 2 4 3 2" xfId="17511" xr:uid="{00000000-0005-0000-0000-0000D1490000}"/>
    <cellStyle name="Porcentagem 2 2 2 4 4" xfId="11971" xr:uid="{00000000-0005-0000-0000-0000D2490000}"/>
    <cellStyle name="Porcentagem 2 2 2 4 4 2" xfId="20658" xr:uid="{00000000-0005-0000-0000-0000D3490000}"/>
    <cellStyle name="Porcentagem 2 2 2 4 5" xfId="13577" xr:uid="{00000000-0005-0000-0000-0000D4490000}"/>
    <cellStyle name="Porcentagem 2 2 2 4 5 2" xfId="22257" xr:uid="{00000000-0005-0000-0000-0000D5490000}"/>
    <cellStyle name="Porcentagem 2 2 2 4 6" xfId="15783" xr:uid="{00000000-0005-0000-0000-0000D6490000}"/>
    <cellStyle name="Porcentagem 2 2 2 5" xfId="10357" xr:uid="{00000000-0005-0000-0000-0000D7490000}"/>
    <cellStyle name="Porcentagem 2 2 2 5 2" xfId="19107" xr:uid="{00000000-0005-0000-0000-0000D8490000}"/>
    <cellStyle name="Porcentagem 2 2 2 6" xfId="8756" xr:uid="{00000000-0005-0000-0000-0000D9490000}"/>
    <cellStyle name="Porcentagem 2 2 2 6 2" xfId="17508" xr:uid="{00000000-0005-0000-0000-0000DA490000}"/>
    <cellStyle name="Porcentagem 2 2 2 7" xfId="11968" xr:uid="{00000000-0005-0000-0000-0000DB490000}"/>
    <cellStyle name="Porcentagem 2 2 2 7 2" xfId="20655" xr:uid="{00000000-0005-0000-0000-0000DC490000}"/>
    <cellStyle name="Porcentagem 2 2 2 8" xfId="13574" xr:uid="{00000000-0005-0000-0000-0000DD490000}"/>
    <cellStyle name="Porcentagem 2 2 2 8 2" xfId="22254" xr:uid="{00000000-0005-0000-0000-0000DE490000}"/>
    <cellStyle name="Porcentagem 2 2 2 9" xfId="15780" xr:uid="{00000000-0005-0000-0000-0000DF490000}"/>
    <cellStyle name="Porcentagem 2 2 3" xfId="4043" xr:uid="{00000000-0005-0000-0000-0000E0490000}"/>
    <cellStyle name="Porcentagem 2 20" xfId="4044" xr:uid="{00000000-0005-0000-0000-0000E1490000}"/>
    <cellStyle name="Porcentagem 2 20 2" xfId="4045" xr:uid="{00000000-0005-0000-0000-0000E2490000}"/>
    <cellStyle name="Porcentagem 2 21" xfId="4046" xr:uid="{00000000-0005-0000-0000-0000E3490000}"/>
    <cellStyle name="Porcentagem 2 21 2" xfId="4047" xr:uid="{00000000-0005-0000-0000-0000E4490000}"/>
    <cellStyle name="Porcentagem 2 22" xfId="4048" xr:uid="{00000000-0005-0000-0000-0000E5490000}"/>
    <cellStyle name="Porcentagem 2 22 2" xfId="4049" xr:uid="{00000000-0005-0000-0000-0000E6490000}"/>
    <cellStyle name="Porcentagem 2 23" xfId="4050" xr:uid="{00000000-0005-0000-0000-0000E7490000}"/>
    <cellStyle name="Porcentagem 2 23 2" xfId="4051" xr:uid="{00000000-0005-0000-0000-0000E8490000}"/>
    <cellStyle name="Porcentagem 2 24" xfId="4052" xr:uid="{00000000-0005-0000-0000-0000E9490000}"/>
    <cellStyle name="Porcentagem 2 25" xfId="4053" xr:uid="{00000000-0005-0000-0000-0000EA490000}"/>
    <cellStyle name="Porcentagem 2 26" xfId="4054" xr:uid="{00000000-0005-0000-0000-0000EB490000}"/>
    <cellStyle name="Porcentagem 2 27" xfId="4055" xr:uid="{00000000-0005-0000-0000-0000EC490000}"/>
    <cellStyle name="Porcentagem 2 28" xfId="8755" xr:uid="{00000000-0005-0000-0000-0000ED490000}"/>
    <cellStyle name="Porcentagem 2 29" xfId="7415" xr:uid="{00000000-0005-0000-0000-0000EE490000}"/>
    <cellStyle name="Porcentagem 2 29 2" xfId="16176" xr:uid="{00000000-0005-0000-0000-0000EF490000}"/>
    <cellStyle name="Porcentagem 2 3" xfId="4056" xr:uid="{00000000-0005-0000-0000-0000F0490000}"/>
    <cellStyle name="Porcentagem 2 3 2" xfId="4057" xr:uid="{00000000-0005-0000-0000-0000F1490000}"/>
    <cellStyle name="Porcentagem 2 4" xfId="4058" xr:uid="{00000000-0005-0000-0000-0000F2490000}"/>
    <cellStyle name="Porcentagem 2 4 2" xfId="4059" xr:uid="{00000000-0005-0000-0000-0000F3490000}"/>
    <cellStyle name="Porcentagem 2 4 3" xfId="4060" xr:uid="{00000000-0005-0000-0000-0000F4490000}"/>
    <cellStyle name="Porcentagem 2 5" xfId="4061" xr:uid="{00000000-0005-0000-0000-0000F5490000}"/>
    <cellStyle name="Porcentagem 2 5 2" xfId="4062" xr:uid="{00000000-0005-0000-0000-0000F6490000}"/>
    <cellStyle name="Porcentagem 2 6" xfId="4063" xr:uid="{00000000-0005-0000-0000-0000F7490000}"/>
    <cellStyle name="Porcentagem 2 6 2" xfId="4064" xr:uid="{00000000-0005-0000-0000-0000F8490000}"/>
    <cellStyle name="Porcentagem 2 7" xfId="4065" xr:uid="{00000000-0005-0000-0000-0000F9490000}"/>
    <cellStyle name="Porcentagem 2 7 2" xfId="4066" xr:uid="{00000000-0005-0000-0000-0000FA490000}"/>
    <cellStyle name="Porcentagem 2 8" xfId="4067" xr:uid="{00000000-0005-0000-0000-0000FB490000}"/>
    <cellStyle name="Porcentagem 2 8 2" xfId="4068" xr:uid="{00000000-0005-0000-0000-0000FC490000}"/>
    <cellStyle name="Porcentagem 2 9" xfId="4069" xr:uid="{00000000-0005-0000-0000-0000FD490000}"/>
    <cellStyle name="Porcentagem 2 9 2" xfId="4070" xr:uid="{00000000-0005-0000-0000-0000FE490000}"/>
    <cellStyle name="Porcentagem 3" xfId="127" xr:uid="{00000000-0005-0000-0000-0000FF490000}"/>
    <cellStyle name="Porcentagem 3 2" xfId="4071" xr:uid="{00000000-0005-0000-0000-0000004A0000}"/>
    <cellStyle name="Porcentagem 3 2 2" xfId="4072" xr:uid="{00000000-0005-0000-0000-0000014A0000}"/>
    <cellStyle name="Porcentagem 3 3" xfId="4073" xr:uid="{00000000-0005-0000-0000-0000024A0000}"/>
    <cellStyle name="Porcentagem 3 4" xfId="4074" xr:uid="{00000000-0005-0000-0000-0000034A0000}"/>
    <cellStyle name="Porcentagem 3 5" xfId="4075" xr:uid="{00000000-0005-0000-0000-0000044A0000}"/>
    <cellStyle name="Porcentagem 3 6" xfId="4076" xr:uid="{00000000-0005-0000-0000-0000054A0000}"/>
    <cellStyle name="Porcentagem 3 7" xfId="4077" xr:uid="{00000000-0005-0000-0000-0000064A0000}"/>
    <cellStyle name="Porcentagem 3 8" xfId="4078" xr:uid="{00000000-0005-0000-0000-0000074A0000}"/>
    <cellStyle name="Porcentagem 3 9" xfId="4079" xr:uid="{00000000-0005-0000-0000-0000084A0000}"/>
    <cellStyle name="Porcentagem 4" xfId="136" xr:uid="{00000000-0005-0000-0000-0000094A0000}"/>
    <cellStyle name="Porcentagem 4 10" xfId="4080" xr:uid="{00000000-0005-0000-0000-00000A4A0000}"/>
    <cellStyle name="Porcentagem 4 10 2" xfId="10463" xr:uid="{00000000-0005-0000-0000-00000B4A0000}"/>
    <cellStyle name="Porcentagem 4 10 2 2" xfId="19206" xr:uid="{00000000-0005-0000-0000-00000C4A0000}"/>
    <cellStyle name="Porcentagem 4 11" xfId="10621" xr:uid="{00000000-0005-0000-0000-00000D4A0000}"/>
    <cellStyle name="Porcentagem 4 11 2" xfId="19324" xr:uid="{00000000-0005-0000-0000-00000E4A0000}"/>
    <cellStyle name="Porcentagem 4 12" xfId="14508" xr:uid="{00000000-0005-0000-0000-00000F4A0000}"/>
    <cellStyle name="Porcentagem 4 2" xfId="4081" xr:uid="{00000000-0005-0000-0000-0000104A0000}"/>
    <cellStyle name="Porcentagem 4 2 2" xfId="5812" xr:uid="{00000000-0005-0000-0000-0000114A0000}"/>
    <cellStyle name="Porcentagem 4 3" xfId="4082" xr:uid="{00000000-0005-0000-0000-0000124A0000}"/>
    <cellStyle name="Porcentagem 4 4" xfId="4083" xr:uid="{00000000-0005-0000-0000-0000134A0000}"/>
    <cellStyle name="Porcentagem 4 5" xfId="4084" xr:uid="{00000000-0005-0000-0000-0000144A0000}"/>
    <cellStyle name="Porcentagem 4 6" xfId="4085" xr:uid="{00000000-0005-0000-0000-0000154A0000}"/>
    <cellStyle name="Porcentagem 4 7" xfId="4086" xr:uid="{00000000-0005-0000-0000-0000164A0000}"/>
    <cellStyle name="Porcentagem 4 8" xfId="4087" xr:uid="{00000000-0005-0000-0000-0000174A0000}"/>
    <cellStyle name="Porcentagem 4 9" xfId="4088" xr:uid="{00000000-0005-0000-0000-0000184A0000}"/>
    <cellStyle name="Porcentagem 5" xfId="4089" xr:uid="{00000000-0005-0000-0000-0000194A0000}"/>
    <cellStyle name="Porcentagem 5 2" xfId="4090" xr:uid="{00000000-0005-0000-0000-00001A4A0000}"/>
    <cellStyle name="Porcentagem 5 3" xfId="5109" xr:uid="{00000000-0005-0000-0000-00001B4A0000}"/>
    <cellStyle name="Porcentagem 6" xfId="4091" xr:uid="{00000000-0005-0000-0000-00001C4A0000}"/>
    <cellStyle name="Porcentagem 6 2" xfId="4092" xr:uid="{00000000-0005-0000-0000-00001D4A0000}"/>
    <cellStyle name="Porcentagem 6 2 2" xfId="4093" xr:uid="{00000000-0005-0000-0000-00001E4A0000}"/>
    <cellStyle name="Porcentagem 6 2 3" xfId="4094" xr:uid="{00000000-0005-0000-0000-00001F4A0000}"/>
    <cellStyle name="Porcentagem 6 2 4" xfId="4095" xr:uid="{00000000-0005-0000-0000-0000204A0000}"/>
    <cellStyle name="Porcentagem 6 2 5" xfId="4096" xr:uid="{00000000-0005-0000-0000-0000214A0000}"/>
    <cellStyle name="Porcentagem 6 2 6" xfId="4097" xr:uid="{00000000-0005-0000-0000-0000224A0000}"/>
    <cellStyle name="Porcentagem 6 2 7" xfId="4098" xr:uid="{00000000-0005-0000-0000-0000234A0000}"/>
    <cellStyle name="Porcentagem 6 2 8" xfId="4099" xr:uid="{00000000-0005-0000-0000-0000244A0000}"/>
    <cellStyle name="Porcentagem 6 3" xfId="4100" xr:uid="{00000000-0005-0000-0000-0000254A0000}"/>
    <cellStyle name="Porcentagem 6 3 2" xfId="10361" xr:uid="{00000000-0005-0000-0000-0000264A0000}"/>
    <cellStyle name="Porcentagem 6 3 2 2" xfId="19111" xr:uid="{00000000-0005-0000-0000-0000274A0000}"/>
    <cellStyle name="Porcentagem 6 3 3" xfId="8760" xr:uid="{00000000-0005-0000-0000-0000284A0000}"/>
    <cellStyle name="Porcentagem 6 3 3 2" xfId="17512" xr:uid="{00000000-0005-0000-0000-0000294A0000}"/>
    <cellStyle name="Porcentagem 6 3 4" xfId="11972" xr:uid="{00000000-0005-0000-0000-00002A4A0000}"/>
    <cellStyle name="Porcentagem 6 3 4 2" xfId="20659" xr:uid="{00000000-0005-0000-0000-00002B4A0000}"/>
    <cellStyle name="Porcentagem 6 3 5" xfId="13578" xr:uid="{00000000-0005-0000-0000-00002C4A0000}"/>
    <cellStyle name="Porcentagem 6 3 5 2" xfId="22258" xr:uid="{00000000-0005-0000-0000-00002D4A0000}"/>
    <cellStyle name="Porcentagem 6 3 6" xfId="15784" xr:uid="{00000000-0005-0000-0000-00002E4A0000}"/>
    <cellStyle name="Porcentagem 6 4" xfId="4101" xr:uid="{00000000-0005-0000-0000-00002F4A0000}"/>
    <cellStyle name="Porcentagem 6 5" xfId="4102" xr:uid="{00000000-0005-0000-0000-0000304A0000}"/>
    <cellStyle name="Porcentagem 6 6" xfId="4103" xr:uid="{00000000-0005-0000-0000-0000314A0000}"/>
    <cellStyle name="Porcentagem 6 7" xfId="4104" xr:uid="{00000000-0005-0000-0000-0000324A0000}"/>
    <cellStyle name="Porcentagem 6 8" xfId="4105" xr:uid="{00000000-0005-0000-0000-0000334A0000}"/>
    <cellStyle name="Porcentagem 7" xfId="4106" xr:uid="{00000000-0005-0000-0000-0000344A0000}"/>
    <cellStyle name="Porcentagem 7 2" xfId="4107" xr:uid="{00000000-0005-0000-0000-0000354A0000}"/>
    <cellStyle name="Porcentagem 7 3" xfId="5192" xr:uid="{00000000-0005-0000-0000-0000364A0000}"/>
    <cellStyle name="Porcentagem 7 3 2" xfId="16077" xr:uid="{00000000-0005-0000-0000-0000374A0000}"/>
    <cellStyle name="Porcentagem 7 4" xfId="13946" xr:uid="{00000000-0005-0000-0000-0000384A0000}"/>
    <cellStyle name="Porcentagem 8" xfId="4108" xr:uid="{00000000-0005-0000-0000-0000394A0000}"/>
    <cellStyle name="Porcentagem 8 2" xfId="5772" xr:uid="{00000000-0005-0000-0000-00003A4A0000}"/>
    <cellStyle name="Porcentagem 8 2 2" xfId="10362" xr:uid="{00000000-0005-0000-0000-00003B4A0000}"/>
    <cellStyle name="Porcentagem 8 2 2 2" xfId="19112" xr:uid="{00000000-0005-0000-0000-00003C4A0000}"/>
    <cellStyle name="Porcentagem 8 3" xfId="8761" xr:uid="{00000000-0005-0000-0000-00003D4A0000}"/>
    <cellStyle name="Porcentagem 8 3 2" xfId="17513" xr:uid="{00000000-0005-0000-0000-00003E4A0000}"/>
    <cellStyle name="Porcentagem 8 4" xfId="11973" xr:uid="{00000000-0005-0000-0000-00003F4A0000}"/>
    <cellStyle name="Porcentagem 8 4 2" xfId="20660" xr:uid="{00000000-0005-0000-0000-0000404A0000}"/>
    <cellStyle name="Porcentagem 8 5" xfId="13579" xr:uid="{00000000-0005-0000-0000-0000414A0000}"/>
    <cellStyle name="Porcentagem 8 5 2" xfId="22259" xr:uid="{00000000-0005-0000-0000-0000424A0000}"/>
    <cellStyle name="Porcentagem 8 6" xfId="15785" xr:uid="{00000000-0005-0000-0000-0000434A0000}"/>
    <cellStyle name="Porcentagem 9" xfId="100" xr:uid="{00000000-0005-0000-0000-0000444A0000}"/>
    <cellStyle name="Porcentagem 9 2" xfId="4109" xr:uid="{00000000-0005-0000-0000-0000454A0000}"/>
    <cellStyle name="Porcentaje" xfId="5110" xr:uid="{00000000-0005-0000-0000-0000464A0000}"/>
    <cellStyle name="PrePop Currency (0)" xfId="5111" xr:uid="{00000000-0005-0000-0000-0000474A0000}"/>
    <cellStyle name="PrePop Currency (2)" xfId="5112" xr:uid="{00000000-0005-0000-0000-0000484A0000}"/>
    <cellStyle name="PrePop Units (0)" xfId="5113" xr:uid="{00000000-0005-0000-0000-0000494A0000}"/>
    <cellStyle name="PrePop Units (1)" xfId="5114" xr:uid="{00000000-0005-0000-0000-00004A4A0000}"/>
    <cellStyle name="PrePop Units (2)" xfId="5115" xr:uid="{00000000-0005-0000-0000-00004B4A0000}"/>
    <cellStyle name="PROTECTED" xfId="4110" xr:uid="{00000000-0005-0000-0000-00004C4A0000}"/>
    <cellStyle name="PSChar" xfId="5116" xr:uid="{00000000-0005-0000-0000-00004D4A0000}"/>
    <cellStyle name="PSDate" xfId="5117" xr:uid="{00000000-0005-0000-0000-00004E4A0000}"/>
    <cellStyle name="Punto0" xfId="5118" xr:uid="{00000000-0005-0000-0000-00004F4A0000}"/>
    <cellStyle name="Quadro" xfId="4111" xr:uid="{00000000-0005-0000-0000-0000504A0000}"/>
    <cellStyle name="Quadro 2" xfId="4112" xr:uid="{00000000-0005-0000-0000-0000514A0000}"/>
    <cellStyle name="Quadro 3" xfId="4113" xr:uid="{00000000-0005-0000-0000-0000524A0000}"/>
    <cellStyle name="Quadro 4" xfId="4114" xr:uid="{00000000-0005-0000-0000-0000534A0000}"/>
    <cellStyle name="Red font" xfId="4115" xr:uid="{00000000-0005-0000-0000-0000544A0000}"/>
    <cellStyle name="Red Text" xfId="5119" xr:uid="{00000000-0005-0000-0000-0000554A0000}"/>
    <cellStyle name="RevList" xfId="4116" xr:uid="{00000000-0005-0000-0000-0000564A0000}"/>
    <cellStyle name="RevList 2" xfId="5120" xr:uid="{00000000-0005-0000-0000-0000574A0000}"/>
    <cellStyle name="Ruim" xfId="4914" builtinId="27" customBuiltin="1"/>
    <cellStyle name="Saída" xfId="78" xr:uid="{00000000-0005-0000-0000-0000594A0000}"/>
    <cellStyle name="Saída 10" xfId="5580" xr:uid="{00000000-0005-0000-0000-00005A4A0000}"/>
    <cellStyle name="Saída 10 2" xfId="14072" xr:uid="{00000000-0005-0000-0000-00005B4A0000}"/>
    <cellStyle name="Saída 10 3" xfId="16115" xr:uid="{00000000-0005-0000-0000-00005C4A0000}"/>
    <cellStyle name="Saída 11" xfId="5501" xr:uid="{00000000-0005-0000-0000-00005D4A0000}"/>
    <cellStyle name="Saída 11 2" xfId="14046" xr:uid="{00000000-0005-0000-0000-00005E4A0000}"/>
    <cellStyle name="Saída 11 3" xfId="22539" xr:uid="{00000000-0005-0000-0000-00005F4A0000}"/>
    <cellStyle name="Saída 12" xfId="5592" xr:uid="{00000000-0005-0000-0000-0000604A0000}"/>
    <cellStyle name="Saída 12 2" xfId="14075" xr:uid="{00000000-0005-0000-0000-0000614A0000}"/>
    <cellStyle name="Saída 12 3" xfId="16116" xr:uid="{00000000-0005-0000-0000-0000624A0000}"/>
    <cellStyle name="Saída 13" xfId="5484" xr:uid="{00000000-0005-0000-0000-0000634A0000}"/>
    <cellStyle name="Saída 13 2" xfId="14042" xr:uid="{00000000-0005-0000-0000-0000644A0000}"/>
    <cellStyle name="Saída 13 3" xfId="22541" xr:uid="{00000000-0005-0000-0000-0000654A0000}"/>
    <cellStyle name="Saída 14" xfId="5619" xr:uid="{00000000-0005-0000-0000-0000664A0000}"/>
    <cellStyle name="Saída 14 2" xfId="14084" xr:uid="{00000000-0005-0000-0000-0000674A0000}"/>
    <cellStyle name="Saída 14 3" xfId="16132" xr:uid="{00000000-0005-0000-0000-0000684A0000}"/>
    <cellStyle name="Saída 15" xfId="5736" xr:uid="{00000000-0005-0000-0000-0000694A0000}"/>
    <cellStyle name="Saída 15 2" xfId="14119" xr:uid="{00000000-0005-0000-0000-00006A4A0000}"/>
    <cellStyle name="Saída 15 3" xfId="14720" xr:uid="{00000000-0005-0000-0000-00006B4A0000}"/>
    <cellStyle name="Saída 16" xfId="5694" xr:uid="{00000000-0005-0000-0000-00006C4A0000}"/>
    <cellStyle name="Saída 16 2" xfId="14108" xr:uid="{00000000-0005-0000-0000-00006D4A0000}"/>
    <cellStyle name="Saída 16 3" xfId="14545" xr:uid="{00000000-0005-0000-0000-00006E4A0000}"/>
    <cellStyle name="Saída 17" xfId="5780" xr:uid="{00000000-0005-0000-0000-00006F4A0000}"/>
    <cellStyle name="Saída 18" xfId="10600" xr:uid="{00000000-0005-0000-0000-0000704A0000}"/>
    <cellStyle name="Saída 2" xfId="5121" xr:uid="{00000000-0005-0000-0000-0000714A0000}"/>
    <cellStyle name="Saída 2 2" xfId="6981" xr:uid="{00000000-0005-0000-0000-0000724A0000}"/>
    <cellStyle name="Saída 2 2 2" xfId="6982" xr:uid="{00000000-0005-0000-0000-0000734A0000}"/>
    <cellStyle name="Saída 2 2 2 2" xfId="6983" xr:uid="{00000000-0005-0000-0000-0000744A0000}"/>
    <cellStyle name="Saída 2 2 2 2 2" xfId="6984" xr:uid="{00000000-0005-0000-0000-0000754A0000}"/>
    <cellStyle name="Saída 2 2 2 2 2 2" xfId="6985" xr:uid="{00000000-0005-0000-0000-0000764A0000}"/>
    <cellStyle name="Saída 2 2 2 2 2 2 2" xfId="6986" xr:uid="{00000000-0005-0000-0000-0000774A0000}"/>
    <cellStyle name="Saída 2 2 2 2 2 2 2 2" xfId="6987" xr:uid="{00000000-0005-0000-0000-0000784A0000}"/>
    <cellStyle name="Saída 2 2 2 2 2 2 2 2 2" xfId="14608" xr:uid="{00000000-0005-0000-0000-0000794A0000}"/>
    <cellStyle name="Saída 2 2 2 2 2 2 2 2 3" xfId="22596" xr:uid="{00000000-0005-0000-0000-00007A4A0000}"/>
    <cellStyle name="Saída 2 2 2 2 2 2 3" xfId="6988" xr:uid="{00000000-0005-0000-0000-00007B4A0000}"/>
    <cellStyle name="Saída 2 2 2 2 2 2 3 2" xfId="14609" xr:uid="{00000000-0005-0000-0000-00007C4A0000}"/>
    <cellStyle name="Saída 2 2 2 2 2 2 3 3" xfId="22568" xr:uid="{00000000-0005-0000-0000-00007D4A0000}"/>
    <cellStyle name="Saída 2 2 2 2 2 2 4" xfId="14606" xr:uid="{00000000-0005-0000-0000-00007E4A0000}"/>
    <cellStyle name="Saída 2 2 2 2 2 2 5" xfId="16055" xr:uid="{00000000-0005-0000-0000-00007F4A0000}"/>
    <cellStyle name="Saída 2 2 2 2 2 3" xfId="6989" xr:uid="{00000000-0005-0000-0000-0000804A0000}"/>
    <cellStyle name="Saída 2 2 2 2 2 3 2" xfId="6990" xr:uid="{00000000-0005-0000-0000-0000814A0000}"/>
    <cellStyle name="Saída 2 2 2 2 2 3 3" xfId="14610" xr:uid="{00000000-0005-0000-0000-0000824A0000}"/>
    <cellStyle name="Saída 2 2 2 2 2 3 4" xfId="16056" xr:uid="{00000000-0005-0000-0000-0000834A0000}"/>
    <cellStyle name="Saída 2 2 2 2 3" xfId="6991" xr:uid="{00000000-0005-0000-0000-0000844A0000}"/>
    <cellStyle name="Saída 2 2 2 2 3 2" xfId="6992" xr:uid="{00000000-0005-0000-0000-0000854A0000}"/>
    <cellStyle name="Saída 2 2 2 2 3 2 2" xfId="14612" xr:uid="{00000000-0005-0000-0000-0000864A0000}"/>
    <cellStyle name="Saída 2 2 2 2 3 2 3" xfId="22595" xr:uid="{00000000-0005-0000-0000-0000874A0000}"/>
    <cellStyle name="Saída 2 2 2 2 4" xfId="14605" xr:uid="{00000000-0005-0000-0000-0000884A0000}"/>
    <cellStyle name="Saída 2 2 2 2 5" xfId="22583" xr:uid="{00000000-0005-0000-0000-0000894A0000}"/>
    <cellStyle name="Saída 2 2 2 3" xfId="6993" xr:uid="{00000000-0005-0000-0000-00008A4A0000}"/>
    <cellStyle name="Saída 2 2 2 3 2" xfId="14613" xr:uid="{00000000-0005-0000-0000-00008B4A0000}"/>
    <cellStyle name="Saída 2 2 2 3 3" xfId="22567" xr:uid="{00000000-0005-0000-0000-00008C4A0000}"/>
    <cellStyle name="Saída 2 2 2 4" xfId="6994" xr:uid="{00000000-0005-0000-0000-00008D4A0000}"/>
    <cellStyle name="Saída 2 2 2 4 2" xfId="6995" xr:uid="{00000000-0005-0000-0000-00008E4A0000}"/>
    <cellStyle name="Saída 2 2 2 4 3" xfId="14614" xr:uid="{00000000-0005-0000-0000-00008F4A0000}"/>
    <cellStyle name="Saída 2 2 2 4 4" xfId="16057" xr:uid="{00000000-0005-0000-0000-0000904A0000}"/>
    <cellStyle name="Saída 2 2 3" xfId="6996" xr:uid="{00000000-0005-0000-0000-0000914A0000}"/>
    <cellStyle name="Saída 2 2 4" xfId="6997" xr:uid="{00000000-0005-0000-0000-0000924A0000}"/>
    <cellStyle name="Saída 2 2 4 2" xfId="6998" xr:uid="{00000000-0005-0000-0000-0000934A0000}"/>
    <cellStyle name="Saída 2 2 4 2 2" xfId="14615" xr:uid="{00000000-0005-0000-0000-0000944A0000}"/>
    <cellStyle name="Saída 2 2 4 2 3" xfId="16058" xr:uid="{00000000-0005-0000-0000-0000954A0000}"/>
    <cellStyle name="Saída 2 2 5" xfId="14604" xr:uid="{00000000-0005-0000-0000-0000964A0000}"/>
    <cellStyle name="Saída 2 2 6" xfId="22597" xr:uid="{00000000-0005-0000-0000-0000974A0000}"/>
    <cellStyle name="Saída 2 3" xfId="6999" xr:uid="{00000000-0005-0000-0000-0000984A0000}"/>
    <cellStyle name="Saída 2 3 2" xfId="14616" xr:uid="{00000000-0005-0000-0000-0000994A0000}"/>
    <cellStyle name="Saída 2 3 3" xfId="22613" xr:uid="{00000000-0005-0000-0000-00009A4A0000}"/>
    <cellStyle name="Saída 2 4" xfId="7000" xr:uid="{00000000-0005-0000-0000-00009B4A0000}"/>
    <cellStyle name="Saída 2 4 2" xfId="14617" xr:uid="{00000000-0005-0000-0000-00009C4A0000}"/>
    <cellStyle name="Saída 2 4 3" xfId="22594" xr:uid="{00000000-0005-0000-0000-00009D4A0000}"/>
    <cellStyle name="Saída 2 5" xfId="7001" xr:uid="{00000000-0005-0000-0000-00009E4A0000}"/>
    <cellStyle name="Saída 2 5 2" xfId="14618" xr:uid="{00000000-0005-0000-0000-00009F4A0000}"/>
    <cellStyle name="Saída 2 5 3" xfId="22566" xr:uid="{00000000-0005-0000-0000-0000A04A0000}"/>
    <cellStyle name="Saída 2 6" xfId="7002" xr:uid="{00000000-0005-0000-0000-0000A14A0000}"/>
    <cellStyle name="Saída 2 6 2" xfId="7003" xr:uid="{00000000-0005-0000-0000-0000A24A0000}"/>
    <cellStyle name="Saída 2 6 3" xfId="14619" xr:uid="{00000000-0005-0000-0000-0000A34A0000}"/>
    <cellStyle name="Saída 2 6 4" xfId="16059" xr:uid="{00000000-0005-0000-0000-0000A44A0000}"/>
    <cellStyle name="Saída 2 7" xfId="6980" xr:uid="{00000000-0005-0000-0000-0000A54A0000}"/>
    <cellStyle name="Saída 2 8" xfId="13915" xr:uid="{00000000-0005-0000-0000-0000A64A0000}"/>
    <cellStyle name="Saída 2 9" xfId="16090" xr:uid="{00000000-0005-0000-0000-0000A74A0000}"/>
    <cellStyle name="Saída 3" xfId="5315" xr:uid="{00000000-0005-0000-0000-0000A84A0000}"/>
    <cellStyle name="Saída 3 2" xfId="7005" xr:uid="{00000000-0005-0000-0000-0000A94A0000}"/>
    <cellStyle name="Saída 3 3" xfId="7006" xr:uid="{00000000-0005-0000-0000-0000AA4A0000}"/>
    <cellStyle name="Saída 3 4" xfId="7007" xr:uid="{00000000-0005-0000-0000-0000AB4A0000}"/>
    <cellStyle name="Saída 3 5" xfId="7004" xr:uid="{00000000-0005-0000-0000-0000AC4A0000}"/>
    <cellStyle name="Saída 3 6" xfId="13984" xr:uid="{00000000-0005-0000-0000-0000AD4A0000}"/>
    <cellStyle name="Saída 3 7" xfId="16164" xr:uid="{00000000-0005-0000-0000-0000AE4A0000}"/>
    <cellStyle name="Saída 4" xfId="5224" xr:uid="{00000000-0005-0000-0000-0000AF4A0000}"/>
    <cellStyle name="Saída 4 2" xfId="7009" xr:uid="{00000000-0005-0000-0000-0000B04A0000}"/>
    <cellStyle name="Saída 4 3" xfId="7010" xr:uid="{00000000-0005-0000-0000-0000B14A0000}"/>
    <cellStyle name="Saída 4 4" xfId="7008" xr:uid="{00000000-0005-0000-0000-0000B24A0000}"/>
    <cellStyle name="Saída 4 5" xfId="13958" xr:uid="{00000000-0005-0000-0000-0000B34A0000}"/>
    <cellStyle name="Saída 4 6" xfId="22534" xr:uid="{00000000-0005-0000-0000-0000B44A0000}"/>
    <cellStyle name="Saída 5" xfId="5326" xr:uid="{00000000-0005-0000-0000-0000B54A0000}"/>
    <cellStyle name="Saída 5 2" xfId="7012" xr:uid="{00000000-0005-0000-0000-0000B64A0000}"/>
    <cellStyle name="Saída 5 3" xfId="7011" xr:uid="{00000000-0005-0000-0000-0000B74A0000}"/>
    <cellStyle name="Saída 5 4" xfId="13988" xr:uid="{00000000-0005-0000-0000-0000B84A0000}"/>
    <cellStyle name="Saída 5 5" xfId="16094" xr:uid="{00000000-0005-0000-0000-0000B94A0000}"/>
    <cellStyle name="Saída 6" xfId="5201" xr:uid="{00000000-0005-0000-0000-0000BA4A0000}"/>
    <cellStyle name="Saída 6 2" xfId="7014" xr:uid="{00000000-0005-0000-0000-0000BB4A0000}"/>
    <cellStyle name="Saída 6 2 2" xfId="14621" xr:uid="{00000000-0005-0000-0000-0000BC4A0000}"/>
    <cellStyle name="Saída 6 2 3" xfId="22612" xr:uid="{00000000-0005-0000-0000-0000BD4A0000}"/>
    <cellStyle name="Saída 6 3" xfId="7375" xr:uid="{00000000-0005-0000-0000-0000BE4A0000}"/>
    <cellStyle name="Saída 6 4" xfId="7013" xr:uid="{00000000-0005-0000-0000-0000BF4A0000}"/>
    <cellStyle name="Saída 6 5" xfId="13951" xr:uid="{00000000-0005-0000-0000-0000C04A0000}"/>
    <cellStyle name="Saída 6 6" xfId="22549" xr:uid="{00000000-0005-0000-0000-0000C14A0000}"/>
    <cellStyle name="Saída 7" xfId="5356" xr:uid="{00000000-0005-0000-0000-0000C24A0000}"/>
    <cellStyle name="Saída 7 2" xfId="7376" xr:uid="{00000000-0005-0000-0000-0000C34A0000}"/>
    <cellStyle name="Saída 7 3" xfId="7015" xr:uid="{00000000-0005-0000-0000-0000C44A0000}"/>
    <cellStyle name="Saída 7 4" xfId="13999" xr:uid="{00000000-0005-0000-0000-0000C54A0000}"/>
    <cellStyle name="Saída 7 5" xfId="16121" xr:uid="{00000000-0005-0000-0000-0000C64A0000}"/>
    <cellStyle name="Saída 8" xfId="5385" xr:uid="{00000000-0005-0000-0000-0000C74A0000}"/>
    <cellStyle name="Saída 8 2" xfId="14009" xr:uid="{00000000-0005-0000-0000-0000C84A0000}"/>
    <cellStyle name="Saída 8 3" xfId="16123" xr:uid="{00000000-0005-0000-0000-0000C94A0000}"/>
    <cellStyle name="Saída 9" xfId="5412" xr:uid="{00000000-0005-0000-0000-0000CA4A0000}"/>
    <cellStyle name="Saída 9 2" xfId="14018" xr:uid="{00000000-0005-0000-0000-0000CB4A0000}"/>
    <cellStyle name="Saída 9 3" xfId="16125" xr:uid="{00000000-0005-0000-0000-0000CC4A0000}"/>
    <cellStyle name="Salida" xfId="4117" xr:uid="{00000000-0005-0000-0000-0000CD4A0000}"/>
    <cellStyle name="Salida 2" xfId="4118" xr:uid="{00000000-0005-0000-0000-0000CE4A0000}"/>
    <cellStyle name="Salida 2 2" xfId="4119" xr:uid="{00000000-0005-0000-0000-0000CF4A0000}"/>
    <cellStyle name="Salida 2 2 2" xfId="10583" xr:uid="{00000000-0005-0000-0000-0000D04A0000}"/>
    <cellStyle name="Salida 2 3" xfId="10582" xr:uid="{00000000-0005-0000-0000-0000D14A0000}"/>
    <cellStyle name="Salida 3" xfId="4120" xr:uid="{00000000-0005-0000-0000-0000D24A0000}"/>
    <cellStyle name="Salida 3 2" xfId="4121" xr:uid="{00000000-0005-0000-0000-0000D34A0000}"/>
    <cellStyle name="Salida 3 2 2" xfId="10585" xr:uid="{00000000-0005-0000-0000-0000D44A0000}"/>
    <cellStyle name="Salida 3 3" xfId="10584" xr:uid="{00000000-0005-0000-0000-0000D54A0000}"/>
    <cellStyle name="Salida 4" xfId="4122" xr:uid="{00000000-0005-0000-0000-0000D64A0000}"/>
    <cellStyle name="Salida 4 2" xfId="10586" xr:uid="{00000000-0005-0000-0000-0000D74A0000}"/>
    <cellStyle name="Salida 5" xfId="10581" xr:uid="{00000000-0005-0000-0000-0000D84A0000}"/>
    <cellStyle name="Salomon Logo" xfId="5122" xr:uid="{00000000-0005-0000-0000-0000D94A0000}"/>
    <cellStyle name="SelectFormat" xfId="5123" xr:uid="{00000000-0005-0000-0000-0000DA4A0000}"/>
    <cellStyle name="SelectFormat 2" xfId="13916" xr:uid="{00000000-0005-0000-0000-0000DB4A0000}"/>
    <cellStyle name="SelectFormat 3" xfId="22560" xr:uid="{00000000-0005-0000-0000-0000DC4A0000}"/>
    <cellStyle name="Sep. milhar [0]" xfId="4123" xr:uid="{00000000-0005-0000-0000-0000DD4A0000}"/>
    <cellStyle name="Separador de milhares 10" xfId="4124" xr:uid="{00000000-0005-0000-0000-0000DE4A0000}"/>
    <cellStyle name="Separador de milhares 10 10" xfId="8762" xr:uid="{00000000-0005-0000-0000-0000DF4A0000}"/>
    <cellStyle name="Separador de milhares 10 10 2" xfId="17514" xr:uid="{00000000-0005-0000-0000-0000E04A0000}"/>
    <cellStyle name="Separador de milhares 10 11" xfId="11974" xr:uid="{00000000-0005-0000-0000-0000E14A0000}"/>
    <cellStyle name="Separador de milhares 10 11 2" xfId="20661" xr:uid="{00000000-0005-0000-0000-0000E24A0000}"/>
    <cellStyle name="Separador de milhares 10 12" xfId="13580" xr:uid="{00000000-0005-0000-0000-0000E34A0000}"/>
    <cellStyle name="Separador de milhares 10 12 2" xfId="22260" xr:uid="{00000000-0005-0000-0000-0000E44A0000}"/>
    <cellStyle name="Separador de milhares 10 13" xfId="15786" xr:uid="{00000000-0005-0000-0000-0000E54A0000}"/>
    <cellStyle name="Separador de milhares 10 2" xfId="4125" xr:uid="{00000000-0005-0000-0000-0000E64A0000}"/>
    <cellStyle name="Separador de milhares 10 2 2" xfId="4126" xr:uid="{00000000-0005-0000-0000-0000E74A0000}"/>
    <cellStyle name="Separador de milhares 10 2 2 2" xfId="8764" xr:uid="{00000000-0005-0000-0000-0000E84A0000}"/>
    <cellStyle name="Separador de milhares 10 2 2 2 2" xfId="17516" xr:uid="{00000000-0005-0000-0000-0000E94A0000}"/>
    <cellStyle name="Separador de milhares 10 2 2 3" xfId="11976" xr:uid="{00000000-0005-0000-0000-0000EA4A0000}"/>
    <cellStyle name="Separador de milhares 10 2 2 3 2" xfId="20663" xr:uid="{00000000-0005-0000-0000-0000EB4A0000}"/>
    <cellStyle name="Separador de milhares 10 2 2 4" xfId="13582" xr:uid="{00000000-0005-0000-0000-0000EC4A0000}"/>
    <cellStyle name="Separador de milhares 10 2 2 4 2" xfId="22262" xr:uid="{00000000-0005-0000-0000-0000ED4A0000}"/>
    <cellStyle name="Separador de milhares 10 2 2 5" xfId="15788" xr:uid="{00000000-0005-0000-0000-0000EE4A0000}"/>
    <cellStyle name="Separador de milhares 10 2 3" xfId="8763" xr:uid="{00000000-0005-0000-0000-0000EF4A0000}"/>
    <cellStyle name="Separador de milhares 10 2 3 2" xfId="17515" xr:uid="{00000000-0005-0000-0000-0000F04A0000}"/>
    <cellStyle name="Separador de milhares 10 2 4" xfId="11975" xr:uid="{00000000-0005-0000-0000-0000F14A0000}"/>
    <cellStyle name="Separador de milhares 10 2 4 2" xfId="20662" xr:uid="{00000000-0005-0000-0000-0000F24A0000}"/>
    <cellStyle name="Separador de milhares 10 2 5" xfId="13581" xr:uid="{00000000-0005-0000-0000-0000F34A0000}"/>
    <cellStyle name="Separador de milhares 10 2 5 2" xfId="22261" xr:uid="{00000000-0005-0000-0000-0000F44A0000}"/>
    <cellStyle name="Separador de milhares 10 2 6" xfId="15787" xr:uid="{00000000-0005-0000-0000-0000F54A0000}"/>
    <cellStyle name="Separador de milhares 10 3" xfId="4127" xr:uid="{00000000-0005-0000-0000-0000F64A0000}"/>
    <cellStyle name="Separador de milhares 10 3 2" xfId="4128" xr:uid="{00000000-0005-0000-0000-0000F74A0000}"/>
    <cellStyle name="Separador de milhares 10 3 2 2" xfId="8766" xr:uid="{00000000-0005-0000-0000-0000F84A0000}"/>
    <cellStyle name="Separador de milhares 10 3 2 2 2" xfId="17518" xr:uid="{00000000-0005-0000-0000-0000F94A0000}"/>
    <cellStyle name="Separador de milhares 10 3 2 3" xfId="11978" xr:uid="{00000000-0005-0000-0000-0000FA4A0000}"/>
    <cellStyle name="Separador de milhares 10 3 2 3 2" xfId="20665" xr:uid="{00000000-0005-0000-0000-0000FB4A0000}"/>
    <cellStyle name="Separador de milhares 10 3 2 4" xfId="13584" xr:uid="{00000000-0005-0000-0000-0000FC4A0000}"/>
    <cellStyle name="Separador de milhares 10 3 2 4 2" xfId="22264" xr:uid="{00000000-0005-0000-0000-0000FD4A0000}"/>
    <cellStyle name="Separador de milhares 10 3 2 5" xfId="15790" xr:uid="{00000000-0005-0000-0000-0000FE4A0000}"/>
    <cellStyle name="Separador de milhares 10 3 3" xfId="8765" xr:uid="{00000000-0005-0000-0000-0000FF4A0000}"/>
    <cellStyle name="Separador de milhares 10 3 3 2" xfId="17517" xr:uid="{00000000-0005-0000-0000-0000004B0000}"/>
    <cellStyle name="Separador de milhares 10 3 4" xfId="11977" xr:uid="{00000000-0005-0000-0000-0000014B0000}"/>
    <cellStyle name="Separador de milhares 10 3 4 2" xfId="20664" xr:uid="{00000000-0005-0000-0000-0000024B0000}"/>
    <cellStyle name="Separador de milhares 10 3 5" xfId="13583" xr:uid="{00000000-0005-0000-0000-0000034B0000}"/>
    <cellStyle name="Separador de milhares 10 3 5 2" xfId="22263" xr:uid="{00000000-0005-0000-0000-0000044B0000}"/>
    <cellStyle name="Separador de milhares 10 3 6" xfId="15789" xr:uid="{00000000-0005-0000-0000-0000054B0000}"/>
    <cellStyle name="Separador de milhares 10 4" xfId="4129" xr:uid="{00000000-0005-0000-0000-0000064B0000}"/>
    <cellStyle name="Separador de milhares 10 4 2" xfId="8767" xr:uid="{00000000-0005-0000-0000-0000074B0000}"/>
    <cellStyle name="Separador de milhares 10 4 2 2" xfId="17519" xr:uid="{00000000-0005-0000-0000-0000084B0000}"/>
    <cellStyle name="Separador de milhares 10 4 3" xfId="11979" xr:uid="{00000000-0005-0000-0000-0000094B0000}"/>
    <cellStyle name="Separador de milhares 10 4 3 2" xfId="20666" xr:uid="{00000000-0005-0000-0000-00000A4B0000}"/>
    <cellStyle name="Separador de milhares 10 4 4" xfId="13585" xr:uid="{00000000-0005-0000-0000-00000B4B0000}"/>
    <cellStyle name="Separador de milhares 10 4 4 2" xfId="22265" xr:uid="{00000000-0005-0000-0000-00000C4B0000}"/>
    <cellStyle name="Separador de milhares 10 4 5" xfId="15791" xr:uid="{00000000-0005-0000-0000-00000D4B0000}"/>
    <cellStyle name="Separador de milhares 10 5" xfId="4130" xr:uid="{00000000-0005-0000-0000-00000E4B0000}"/>
    <cellStyle name="Separador de milhares 10 5 2" xfId="8768" xr:uid="{00000000-0005-0000-0000-00000F4B0000}"/>
    <cellStyle name="Separador de milhares 10 5 2 2" xfId="17520" xr:uid="{00000000-0005-0000-0000-0000104B0000}"/>
    <cellStyle name="Separador de milhares 10 5 3" xfId="11980" xr:uid="{00000000-0005-0000-0000-0000114B0000}"/>
    <cellStyle name="Separador de milhares 10 5 3 2" xfId="20667" xr:uid="{00000000-0005-0000-0000-0000124B0000}"/>
    <cellStyle name="Separador de milhares 10 5 4" xfId="13586" xr:uid="{00000000-0005-0000-0000-0000134B0000}"/>
    <cellStyle name="Separador de milhares 10 5 4 2" xfId="22266" xr:uid="{00000000-0005-0000-0000-0000144B0000}"/>
    <cellStyle name="Separador de milhares 10 5 5" xfId="15792" xr:uid="{00000000-0005-0000-0000-0000154B0000}"/>
    <cellStyle name="Separador de milhares 10 6" xfId="4131" xr:uid="{00000000-0005-0000-0000-0000164B0000}"/>
    <cellStyle name="Separador de milhares 10 6 2" xfId="8769" xr:uid="{00000000-0005-0000-0000-0000174B0000}"/>
    <cellStyle name="Separador de milhares 10 6 2 2" xfId="17521" xr:uid="{00000000-0005-0000-0000-0000184B0000}"/>
    <cellStyle name="Separador de milhares 10 6 3" xfId="11981" xr:uid="{00000000-0005-0000-0000-0000194B0000}"/>
    <cellStyle name="Separador de milhares 10 6 3 2" xfId="20668" xr:uid="{00000000-0005-0000-0000-00001A4B0000}"/>
    <cellStyle name="Separador de milhares 10 6 4" xfId="13587" xr:uid="{00000000-0005-0000-0000-00001B4B0000}"/>
    <cellStyle name="Separador de milhares 10 6 4 2" xfId="22267" xr:uid="{00000000-0005-0000-0000-00001C4B0000}"/>
    <cellStyle name="Separador de milhares 10 6 5" xfId="15793" xr:uid="{00000000-0005-0000-0000-00001D4B0000}"/>
    <cellStyle name="Separador de milhares 10 7" xfId="4132" xr:uid="{00000000-0005-0000-0000-00001E4B0000}"/>
    <cellStyle name="Separador de milhares 10 7 2" xfId="8770" xr:uid="{00000000-0005-0000-0000-00001F4B0000}"/>
    <cellStyle name="Separador de milhares 10 7 2 2" xfId="17522" xr:uid="{00000000-0005-0000-0000-0000204B0000}"/>
    <cellStyle name="Separador de milhares 10 7 3" xfId="11982" xr:uid="{00000000-0005-0000-0000-0000214B0000}"/>
    <cellStyle name="Separador de milhares 10 7 3 2" xfId="20669" xr:uid="{00000000-0005-0000-0000-0000224B0000}"/>
    <cellStyle name="Separador de milhares 10 7 4" xfId="13588" xr:uid="{00000000-0005-0000-0000-0000234B0000}"/>
    <cellStyle name="Separador de milhares 10 7 4 2" xfId="22268" xr:uid="{00000000-0005-0000-0000-0000244B0000}"/>
    <cellStyle name="Separador de milhares 10 7 5" xfId="15794" xr:uid="{00000000-0005-0000-0000-0000254B0000}"/>
    <cellStyle name="Separador de milhares 10 8" xfId="4133" xr:uid="{00000000-0005-0000-0000-0000264B0000}"/>
    <cellStyle name="Separador de milhares 10 8 2" xfId="8771" xr:uid="{00000000-0005-0000-0000-0000274B0000}"/>
    <cellStyle name="Separador de milhares 10 8 2 2" xfId="17523" xr:uid="{00000000-0005-0000-0000-0000284B0000}"/>
    <cellStyle name="Separador de milhares 10 8 3" xfId="11983" xr:uid="{00000000-0005-0000-0000-0000294B0000}"/>
    <cellStyle name="Separador de milhares 10 8 3 2" xfId="20670" xr:uid="{00000000-0005-0000-0000-00002A4B0000}"/>
    <cellStyle name="Separador de milhares 10 8 4" xfId="13589" xr:uid="{00000000-0005-0000-0000-00002B4B0000}"/>
    <cellStyle name="Separador de milhares 10 8 4 2" xfId="22269" xr:uid="{00000000-0005-0000-0000-00002C4B0000}"/>
    <cellStyle name="Separador de milhares 10 8 5" xfId="15795" xr:uid="{00000000-0005-0000-0000-00002D4B0000}"/>
    <cellStyle name="Separador de milhares 10 9" xfId="10363" xr:uid="{00000000-0005-0000-0000-00002E4B0000}"/>
    <cellStyle name="Separador de milhares 10 9 2" xfId="19113" xr:uid="{00000000-0005-0000-0000-00002F4B0000}"/>
    <cellStyle name="Separador de milhares 11" xfId="4134" xr:uid="{00000000-0005-0000-0000-0000304B0000}"/>
    <cellStyle name="Separador de milhares 11 10" xfId="8772" xr:uid="{00000000-0005-0000-0000-0000314B0000}"/>
    <cellStyle name="Separador de milhares 11 10 2" xfId="17524" xr:uid="{00000000-0005-0000-0000-0000324B0000}"/>
    <cellStyle name="Separador de milhares 11 11" xfId="11984" xr:uid="{00000000-0005-0000-0000-0000334B0000}"/>
    <cellStyle name="Separador de milhares 11 11 2" xfId="20671" xr:uid="{00000000-0005-0000-0000-0000344B0000}"/>
    <cellStyle name="Separador de milhares 11 12" xfId="13590" xr:uid="{00000000-0005-0000-0000-0000354B0000}"/>
    <cellStyle name="Separador de milhares 11 12 2" xfId="22270" xr:uid="{00000000-0005-0000-0000-0000364B0000}"/>
    <cellStyle name="Separador de milhares 11 13" xfId="15796" xr:uid="{00000000-0005-0000-0000-0000374B0000}"/>
    <cellStyle name="Separador de milhares 11 2" xfId="4135" xr:uid="{00000000-0005-0000-0000-0000384B0000}"/>
    <cellStyle name="Separador de milhares 11 2 2" xfId="4136" xr:uid="{00000000-0005-0000-0000-0000394B0000}"/>
    <cellStyle name="Separador de milhares 11 2 2 2" xfId="10366" xr:uid="{00000000-0005-0000-0000-00003A4B0000}"/>
    <cellStyle name="Separador de milhares 11 2 2 2 2" xfId="19116" xr:uid="{00000000-0005-0000-0000-00003B4B0000}"/>
    <cellStyle name="Separador de milhares 11 2 2 3" xfId="8774" xr:uid="{00000000-0005-0000-0000-00003C4B0000}"/>
    <cellStyle name="Separador de milhares 11 2 2 3 2" xfId="17526" xr:uid="{00000000-0005-0000-0000-00003D4B0000}"/>
    <cellStyle name="Separador de milhares 11 2 2 4" xfId="11986" xr:uid="{00000000-0005-0000-0000-00003E4B0000}"/>
    <cellStyle name="Separador de milhares 11 2 2 4 2" xfId="20673" xr:uid="{00000000-0005-0000-0000-00003F4B0000}"/>
    <cellStyle name="Separador de milhares 11 2 2 5" xfId="13592" xr:uid="{00000000-0005-0000-0000-0000404B0000}"/>
    <cellStyle name="Separador de milhares 11 2 2 5 2" xfId="22272" xr:uid="{00000000-0005-0000-0000-0000414B0000}"/>
    <cellStyle name="Separador de milhares 11 2 2 6" xfId="15798" xr:uid="{00000000-0005-0000-0000-0000424B0000}"/>
    <cellStyle name="Separador de milhares 11 2 3" xfId="4137" xr:uid="{00000000-0005-0000-0000-0000434B0000}"/>
    <cellStyle name="Separador de milhares 11 2 3 2" xfId="10367" xr:uid="{00000000-0005-0000-0000-0000444B0000}"/>
    <cellStyle name="Separador de milhares 11 2 3 2 2" xfId="19117" xr:uid="{00000000-0005-0000-0000-0000454B0000}"/>
    <cellStyle name="Separador de milhares 11 2 3 3" xfId="8775" xr:uid="{00000000-0005-0000-0000-0000464B0000}"/>
    <cellStyle name="Separador de milhares 11 2 3 3 2" xfId="17527" xr:uid="{00000000-0005-0000-0000-0000474B0000}"/>
    <cellStyle name="Separador de milhares 11 2 3 4" xfId="11987" xr:uid="{00000000-0005-0000-0000-0000484B0000}"/>
    <cellStyle name="Separador de milhares 11 2 3 4 2" xfId="20674" xr:uid="{00000000-0005-0000-0000-0000494B0000}"/>
    <cellStyle name="Separador de milhares 11 2 3 5" xfId="13593" xr:uid="{00000000-0005-0000-0000-00004A4B0000}"/>
    <cellStyle name="Separador de milhares 11 2 3 5 2" xfId="22273" xr:uid="{00000000-0005-0000-0000-00004B4B0000}"/>
    <cellStyle name="Separador de milhares 11 2 3 6" xfId="15799" xr:uid="{00000000-0005-0000-0000-00004C4B0000}"/>
    <cellStyle name="Separador de milhares 11 2 4" xfId="4138" xr:uid="{00000000-0005-0000-0000-00004D4B0000}"/>
    <cellStyle name="Separador de milhares 11 2 4 2" xfId="10368" xr:uid="{00000000-0005-0000-0000-00004E4B0000}"/>
    <cellStyle name="Separador de milhares 11 2 4 2 2" xfId="19118" xr:uid="{00000000-0005-0000-0000-00004F4B0000}"/>
    <cellStyle name="Separador de milhares 11 2 4 3" xfId="8776" xr:uid="{00000000-0005-0000-0000-0000504B0000}"/>
    <cellStyle name="Separador de milhares 11 2 4 3 2" xfId="17528" xr:uid="{00000000-0005-0000-0000-0000514B0000}"/>
    <cellStyle name="Separador de milhares 11 2 4 4" xfId="11988" xr:uid="{00000000-0005-0000-0000-0000524B0000}"/>
    <cellStyle name="Separador de milhares 11 2 4 4 2" xfId="20675" xr:uid="{00000000-0005-0000-0000-0000534B0000}"/>
    <cellStyle name="Separador de milhares 11 2 4 5" xfId="13594" xr:uid="{00000000-0005-0000-0000-0000544B0000}"/>
    <cellStyle name="Separador de milhares 11 2 4 5 2" xfId="22274" xr:uid="{00000000-0005-0000-0000-0000554B0000}"/>
    <cellStyle name="Separador de milhares 11 2 4 6" xfId="15800" xr:uid="{00000000-0005-0000-0000-0000564B0000}"/>
    <cellStyle name="Separador de milhares 11 2 5" xfId="10365" xr:uid="{00000000-0005-0000-0000-0000574B0000}"/>
    <cellStyle name="Separador de milhares 11 2 5 2" xfId="19115" xr:uid="{00000000-0005-0000-0000-0000584B0000}"/>
    <cellStyle name="Separador de milhares 11 2 6" xfId="8773" xr:uid="{00000000-0005-0000-0000-0000594B0000}"/>
    <cellStyle name="Separador de milhares 11 2 6 2" xfId="17525" xr:uid="{00000000-0005-0000-0000-00005A4B0000}"/>
    <cellStyle name="Separador de milhares 11 2 7" xfId="11985" xr:uid="{00000000-0005-0000-0000-00005B4B0000}"/>
    <cellStyle name="Separador de milhares 11 2 7 2" xfId="20672" xr:uid="{00000000-0005-0000-0000-00005C4B0000}"/>
    <cellStyle name="Separador de milhares 11 2 8" xfId="13591" xr:uid="{00000000-0005-0000-0000-00005D4B0000}"/>
    <cellStyle name="Separador de milhares 11 2 8 2" xfId="22271" xr:uid="{00000000-0005-0000-0000-00005E4B0000}"/>
    <cellStyle name="Separador de milhares 11 2 9" xfId="15797" xr:uid="{00000000-0005-0000-0000-00005F4B0000}"/>
    <cellStyle name="Separador de milhares 11 3" xfId="4139" xr:uid="{00000000-0005-0000-0000-0000604B0000}"/>
    <cellStyle name="Separador de milhares 11 3 2" xfId="4140" xr:uid="{00000000-0005-0000-0000-0000614B0000}"/>
    <cellStyle name="Separador de milhares 11 3 2 2" xfId="10370" xr:uid="{00000000-0005-0000-0000-0000624B0000}"/>
    <cellStyle name="Separador de milhares 11 3 2 2 2" xfId="19120" xr:uid="{00000000-0005-0000-0000-0000634B0000}"/>
    <cellStyle name="Separador de milhares 11 3 2 3" xfId="8778" xr:uid="{00000000-0005-0000-0000-0000644B0000}"/>
    <cellStyle name="Separador de milhares 11 3 2 3 2" xfId="17530" xr:uid="{00000000-0005-0000-0000-0000654B0000}"/>
    <cellStyle name="Separador de milhares 11 3 2 4" xfId="11990" xr:uid="{00000000-0005-0000-0000-0000664B0000}"/>
    <cellStyle name="Separador de milhares 11 3 2 4 2" xfId="20677" xr:uid="{00000000-0005-0000-0000-0000674B0000}"/>
    <cellStyle name="Separador de milhares 11 3 2 5" xfId="13596" xr:uid="{00000000-0005-0000-0000-0000684B0000}"/>
    <cellStyle name="Separador de milhares 11 3 2 5 2" xfId="22276" xr:uid="{00000000-0005-0000-0000-0000694B0000}"/>
    <cellStyle name="Separador de milhares 11 3 2 6" xfId="15802" xr:uid="{00000000-0005-0000-0000-00006A4B0000}"/>
    <cellStyle name="Separador de milhares 11 3 3" xfId="4141" xr:uid="{00000000-0005-0000-0000-00006B4B0000}"/>
    <cellStyle name="Separador de milhares 11 3 3 2" xfId="10371" xr:uid="{00000000-0005-0000-0000-00006C4B0000}"/>
    <cellStyle name="Separador de milhares 11 3 3 2 2" xfId="19121" xr:uid="{00000000-0005-0000-0000-00006D4B0000}"/>
    <cellStyle name="Separador de milhares 11 3 3 3" xfId="8779" xr:uid="{00000000-0005-0000-0000-00006E4B0000}"/>
    <cellStyle name="Separador de milhares 11 3 3 3 2" xfId="17531" xr:uid="{00000000-0005-0000-0000-00006F4B0000}"/>
    <cellStyle name="Separador de milhares 11 3 3 4" xfId="11991" xr:uid="{00000000-0005-0000-0000-0000704B0000}"/>
    <cellStyle name="Separador de milhares 11 3 3 4 2" xfId="20678" xr:uid="{00000000-0005-0000-0000-0000714B0000}"/>
    <cellStyle name="Separador de milhares 11 3 3 5" xfId="13597" xr:uid="{00000000-0005-0000-0000-0000724B0000}"/>
    <cellStyle name="Separador de milhares 11 3 3 5 2" xfId="22277" xr:uid="{00000000-0005-0000-0000-0000734B0000}"/>
    <cellStyle name="Separador de milhares 11 3 3 6" xfId="15803" xr:uid="{00000000-0005-0000-0000-0000744B0000}"/>
    <cellStyle name="Separador de milhares 11 3 4" xfId="4142" xr:uid="{00000000-0005-0000-0000-0000754B0000}"/>
    <cellStyle name="Separador de milhares 11 3 4 2" xfId="10372" xr:uid="{00000000-0005-0000-0000-0000764B0000}"/>
    <cellStyle name="Separador de milhares 11 3 4 2 2" xfId="19122" xr:uid="{00000000-0005-0000-0000-0000774B0000}"/>
    <cellStyle name="Separador de milhares 11 3 4 3" xfId="8780" xr:uid="{00000000-0005-0000-0000-0000784B0000}"/>
    <cellStyle name="Separador de milhares 11 3 4 3 2" xfId="17532" xr:uid="{00000000-0005-0000-0000-0000794B0000}"/>
    <cellStyle name="Separador de milhares 11 3 4 4" xfId="11992" xr:uid="{00000000-0005-0000-0000-00007A4B0000}"/>
    <cellStyle name="Separador de milhares 11 3 4 4 2" xfId="20679" xr:uid="{00000000-0005-0000-0000-00007B4B0000}"/>
    <cellStyle name="Separador de milhares 11 3 4 5" xfId="13598" xr:uid="{00000000-0005-0000-0000-00007C4B0000}"/>
    <cellStyle name="Separador de milhares 11 3 4 5 2" xfId="22278" xr:uid="{00000000-0005-0000-0000-00007D4B0000}"/>
    <cellStyle name="Separador de milhares 11 3 4 6" xfId="15804" xr:uid="{00000000-0005-0000-0000-00007E4B0000}"/>
    <cellStyle name="Separador de milhares 11 3 5" xfId="10369" xr:uid="{00000000-0005-0000-0000-00007F4B0000}"/>
    <cellStyle name="Separador de milhares 11 3 5 2" xfId="19119" xr:uid="{00000000-0005-0000-0000-0000804B0000}"/>
    <cellStyle name="Separador de milhares 11 3 6" xfId="8777" xr:uid="{00000000-0005-0000-0000-0000814B0000}"/>
    <cellStyle name="Separador de milhares 11 3 6 2" xfId="17529" xr:uid="{00000000-0005-0000-0000-0000824B0000}"/>
    <cellStyle name="Separador de milhares 11 3 7" xfId="11989" xr:uid="{00000000-0005-0000-0000-0000834B0000}"/>
    <cellStyle name="Separador de milhares 11 3 7 2" xfId="20676" xr:uid="{00000000-0005-0000-0000-0000844B0000}"/>
    <cellStyle name="Separador de milhares 11 3 8" xfId="13595" xr:uid="{00000000-0005-0000-0000-0000854B0000}"/>
    <cellStyle name="Separador de milhares 11 3 8 2" xfId="22275" xr:uid="{00000000-0005-0000-0000-0000864B0000}"/>
    <cellStyle name="Separador de milhares 11 3 9" xfId="15801" xr:uid="{00000000-0005-0000-0000-0000874B0000}"/>
    <cellStyle name="Separador de milhares 11 4" xfId="4143" xr:uid="{00000000-0005-0000-0000-0000884B0000}"/>
    <cellStyle name="Separador de milhares 11 4 2" xfId="10373" xr:uid="{00000000-0005-0000-0000-0000894B0000}"/>
    <cellStyle name="Separador de milhares 11 4 2 2" xfId="19123" xr:uid="{00000000-0005-0000-0000-00008A4B0000}"/>
    <cellStyle name="Separador de milhares 11 4 3" xfId="8781" xr:uid="{00000000-0005-0000-0000-00008B4B0000}"/>
    <cellStyle name="Separador de milhares 11 4 3 2" xfId="17533" xr:uid="{00000000-0005-0000-0000-00008C4B0000}"/>
    <cellStyle name="Separador de milhares 11 4 4" xfId="11993" xr:uid="{00000000-0005-0000-0000-00008D4B0000}"/>
    <cellStyle name="Separador de milhares 11 4 4 2" xfId="20680" xr:uid="{00000000-0005-0000-0000-00008E4B0000}"/>
    <cellStyle name="Separador de milhares 11 4 5" xfId="13599" xr:uid="{00000000-0005-0000-0000-00008F4B0000}"/>
    <cellStyle name="Separador de milhares 11 4 5 2" xfId="22279" xr:uid="{00000000-0005-0000-0000-0000904B0000}"/>
    <cellStyle name="Separador de milhares 11 4 6" xfId="15805" xr:uid="{00000000-0005-0000-0000-0000914B0000}"/>
    <cellStyle name="Separador de milhares 11 5" xfId="4144" xr:uid="{00000000-0005-0000-0000-0000924B0000}"/>
    <cellStyle name="Separador de milhares 11 5 2" xfId="10374" xr:uid="{00000000-0005-0000-0000-0000934B0000}"/>
    <cellStyle name="Separador de milhares 11 5 2 2" xfId="19124" xr:uid="{00000000-0005-0000-0000-0000944B0000}"/>
    <cellStyle name="Separador de milhares 11 5 3" xfId="8782" xr:uid="{00000000-0005-0000-0000-0000954B0000}"/>
    <cellStyle name="Separador de milhares 11 5 3 2" xfId="17534" xr:uid="{00000000-0005-0000-0000-0000964B0000}"/>
    <cellStyle name="Separador de milhares 11 5 4" xfId="11994" xr:uid="{00000000-0005-0000-0000-0000974B0000}"/>
    <cellStyle name="Separador de milhares 11 5 4 2" xfId="20681" xr:uid="{00000000-0005-0000-0000-0000984B0000}"/>
    <cellStyle name="Separador de milhares 11 5 5" xfId="13600" xr:uid="{00000000-0005-0000-0000-0000994B0000}"/>
    <cellStyle name="Separador de milhares 11 5 5 2" xfId="22280" xr:uid="{00000000-0005-0000-0000-00009A4B0000}"/>
    <cellStyle name="Separador de milhares 11 5 6" xfId="15806" xr:uid="{00000000-0005-0000-0000-00009B4B0000}"/>
    <cellStyle name="Separador de milhares 11 6" xfId="4145" xr:uid="{00000000-0005-0000-0000-00009C4B0000}"/>
    <cellStyle name="Separador de milhares 11 6 2" xfId="10375" xr:uid="{00000000-0005-0000-0000-00009D4B0000}"/>
    <cellStyle name="Separador de milhares 11 6 2 2" xfId="19125" xr:uid="{00000000-0005-0000-0000-00009E4B0000}"/>
    <cellStyle name="Separador de milhares 11 6 3" xfId="8783" xr:uid="{00000000-0005-0000-0000-00009F4B0000}"/>
    <cellStyle name="Separador de milhares 11 6 3 2" xfId="17535" xr:uid="{00000000-0005-0000-0000-0000A04B0000}"/>
    <cellStyle name="Separador de milhares 11 6 4" xfId="11995" xr:uid="{00000000-0005-0000-0000-0000A14B0000}"/>
    <cellStyle name="Separador de milhares 11 6 4 2" xfId="20682" xr:uid="{00000000-0005-0000-0000-0000A24B0000}"/>
    <cellStyle name="Separador de milhares 11 6 5" xfId="13601" xr:uid="{00000000-0005-0000-0000-0000A34B0000}"/>
    <cellStyle name="Separador de milhares 11 6 5 2" xfId="22281" xr:uid="{00000000-0005-0000-0000-0000A44B0000}"/>
    <cellStyle name="Separador de milhares 11 6 6" xfId="15807" xr:uid="{00000000-0005-0000-0000-0000A54B0000}"/>
    <cellStyle name="Separador de milhares 11 7" xfId="4146" xr:uid="{00000000-0005-0000-0000-0000A64B0000}"/>
    <cellStyle name="Separador de milhares 11 7 2" xfId="10376" xr:uid="{00000000-0005-0000-0000-0000A74B0000}"/>
    <cellStyle name="Separador de milhares 11 7 2 2" xfId="19126" xr:uid="{00000000-0005-0000-0000-0000A84B0000}"/>
    <cellStyle name="Separador de milhares 11 7 3" xfId="8784" xr:uid="{00000000-0005-0000-0000-0000A94B0000}"/>
    <cellStyle name="Separador de milhares 11 7 3 2" xfId="17536" xr:uid="{00000000-0005-0000-0000-0000AA4B0000}"/>
    <cellStyle name="Separador de milhares 11 7 4" xfId="11996" xr:uid="{00000000-0005-0000-0000-0000AB4B0000}"/>
    <cellStyle name="Separador de milhares 11 7 4 2" xfId="20683" xr:uid="{00000000-0005-0000-0000-0000AC4B0000}"/>
    <cellStyle name="Separador de milhares 11 7 5" xfId="13602" xr:uid="{00000000-0005-0000-0000-0000AD4B0000}"/>
    <cellStyle name="Separador de milhares 11 7 5 2" xfId="22282" xr:uid="{00000000-0005-0000-0000-0000AE4B0000}"/>
    <cellStyle name="Separador de milhares 11 7 6" xfId="15808" xr:uid="{00000000-0005-0000-0000-0000AF4B0000}"/>
    <cellStyle name="Separador de milhares 11 8" xfId="4147" xr:uid="{00000000-0005-0000-0000-0000B04B0000}"/>
    <cellStyle name="Separador de milhares 11 8 2" xfId="10377" xr:uid="{00000000-0005-0000-0000-0000B14B0000}"/>
    <cellStyle name="Separador de milhares 11 8 2 2" xfId="19127" xr:uid="{00000000-0005-0000-0000-0000B24B0000}"/>
    <cellStyle name="Separador de milhares 11 8 3" xfId="8785" xr:uid="{00000000-0005-0000-0000-0000B34B0000}"/>
    <cellStyle name="Separador de milhares 11 8 3 2" xfId="17537" xr:uid="{00000000-0005-0000-0000-0000B44B0000}"/>
    <cellStyle name="Separador de milhares 11 8 4" xfId="11997" xr:uid="{00000000-0005-0000-0000-0000B54B0000}"/>
    <cellStyle name="Separador de milhares 11 8 4 2" xfId="20684" xr:uid="{00000000-0005-0000-0000-0000B64B0000}"/>
    <cellStyle name="Separador de milhares 11 8 5" xfId="13603" xr:uid="{00000000-0005-0000-0000-0000B74B0000}"/>
    <cellStyle name="Separador de milhares 11 8 5 2" xfId="22283" xr:uid="{00000000-0005-0000-0000-0000B84B0000}"/>
    <cellStyle name="Separador de milhares 11 8 6" xfId="15809" xr:uid="{00000000-0005-0000-0000-0000B94B0000}"/>
    <cellStyle name="Separador de milhares 11 9" xfId="10364" xr:uid="{00000000-0005-0000-0000-0000BA4B0000}"/>
    <cellStyle name="Separador de milhares 11 9 2" xfId="19114" xr:uid="{00000000-0005-0000-0000-0000BB4B0000}"/>
    <cellStyle name="Separador de milhares 12" xfId="4148" xr:uid="{00000000-0005-0000-0000-0000BC4B0000}"/>
    <cellStyle name="Separador de milhares 12 10" xfId="8786" xr:uid="{00000000-0005-0000-0000-0000BD4B0000}"/>
    <cellStyle name="Separador de milhares 12 10 2" xfId="17538" xr:uid="{00000000-0005-0000-0000-0000BE4B0000}"/>
    <cellStyle name="Separador de milhares 12 11" xfId="11998" xr:uid="{00000000-0005-0000-0000-0000BF4B0000}"/>
    <cellStyle name="Separador de milhares 12 11 2" xfId="20685" xr:uid="{00000000-0005-0000-0000-0000C04B0000}"/>
    <cellStyle name="Separador de milhares 12 12" xfId="13604" xr:uid="{00000000-0005-0000-0000-0000C14B0000}"/>
    <cellStyle name="Separador de milhares 12 12 2" xfId="22284" xr:uid="{00000000-0005-0000-0000-0000C24B0000}"/>
    <cellStyle name="Separador de milhares 12 13" xfId="15810" xr:uid="{00000000-0005-0000-0000-0000C34B0000}"/>
    <cellStyle name="Separador de milhares 12 2" xfId="4149" xr:uid="{00000000-0005-0000-0000-0000C44B0000}"/>
    <cellStyle name="Separador de milhares 12 2 10" xfId="15811" xr:uid="{00000000-0005-0000-0000-0000C54B0000}"/>
    <cellStyle name="Separador de milhares 12 2 2" xfId="4150" xr:uid="{00000000-0005-0000-0000-0000C64B0000}"/>
    <cellStyle name="Separador de milhares 12 2 2 2" xfId="10380" xr:uid="{00000000-0005-0000-0000-0000C74B0000}"/>
    <cellStyle name="Separador de milhares 12 2 2 2 2" xfId="19130" xr:uid="{00000000-0005-0000-0000-0000C84B0000}"/>
    <cellStyle name="Separador de milhares 12 2 2 3" xfId="8788" xr:uid="{00000000-0005-0000-0000-0000C94B0000}"/>
    <cellStyle name="Separador de milhares 12 2 2 3 2" xfId="17540" xr:uid="{00000000-0005-0000-0000-0000CA4B0000}"/>
    <cellStyle name="Separador de milhares 12 2 2 4" xfId="12000" xr:uid="{00000000-0005-0000-0000-0000CB4B0000}"/>
    <cellStyle name="Separador de milhares 12 2 2 4 2" xfId="20687" xr:uid="{00000000-0005-0000-0000-0000CC4B0000}"/>
    <cellStyle name="Separador de milhares 12 2 2 5" xfId="13606" xr:uid="{00000000-0005-0000-0000-0000CD4B0000}"/>
    <cellStyle name="Separador de milhares 12 2 2 5 2" xfId="22286" xr:uid="{00000000-0005-0000-0000-0000CE4B0000}"/>
    <cellStyle name="Separador de milhares 12 2 2 6" xfId="15812" xr:uid="{00000000-0005-0000-0000-0000CF4B0000}"/>
    <cellStyle name="Separador de milhares 12 2 3" xfId="4151" xr:uid="{00000000-0005-0000-0000-0000D04B0000}"/>
    <cellStyle name="Separador de milhares 12 2 3 2" xfId="10381" xr:uid="{00000000-0005-0000-0000-0000D14B0000}"/>
    <cellStyle name="Separador de milhares 12 2 3 2 2" xfId="19131" xr:uid="{00000000-0005-0000-0000-0000D24B0000}"/>
    <cellStyle name="Separador de milhares 12 2 3 3" xfId="8789" xr:uid="{00000000-0005-0000-0000-0000D34B0000}"/>
    <cellStyle name="Separador de milhares 12 2 3 3 2" xfId="17541" xr:uid="{00000000-0005-0000-0000-0000D44B0000}"/>
    <cellStyle name="Separador de milhares 12 2 3 4" xfId="12001" xr:uid="{00000000-0005-0000-0000-0000D54B0000}"/>
    <cellStyle name="Separador de milhares 12 2 3 4 2" xfId="20688" xr:uid="{00000000-0005-0000-0000-0000D64B0000}"/>
    <cellStyle name="Separador de milhares 12 2 3 5" xfId="13607" xr:uid="{00000000-0005-0000-0000-0000D74B0000}"/>
    <cellStyle name="Separador de milhares 12 2 3 5 2" xfId="22287" xr:uid="{00000000-0005-0000-0000-0000D84B0000}"/>
    <cellStyle name="Separador de milhares 12 2 3 6" xfId="15813" xr:uid="{00000000-0005-0000-0000-0000D94B0000}"/>
    <cellStyle name="Separador de milhares 12 2 4" xfId="4152" xr:uid="{00000000-0005-0000-0000-0000DA4B0000}"/>
    <cellStyle name="Separador de milhares 12 2 4 2" xfId="10382" xr:uid="{00000000-0005-0000-0000-0000DB4B0000}"/>
    <cellStyle name="Separador de milhares 12 2 4 2 2" xfId="19132" xr:uid="{00000000-0005-0000-0000-0000DC4B0000}"/>
    <cellStyle name="Separador de milhares 12 2 4 3" xfId="8790" xr:uid="{00000000-0005-0000-0000-0000DD4B0000}"/>
    <cellStyle name="Separador de milhares 12 2 4 3 2" xfId="17542" xr:uid="{00000000-0005-0000-0000-0000DE4B0000}"/>
    <cellStyle name="Separador de milhares 12 2 4 4" xfId="12002" xr:uid="{00000000-0005-0000-0000-0000DF4B0000}"/>
    <cellStyle name="Separador de milhares 12 2 4 4 2" xfId="20689" xr:uid="{00000000-0005-0000-0000-0000E04B0000}"/>
    <cellStyle name="Separador de milhares 12 2 4 5" xfId="13608" xr:uid="{00000000-0005-0000-0000-0000E14B0000}"/>
    <cellStyle name="Separador de milhares 12 2 4 5 2" xfId="22288" xr:uid="{00000000-0005-0000-0000-0000E24B0000}"/>
    <cellStyle name="Separador de milhares 12 2 4 6" xfId="15814" xr:uid="{00000000-0005-0000-0000-0000E34B0000}"/>
    <cellStyle name="Separador de milhares 12 2 5" xfId="4153" xr:uid="{00000000-0005-0000-0000-0000E44B0000}"/>
    <cellStyle name="Separador de milhares 12 2 5 2" xfId="10383" xr:uid="{00000000-0005-0000-0000-0000E54B0000}"/>
    <cellStyle name="Separador de milhares 12 2 5 2 2" xfId="19133" xr:uid="{00000000-0005-0000-0000-0000E64B0000}"/>
    <cellStyle name="Separador de milhares 12 2 5 3" xfId="8791" xr:uid="{00000000-0005-0000-0000-0000E74B0000}"/>
    <cellStyle name="Separador de milhares 12 2 5 3 2" xfId="17543" xr:uid="{00000000-0005-0000-0000-0000E84B0000}"/>
    <cellStyle name="Separador de milhares 12 2 5 4" xfId="12003" xr:uid="{00000000-0005-0000-0000-0000E94B0000}"/>
    <cellStyle name="Separador de milhares 12 2 5 4 2" xfId="20690" xr:uid="{00000000-0005-0000-0000-0000EA4B0000}"/>
    <cellStyle name="Separador de milhares 12 2 5 5" xfId="13609" xr:uid="{00000000-0005-0000-0000-0000EB4B0000}"/>
    <cellStyle name="Separador de milhares 12 2 5 5 2" xfId="22289" xr:uid="{00000000-0005-0000-0000-0000EC4B0000}"/>
    <cellStyle name="Separador de milhares 12 2 5 6" xfId="15815" xr:uid="{00000000-0005-0000-0000-0000ED4B0000}"/>
    <cellStyle name="Separador de milhares 12 2 6" xfId="10379" xr:uid="{00000000-0005-0000-0000-0000EE4B0000}"/>
    <cellStyle name="Separador de milhares 12 2 6 2" xfId="19129" xr:uid="{00000000-0005-0000-0000-0000EF4B0000}"/>
    <cellStyle name="Separador de milhares 12 2 7" xfId="8787" xr:uid="{00000000-0005-0000-0000-0000F04B0000}"/>
    <cellStyle name="Separador de milhares 12 2 7 2" xfId="17539" xr:uid="{00000000-0005-0000-0000-0000F14B0000}"/>
    <cellStyle name="Separador de milhares 12 2 8" xfId="11999" xr:uid="{00000000-0005-0000-0000-0000F24B0000}"/>
    <cellStyle name="Separador de milhares 12 2 8 2" xfId="20686" xr:uid="{00000000-0005-0000-0000-0000F34B0000}"/>
    <cellStyle name="Separador de milhares 12 2 9" xfId="13605" xr:uid="{00000000-0005-0000-0000-0000F44B0000}"/>
    <cellStyle name="Separador de milhares 12 2 9 2" xfId="22285" xr:uid="{00000000-0005-0000-0000-0000F54B0000}"/>
    <cellStyle name="Separador de milhares 12 3" xfId="4154" xr:uid="{00000000-0005-0000-0000-0000F64B0000}"/>
    <cellStyle name="Separador de milhares 12 3 2" xfId="4155" xr:uid="{00000000-0005-0000-0000-0000F74B0000}"/>
    <cellStyle name="Separador de milhares 12 3 2 2" xfId="10384" xr:uid="{00000000-0005-0000-0000-0000F84B0000}"/>
    <cellStyle name="Separador de milhares 12 3 2 2 2" xfId="19134" xr:uid="{00000000-0005-0000-0000-0000F94B0000}"/>
    <cellStyle name="Separador de milhares 12 3 2 3" xfId="8793" xr:uid="{00000000-0005-0000-0000-0000FA4B0000}"/>
    <cellStyle name="Separador de milhares 12 3 2 3 2" xfId="17545" xr:uid="{00000000-0005-0000-0000-0000FB4B0000}"/>
    <cellStyle name="Separador de milhares 12 3 2 4" xfId="12005" xr:uid="{00000000-0005-0000-0000-0000FC4B0000}"/>
    <cellStyle name="Separador de milhares 12 3 2 4 2" xfId="20692" xr:uid="{00000000-0005-0000-0000-0000FD4B0000}"/>
    <cellStyle name="Separador de milhares 12 3 2 5" xfId="13611" xr:uid="{00000000-0005-0000-0000-0000FE4B0000}"/>
    <cellStyle name="Separador de milhares 12 3 2 5 2" xfId="22291" xr:uid="{00000000-0005-0000-0000-0000FF4B0000}"/>
    <cellStyle name="Separador de milhares 12 3 2 6" xfId="15817" xr:uid="{00000000-0005-0000-0000-0000004C0000}"/>
    <cellStyle name="Separador de milhares 12 3 3" xfId="4156" xr:uid="{00000000-0005-0000-0000-0000014C0000}"/>
    <cellStyle name="Separador de milhares 12 3 3 2" xfId="10385" xr:uid="{00000000-0005-0000-0000-0000024C0000}"/>
    <cellStyle name="Separador de milhares 12 3 3 2 2" xfId="19135" xr:uid="{00000000-0005-0000-0000-0000034C0000}"/>
    <cellStyle name="Separador de milhares 12 3 3 3" xfId="8794" xr:uid="{00000000-0005-0000-0000-0000044C0000}"/>
    <cellStyle name="Separador de milhares 12 3 3 3 2" xfId="17546" xr:uid="{00000000-0005-0000-0000-0000054C0000}"/>
    <cellStyle name="Separador de milhares 12 3 3 4" xfId="12006" xr:uid="{00000000-0005-0000-0000-0000064C0000}"/>
    <cellStyle name="Separador de milhares 12 3 3 4 2" xfId="20693" xr:uid="{00000000-0005-0000-0000-0000074C0000}"/>
    <cellStyle name="Separador de milhares 12 3 3 5" xfId="13612" xr:uid="{00000000-0005-0000-0000-0000084C0000}"/>
    <cellStyle name="Separador de milhares 12 3 3 5 2" xfId="22292" xr:uid="{00000000-0005-0000-0000-0000094C0000}"/>
    <cellStyle name="Separador de milhares 12 3 3 6" xfId="15818" xr:uid="{00000000-0005-0000-0000-00000A4C0000}"/>
    <cellStyle name="Separador de milhares 12 3 4" xfId="4157" xr:uid="{00000000-0005-0000-0000-00000B4C0000}"/>
    <cellStyle name="Separador de milhares 12 3 4 2" xfId="10386" xr:uid="{00000000-0005-0000-0000-00000C4C0000}"/>
    <cellStyle name="Separador de milhares 12 3 4 2 2" xfId="19136" xr:uid="{00000000-0005-0000-0000-00000D4C0000}"/>
    <cellStyle name="Separador de milhares 12 3 4 3" xfId="8795" xr:uid="{00000000-0005-0000-0000-00000E4C0000}"/>
    <cellStyle name="Separador de milhares 12 3 4 3 2" xfId="17547" xr:uid="{00000000-0005-0000-0000-00000F4C0000}"/>
    <cellStyle name="Separador de milhares 12 3 4 4" xfId="12007" xr:uid="{00000000-0005-0000-0000-0000104C0000}"/>
    <cellStyle name="Separador de milhares 12 3 4 4 2" xfId="20694" xr:uid="{00000000-0005-0000-0000-0000114C0000}"/>
    <cellStyle name="Separador de milhares 12 3 4 5" xfId="13613" xr:uid="{00000000-0005-0000-0000-0000124C0000}"/>
    <cellStyle name="Separador de milhares 12 3 4 5 2" xfId="22293" xr:uid="{00000000-0005-0000-0000-0000134C0000}"/>
    <cellStyle name="Separador de milhares 12 3 4 6" xfId="15819" xr:uid="{00000000-0005-0000-0000-0000144C0000}"/>
    <cellStyle name="Separador de milhares 12 3 5" xfId="4158" xr:uid="{00000000-0005-0000-0000-0000154C0000}"/>
    <cellStyle name="Separador de milhares 12 3 5 2" xfId="10387" xr:uid="{00000000-0005-0000-0000-0000164C0000}"/>
    <cellStyle name="Separador de milhares 12 3 5 2 2" xfId="19137" xr:uid="{00000000-0005-0000-0000-0000174C0000}"/>
    <cellStyle name="Separador de milhares 12 3 5 3" xfId="8796" xr:uid="{00000000-0005-0000-0000-0000184C0000}"/>
    <cellStyle name="Separador de milhares 12 3 5 3 2" xfId="17548" xr:uid="{00000000-0005-0000-0000-0000194C0000}"/>
    <cellStyle name="Separador de milhares 12 3 5 4" xfId="12008" xr:uid="{00000000-0005-0000-0000-00001A4C0000}"/>
    <cellStyle name="Separador de milhares 12 3 5 4 2" xfId="20695" xr:uid="{00000000-0005-0000-0000-00001B4C0000}"/>
    <cellStyle name="Separador de milhares 12 3 5 5" xfId="13614" xr:uid="{00000000-0005-0000-0000-00001C4C0000}"/>
    <cellStyle name="Separador de milhares 12 3 5 5 2" xfId="22294" xr:uid="{00000000-0005-0000-0000-00001D4C0000}"/>
    <cellStyle name="Separador de milhares 12 3 5 6" xfId="15820" xr:uid="{00000000-0005-0000-0000-00001E4C0000}"/>
    <cellStyle name="Separador de milhares 12 3 6" xfId="8792" xr:uid="{00000000-0005-0000-0000-00001F4C0000}"/>
    <cellStyle name="Separador de milhares 12 3 6 2" xfId="17544" xr:uid="{00000000-0005-0000-0000-0000204C0000}"/>
    <cellStyle name="Separador de milhares 12 3 7" xfId="12004" xr:uid="{00000000-0005-0000-0000-0000214C0000}"/>
    <cellStyle name="Separador de milhares 12 3 7 2" xfId="20691" xr:uid="{00000000-0005-0000-0000-0000224C0000}"/>
    <cellStyle name="Separador de milhares 12 3 8" xfId="13610" xr:uid="{00000000-0005-0000-0000-0000234C0000}"/>
    <cellStyle name="Separador de milhares 12 3 8 2" xfId="22290" xr:uid="{00000000-0005-0000-0000-0000244C0000}"/>
    <cellStyle name="Separador de milhares 12 3 9" xfId="15816" xr:uid="{00000000-0005-0000-0000-0000254C0000}"/>
    <cellStyle name="Separador de milhares 12 4" xfId="4159" xr:uid="{00000000-0005-0000-0000-0000264C0000}"/>
    <cellStyle name="Separador de milhares 12 4 2" xfId="4160" xr:uid="{00000000-0005-0000-0000-0000274C0000}"/>
    <cellStyle name="Separador de milhares 12 4 2 2" xfId="10388" xr:uid="{00000000-0005-0000-0000-0000284C0000}"/>
    <cellStyle name="Separador de milhares 12 4 2 2 2" xfId="19138" xr:uid="{00000000-0005-0000-0000-0000294C0000}"/>
    <cellStyle name="Separador de milhares 12 4 2 3" xfId="8798" xr:uid="{00000000-0005-0000-0000-00002A4C0000}"/>
    <cellStyle name="Separador de milhares 12 4 2 3 2" xfId="17550" xr:uid="{00000000-0005-0000-0000-00002B4C0000}"/>
    <cellStyle name="Separador de milhares 12 4 2 4" xfId="12010" xr:uid="{00000000-0005-0000-0000-00002C4C0000}"/>
    <cellStyle name="Separador de milhares 12 4 2 4 2" xfId="20697" xr:uid="{00000000-0005-0000-0000-00002D4C0000}"/>
    <cellStyle name="Separador de milhares 12 4 2 5" xfId="13616" xr:uid="{00000000-0005-0000-0000-00002E4C0000}"/>
    <cellStyle name="Separador de milhares 12 4 2 5 2" xfId="22296" xr:uid="{00000000-0005-0000-0000-00002F4C0000}"/>
    <cellStyle name="Separador de milhares 12 4 2 6" xfId="15822" xr:uid="{00000000-0005-0000-0000-0000304C0000}"/>
    <cellStyle name="Separador de milhares 12 4 3" xfId="8797" xr:uid="{00000000-0005-0000-0000-0000314C0000}"/>
    <cellStyle name="Separador de milhares 12 4 3 2" xfId="17549" xr:uid="{00000000-0005-0000-0000-0000324C0000}"/>
    <cellStyle name="Separador de milhares 12 4 4" xfId="12009" xr:uid="{00000000-0005-0000-0000-0000334C0000}"/>
    <cellStyle name="Separador de milhares 12 4 4 2" xfId="20696" xr:uid="{00000000-0005-0000-0000-0000344C0000}"/>
    <cellStyle name="Separador de milhares 12 4 5" xfId="13615" xr:uid="{00000000-0005-0000-0000-0000354C0000}"/>
    <cellStyle name="Separador de milhares 12 4 5 2" xfId="22295" xr:uid="{00000000-0005-0000-0000-0000364C0000}"/>
    <cellStyle name="Separador de milhares 12 4 6" xfId="15821" xr:uid="{00000000-0005-0000-0000-0000374C0000}"/>
    <cellStyle name="Separador de milhares 12 5" xfId="4161" xr:uid="{00000000-0005-0000-0000-0000384C0000}"/>
    <cellStyle name="Separador de milhares 12 5 2" xfId="4162" xr:uid="{00000000-0005-0000-0000-0000394C0000}"/>
    <cellStyle name="Separador de milhares 12 5 2 2" xfId="10389" xr:uid="{00000000-0005-0000-0000-00003A4C0000}"/>
    <cellStyle name="Separador de milhares 12 5 2 2 2" xfId="19139" xr:uid="{00000000-0005-0000-0000-00003B4C0000}"/>
    <cellStyle name="Separador de milhares 12 5 2 3" xfId="8800" xr:uid="{00000000-0005-0000-0000-00003C4C0000}"/>
    <cellStyle name="Separador de milhares 12 5 2 3 2" xfId="17552" xr:uid="{00000000-0005-0000-0000-00003D4C0000}"/>
    <cellStyle name="Separador de milhares 12 5 2 4" xfId="12012" xr:uid="{00000000-0005-0000-0000-00003E4C0000}"/>
    <cellStyle name="Separador de milhares 12 5 2 4 2" xfId="20699" xr:uid="{00000000-0005-0000-0000-00003F4C0000}"/>
    <cellStyle name="Separador de milhares 12 5 2 5" xfId="13618" xr:uid="{00000000-0005-0000-0000-0000404C0000}"/>
    <cellStyle name="Separador de milhares 12 5 2 5 2" xfId="22298" xr:uid="{00000000-0005-0000-0000-0000414C0000}"/>
    <cellStyle name="Separador de milhares 12 5 2 6" xfId="15824" xr:uid="{00000000-0005-0000-0000-0000424C0000}"/>
    <cellStyle name="Separador de milhares 12 5 3" xfId="8799" xr:uid="{00000000-0005-0000-0000-0000434C0000}"/>
    <cellStyle name="Separador de milhares 12 5 3 2" xfId="17551" xr:uid="{00000000-0005-0000-0000-0000444C0000}"/>
    <cellStyle name="Separador de milhares 12 5 4" xfId="12011" xr:uid="{00000000-0005-0000-0000-0000454C0000}"/>
    <cellStyle name="Separador de milhares 12 5 4 2" xfId="20698" xr:uid="{00000000-0005-0000-0000-0000464C0000}"/>
    <cellStyle name="Separador de milhares 12 5 5" xfId="13617" xr:uid="{00000000-0005-0000-0000-0000474C0000}"/>
    <cellStyle name="Separador de milhares 12 5 5 2" xfId="22297" xr:uid="{00000000-0005-0000-0000-0000484C0000}"/>
    <cellStyle name="Separador de milhares 12 5 6" xfId="15823" xr:uid="{00000000-0005-0000-0000-0000494C0000}"/>
    <cellStyle name="Separador de milhares 12 6" xfId="4163" xr:uid="{00000000-0005-0000-0000-00004A4C0000}"/>
    <cellStyle name="Separador de milhares 12 6 2" xfId="4164" xr:uid="{00000000-0005-0000-0000-00004B4C0000}"/>
    <cellStyle name="Separador de milhares 12 6 2 2" xfId="10390" xr:uid="{00000000-0005-0000-0000-00004C4C0000}"/>
    <cellStyle name="Separador de milhares 12 6 2 2 2" xfId="19140" xr:uid="{00000000-0005-0000-0000-00004D4C0000}"/>
    <cellStyle name="Separador de milhares 12 6 2 3" xfId="8802" xr:uid="{00000000-0005-0000-0000-00004E4C0000}"/>
    <cellStyle name="Separador de milhares 12 6 2 3 2" xfId="17554" xr:uid="{00000000-0005-0000-0000-00004F4C0000}"/>
    <cellStyle name="Separador de milhares 12 6 2 4" xfId="12014" xr:uid="{00000000-0005-0000-0000-0000504C0000}"/>
    <cellStyle name="Separador de milhares 12 6 2 4 2" xfId="20701" xr:uid="{00000000-0005-0000-0000-0000514C0000}"/>
    <cellStyle name="Separador de milhares 12 6 2 5" xfId="13620" xr:uid="{00000000-0005-0000-0000-0000524C0000}"/>
    <cellStyle name="Separador de milhares 12 6 2 5 2" xfId="22300" xr:uid="{00000000-0005-0000-0000-0000534C0000}"/>
    <cellStyle name="Separador de milhares 12 6 2 6" xfId="15826" xr:uid="{00000000-0005-0000-0000-0000544C0000}"/>
    <cellStyle name="Separador de milhares 12 6 3" xfId="8801" xr:uid="{00000000-0005-0000-0000-0000554C0000}"/>
    <cellStyle name="Separador de milhares 12 6 3 2" xfId="17553" xr:uid="{00000000-0005-0000-0000-0000564C0000}"/>
    <cellStyle name="Separador de milhares 12 6 4" xfId="12013" xr:uid="{00000000-0005-0000-0000-0000574C0000}"/>
    <cellStyle name="Separador de milhares 12 6 4 2" xfId="20700" xr:uid="{00000000-0005-0000-0000-0000584C0000}"/>
    <cellStyle name="Separador de milhares 12 6 5" xfId="13619" xr:uid="{00000000-0005-0000-0000-0000594C0000}"/>
    <cellStyle name="Separador de milhares 12 6 5 2" xfId="22299" xr:uid="{00000000-0005-0000-0000-00005A4C0000}"/>
    <cellStyle name="Separador de milhares 12 6 6" xfId="15825" xr:uid="{00000000-0005-0000-0000-00005B4C0000}"/>
    <cellStyle name="Separador de milhares 12 7" xfId="4165" xr:uid="{00000000-0005-0000-0000-00005C4C0000}"/>
    <cellStyle name="Separador de milhares 12 7 2" xfId="8803" xr:uid="{00000000-0005-0000-0000-00005D4C0000}"/>
    <cellStyle name="Separador de milhares 12 7 2 2" xfId="17555" xr:uid="{00000000-0005-0000-0000-00005E4C0000}"/>
    <cellStyle name="Separador de milhares 12 7 3" xfId="12015" xr:uid="{00000000-0005-0000-0000-00005F4C0000}"/>
    <cellStyle name="Separador de milhares 12 7 3 2" xfId="20702" xr:uid="{00000000-0005-0000-0000-0000604C0000}"/>
    <cellStyle name="Separador de milhares 12 7 4" xfId="13621" xr:uid="{00000000-0005-0000-0000-0000614C0000}"/>
    <cellStyle name="Separador de milhares 12 7 4 2" xfId="22301" xr:uid="{00000000-0005-0000-0000-0000624C0000}"/>
    <cellStyle name="Separador de milhares 12 7 5" xfId="15827" xr:uid="{00000000-0005-0000-0000-0000634C0000}"/>
    <cellStyle name="Separador de milhares 12 8" xfId="4166" xr:uid="{00000000-0005-0000-0000-0000644C0000}"/>
    <cellStyle name="Separador de milhares 12 8 2" xfId="10391" xr:uid="{00000000-0005-0000-0000-0000654C0000}"/>
    <cellStyle name="Separador de milhares 12 8 2 2" xfId="19141" xr:uid="{00000000-0005-0000-0000-0000664C0000}"/>
    <cellStyle name="Separador de milhares 12 8 3" xfId="8804" xr:uid="{00000000-0005-0000-0000-0000674C0000}"/>
    <cellStyle name="Separador de milhares 12 8 3 2" xfId="17556" xr:uid="{00000000-0005-0000-0000-0000684C0000}"/>
    <cellStyle name="Separador de milhares 12 8 4" xfId="12016" xr:uid="{00000000-0005-0000-0000-0000694C0000}"/>
    <cellStyle name="Separador de milhares 12 8 4 2" xfId="20703" xr:uid="{00000000-0005-0000-0000-00006A4C0000}"/>
    <cellStyle name="Separador de milhares 12 8 5" xfId="13622" xr:uid="{00000000-0005-0000-0000-00006B4C0000}"/>
    <cellStyle name="Separador de milhares 12 8 5 2" xfId="22302" xr:uid="{00000000-0005-0000-0000-00006C4C0000}"/>
    <cellStyle name="Separador de milhares 12 8 6" xfId="15828" xr:uid="{00000000-0005-0000-0000-00006D4C0000}"/>
    <cellStyle name="Separador de milhares 12 9" xfId="10378" xr:uid="{00000000-0005-0000-0000-00006E4C0000}"/>
    <cellStyle name="Separador de milhares 12 9 2" xfId="19128" xr:uid="{00000000-0005-0000-0000-00006F4C0000}"/>
    <cellStyle name="Separador de milhares 13" xfId="4167" xr:uid="{00000000-0005-0000-0000-0000704C0000}"/>
    <cellStyle name="Separador de milhares 13 10" xfId="15829" xr:uid="{00000000-0005-0000-0000-0000714C0000}"/>
    <cellStyle name="Separador de milhares 13 2" xfId="4168" xr:uid="{00000000-0005-0000-0000-0000724C0000}"/>
    <cellStyle name="Separador de milhares 13 2 2" xfId="4169" xr:uid="{00000000-0005-0000-0000-0000734C0000}"/>
    <cellStyle name="Separador de milhares 13 2 2 2" xfId="10393" xr:uid="{00000000-0005-0000-0000-0000744C0000}"/>
    <cellStyle name="Separador de milhares 13 2 2 2 2" xfId="19143" xr:uid="{00000000-0005-0000-0000-0000754C0000}"/>
    <cellStyle name="Separador de milhares 13 2 2 3" xfId="8807" xr:uid="{00000000-0005-0000-0000-0000764C0000}"/>
    <cellStyle name="Separador de milhares 13 2 2 3 2" xfId="17559" xr:uid="{00000000-0005-0000-0000-0000774C0000}"/>
    <cellStyle name="Separador de milhares 13 2 2 4" xfId="12019" xr:uid="{00000000-0005-0000-0000-0000784C0000}"/>
    <cellStyle name="Separador de milhares 13 2 2 4 2" xfId="20706" xr:uid="{00000000-0005-0000-0000-0000794C0000}"/>
    <cellStyle name="Separador de milhares 13 2 2 5" xfId="13625" xr:uid="{00000000-0005-0000-0000-00007A4C0000}"/>
    <cellStyle name="Separador de milhares 13 2 2 5 2" xfId="22305" xr:uid="{00000000-0005-0000-0000-00007B4C0000}"/>
    <cellStyle name="Separador de milhares 13 2 2 6" xfId="15831" xr:uid="{00000000-0005-0000-0000-00007C4C0000}"/>
    <cellStyle name="Separador de milhares 13 2 3" xfId="4170" xr:uid="{00000000-0005-0000-0000-00007D4C0000}"/>
    <cellStyle name="Separador de milhares 13 2 3 2" xfId="10394" xr:uid="{00000000-0005-0000-0000-00007E4C0000}"/>
    <cellStyle name="Separador de milhares 13 2 3 2 2" xfId="19144" xr:uid="{00000000-0005-0000-0000-00007F4C0000}"/>
    <cellStyle name="Separador de milhares 13 2 3 3" xfId="8808" xr:uid="{00000000-0005-0000-0000-0000804C0000}"/>
    <cellStyle name="Separador de milhares 13 2 3 3 2" xfId="17560" xr:uid="{00000000-0005-0000-0000-0000814C0000}"/>
    <cellStyle name="Separador de milhares 13 2 3 4" xfId="12020" xr:uid="{00000000-0005-0000-0000-0000824C0000}"/>
    <cellStyle name="Separador de milhares 13 2 3 4 2" xfId="20707" xr:uid="{00000000-0005-0000-0000-0000834C0000}"/>
    <cellStyle name="Separador de milhares 13 2 3 5" xfId="13626" xr:uid="{00000000-0005-0000-0000-0000844C0000}"/>
    <cellStyle name="Separador de milhares 13 2 3 5 2" xfId="22306" xr:uid="{00000000-0005-0000-0000-0000854C0000}"/>
    <cellStyle name="Separador de milhares 13 2 3 6" xfId="15832" xr:uid="{00000000-0005-0000-0000-0000864C0000}"/>
    <cellStyle name="Separador de milhares 13 2 4" xfId="4171" xr:uid="{00000000-0005-0000-0000-0000874C0000}"/>
    <cellStyle name="Separador de milhares 13 2 4 2" xfId="10395" xr:uid="{00000000-0005-0000-0000-0000884C0000}"/>
    <cellStyle name="Separador de milhares 13 2 4 2 2" xfId="19145" xr:uid="{00000000-0005-0000-0000-0000894C0000}"/>
    <cellStyle name="Separador de milhares 13 2 4 3" xfId="8809" xr:uid="{00000000-0005-0000-0000-00008A4C0000}"/>
    <cellStyle name="Separador de milhares 13 2 4 3 2" xfId="17561" xr:uid="{00000000-0005-0000-0000-00008B4C0000}"/>
    <cellStyle name="Separador de milhares 13 2 4 4" xfId="12021" xr:uid="{00000000-0005-0000-0000-00008C4C0000}"/>
    <cellStyle name="Separador de milhares 13 2 4 4 2" xfId="20708" xr:uid="{00000000-0005-0000-0000-00008D4C0000}"/>
    <cellStyle name="Separador de milhares 13 2 4 5" xfId="13627" xr:uid="{00000000-0005-0000-0000-00008E4C0000}"/>
    <cellStyle name="Separador de milhares 13 2 4 5 2" xfId="22307" xr:uid="{00000000-0005-0000-0000-00008F4C0000}"/>
    <cellStyle name="Separador de milhares 13 2 4 6" xfId="15833" xr:uid="{00000000-0005-0000-0000-0000904C0000}"/>
    <cellStyle name="Separador de milhares 13 2 5" xfId="4172" xr:uid="{00000000-0005-0000-0000-0000914C0000}"/>
    <cellStyle name="Separador de milhares 13 2 5 2" xfId="10396" xr:uid="{00000000-0005-0000-0000-0000924C0000}"/>
    <cellStyle name="Separador de milhares 13 2 5 2 2" xfId="19146" xr:uid="{00000000-0005-0000-0000-0000934C0000}"/>
    <cellStyle name="Separador de milhares 13 2 5 3" xfId="8810" xr:uid="{00000000-0005-0000-0000-0000944C0000}"/>
    <cellStyle name="Separador de milhares 13 2 5 3 2" xfId="17562" xr:uid="{00000000-0005-0000-0000-0000954C0000}"/>
    <cellStyle name="Separador de milhares 13 2 5 4" xfId="12022" xr:uid="{00000000-0005-0000-0000-0000964C0000}"/>
    <cellStyle name="Separador de milhares 13 2 5 4 2" xfId="20709" xr:uid="{00000000-0005-0000-0000-0000974C0000}"/>
    <cellStyle name="Separador de milhares 13 2 5 5" xfId="13628" xr:uid="{00000000-0005-0000-0000-0000984C0000}"/>
    <cellStyle name="Separador de milhares 13 2 5 5 2" xfId="22308" xr:uid="{00000000-0005-0000-0000-0000994C0000}"/>
    <cellStyle name="Separador de milhares 13 2 5 6" xfId="15834" xr:uid="{00000000-0005-0000-0000-00009A4C0000}"/>
    <cellStyle name="Separador de milhares 13 2 6" xfId="8806" xr:uid="{00000000-0005-0000-0000-00009B4C0000}"/>
    <cellStyle name="Separador de milhares 13 2 6 2" xfId="17558" xr:uid="{00000000-0005-0000-0000-00009C4C0000}"/>
    <cellStyle name="Separador de milhares 13 2 7" xfId="12018" xr:uid="{00000000-0005-0000-0000-00009D4C0000}"/>
    <cellStyle name="Separador de milhares 13 2 7 2" xfId="20705" xr:uid="{00000000-0005-0000-0000-00009E4C0000}"/>
    <cellStyle name="Separador de milhares 13 2 8" xfId="13624" xr:uid="{00000000-0005-0000-0000-00009F4C0000}"/>
    <cellStyle name="Separador de milhares 13 2 8 2" xfId="22304" xr:uid="{00000000-0005-0000-0000-0000A04C0000}"/>
    <cellStyle name="Separador de milhares 13 2 9" xfId="15830" xr:uid="{00000000-0005-0000-0000-0000A14C0000}"/>
    <cellStyle name="Separador de milhares 13 3" xfId="4173" xr:uid="{00000000-0005-0000-0000-0000A24C0000}"/>
    <cellStyle name="Separador de milhares 13 3 2" xfId="10397" xr:uid="{00000000-0005-0000-0000-0000A34C0000}"/>
    <cellStyle name="Separador de milhares 13 3 2 2" xfId="19147" xr:uid="{00000000-0005-0000-0000-0000A44C0000}"/>
    <cellStyle name="Separador de milhares 13 3 3" xfId="8811" xr:uid="{00000000-0005-0000-0000-0000A54C0000}"/>
    <cellStyle name="Separador de milhares 13 3 3 2" xfId="17563" xr:uid="{00000000-0005-0000-0000-0000A64C0000}"/>
    <cellStyle name="Separador de milhares 13 3 4" xfId="12023" xr:uid="{00000000-0005-0000-0000-0000A74C0000}"/>
    <cellStyle name="Separador de milhares 13 3 4 2" xfId="20710" xr:uid="{00000000-0005-0000-0000-0000A84C0000}"/>
    <cellStyle name="Separador de milhares 13 3 5" xfId="13629" xr:uid="{00000000-0005-0000-0000-0000A94C0000}"/>
    <cellStyle name="Separador de milhares 13 3 5 2" xfId="22309" xr:uid="{00000000-0005-0000-0000-0000AA4C0000}"/>
    <cellStyle name="Separador de milhares 13 3 6" xfId="15835" xr:uid="{00000000-0005-0000-0000-0000AB4C0000}"/>
    <cellStyle name="Separador de milhares 13 4" xfId="4174" xr:uid="{00000000-0005-0000-0000-0000AC4C0000}"/>
    <cellStyle name="Separador de milhares 13 4 2" xfId="10398" xr:uid="{00000000-0005-0000-0000-0000AD4C0000}"/>
    <cellStyle name="Separador de milhares 13 4 2 2" xfId="19148" xr:uid="{00000000-0005-0000-0000-0000AE4C0000}"/>
    <cellStyle name="Separador de milhares 13 4 3" xfId="8812" xr:uid="{00000000-0005-0000-0000-0000AF4C0000}"/>
    <cellStyle name="Separador de milhares 13 4 3 2" xfId="17564" xr:uid="{00000000-0005-0000-0000-0000B04C0000}"/>
    <cellStyle name="Separador de milhares 13 4 4" xfId="12024" xr:uid="{00000000-0005-0000-0000-0000B14C0000}"/>
    <cellStyle name="Separador de milhares 13 4 4 2" xfId="20711" xr:uid="{00000000-0005-0000-0000-0000B24C0000}"/>
    <cellStyle name="Separador de milhares 13 4 5" xfId="13630" xr:uid="{00000000-0005-0000-0000-0000B34C0000}"/>
    <cellStyle name="Separador de milhares 13 4 5 2" xfId="22310" xr:uid="{00000000-0005-0000-0000-0000B44C0000}"/>
    <cellStyle name="Separador de milhares 13 4 6" xfId="15836" xr:uid="{00000000-0005-0000-0000-0000B54C0000}"/>
    <cellStyle name="Separador de milhares 13 5" xfId="4175" xr:uid="{00000000-0005-0000-0000-0000B64C0000}"/>
    <cellStyle name="Separador de milhares 13 5 2" xfId="10399" xr:uid="{00000000-0005-0000-0000-0000B74C0000}"/>
    <cellStyle name="Separador de milhares 13 5 2 2" xfId="19149" xr:uid="{00000000-0005-0000-0000-0000B84C0000}"/>
    <cellStyle name="Separador de milhares 13 5 3" xfId="8813" xr:uid="{00000000-0005-0000-0000-0000B94C0000}"/>
    <cellStyle name="Separador de milhares 13 5 3 2" xfId="17565" xr:uid="{00000000-0005-0000-0000-0000BA4C0000}"/>
    <cellStyle name="Separador de milhares 13 5 4" xfId="12025" xr:uid="{00000000-0005-0000-0000-0000BB4C0000}"/>
    <cellStyle name="Separador de milhares 13 5 4 2" xfId="20712" xr:uid="{00000000-0005-0000-0000-0000BC4C0000}"/>
    <cellStyle name="Separador de milhares 13 5 5" xfId="13631" xr:uid="{00000000-0005-0000-0000-0000BD4C0000}"/>
    <cellStyle name="Separador de milhares 13 5 5 2" xfId="22311" xr:uid="{00000000-0005-0000-0000-0000BE4C0000}"/>
    <cellStyle name="Separador de milhares 13 5 6" xfId="15837" xr:uid="{00000000-0005-0000-0000-0000BF4C0000}"/>
    <cellStyle name="Separador de milhares 13 6" xfId="10392" xr:uid="{00000000-0005-0000-0000-0000C04C0000}"/>
    <cellStyle name="Separador de milhares 13 6 2" xfId="19142" xr:uid="{00000000-0005-0000-0000-0000C14C0000}"/>
    <cellStyle name="Separador de milhares 13 7" xfId="8805" xr:uid="{00000000-0005-0000-0000-0000C24C0000}"/>
    <cellStyle name="Separador de milhares 13 7 2" xfId="17557" xr:uid="{00000000-0005-0000-0000-0000C34C0000}"/>
    <cellStyle name="Separador de milhares 13 8" xfId="12017" xr:uid="{00000000-0005-0000-0000-0000C44C0000}"/>
    <cellStyle name="Separador de milhares 13 8 2" xfId="20704" xr:uid="{00000000-0005-0000-0000-0000C54C0000}"/>
    <cellStyle name="Separador de milhares 13 9" xfId="13623" xr:uid="{00000000-0005-0000-0000-0000C64C0000}"/>
    <cellStyle name="Separador de milhares 13 9 2" xfId="22303" xr:uid="{00000000-0005-0000-0000-0000C74C0000}"/>
    <cellStyle name="Separador de milhares 14" xfId="4176" xr:uid="{00000000-0005-0000-0000-0000C84C0000}"/>
    <cellStyle name="Separador de milhares 14 10" xfId="13632" xr:uid="{00000000-0005-0000-0000-0000C94C0000}"/>
    <cellStyle name="Separador de milhares 14 10 2" xfId="22312" xr:uid="{00000000-0005-0000-0000-0000CA4C0000}"/>
    <cellStyle name="Separador de milhares 14 11" xfId="15838" xr:uid="{00000000-0005-0000-0000-0000CB4C0000}"/>
    <cellStyle name="Separador de milhares 14 2" xfId="4177" xr:uid="{00000000-0005-0000-0000-0000CC4C0000}"/>
    <cellStyle name="Separador de milhares 14 2 2" xfId="4178" xr:uid="{00000000-0005-0000-0000-0000CD4C0000}"/>
    <cellStyle name="Separador de milhares 14 2 2 2" xfId="8816" xr:uid="{00000000-0005-0000-0000-0000CE4C0000}"/>
    <cellStyle name="Separador de milhares 14 2 2 2 2" xfId="17568" xr:uid="{00000000-0005-0000-0000-0000CF4C0000}"/>
    <cellStyle name="Separador de milhares 14 2 2 3" xfId="12028" xr:uid="{00000000-0005-0000-0000-0000D04C0000}"/>
    <cellStyle name="Separador de milhares 14 2 2 3 2" xfId="20715" xr:uid="{00000000-0005-0000-0000-0000D14C0000}"/>
    <cellStyle name="Separador de milhares 14 2 2 4" xfId="13634" xr:uid="{00000000-0005-0000-0000-0000D24C0000}"/>
    <cellStyle name="Separador de milhares 14 2 2 4 2" xfId="22314" xr:uid="{00000000-0005-0000-0000-0000D34C0000}"/>
    <cellStyle name="Separador de milhares 14 2 2 5" xfId="15840" xr:uid="{00000000-0005-0000-0000-0000D44C0000}"/>
    <cellStyle name="Separador de milhares 14 2 3" xfId="4179" xr:uid="{00000000-0005-0000-0000-0000D54C0000}"/>
    <cellStyle name="Separador de milhares 14 2 3 2" xfId="8817" xr:uid="{00000000-0005-0000-0000-0000D64C0000}"/>
    <cellStyle name="Separador de milhares 14 2 3 2 2" xfId="17569" xr:uid="{00000000-0005-0000-0000-0000D74C0000}"/>
    <cellStyle name="Separador de milhares 14 2 3 3" xfId="12029" xr:uid="{00000000-0005-0000-0000-0000D84C0000}"/>
    <cellStyle name="Separador de milhares 14 2 3 3 2" xfId="20716" xr:uid="{00000000-0005-0000-0000-0000D94C0000}"/>
    <cellStyle name="Separador de milhares 14 2 3 4" xfId="13635" xr:uid="{00000000-0005-0000-0000-0000DA4C0000}"/>
    <cellStyle name="Separador de milhares 14 2 3 4 2" xfId="22315" xr:uid="{00000000-0005-0000-0000-0000DB4C0000}"/>
    <cellStyle name="Separador de milhares 14 2 3 5" xfId="15841" xr:uid="{00000000-0005-0000-0000-0000DC4C0000}"/>
    <cellStyle name="Separador de milhares 14 2 4" xfId="8815" xr:uid="{00000000-0005-0000-0000-0000DD4C0000}"/>
    <cellStyle name="Separador de milhares 14 2 4 2" xfId="17567" xr:uid="{00000000-0005-0000-0000-0000DE4C0000}"/>
    <cellStyle name="Separador de milhares 14 2 5" xfId="12027" xr:uid="{00000000-0005-0000-0000-0000DF4C0000}"/>
    <cellStyle name="Separador de milhares 14 2 5 2" xfId="20714" xr:uid="{00000000-0005-0000-0000-0000E04C0000}"/>
    <cellStyle name="Separador de milhares 14 2 6" xfId="13633" xr:uid="{00000000-0005-0000-0000-0000E14C0000}"/>
    <cellStyle name="Separador de milhares 14 2 6 2" xfId="22313" xr:uid="{00000000-0005-0000-0000-0000E24C0000}"/>
    <cellStyle name="Separador de milhares 14 2 7" xfId="15839" xr:uid="{00000000-0005-0000-0000-0000E34C0000}"/>
    <cellStyle name="Separador de milhares 14 3" xfId="4180" xr:uid="{00000000-0005-0000-0000-0000E44C0000}"/>
    <cellStyle name="Separador de milhares 14 3 2" xfId="4181" xr:uid="{00000000-0005-0000-0000-0000E54C0000}"/>
    <cellStyle name="Separador de milhares 14 3 2 2" xfId="10402" xr:uid="{00000000-0005-0000-0000-0000E64C0000}"/>
    <cellStyle name="Separador de milhares 14 3 2 2 2" xfId="19152" xr:uid="{00000000-0005-0000-0000-0000E74C0000}"/>
    <cellStyle name="Separador de milhares 14 3 2 3" xfId="8819" xr:uid="{00000000-0005-0000-0000-0000E84C0000}"/>
    <cellStyle name="Separador de milhares 14 3 2 3 2" xfId="17571" xr:uid="{00000000-0005-0000-0000-0000E94C0000}"/>
    <cellStyle name="Separador de milhares 14 3 2 4" xfId="12031" xr:uid="{00000000-0005-0000-0000-0000EA4C0000}"/>
    <cellStyle name="Separador de milhares 14 3 2 4 2" xfId="20718" xr:uid="{00000000-0005-0000-0000-0000EB4C0000}"/>
    <cellStyle name="Separador de milhares 14 3 2 5" xfId="13637" xr:uid="{00000000-0005-0000-0000-0000EC4C0000}"/>
    <cellStyle name="Separador de milhares 14 3 2 5 2" xfId="22317" xr:uid="{00000000-0005-0000-0000-0000ED4C0000}"/>
    <cellStyle name="Separador de milhares 14 3 2 6" xfId="15843" xr:uid="{00000000-0005-0000-0000-0000EE4C0000}"/>
    <cellStyle name="Separador de milhares 14 3 3" xfId="4182" xr:uid="{00000000-0005-0000-0000-0000EF4C0000}"/>
    <cellStyle name="Separador de milhares 14 3 3 2" xfId="10403" xr:uid="{00000000-0005-0000-0000-0000F04C0000}"/>
    <cellStyle name="Separador de milhares 14 3 3 2 2" xfId="19153" xr:uid="{00000000-0005-0000-0000-0000F14C0000}"/>
    <cellStyle name="Separador de milhares 14 3 3 3" xfId="8820" xr:uid="{00000000-0005-0000-0000-0000F24C0000}"/>
    <cellStyle name="Separador de milhares 14 3 3 3 2" xfId="17572" xr:uid="{00000000-0005-0000-0000-0000F34C0000}"/>
    <cellStyle name="Separador de milhares 14 3 3 4" xfId="12032" xr:uid="{00000000-0005-0000-0000-0000F44C0000}"/>
    <cellStyle name="Separador de milhares 14 3 3 4 2" xfId="20719" xr:uid="{00000000-0005-0000-0000-0000F54C0000}"/>
    <cellStyle name="Separador de milhares 14 3 3 5" xfId="13638" xr:uid="{00000000-0005-0000-0000-0000F64C0000}"/>
    <cellStyle name="Separador de milhares 14 3 3 5 2" xfId="22318" xr:uid="{00000000-0005-0000-0000-0000F74C0000}"/>
    <cellStyle name="Separador de milhares 14 3 3 6" xfId="15844" xr:uid="{00000000-0005-0000-0000-0000F84C0000}"/>
    <cellStyle name="Separador de milhares 14 3 4" xfId="4183" xr:uid="{00000000-0005-0000-0000-0000F94C0000}"/>
    <cellStyle name="Separador de milhares 14 3 4 2" xfId="10404" xr:uid="{00000000-0005-0000-0000-0000FA4C0000}"/>
    <cellStyle name="Separador de milhares 14 3 4 2 2" xfId="19154" xr:uid="{00000000-0005-0000-0000-0000FB4C0000}"/>
    <cellStyle name="Separador de milhares 14 3 4 3" xfId="8821" xr:uid="{00000000-0005-0000-0000-0000FC4C0000}"/>
    <cellStyle name="Separador de milhares 14 3 4 3 2" xfId="17573" xr:uid="{00000000-0005-0000-0000-0000FD4C0000}"/>
    <cellStyle name="Separador de milhares 14 3 4 4" xfId="12033" xr:uid="{00000000-0005-0000-0000-0000FE4C0000}"/>
    <cellStyle name="Separador de milhares 14 3 4 4 2" xfId="20720" xr:uid="{00000000-0005-0000-0000-0000FF4C0000}"/>
    <cellStyle name="Separador de milhares 14 3 4 5" xfId="13639" xr:uid="{00000000-0005-0000-0000-0000004D0000}"/>
    <cellStyle name="Separador de milhares 14 3 4 5 2" xfId="22319" xr:uid="{00000000-0005-0000-0000-0000014D0000}"/>
    <cellStyle name="Separador de milhares 14 3 4 6" xfId="15845" xr:uid="{00000000-0005-0000-0000-0000024D0000}"/>
    <cellStyle name="Separador de milhares 14 3 5" xfId="10401" xr:uid="{00000000-0005-0000-0000-0000034D0000}"/>
    <cellStyle name="Separador de milhares 14 3 5 2" xfId="19151" xr:uid="{00000000-0005-0000-0000-0000044D0000}"/>
    <cellStyle name="Separador de milhares 14 3 6" xfId="8818" xr:uid="{00000000-0005-0000-0000-0000054D0000}"/>
    <cellStyle name="Separador de milhares 14 3 6 2" xfId="17570" xr:uid="{00000000-0005-0000-0000-0000064D0000}"/>
    <cellStyle name="Separador de milhares 14 3 7" xfId="12030" xr:uid="{00000000-0005-0000-0000-0000074D0000}"/>
    <cellStyle name="Separador de milhares 14 3 7 2" xfId="20717" xr:uid="{00000000-0005-0000-0000-0000084D0000}"/>
    <cellStyle name="Separador de milhares 14 3 8" xfId="13636" xr:uid="{00000000-0005-0000-0000-0000094D0000}"/>
    <cellStyle name="Separador de milhares 14 3 8 2" xfId="22316" xr:uid="{00000000-0005-0000-0000-00000A4D0000}"/>
    <cellStyle name="Separador de milhares 14 3 9" xfId="15842" xr:uid="{00000000-0005-0000-0000-00000B4D0000}"/>
    <cellStyle name="Separador de milhares 14 4" xfId="4184" xr:uid="{00000000-0005-0000-0000-00000C4D0000}"/>
    <cellStyle name="Separador de milhares 14 4 2" xfId="10405" xr:uid="{00000000-0005-0000-0000-00000D4D0000}"/>
    <cellStyle name="Separador de milhares 14 4 2 2" xfId="19155" xr:uid="{00000000-0005-0000-0000-00000E4D0000}"/>
    <cellStyle name="Separador de milhares 14 4 3" xfId="8822" xr:uid="{00000000-0005-0000-0000-00000F4D0000}"/>
    <cellStyle name="Separador de milhares 14 4 3 2" xfId="17574" xr:uid="{00000000-0005-0000-0000-0000104D0000}"/>
    <cellStyle name="Separador de milhares 14 4 4" xfId="12034" xr:uid="{00000000-0005-0000-0000-0000114D0000}"/>
    <cellStyle name="Separador de milhares 14 4 4 2" xfId="20721" xr:uid="{00000000-0005-0000-0000-0000124D0000}"/>
    <cellStyle name="Separador de milhares 14 4 5" xfId="13640" xr:uid="{00000000-0005-0000-0000-0000134D0000}"/>
    <cellStyle name="Separador de milhares 14 4 5 2" xfId="22320" xr:uid="{00000000-0005-0000-0000-0000144D0000}"/>
    <cellStyle name="Separador de milhares 14 4 6" xfId="15846" xr:uid="{00000000-0005-0000-0000-0000154D0000}"/>
    <cellStyle name="Separador de milhares 14 5" xfId="4185" xr:uid="{00000000-0005-0000-0000-0000164D0000}"/>
    <cellStyle name="Separador de milhares 14 5 2" xfId="10406" xr:uid="{00000000-0005-0000-0000-0000174D0000}"/>
    <cellStyle name="Separador de milhares 14 5 2 2" xfId="19156" xr:uid="{00000000-0005-0000-0000-0000184D0000}"/>
    <cellStyle name="Separador de milhares 14 5 3" xfId="8823" xr:uid="{00000000-0005-0000-0000-0000194D0000}"/>
    <cellStyle name="Separador de milhares 14 5 3 2" xfId="17575" xr:uid="{00000000-0005-0000-0000-00001A4D0000}"/>
    <cellStyle name="Separador de milhares 14 5 4" xfId="12035" xr:uid="{00000000-0005-0000-0000-00001B4D0000}"/>
    <cellStyle name="Separador de milhares 14 5 4 2" xfId="20722" xr:uid="{00000000-0005-0000-0000-00001C4D0000}"/>
    <cellStyle name="Separador de milhares 14 5 5" xfId="13641" xr:uid="{00000000-0005-0000-0000-00001D4D0000}"/>
    <cellStyle name="Separador de milhares 14 5 5 2" xfId="22321" xr:uid="{00000000-0005-0000-0000-00001E4D0000}"/>
    <cellStyle name="Separador de milhares 14 5 6" xfId="15847" xr:uid="{00000000-0005-0000-0000-00001F4D0000}"/>
    <cellStyle name="Separador de milhares 14 6" xfId="4186" xr:uid="{00000000-0005-0000-0000-0000204D0000}"/>
    <cellStyle name="Separador de milhares 14 6 2" xfId="10407" xr:uid="{00000000-0005-0000-0000-0000214D0000}"/>
    <cellStyle name="Separador de milhares 14 6 2 2" xfId="19157" xr:uid="{00000000-0005-0000-0000-0000224D0000}"/>
    <cellStyle name="Separador de milhares 14 6 3" xfId="8824" xr:uid="{00000000-0005-0000-0000-0000234D0000}"/>
    <cellStyle name="Separador de milhares 14 6 3 2" xfId="17576" xr:uid="{00000000-0005-0000-0000-0000244D0000}"/>
    <cellStyle name="Separador de milhares 14 6 4" xfId="12036" xr:uid="{00000000-0005-0000-0000-0000254D0000}"/>
    <cellStyle name="Separador de milhares 14 6 4 2" xfId="20723" xr:uid="{00000000-0005-0000-0000-0000264D0000}"/>
    <cellStyle name="Separador de milhares 14 6 5" xfId="13642" xr:uid="{00000000-0005-0000-0000-0000274D0000}"/>
    <cellStyle name="Separador de milhares 14 6 5 2" xfId="22322" xr:uid="{00000000-0005-0000-0000-0000284D0000}"/>
    <cellStyle name="Separador de milhares 14 6 6" xfId="15848" xr:uid="{00000000-0005-0000-0000-0000294D0000}"/>
    <cellStyle name="Separador de milhares 14 7" xfId="10400" xr:uid="{00000000-0005-0000-0000-00002A4D0000}"/>
    <cellStyle name="Separador de milhares 14 7 2" xfId="19150" xr:uid="{00000000-0005-0000-0000-00002B4D0000}"/>
    <cellStyle name="Separador de milhares 14 8" xfId="8814" xr:uid="{00000000-0005-0000-0000-00002C4D0000}"/>
    <cellStyle name="Separador de milhares 14 8 2" xfId="17566" xr:uid="{00000000-0005-0000-0000-00002D4D0000}"/>
    <cellStyle name="Separador de milhares 14 9" xfId="12026" xr:uid="{00000000-0005-0000-0000-00002E4D0000}"/>
    <cellStyle name="Separador de milhares 14 9 2" xfId="20713" xr:uid="{00000000-0005-0000-0000-00002F4D0000}"/>
    <cellStyle name="Separador de milhares 15" xfId="4187" xr:uid="{00000000-0005-0000-0000-0000304D0000}"/>
    <cellStyle name="Separador de milhares 15 2" xfId="4188" xr:uid="{00000000-0005-0000-0000-0000314D0000}"/>
    <cellStyle name="Separador de milhares 15 2 2" xfId="10409" xr:uid="{00000000-0005-0000-0000-0000324D0000}"/>
    <cellStyle name="Separador de milhares 15 2 2 2" xfId="19159" xr:uid="{00000000-0005-0000-0000-0000334D0000}"/>
    <cellStyle name="Separador de milhares 15 2 3" xfId="8826" xr:uid="{00000000-0005-0000-0000-0000344D0000}"/>
    <cellStyle name="Separador de milhares 15 2 3 2" xfId="17578" xr:uid="{00000000-0005-0000-0000-0000354D0000}"/>
    <cellStyle name="Separador de milhares 15 2 4" xfId="12038" xr:uid="{00000000-0005-0000-0000-0000364D0000}"/>
    <cellStyle name="Separador de milhares 15 2 4 2" xfId="20725" xr:uid="{00000000-0005-0000-0000-0000374D0000}"/>
    <cellStyle name="Separador de milhares 15 2 5" xfId="13644" xr:uid="{00000000-0005-0000-0000-0000384D0000}"/>
    <cellStyle name="Separador de milhares 15 2 5 2" xfId="22324" xr:uid="{00000000-0005-0000-0000-0000394D0000}"/>
    <cellStyle name="Separador de milhares 15 2 6" xfId="15850" xr:uid="{00000000-0005-0000-0000-00003A4D0000}"/>
    <cellStyle name="Separador de milhares 15 3" xfId="10408" xr:uid="{00000000-0005-0000-0000-00003B4D0000}"/>
    <cellStyle name="Separador de milhares 15 3 2" xfId="19158" xr:uid="{00000000-0005-0000-0000-00003C4D0000}"/>
    <cellStyle name="Separador de milhares 15 4" xfId="8825" xr:uid="{00000000-0005-0000-0000-00003D4D0000}"/>
    <cellStyle name="Separador de milhares 15 4 2" xfId="17577" xr:uid="{00000000-0005-0000-0000-00003E4D0000}"/>
    <cellStyle name="Separador de milhares 15 5" xfId="12037" xr:uid="{00000000-0005-0000-0000-00003F4D0000}"/>
    <cellStyle name="Separador de milhares 15 5 2" xfId="20724" xr:uid="{00000000-0005-0000-0000-0000404D0000}"/>
    <cellStyle name="Separador de milhares 15 6" xfId="13643" xr:uid="{00000000-0005-0000-0000-0000414D0000}"/>
    <cellStyle name="Separador de milhares 15 6 2" xfId="22323" xr:uid="{00000000-0005-0000-0000-0000424D0000}"/>
    <cellStyle name="Separador de milhares 15 7" xfId="15849" xr:uid="{00000000-0005-0000-0000-0000434D0000}"/>
    <cellStyle name="Separador de milhares 16" xfId="4189" xr:uid="{00000000-0005-0000-0000-0000444D0000}"/>
    <cellStyle name="Separador de milhares 16 2" xfId="4190" xr:uid="{00000000-0005-0000-0000-0000454D0000}"/>
    <cellStyle name="Separador de milhares 16 2 2" xfId="4191" xr:uid="{00000000-0005-0000-0000-0000464D0000}"/>
    <cellStyle name="Separador de milhares 16 2 2 2" xfId="8828" xr:uid="{00000000-0005-0000-0000-0000474D0000}"/>
    <cellStyle name="Separador de milhares 16 2 2 2 2" xfId="17580" xr:uid="{00000000-0005-0000-0000-0000484D0000}"/>
    <cellStyle name="Separador de milhares 16 2 2 3" xfId="12040" xr:uid="{00000000-0005-0000-0000-0000494D0000}"/>
    <cellStyle name="Separador de milhares 16 2 2 3 2" xfId="20727" xr:uid="{00000000-0005-0000-0000-00004A4D0000}"/>
    <cellStyle name="Separador de milhares 16 2 2 4" xfId="13646" xr:uid="{00000000-0005-0000-0000-00004B4D0000}"/>
    <cellStyle name="Separador de milhares 16 2 2 4 2" xfId="22326" xr:uid="{00000000-0005-0000-0000-00004C4D0000}"/>
    <cellStyle name="Separador de milhares 16 2 2 5" xfId="15852" xr:uid="{00000000-0005-0000-0000-00004D4D0000}"/>
    <cellStyle name="Separador de milhares 16 2 3" xfId="4192" xr:uid="{00000000-0005-0000-0000-00004E4D0000}"/>
    <cellStyle name="Separador de milhares 16 2 3 2" xfId="8829" xr:uid="{00000000-0005-0000-0000-00004F4D0000}"/>
    <cellStyle name="Separador de milhares 16 2 3 2 2" xfId="17581" xr:uid="{00000000-0005-0000-0000-0000504D0000}"/>
    <cellStyle name="Separador de milhares 16 2 3 3" xfId="12041" xr:uid="{00000000-0005-0000-0000-0000514D0000}"/>
    <cellStyle name="Separador de milhares 16 2 3 3 2" xfId="20728" xr:uid="{00000000-0005-0000-0000-0000524D0000}"/>
    <cellStyle name="Separador de milhares 16 2 3 4" xfId="13647" xr:uid="{00000000-0005-0000-0000-0000534D0000}"/>
    <cellStyle name="Separador de milhares 16 2 3 4 2" xfId="22327" xr:uid="{00000000-0005-0000-0000-0000544D0000}"/>
    <cellStyle name="Separador de milhares 16 2 3 5" xfId="15853" xr:uid="{00000000-0005-0000-0000-0000554D0000}"/>
    <cellStyle name="Separador de milhares 16 2 4" xfId="8827" xr:uid="{00000000-0005-0000-0000-0000564D0000}"/>
    <cellStyle name="Separador de milhares 16 2 4 2" xfId="17579" xr:uid="{00000000-0005-0000-0000-0000574D0000}"/>
    <cellStyle name="Separador de milhares 16 2 5" xfId="12039" xr:uid="{00000000-0005-0000-0000-0000584D0000}"/>
    <cellStyle name="Separador de milhares 16 2 5 2" xfId="20726" xr:uid="{00000000-0005-0000-0000-0000594D0000}"/>
    <cellStyle name="Separador de milhares 16 2 6" xfId="13645" xr:uid="{00000000-0005-0000-0000-00005A4D0000}"/>
    <cellStyle name="Separador de milhares 16 2 6 2" xfId="22325" xr:uid="{00000000-0005-0000-0000-00005B4D0000}"/>
    <cellStyle name="Separador de milhares 16 2 7" xfId="15851" xr:uid="{00000000-0005-0000-0000-00005C4D0000}"/>
    <cellStyle name="Separador de milhares 16 3" xfId="4193" xr:uid="{00000000-0005-0000-0000-00005D4D0000}"/>
    <cellStyle name="Separador de milhares 16 3 2" xfId="10410" xr:uid="{00000000-0005-0000-0000-00005E4D0000}"/>
    <cellStyle name="Separador de milhares 16 3 2 2" xfId="19160" xr:uid="{00000000-0005-0000-0000-00005F4D0000}"/>
    <cellStyle name="Separador de milhares 16 3 3" xfId="8830" xr:uid="{00000000-0005-0000-0000-0000604D0000}"/>
    <cellStyle name="Separador de milhares 16 3 3 2" xfId="17582" xr:uid="{00000000-0005-0000-0000-0000614D0000}"/>
    <cellStyle name="Separador de milhares 16 3 4" xfId="12042" xr:uid="{00000000-0005-0000-0000-0000624D0000}"/>
    <cellStyle name="Separador de milhares 16 3 4 2" xfId="20729" xr:uid="{00000000-0005-0000-0000-0000634D0000}"/>
    <cellStyle name="Separador de milhares 16 3 5" xfId="13648" xr:uid="{00000000-0005-0000-0000-0000644D0000}"/>
    <cellStyle name="Separador de milhares 16 3 5 2" xfId="22328" xr:uid="{00000000-0005-0000-0000-0000654D0000}"/>
    <cellStyle name="Separador de milhares 16 3 6" xfId="15854" xr:uid="{00000000-0005-0000-0000-0000664D0000}"/>
    <cellStyle name="Separador de milhares 17" xfId="4194" xr:uid="{00000000-0005-0000-0000-0000674D0000}"/>
    <cellStyle name="Separador de milhares 17 2" xfId="10411" xr:uid="{00000000-0005-0000-0000-0000684D0000}"/>
    <cellStyle name="Separador de milhares 17 2 2" xfId="19161" xr:uid="{00000000-0005-0000-0000-0000694D0000}"/>
    <cellStyle name="Separador de milhares 17 3" xfId="8831" xr:uid="{00000000-0005-0000-0000-00006A4D0000}"/>
    <cellStyle name="Separador de milhares 17 3 2" xfId="17583" xr:uid="{00000000-0005-0000-0000-00006B4D0000}"/>
    <cellStyle name="Separador de milhares 17 4" xfId="12043" xr:uid="{00000000-0005-0000-0000-00006C4D0000}"/>
    <cellStyle name="Separador de milhares 17 4 2" xfId="20730" xr:uid="{00000000-0005-0000-0000-00006D4D0000}"/>
    <cellStyle name="Separador de milhares 17 5" xfId="13649" xr:uid="{00000000-0005-0000-0000-00006E4D0000}"/>
    <cellStyle name="Separador de milhares 17 5 2" xfId="22329" xr:uid="{00000000-0005-0000-0000-00006F4D0000}"/>
    <cellStyle name="Separador de milhares 17 6" xfId="15855" xr:uid="{00000000-0005-0000-0000-0000704D0000}"/>
    <cellStyle name="Separador de milhares 18" xfId="4888" xr:uid="{00000000-0005-0000-0000-0000714D0000}"/>
    <cellStyle name="Separador de milhares 18 2" xfId="4195" xr:uid="{00000000-0005-0000-0000-0000724D0000}"/>
    <cellStyle name="Separador de milhares 18 2 2" xfId="4196" xr:uid="{00000000-0005-0000-0000-0000734D0000}"/>
    <cellStyle name="Separador de milhares 18 2 2 2" xfId="8833" xr:uid="{00000000-0005-0000-0000-0000744D0000}"/>
    <cellStyle name="Separador de milhares 18 2 2 2 2" xfId="17585" xr:uid="{00000000-0005-0000-0000-0000754D0000}"/>
    <cellStyle name="Separador de milhares 18 2 2 3" xfId="12045" xr:uid="{00000000-0005-0000-0000-0000764D0000}"/>
    <cellStyle name="Separador de milhares 18 2 2 3 2" xfId="20732" xr:uid="{00000000-0005-0000-0000-0000774D0000}"/>
    <cellStyle name="Separador de milhares 18 2 2 4" xfId="13651" xr:uid="{00000000-0005-0000-0000-0000784D0000}"/>
    <cellStyle name="Separador de milhares 18 2 2 4 2" xfId="22331" xr:uid="{00000000-0005-0000-0000-0000794D0000}"/>
    <cellStyle name="Separador de milhares 18 2 2 5" xfId="15857" xr:uid="{00000000-0005-0000-0000-00007A4D0000}"/>
    <cellStyle name="Separador de milhares 18 2 3" xfId="4197" xr:uid="{00000000-0005-0000-0000-00007B4D0000}"/>
    <cellStyle name="Separador de milhares 18 2 3 2" xfId="8834" xr:uid="{00000000-0005-0000-0000-00007C4D0000}"/>
    <cellStyle name="Separador de milhares 18 2 3 2 2" xfId="17586" xr:uid="{00000000-0005-0000-0000-00007D4D0000}"/>
    <cellStyle name="Separador de milhares 18 2 3 3" xfId="12046" xr:uid="{00000000-0005-0000-0000-00007E4D0000}"/>
    <cellStyle name="Separador de milhares 18 2 3 3 2" xfId="20733" xr:uid="{00000000-0005-0000-0000-00007F4D0000}"/>
    <cellStyle name="Separador de milhares 18 2 3 4" xfId="13652" xr:uid="{00000000-0005-0000-0000-0000804D0000}"/>
    <cellStyle name="Separador de milhares 18 2 3 4 2" xfId="22332" xr:uid="{00000000-0005-0000-0000-0000814D0000}"/>
    <cellStyle name="Separador de milhares 18 2 3 5" xfId="15858" xr:uid="{00000000-0005-0000-0000-0000824D0000}"/>
    <cellStyle name="Separador de milhares 18 2 4" xfId="8832" xr:uid="{00000000-0005-0000-0000-0000834D0000}"/>
    <cellStyle name="Separador de milhares 18 2 4 2" xfId="17584" xr:uid="{00000000-0005-0000-0000-0000844D0000}"/>
    <cellStyle name="Separador de milhares 18 2 5" xfId="12044" xr:uid="{00000000-0005-0000-0000-0000854D0000}"/>
    <cellStyle name="Separador de milhares 18 2 5 2" xfId="20731" xr:uid="{00000000-0005-0000-0000-0000864D0000}"/>
    <cellStyle name="Separador de milhares 18 2 6" xfId="13650" xr:uid="{00000000-0005-0000-0000-0000874D0000}"/>
    <cellStyle name="Separador de milhares 18 2 6 2" xfId="22330" xr:uid="{00000000-0005-0000-0000-0000884D0000}"/>
    <cellStyle name="Separador de milhares 18 2 7" xfId="15856" xr:uid="{00000000-0005-0000-0000-0000894D0000}"/>
    <cellStyle name="Separador de milhares 19" xfId="4198" xr:uid="{00000000-0005-0000-0000-00008A4D0000}"/>
    <cellStyle name="Separador de milhares 19 10" xfId="8835" xr:uid="{00000000-0005-0000-0000-00008B4D0000}"/>
    <cellStyle name="Separador de milhares 19 10 2" xfId="17587" xr:uid="{00000000-0005-0000-0000-00008C4D0000}"/>
    <cellStyle name="Separador de milhares 19 11" xfId="12047" xr:uid="{00000000-0005-0000-0000-00008D4D0000}"/>
    <cellStyle name="Separador de milhares 19 11 2" xfId="20734" xr:uid="{00000000-0005-0000-0000-00008E4D0000}"/>
    <cellStyle name="Separador de milhares 19 12" xfId="13653" xr:uid="{00000000-0005-0000-0000-00008F4D0000}"/>
    <cellStyle name="Separador de milhares 19 12 2" xfId="22333" xr:uid="{00000000-0005-0000-0000-0000904D0000}"/>
    <cellStyle name="Separador de milhares 19 13" xfId="15859" xr:uid="{00000000-0005-0000-0000-0000914D0000}"/>
    <cellStyle name="Separador de milhares 19 2" xfId="4199" xr:uid="{00000000-0005-0000-0000-0000924D0000}"/>
    <cellStyle name="Separador de milhares 19 2 2" xfId="4200" xr:uid="{00000000-0005-0000-0000-0000934D0000}"/>
    <cellStyle name="Separador de milhares 19 2 2 2" xfId="8837" xr:uid="{00000000-0005-0000-0000-0000944D0000}"/>
    <cellStyle name="Separador de milhares 19 2 2 2 2" xfId="17589" xr:uid="{00000000-0005-0000-0000-0000954D0000}"/>
    <cellStyle name="Separador de milhares 19 2 2 3" xfId="12049" xr:uid="{00000000-0005-0000-0000-0000964D0000}"/>
    <cellStyle name="Separador de milhares 19 2 2 3 2" xfId="20736" xr:uid="{00000000-0005-0000-0000-0000974D0000}"/>
    <cellStyle name="Separador de milhares 19 2 2 4" xfId="13655" xr:uid="{00000000-0005-0000-0000-0000984D0000}"/>
    <cellStyle name="Separador de milhares 19 2 2 4 2" xfId="22335" xr:uid="{00000000-0005-0000-0000-0000994D0000}"/>
    <cellStyle name="Separador de milhares 19 2 2 5" xfId="15861" xr:uid="{00000000-0005-0000-0000-00009A4D0000}"/>
    <cellStyle name="Separador de milhares 19 2 3" xfId="4201" xr:uid="{00000000-0005-0000-0000-00009B4D0000}"/>
    <cellStyle name="Separador de milhares 19 2 3 2" xfId="8838" xr:uid="{00000000-0005-0000-0000-00009C4D0000}"/>
    <cellStyle name="Separador de milhares 19 2 3 2 2" xfId="17590" xr:uid="{00000000-0005-0000-0000-00009D4D0000}"/>
    <cellStyle name="Separador de milhares 19 2 3 3" xfId="12050" xr:uid="{00000000-0005-0000-0000-00009E4D0000}"/>
    <cellStyle name="Separador de milhares 19 2 3 3 2" xfId="20737" xr:uid="{00000000-0005-0000-0000-00009F4D0000}"/>
    <cellStyle name="Separador de milhares 19 2 3 4" xfId="13656" xr:uid="{00000000-0005-0000-0000-0000A04D0000}"/>
    <cellStyle name="Separador de milhares 19 2 3 4 2" xfId="22336" xr:uid="{00000000-0005-0000-0000-0000A14D0000}"/>
    <cellStyle name="Separador de milhares 19 2 3 5" xfId="15862" xr:uid="{00000000-0005-0000-0000-0000A24D0000}"/>
    <cellStyle name="Separador de milhares 19 2 4" xfId="8836" xr:uid="{00000000-0005-0000-0000-0000A34D0000}"/>
    <cellStyle name="Separador de milhares 19 2 4 2" xfId="17588" xr:uid="{00000000-0005-0000-0000-0000A44D0000}"/>
    <cellStyle name="Separador de milhares 19 2 5" xfId="12048" xr:uid="{00000000-0005-0000-0000-0000A54D0000}"/>
    <cellStyle name="Separador de milhares 19 2 5 2" xfId="20735" xr:uid="{00000000-0005-0000-0000-0000A64D0000}"/>
    <cellStyle name="Separador de milhares 19 2 6" xfId="13654" xr:uid="{00000000-0005-0000-0000-0000A74D0000}"/>
    <cellStyle name="Separador de milhares 19 2 6 2" xfId="22334" xr:uid="{00000000-0005-0000-0000-0000A84D0000}"/>
    <cellStyle name="Separador de milhares 19 2 7" xfId="15860" xr:uid="{00000000-0005-0000-0000-0000A94D0000}"/>
    <cellStyle name="Separador de milhares 19 3" xfId="4202" xr:uid="{00000000-0005-0000-0000-0000AA4D0000}"/>
    <cellStyle name="Separador de milhares 19 3 2" xfId="4203" xr:uid="{00000000-0005-0000-0000-0000AB4D0000}"/>
    <cellStyle name="Separador de milhares 19 3 2 2" xfId="8840" xr:uid="{00000000-0005-0000-0000-0000AC4D0000}"/>
    <cellStyle name="Separador de milhares 19 3 2 2 2" xfId="17592" xr:uid="{00000000-0005-0000-0000-0000AD4D0000}"/>
    <cellStyle name="Separador de milhares 19 3 2 3" xfId="12052" xr:uid="{00000000-0005-0000-0000-0000AE4D0000}"/>
    <cellStyle name="Separador de milhares 19 3 2 3 2" xfId="20739" xr:uid="{00000000-0005-0000-0000-0000AF4D0000}"/>
    <cellStyle name="Separador de milhares 19 3 2 4" xfId="13658" xr:uid="{00000000-0005-0000-0000-0000B04D0000}"/>
    <cellStyle name="Separador de milhares 19 3 2 4 2" xfId="22338" xr:uid="{00000000-0005-0000-0000-0000B14D0000}"/>
    <cellStyle name="Separador de milhares 19 3 2 5" xfId="15864" xr:uid="{00000000-0005-0000-0000-0000B24D0000}"/>
    <cellStyle name="Separador de milhares 19 3 3" xfId="4204" xr:uid="{00000000-0005-0000-0000-0000B34D0000}"/>
    <cellStyle name="Separador de milhares 19 3 3 2" xfId="8841" xr:uid="{00000000-0005-0000-0000-0000B44D0000}"/>
    <cellStyle name="Separador de milhares 19 3 3 2 2" xfId="17593" xr:uid="{00000000-0005-0000-0000-0000B54D0000}"/>
    <cellStyle name="Separador de milhares 19 3 3 3" xfId="12053" xr:uid="{00000000-0005-0000-0000-0000B64D0000}"/>
    <cellStyle name="Separador de milhares 19 3 3 3 2" xfId="20740" xr:uid="{00000000-0005-0000-0000-0000B74D0000}"/>
    <cellStyle name="Separador de milhares 19 3 3 4" xfId="13659" xr:uid="{00000000-0005-0000-0000-0000B84D0000}"/>
    <cellStyle name="Separador de milhares 19 3 3 4 2" xfId="22339" xr:uid="{00000000-0005-0000-0000-0000B94D0000}"/>
    <cellStyle name="Separador de milhares 19 3 3 5" xfId="15865" xr:uid="{00000000-0005-0000-0000-0000BA4D0000}"/>
    <cellStyle name="Separador de milhares 19 3 4" xfId="8839" xr:uid="{00000000-0005-0000-0000-0000BB4D0000}"/>
    <cellStyle name="Separador de milhares 19 3 4 2" xfId="17591" xr:uid="{00000000-0005-0000-0000-0000BC4D0000}"/>
    <cellStyle name="Separador de milhares 19 3 5" xfId="12051" xr:uid="{00000000-0005-0000-0000-0000BD4D0000}"/>
    <cellStyle name="Separador de milhares 19 3 5 2" xfId="20738" xr:uid="{00000000-0005-0000-0000-0000BE4D0000}"/>
    <cellStyle name="Separador de milhares 19 3 6" xfId="13657" xr:uid="{00000000-0005-0000-0000-0000BF4D0000}"/>
    <cellStyle name="Separador de milhares 19 3 6 2" xfId="22337" xr:uid="{00000000-0005-0000-0000-0000C04D0000}"/>
    <cellStyle name="Separador de milhares 19 3 7" xfId="15863" xr:uid="{00000000-0005-0000-0000-0000C14D0000}"/>
    <cellStyle name="Separador de milhares 19 4" xfId="4205" xr:uid="{00000000-0005-0000-0000-0000C24D0000}"/>
    <cellStyle name="Separador de milhares 19 4 2" xfId="4206" xr:uid="{00000000-0005-0000-0000-0000C34D0000}"/>
    <cellStyle name="Separador de milhares 19 4 2 2" xfId="8843" xr:uid="{00000000-0005-0000-0000-0000C44D0000}"/>
    <cellStyle name="Separador de milhares 19 4 2 2 2" xfId="17595" xr:uid="{00000000-0005-0000-0000-0000C54D0000}"/>
    <cellStyle name="Separador de milhares 19 4 2 3" xfId="12055" xr:uid="{00000000-0005-0000-0000-0000C64D0000}"/>
    <cellStyle name="Separador de milhares 19 4 2 3 2" xfId="20742" xr:uid="{00000000-0005-0000-0000-0000C74D0000}"/>
    <cellStyle name="Separador de milhares 19 4 2 4" xfId="13661" xr:uid="{00000000-0005-0000-0000-0000C84D0000}"/>
    <cellStyle name="Separador de milhares 19 4 2 4 2" xfId="22341" xr:uid="{00000000-0005-0000-0000-0000C94D0000}"/>
    <cellStyle name="Separador de milhares 19 4 2 5" xfId="15867" xr:uid="{00000000-0005-0000-0000-0000CA4D0000}"/>
    <cellStyle name="Separador de milhares 19 4 3" xfId="4207" xr:uid="{00000000-0005-0000-0000-0000CB4D0000}"/>
    <cellStyle name="Separador de milhares 19 4 3 2" xfId="8844" xr:uid="{00000000-0005-0000-0000-0000CC4D0000}"/>
    <cellStyle name="Separador de milhares 19 4 3 2 2" xfId="17596" xr:uid="{00000000-0005-0000-0000-0000CD4D0000}"/>
    <cellStyle name="Separador de milhares 19 4 3 3" xfId="12056" xr:uid="{00000000-0005-0000-0000-0000CE4D0000}"/>
    <cellStyle name="Separador de milhares 19 4 3 3 2" xfId="20743" xr:uid="{00000000-0005-0000-0000-0000CF4D0000}"/>
    <cellStyle name="Separador de milhares 19 4 3 4" xfId="13662" xr:uid="{00000000-0005-0000-0000-0000D04D0000}"/>
    <cellStyle name="Separador de milhares 19 4 3 4 2" xfId="22342" xr:uid="{00000000-0005-0000-0000-0000D14D0000}"/>
    <cellStyle name="Separador de milhares 19 4 3 5" xfId="15868" xr:uid="{00000000-0005-0000-0000-0000D24D0000}"/>
    <cellStyle name="Separador de milhares 19 4 4" xfId="8842" xr:uid="{00000000-0005-0000-0000-0000D34D0000}"/>
    <cellStyle name="Separador de milhares 19 4 4 2" xfId="17594" xr:uid="{00000000-0005-0000-0000-0000D44D0000}"/>
    <cellStyle name="Separador de milhares 19 4 5" xfId="12054" xr:uid="{00000000-0005-0000-0000-0000D54D0000}"/>
    <cellStyle name="Separador de milhares 19 4 5 2" xfId="20741" xr:uid="{00000000-0005-0000-0000-0000D64D0000}"/>
    <cellStyle name="Separador de milhares 19 4 6" xfId="13660" xr:uid="{00000000-0005-0000-0000-0000D74D0000}"/>
    <cellStyle name="Separador de milhares 19 4 6 2" xfId="22340" xr:uid="{00000000-0005-0000-0000-0000D84D0000}"/>
    <cellStyle name="Separador de milhares 19 4 7" xfId="15866" xr:uid="{00000000-0005-0000-0000-0000D94D0000}"/>
    <cellStyle name="Separador de milhares 19 5" xfId="4208" xr:uid="{00000000-0005-0000-0000-0000DA4D0000}"/>
    <cellStyle name="Separador de milhares 19 5 2" xfId="4209" xr:uid="{00000000-0005-0000-0000-0000DB4D0000}"/>
    <cellStyle name="Separador de milhares 19 5 2 2" xfId="8846" xr:uid="{00000000-0005-0000-0000-0000DC4D0000}"/>
    <cellStyle name="Separador de milhares 19 5 2 2 2" xfId="17598" xr:uid="{00000000-0005-0000-0000-0000DD4D0000}"/>
    <cellStyle name="Separador de milhares 19 5 2 3" xfId="12058" xr:uid="{00000000-0005-0000-0000-0000DE4D0000}"/>
    <cellStyle name="Separador de milhares 19 5 2 3 2" xfId="20745" xr:uid="{00000000-0005-0000-0000-0000DF4D0000}"/>
    <cellStyle name="Separador de milhares 19 5 2 4" xfId="13664" xr:uid="{00000000-0005-0000-0000-0000E04D0000}"/>
    <cellStyle name="Separador de milhares 19 5 2 4 2" xfId="22344" xr:uid="{00000000-0005-0000-0000-0000E14D0000}"/>
    <cellStyle name="Separador de milhares 19 5 2 5" xfId="15870" xr:uid="{00000000-0005-0000-0000-0000E24D0000}"/>
    <cellStyle name="Separador de milhares 19 5 3" xfId="4210" xr:uid="{00000000-0005-0000-0000-0000E34D0000}"/>
    <cellStyle name="Separador de milhares 19 5 3 2" xfId="8847" xr:uid="{00000000-0005-0000-0000-0000E44D0000}"/>
    <cellStyle name="Separador de milhares 19 5 3 2 2" xfId="17599" xr:uid="{00000000-0005-0000-0000-0000E54D0000}"/>
    <cellStyle name="Separador de milhares 19 5 3 3" xfId="12059" xr:uid="{00000000-0005-0000-0000-0000E64D0000}"/>
    <cellStyle name="Separador de milhares 19 5 3 3 2" xfId="20746" xr:uid="{00000000-0005-0000-0000-0000E74D0000}"/>
    <cellStyle name="Separador de milhares 19 5 3 4" xfId="13665" xr:uid="{00000000-0005-0000-0000-0000E84D0000}"/>
    <cellStyle name="Separador de milhares 19 5 3 4 2" xfId="22345" xr:uid="{00000000-0005-0000-0000-0000E94D0000}"/>
    <cellStyle name="Separador de milhares 19 5 3 5" xfId="15871" xr:uid="{00000000-0005-0000-0000-0000EA4D0000}"/>
    <cellStyle name="Separador de milhares 19 5 4" xfId="8845" xr:uid="{00000000-0005-0000-0000-0000EB4D0000}"/>
    <cellStyle name="Separador de milhares 19 5 4 2" xfId="17597" xr:uid="{00000000-0005-0000-0000-0000EC4D0000}"/>
    <cellStyle name="Separador de milhares 19 5 5" xfId="12057" xr:uid="{00000000-0005-0000-0000-0000ED4D0000}"/>
    <cellStyle name="Separador de milhares 19 5 5 2" xfId="20744" xr:uid="{00000000-0005-0000-0000-0000EE4D0000}"/>
    <cellStyle name="Separador de milhares 19 5 6" xfId="13663" xr:uid="{00000000-0005-0000-0000-0000EF4D0000}"/>
    <cellStyle name="Separador de milhares 19 5 6 2" xfId="22343" xr:uid="{00000000-0005-0000-0000-0000F04D0000}"/>
    <cellStyle name="Separador de milhares 19 5 7" xfId="15869" xr:uid="{00000000-0005-0000-0000-0000F14D0000}"/>
    <cellStyle name="Separador de milhares 19 6" xfId="4211" xr:uid="{00000000-0005-0000-0000-0000F24D0000}"/>
    <cellStyle name="Separador de milhares 19 6 2" xfId="4212" xr:uid="{00000000-0005-0000-0000-0000F34D0000}"/>
    <cellStyle name="Separador de milhares 19 6 2 2" xfId="8849" xr:uid="{00000000-0005-0000-0000-0000F44D0000}"/>
    <cellStyle name="Separador de milhares 19 6 2 2 2" xfId="17601" xr:uid="{00000000-0005-0000-0000-0000F54D0000}"/>
    <cellStyle name="Separador de milhares 19 6 2 3" xfId="12061" xr:uid="{00000000-0005-0000-0000-0000F64D0000}"/>
    <cellStyle name="Separador de milhares 19 6 2 3 2" xfId="20748" xr:uid="{00000000-0005-0000-0000-0000F74D0000}"/>
    <cellStyle name="Separador de milhares 19 6 2 4" xfId="13667" xr:uid="{00000000-0005-0000-0000-0000F84D0000}"/>
    <cellStyle name="Separador de milhares 19 6 2 4 2" xfId="22347" xr:uid="{00000000-0005-0000-0000-0000F94D0000}"/>
    <cellStyle name="Separador de milhares 19 6 2 5" xfId="15873" xr:uid="{00000000-0005-0000-0000-0000FA4D0000}"/>
    <cellStyle name="Separador de milhares 19 6 3" xfId="4213" xr:uid="{00000000-0005-0000-0000-0000FB4D0000}"/>
    <cellStyle name="Separador de milhares 19 6 3 2" xfId="8850" xr:uid="{00000000-0005-0000-0000-0000FC4D0000}"/>
    <cellStyle name="Separador de milhares 19 6 3 2 2" xfId="17602" xr:uid="{00000000-0005-0000-0000-0000FD4D0000}"/>
    <cellStyle name="Separador de milhares 19 6 3 3" xfId="12062" xr:uid="{00000000-0005-0000-0000-0000FE4D0000}"/>
    <cellStyle name="Separador de milhares 19 6 3 3 2" xfId="20749" xr:uid="{00000000-0005-0000-0000-0000FF4D0000}"/>
    <cellStyle name="Separador de milhares 19 6 3 4" xfId="13668" xr:uid="{00000000-0005-0000-0000-0000004E0000}"/>
    <cellStyle name="Separador de milhares 19 6 3 4 2" xfId="22348" xr:uid="{00000000-0005-0000-0000-0000014E0000}"/>
    <cellStyle name="Separador de milhares 19 6 3 5" xfId="15874" xr:uid="{00000000-0005-0000-0000-0000024E0000}"/>
    <cellStyle name="Separador de milhares 19 6 4" xfId="8848" xr:uid="{00000000-0005-0000-0000-0000034E0000}"/>
    <cellStyle name="Separador de milhares 19 6 4 2" xfId="17600" xr:uid="{00000000-0005-0000-0000-0000044E0000}"/>
    <cellStyle name="Separador de milhares 19 6 5" xfId="12060" xr:uid="{00000000-0005-0000-0000-0000054E0000}"/>
    <cellStyle name="Separador de milhares 19 6 5 2" xfId="20747" xr:uid="{00000000-0005-0000-0000-0000064E0000}"/>
    <cellStyle name="Separador de milhares 19 6 6" xfId="13666" xr:uid="{00000000-0005-0000-0000-0000074E0000}"/>
    <cellStyle name="Separador de milhares 19 6 6 2" xfId="22346" xr:uid="{00000000-0005-0000-0000-0000084E0000}"/>
    <cellStyle name="Separador de milhares 19 6 7" xfId="15872" xr:uid="{00000000-0005-0000-0000-0000094E0000}"/>
    <cellStyle name="Separador de milhares 19 7" xfId="4214" xr:uid="{00000000-0005-0000-0000-00000A4E0000}"/>
    <cellStyle name="Separador de milhares 19 7 2" xfId="8851" xr:uid="{00000000-0005-0000-0000-00000B4E0000}"/>
    <cellStyle name="Separador de milhares 19 7 2 2" xfId="17603" xr:uid="{00000000-0005-0000-0000-00000C4E0000}"/>
    <cellStyle name="Separador de milhares 19 7 3" xfId="12063" xr:uid="{00000000-0005-0000-0000-00000D4E0000}"/>
    <cellStyle name="Separador de milhares 19 7 3 2" xfId="20750" xr:uid="{00000000-0005-0000-0000-00000E4E0000}"/>
    <cellStyle name="Separador de milhares 19 7 4" xfId="13669" xr:uid="{00000000-0005-0000-0000-00000F4E0000}"/>
    <cellStyle name="Separador de milhares 19 7 4 2" xfId="22349" xr:uid="{00000000-0005-0000-0000-0000104E0000}"/>
    <cellStyle name="Separador de milhares 19 7 5" xfId="15875" xr:uid="{00000000-0005-0000-0000-0000114E0000}"/>
    <cellStyle name="Separador de milhares 19 8" xfId="4215" xr:uid="{00000000-0005-0000-0000-0000124E0000}"/>
    <cellStyle name="Separador de milhares 19 8 2" xfId="8852" xr:uid="{00000000-0005-0000-0000-0000134E0000}"/>
    <cellStyle name="Separador de milhares 19 8 2 2" xfId="17604" xr:uid="{00000000-0005-0000-0000-0000144E0000}"/>
    <cellStyle name="Separador de milhares 19 8 3" xfId="12064" xr:uid="{00000000-0005-0000-0000-0000154E0000}"/>
    <cellStyle name="Separador de milhares 19 8 3 2" xfId="20751" xr:uid="{00000000-0005-0000-0000-0000164E0000}"/>
    <cellStyle name="Separador de milhares 19 8 4" xfId="13670" xr:uid="{00000000-0005-0000-0000-0000174E0000}"/>
    <cellStyle name="Separador de milhares 19 8 4 2" xfId="22350" xr:uid="{00000000-0005-0000-0000-0000184E0000}"/>
    <cellStyle name="Separador de milhares 19 8 5" xfId="15876" xr:uid="{00000000-0005-0000-0000-0000194E0000}"/>
    <cellStyle name="Separador de milhares 19 9" xfId="4216" xr:uid="{00000000-0005-0000-0000-00001A4E0000}"/>
    <cellStyle name="Separador de milhares 19 9 2" xfId="8853" xr:uid="{00000000-0005-0000-0000-00001B4E0000}"/>
    <cellStyle name="Separador de milhares 19 9 2 2" xfId="17605" xr:uid="{00000000-0005-0000-0000-00001C4E0000}"/>
    <cellStyle name="Separador de milhares 19 9 3" xfId="12065" xr:uid="{00000000-0005-0000-0000-00001D4E0000}"/>
    <cellStyle name="Separador de milhares 19 9 3 2" xfId="20752" xr:uid="{00000000-0005-0000-0000-00001E4E0000}"/>
    <cellStyle name="Separador de milhares 19 9 4" xfId="13671" xr:uid="{00000000-0005-0000-0000-00001F4E0000}"/>
    <cellStyle name="Separador de milhares 19 9 4 2" xfId="22351" xr:uid="{00000000-0005-0000-0000-0000204E0000}"/>
    <cellStyle name="Separador de milhares 19 9 5" xfId="15877" xr:uid="{00000000-0005-0000-0000-0000214E0000}"/>
    <cellStyle name="Separador de milhares 2" xfId="80" xr:uid="{00000000-0005-0000-0000-0000224E0000}"/>
    <cellStyle name="Separador de milhares 2 10" xfId="4218" xr:uid="{00000000-0005-0000-0000-0000234E0000}"/>
    <cellStyle name="Separador de milhares 2 10 2" xfId="5583" xr:uid="{00000000-0005-0000-0000-0000244E0000}"/>
    <cellStyle name="Separador de milhares 2 10 2 2" xfId="16088" xr:uid="{00000000-0005-0000-0000-0000254E0000}"/>
    <cellStyle name="Separador de milhares 2 10 3" xfId="8855" xr:uid="{00000000-0005-0000-0000-0000264E0000}"/>
    <cellStyle name="Separador de milhares 2 10 3 2" xfId="17607" xr:uid="{00000000-0005-0000-0000-0000274E0000}"/>
    <cellStyle name="Separador de milhares 2 10 4" xfId="12067" xr:uid="{00000000-0005-0000-0000-0000284E0000}"/>
    <cellStyle name="Separador de milhares 2 10 4 2" xfId="20754" xr:uid="{00000000-0005-0000-0000-0000294E0000}"/>
    <cellStyle name="Separador de milhares 2 10 5" xfId="13673" xr:uid="{00000000-0005-0000-0000-00002A4E0000}"/>
    <cellStyle name="Separador de milhares 2 10 5 2" xfId="22353" xr:uid="{00000000-0005-0000-0000-00002B4E0000}"/>
    <cellStyle name="Separador de milhares 2 10 6" xfId="14073" xr:uid="{00000000-0005-0000-0000-00002C4E0000}"/>
    <cellStyle name="Separador de milhares 2 10 7" xfId="15879" xr:uid="{00000000-0005-0000-0000-00002D4E0000}"/>
    <cellStyle name="Separador de milhares 2 11" xfId="4219" xr:uid="{00000000-0005-0000-0000-00002E4E0000}"/>
    <cellStyle name="Separador de milhares 2 11 2" xfId="8856" xr:uid="{00000000-0005-0000-0000-00002F4E0000}"/>
    <cellStyle name="Separador de milhares 2 11 2 2" xfId="17608" xr:uid="{00000000-0005-0000-0000-0000304E0000}"/>
    <cellStyle name="Separador de milhares 2 11 3" xfId="12068" xr:uid="{00000000-0005-0000-0000-0000314E0000}"/>
    <cellStyle name="Separador de milhares 2 11 3 2" xfId="20755" xr:uid="{00000000-0005-0000-0000-0000324E0000}"/>
    <cellStyle name="Separador de milhares 2 11 4" xfId="13674" xr:uid="{00000000-0005-0000-0000-0000334E0000}"/>
    <cellStyle name="Separador de milhares 2 11 4 2" xfId="22354" xr:uid="{00000000-0005-0000-0000-0000344E0000}"/>
    <cellStyle name="Separador de milhares 2 11 5" xfId="14045" xr:uid="{00000000-0005-0000-0000-0000354E0000}"/>
    <cellStyle name="Separador de milhares 2 12" xfId="4220" xr:uid="{00000000-0005-0000-0000-0000364E0000}"/>
    <cellStyle name="Separador de milhares 2 12 2" xfId="5599" xr:uid="{00000000-0005-0000-0000-0000374E0000}"/>
    <cellStyle name="Separador de milhares 2 12 2 2" xfId="10413" xr:uid="{00000000-0005-0000-0000-0000384E0000}"/>
    <cellStyle name="Separador de milhares 2 12 2 2 2" xfId="19163" xr:uid="{00000000-0005-0000-0000-0000394E0000}"/>
    <cellStyle name="Separador de milhares 2 12 2 3" xfId="16089" xr:uid="{00000000-0005-0000-0000-00003A4E0000}"/>
    <cellStyle name="Separador de milhares 2 12 3" xfId="8857" xr:uid="{00000000-0005-0000-0000-00003B4E0000}"/>
    <cellStyle name="Separador de milhares 2 12 3 2" xfId="17609" xr:uid="{00000000-0005-0000-0000-00003C4E0000}"/>
    <cellStyle name="Separador de milhares 2 12 4" xfId="12069" xr:uid="{00000000-0005-0000-0000-00003D4E0000}"/>
    <cellStyle name="Separador de milhares 2 12 4 2" xfId="20756" xr:uid="{00000000-0005-0000-0000-00003E4E0000}"/>
    <cellStyle name="Separador de milhares 2 12 5" xfId="13675" xr:uid="{00000000-0005-0000-0000-00003F4E0000}"/>
    <cellStyle name="Separador de milhares 2 12 5 2" xfId="22355" xr:uid="{00000000-0005-0000-0000-0000404E0000}"/>
    <cellStyle name="Separador de milhares 2 12 6" xfId="14079" xr:uid="{00000000-0005-0000-0000-0000414E0000}"/>
    <cellStyle name="Separador de milhares 2 12 7" xfId="15880" xr:uid="{00000000-0005-0000-0000-0000424E0000}"/>
    <cellStyle name="Separador de milhares 2 13" xfId="4890" xr:uid="{00000000-0005-0000-0000-0000434E0000}"/>
    <cellStyle name="Separador de milhares 2 13 2" xfId="5628" xr:uid="{00000000-0005-0000-0000-0000444E0000}"/>
    <cellStyle name="Separador de milhares 2 13 2 2" xfId="16093" xr:uid="{00000000-0005-0000-0000-0000454E0000}"/>
    <cellStyle name="Separador de milhares 2 13 3" xfId="14089" xr:uid="{00000000-0005-0000-0000-0000464E0000}"/>
    <cellStyle name="Separador de milhares 2 14" xfId="4217" xr:uid="{00000000-0005-0000-0000-0000474E0000}"/>
    <cellStyle name="Separador de milhares 2 14 2" xfId="5626" xr:uid="{00000000-0005-0000-0000-0000484E0000}"/>
    <cellStyle name="Separador de milhares 2 14 2 2" xfId="16092" xr:uid="{00000000-0005-0000-0000-0000494E0000}"/>
    <cellStyle name="Separador de milhares 2 14 3" xfId="10412" xr:uid="{00000000-0005-0000-0000-00004A4E0000}"/>
    <cellStyle name="Separador de milhares 2 14 3 2" xfId="19162" xr:uid="{00000000-0005-0000-0000-00004B4E0000}"/>
    <cellStyle name="Separador de milhares 2 14 4" xfId="12066" xr:uid="{00000000-0005-0000-0000-00004C4E0000}"/>
    <cellStyle name="Separador de milhares 2 14 4 2" xfId="20753" xr:uid="{00000000-0005-0000-0000-00004D4E0000}"/>
    <cellStyle name="Separador de milhares 2 14 5" xfId="14087" xr:uid="{00000000-0005-0000-0000-00004E4E0000}"/>
    <cellStyle name="Separador de milhares 2 14 6" xfId="15878" xr:uid="{00000000-0005-0000-0000-00004F4E0000}"/>
    <cellStyle name="Separador de milhares 2 15" xfId="5737" xr:uid="{00000000-0005-0000-0000-0000504E0000}"/>
    <cellStyle name="Separador de milhares 2 15 2" xfId="14120" xr:uid="{00000000-0005-0000-0000-0000514E0000}"/>
    <cellStyle name="Separador de milhares 2 16" xfId="5693" xr:uid="{00000000-0005-0000-0000-0000524E0000}"/>
    <cellStyle name="Separador de milhares 2 16 2" xfId="14107" xr:uid="{00000000-0005-0000-0000-0000534E0000}"/>
    <cellStyle name="Separador de milhares 2 17" xfId="7016" xr:uid="{00000000-0005-0000-0000-0000544E0000}"/>
    <cellStyle name="Separador de milhares 2 17 2" xfId="14622" xr:uid="{00000000-0005-0000-0000-0000554E0000}"/>
    <cellStyle name="Separador de milhares 2 17 3" xfId="16160" xr:uid="{00000000-0005-0000-0000-0000564E0000}"/>
    <cellStyle name="Separador de milhares 2 18" xfId="8854" xr:uid="{00000000-0005-0000-0000-0000574E0000}"/>
    <cellStyle name="Separador de milhares 2 18 2" xfId="17606" xr:uid="{00000000-0005-0000-0000-0000584E0000}"/>
    <cellStyle name="Separador de milhares 2 19" xfId="10501" xr:uid="{00000000-0005-0000-0000-0000594E0000}"/>
    <cellStyle name="Separador de milhares 2 19 2" xfId="19228" xr:uid="{00000000-0005-0000-0000-00005A4E0000}"/>
    <cellStyle name="Separador de milhares 2 2" xfId="95" xr:uid="{00000000-0005-0000-0000-00005B4E0000}"/>
    <cellStyle name="Separador de milhares 2 2 2" xfId="129" xr:uid="{00000000-0005-0000-0000-00005C4E0000}"/>
    <cellStyle name="Separador de milhares 2 2 2 2" xfId="4223" xr:uid="{00000000-0005-0000-0000-00005D4E0000}"/>
    <cellStyle name="Separador de milhares 2 2 2 2 2" xfId="8858" xr:uid="{00000000-0005-0000-0000-00005E4E0000}"/>
    <cellStyle name="Separador de milhares 2 2 2 2 2 2" xfId="17610" xr:uid="{00000000-0005-0000-0000-00005F4E0000}"/>
    <cellStyle name="Separador de milhares 2 2 2 2 3" xfId="12070" xr:uid="{00000000-0005-0000-0000-0000604E0000}"/>
    <cellStyle name="Separador de milhares 2 2 2 2 3 2" xfId="20757" xr:uid="{00000000-0005-0000-0000-0000614E0000}"/>
    <cellStyle name="Separador de milhares 2 2 2 2 4" xfId="13676" xr:uid="{00000000-0005-0000-0000-0000624E0000}"/>
    <cellStyle name="Separador de milhares 2 2 2 2 4 2" xfId="22356" xr:uid="{00000000-0005-0000-0000-0000634E0000}"/>
    <cellStyle name="Separador de milhares 2 2 2 2 5" xfId="15881" xr:uid="{00000000-0005-0000-0000-0000644E0000}"/>
    <cellStyle name="Separador de milhares 2 2 2 3" xfId="4224" xr:uid="{00000000-0005-0000-0000-0000654E0000}"/>
    <cellStyle name="Separador de milhares 2 2 2 3 2" xfId="8859" xr:uid="{00000000-0005-0000-0000-0000664E0000}"/>
    <cellStyle name="Separador de milhares 2 2 2 3 2 2" xfId="17611" xr:uid="{00000000-0005-0000-0000-0000674E0000}"/>
    <cellStyle name="Separador de milhares 2 2 2 3 3" xfId="12071" xr:uid="{00000000-0005-0000-0000-0000684E0000}"/>
    <cellStyle name="Separador de milhares 2 2 2 3 3 2" xfId="20758" xr:uid="{00000000-0005-0000-0000-0000694E0000}"/>
    <cellStyle name="Separador de milhares 2 2 2 3 4" xfId="13677" xr:uid="{00000000-0005-0000-0000-00006A4E0000}"/>
    <cellStyle name="Separador de milhares 2 2 2 3 4 2" xfId="22357" xr:uid="{00000000-0005-0000-0000-00006B4E0000}"/>
    <cellStyle name="Separador de milhares 2 2 2 3 5" xfId="15882" xr:uid="{00000000-0005-0000-0000-00006C4E0000}"/>
    <cellStyle name="Separador de milhares 2 2 2 4" xfId="4222" xr:uid="{00000000-0005-0000-0000-00006D4E0000}"/>
    <cellStyle name="Separador de milhares 2 2 2 5" xfId="7377" xr:uid="{00000000-0005-0000-0000-00006E4E0000}"/>
    <cellStyle name="Separador de milhares 2 2 2 5 2" xfId="16167" xr:uid="{00000000-0005-0000-0000-00006F4E0000}"/>
    <cellStyle name="Separador de milhares 2 2 2 6" xfId="10617" xr:uid="{00000000-0005-0000-0000-0000704E0000}"/>
    <cellStyle name="Separador de milhares 2 2 2 6 2" xfId="19320" xr:uid="{00000000-0005-0000-0000-0000714E0000}"/>
    <cellStyle name="Separador de milhares 2 2 2 7" xfId="14729" xr:uid="{00000000-0005-0000-0000-0000724E0000}"/>
    <cellStyle name="Separador de milhares 2 2 2 8" xfId="14796" xr:uid="{00000000-0005-0000-0000-0000734E0000}"/>
    <cellStyle name="Separador de milhares 2 2 3" xfId="4225" xr:uid="{00000000-0005-0000-0000-0000744E0000}"/>
    <cellStyle name="Separador de milhares 2 2 3 2" xfId="4226" xr:uid="{00000000-0005-0000-0000-0000754E0000}"/>
    <cellStyle name="Separador de milhares 2 2 3 2 2" xfId="8860" xr:uid="{00000000-0005-0000-0000-0000764E0000}"/>
    <cellStyle name="Separador de milhares 2 2 3 2 2 2" xfId="17612" xr:uid="{00000000-0005-0000-0000-0000774E0000}"/>
    <cellStyle name="Separador de milhares 2 2 3 2 3" xfId="12072" xr:uid="{00000000-0005-0000-0000-0000784E0000}"/>
    <cellStyle name="Separador de milhares 2 2 3 2 3 2" xfId="20759" xr:uid="{00000000-0005-0000-0000-0000794E0000}"/>
    <cellStyle name="Separador de milhares 2 2 3 2 4" xfId="13678" xr:uid="{00000000-0005-0000-0000-00007A4E0000}"/>
    <cellStyle name="Separador de milhares 2 2 3 2 4 2" xfId="22358" xr:uid="{00000000-0005-0000-0000-00007B4E0000}"/>
    <cellStyle name="Separador de milhares 2 2 3 2 5" xfId="15883" xr:uid="{00000000-0005-0000-0000-00007C4E0000}"/>
    <cellStyle name="Separador de milhares 2 2 4" xfId="4227" xr:uid="{00000000-0005-0000-0000-00007D4E0000}"/>
    <cellStyle name="Separador de milhares 2 2 4 2" xfId="8861" xr:uid="{00000000-0005-0000-0000-00007E4E0000}"/>
    <cellStyle name="Separador de milhares 2 2 4 2 2" xfId="17613" xr:uid="{00000000-0005-0000-0000-00007F4E0000}"/>
    <cellStyle name="Separador de milhares 2 2 4 3" xfId="12073" xr:uid="{00000000-0005-0000-0000-0000804E0000}"/>
    <cellStyle name="Separador de milhares 2 2 4 3 2" xfId="20760" xr:uid="{00000000-0005-0000-0000-0000814E0000}"/>
    <cellStyle name="Separador de milhares 2 2 4 4" xfId="13679" xr:uid="{00000000-0005-0000-0000-0000824E0000}"/>
    <cellStyle name="Separador de milhares 2 2 4 4 2" xfId="22359" xr:uid="{00000000-0005-0000-0000-0000834E0000}"/>
    <cellStyle name="Separador de milhares 2 2 4 5" xfId="15884" xr:uid="{00000000-0005-0000-0000-0000844E0000}"/>
    <cellStyle name="Separador de milhares 2 2 5" xfId="4228" xr:uid="{00000000-0005-0000-0000-0000854E0000}"/>
    <cellStyle name="Separador de milhares 2 2 5 2" xfId="8862" xr:uid="{00000000-0005-0000-0000-0000864E0000}"/>
    <cellStyle name="Separador de milhares 2 2 5 2 2" xfId="17614" xr:uid="{00000000-0005-0000-0000-0000874E0000}"/>
    <cellStyle name="Separador de milhares 2 2 5 3" xfId="12074" xr:uid="{00000000-0005-0000-0000-0000884E0000}"/>
    <cellStyle name="Separador de milhares 2 2 5 3 2" xfId="20761" xr:uid="{00000000-0005-0000-0000-0000894E0000}"/>
    <cellStyle name="Separador de milhares 2 2 5 4" xfId="13680" xr:uid="{00000000-0005-0000-0000-00008A4E0000}"/>
    <cellStyle name="Separador de milhares 2 2 5 4 2" xfId="22360" xr:uid="{00000000-0005-0000-0000-00008B4E0000}"/>
    <cellStyle name="Separador de milhares 2 2 5 5" xfId="15885" xr:uid="{00000000-0005-0000-0000-00008C4E0000}"/>
    <cellStyle name="Separador de milhares 2 2 6" xfId="4221" xr:uid="{00000000-0005-0000-0000-00008D4E0000}"/>
    <cellStyle name="Separador de milhares 2 2 7" xfId="10607" xr:uid="{00000000-0005-0000-0000-00008E4E0000}"/>
    <cellStyle name="Separador de milhares 2 2 7 2" xfId="19310" xr:uid="{00000000-0005-0000-0000-00008F4E0000}"/>
    <cellStyle name="Separador de milhares 2 2 8" xfId="13917" xr:uid="{00000000-0005-0000-0000-0000904E0000}"/>
    <cellStyle name="Separador de milhares 2 2 9" xfId="14498" xr:uid="{00000000-0005-0000-0000-0000914E0000}"/>
    <cellStyle name="Separador de milhares 2 20" xfId="10602" xr:uid="{00000000-0005-0000-0000-0000924E0000}"/>
    <cellStyle name="Separador de milhares 2 20 2" xfId="19307" xr:uid="{00000000-0005-0000-0000-0000934E0000}"/>
    <cellStyle name="Separador de milhares 2 21" xfId="13672" xr:uid="{00000000-0005-0000-0000-0000944E0000}"/>
    <cellStyle name="Separador de milhares 2 21 2" xfId="22352" xr:uid="{00000000-0005-0000-0000-0000954E0000}"/>
    <cellStyle name="Separador de milhares 2 22" xfId="14129" xr:uid="{00000000-0005-0000-0000-0000964E0000}"/>
    <cellStyle name="Separador de milhares 2 3" xfId="115" xr:uid="{00000000-0005-0000-0000-0000974E0000}"/>
    <cellStyle name="Separador de milhares 2 3 2" xfId="4230" xr:uid="{00000000-0005-0000-0000-0000984E0000}"/>
    <cellStyle name="Separador de milhares 2 3 2 2" xfId="8863" xr:uid="{00000000-0005-0000-0000-0000994E0000}"/>
    <cellStyle name="Separador de milhares 2 3 2 2 2" xfId="17615" xr:uid="{00000000-0005-0000-0000-00009A4E0000}"/>
    <cellStyle name="Separador de milhares 2 3 2 3" xfId="12075" xr:uid="{00000000-0005-0000-0000-00009B4E0000}"/>
    <cellStyle name="Separador de milhares 2 3 2 3 2" xfId="20762" xr:uid="{00000000-0005-0000-0000-00009C4E0000}"/>
    <cellStyle name="Separador de milhares 2 3 2 4" xfId="13681" xr:uid="{00000000-0005-0000-0000-00009D4E0000}"/>
    <cellStyle name="Separador de milhares 2 3 2 4 2" xfId="22361" xr:uid="{00000000-0005-0000-0000-00009E4E0000}"/>
    <cellStyle name="Separador de milhares 2 3 2 5" xfId="15886" xr:uid="{00000000-0005-0000-0000-00009F4E0000}"/>
    <cellStyle name="Separador de milhares 2 3 3" xfId="4231" xr:uid="{00000000-0005-0000-0000-0000A04E0000}"/>
    <cellStyle name="Separador de milhares 2 3 3 2" xfId="8864" xr:uid="{00000000-0005-0000-0000-0000A14E0000}"/>
    <cellStyle name="Separador de milhares 2 3 3 2 2" xfId="17616" xr:uid="{00000000-0005-0000-0000-0000A24E0000}"/>
    <cellStyle name="Separador de milhares 2 3 3 3" xfId="12076" xr:uid="{00000000-0005-0000-0000-0000A34E0000}"/>
    <cellStyle name="Separador de milhares 2 3 3 3 2" xfId="20763" xr:uid="{00000000-0005-0000-0000-0000A44E0000}"/>
    <cellStyle name="Separador de milhares 2 3 3 4" xfId="13682" xr:uid="{00000000-0005-0000-0000-0000A54E0000}"/>
    <cellStyle name="Separador de milhares 2 3 3 4 2" xfId="22362" xr:uid="{00000000-0005-0000-0000-0000A64E0000}"/>
    <cellStyle name="Separador de milhares 2 3 3 5" xfId="15887" xr:uid="{00000000-0005-0000-0000-0000A74E0000}"/>
    <cellStyle name="Separador de milhares 2 3 4" xfId="4897" xr:uid="{00000000-0005-0000-0000-0000A84E0000}"/>
    <cellStyle name="Separador de milhares 2 3 4 2" xfId="10447" xr:uid="{00000000-0005-0000-0000-0000A94E0000}"/>
    <cellStyle name="Separador de milhares 2 3 4 2 2" xfId="19197" xr:uid="{00000000-0005-0000-0000-0000AA4E0000}"/>
    <cellStyle name="Separador de milhares 2 3 4 3" xfId="9033" xr:uid="{00000000-0005-0000-0000-0000AB4E0000}"/>
    <cellStyle name="Separador de milhares 2 3 4 3 2" xfId="17783" xr:uid="{00000000-0005-0000-0000-0000AC4E0000}"/>
    <cellStyle name="Separador de milhares 2 3 4 4" xfId="12238" xr:uid="{00000000-0005-0000-0000-0000AD4E0000}"/>
    <cellStyle name="Separador de milhares 2 3 4 4 2" xfId="20923" xr:uid="{00000000-0005-0000-0000-0000AE4E0000}"/>
    <cellStyle name="Separador de milhares 2 3 4 5" xfId="13847" xr:uid="{00000000-0005-0000-0000-0000AF4E0000}"/>
    <cellStyle name="Separador de milhares 2 3 4 5 2" xfId="22524" xr:uid="{00000000-0005-0000-0000-0000B04E0000}"/>
    <cellStyle name="Separador de milhares 2 3 4 6" xfId="16040" xr:uid="{00000000-0005-0000-0000-0000B14E0000}"/>
    <cellStyle name="Separador de milhares 2 3 5" xfId="4229" xr:uid="{00000000-0005-0000-0000-0000B24E0000}"/>
    <cellStyle name="Separador de milhares 2 3 6" xfId="10612" xr:uid="{00000000-0005-0000-0000-0000B34E0000}"/>
    <cellStyle name="Separador de milhares 2 3 6 2" xfId="19315" xr:uid="{00000000-0005-0000-0000-0000B44E0000}"/>
    <cellStyle name="Separador de milhares 2 3 7" xfId="13985" xr:uid="{00000000-0005-0000-0000-0000B54E0000}"/>
    <cellStyle name="Separador de milhares 2 4" xfId="97" xr:uid="{00000000-0005-0000-0000-0000B64E0000}"/>
    <cellStyle name="Separador de milhares 2 4 2" xfId="4233" xr:uid="{00000000-0005-0000-0000-0000B74E0000}"/>
    <cellStyle name="Separador de milhares 2 4 2 2" xfId="8866" xr:uid="{00000000-0005-0000-0000-0000B84E0000}"/>
    <cellStyle name="Separador de milhares 2 4 2 2 2" xfId="17618" xr:uid="{00000000-0005-0000-0000-0000B94E0000}"/>
    <cellStyle name="Separador de milhares 2 4 2 3" xfId="12078" xr:uid="{00000000-0005-0000-0000-0000BA4E0000}"/>
    <cellStyle name="Separador de milhares 2 4 2 3 2" xfId="20765" xr:uid="{00000000-0005-0000-0000-0000BB4E0000}"/>
    <cellStyle name="Separador de milhares 2 4 2 4" xfId="13684" xr:uid="{00000000-0005-0000-0000-0000BC4E0000}"/>
    <cellStyle name="Separador de milhares 2 4 2 4 2" xfId="22364" xr:uid="{00000000-0005-0000-0000-0000BD4E0000}"/>
    <cellStyle name="Separador de milhares 2 4 2 5" xfId="15889" xr:uid="{00000000-0005-0000-0000-0000BE4E0000}"/>
    <cellStyle name="Separador de milhares 2 4 3" xfId="4234" xr:uid="{00000000-0005-0000-0000-0000BF4E0000}"/>
    <cellStyle name="Separador de milhares 2 4 3 2" xfId="8867" xr:uid="{00000000-0005-0000-0000-0000C04E0000}"/>
    <cellStyle name="Separador de milhares 2 4 3 2 2" xfId="17619" xr:uid="{00000000-0005-0000-0000-0000C14E0000}"/>
    <cellStyle name="Separador de milhares 2 4 3 3" xfId="12079" xr:uid="{00000000-0005-0000-0000-0000C24E0000}"/>
    <cellStyle name="Separador de milhares 2 4 3 3 2" xfId="20766" xr:uid="{00000000-0005-0000-0000-0000C34E0000}"/>
    <cellStyle name="Separador de milhares 2 4 3 4" xfId="13685" xr:uid="{00000000-0005-0000-0000-0000C44E0000}"/>
    <cellStyle name="Separador de milhares 2 4 3 4 2" xfId="22365" xr:uid="{00000000-0005-0000-0000-0000C54E0000}"/>
    <cellStyle name="Separador de milhares 2 4 3 5" xfId="15890" xr:uid="{00000000-0005-0000-0000-0000C64E0000}"/>
    <cellStyle name="Separador de milhares 2 4 4" xfId="4232" xr:uid="{00000000-0005-0000-0000-0000C74E0000}"/>
    <cellStyle name="Separador de milhares 2 4 4 2" xfId="10414" xr:uid="{00000000-0005-0000-0000-0000C84E0000}"/>
    <cellStyle name="Separador de milhares 2 4 4 2 2" xfId="19164" xr:uid="{00000000-0005-0000-0000-0000C94E0000}"/>
    <cellStyle name="Separador de milhares 2 4 4 3" xfId="12077" xr:uid="{00000000-0005-0000-0000-0000CA4E0000}"/>
    <cellStyle name="Separador de milhares 2 4 4 3 2" xfId="20764" xr:uid="{00000000-0005-0000-0000-0000CB4E0000}"/>
    <cellStyle name="Separador de milhares 2 4 4 4" xfId="15888" xr:uid="{00000000-0005-0000-0000-0000CC4E0000}"/>
    <cellStyle name="Separador de milhares 2 4 5" xfId="8865" xr:uid="{00000000-0005-0000-0000-0000CD4E0000}"/>
    <cellStyle name="Separador de milhares 2 4 5 2" xfId="17617" xr:uid="{00000000-0005-0000-0000-0000CE4E0000}"/>
    <cellStyle name="Separador de milhares 2 4 6" xfId="10609" xr:uid="{00000000-0005-0000-0000-0000CF4E0000}"/>
    <cellStyle name="Separador de milhares 2 4 6 2" xfId="19312" xr:uid="{00000000-0005-0000-0000-0000D04E0000}"/>
    <cellStyle name="Separador de milhares 2 4 7" xfId="13683" xr:uid="{00000000-0005-0000-0000-0000D14E0000}"/>
    <cellStyle name="Separador de milhares 2 4 7 2" xfId="22363" xr:uid="{00000000-0005-0000-0000-0000D24E0000}"/>
    <cellStyle name="Separador de milhares 2 4 8" xfId="13954" xr:uid="{00000000-0005-0000-0000-0000D34E0000}"/>
    <cellStyle name="Separador de milhares 2 5" xfId="4235" xr:uid="{00000000-0005-0000-0000-0000D44E0000}"/>
    <cellStyle name="Separador de milhares 2 5 2" xfId="4236" xr:uid="{00000000-0005-0000-0000-0000D54E0000}"/>
    <cellStyle name="Separador de milhares 2 5 2 2" xfId="8869" xr:uid="{00000000-0005-0000-0000-0000D64E0000}"/>
    <cellStyle name="Separador de milhares 2 5 2 2 2" xfId="17621" xr:uid="{00000000-0005-0000-0000-0000D74E0000}"/>
    <cellStyle name="Separador de milhares 2 5 2 3" xfId="12081" xr:uid="{00000000-0005-0000-0000-0000D84E0000}"/>
    <cellStyle name="Separador de milhares 2 5 2 3 2" xfId="20768" xr:uid="{00000000-0005-0000-0000-0000D94E0000}"/>
    <cellStyle name="Separador de milhares 2 5 2 4" xfId="13687" xr:uid="{00000000-0005-0000-0000-0000DA4E0000}"/>
    <cellStyle name="Separador de milhares 2 5 2 4 2" xfId="22367" xr:uid="{00000000-0005-0000-0000-0000DB4E0000}"/>
    <cellStyle name="Separador de milhares 2 5 2 5" xfId="15891" xr:uid="{00000000-0005-0000-0000-0000DC4E0000}"/>
    <cellStyle name="Separador de milhares 2 5 3" xfId="8868" xr:uid="{00000000-0005-0000-0000-0000DD4E0000}"/>
    <cellStyle name="Separador de milhares 2 5 3 2" xfId="17620" xr:uid="{00000000-0005-0000-0000-0000DE4E0000}"/>
    <cellStyle name="Separador de milhares 2 5 4" xfId="12080" xr:uid="{00000000-0005-0000-0000-0000DF4E0000}"/>
    <cellStyle name="Separador de milhares 2 5 4 2" xfId="20767" xr:uid="{00000000-0005-0000-0000-0000E04E0000}"/>
    <cellStyle name="Separador de milhares 2 5 5" xfId="13686" xr:uid="{00000000-0005-0000-0000-0000E14E0000}"/>
    <cellStyle name="Separador de milhares 2 5 5 2" xfId="22366" xr:uid="{00000000-0005-0000-0000-0000E24E0000}"/>
    <cellStyle name="Separador de milhares 2 5 6" xfId="13993" xr:uid="{00000000-0005-0000-0000-0000E34E0000}"/>
    <cellStyle name="Separador de milhares 2 6" xfId="4237" xr:uid="{00000000-0005-0000-0000-0000E44E0000}"/>
    <cellStyle name="Separador de milhares 2 6 2" xfId="4238" xr:uid="{00000000-0005-0000-0000-0000E54E0000}"/>
    <cellStyle name="Separador de milhares 2 6 2 2" xfId="8871" xr:uid="{00000000-0005-0000-0000-0000E64E0000}"/>
    <cellStyle name="Separador de milhares 2 6 2 2 2" xfId="17623" xr:uid="{00000000-0005-0000-0000-0000E74E0000}"/>
    <cellStyle name="Separador de milhares 2 6 2 3" xfId="12083" xr:uid="{00000000-0005-0000-0000-0000E84E0000}"/>
    <cellStyle name="Separador de milhares 2 6 2 3 2" xfId="20770" xr:uid="{00000000-0005-0000-0000-0000E94E0000}"/>
    <cellStyle name="Separador de milhares 2 6 2 4" xfId="13689" xr:uid="{00000000-0005-0000-0000-0000EA4E0000}"/>
    <cellStyle name="Separador de milhares 2 6 2 4 2" xfId="22369" xr:uid="{00000000-0005-0000-0000-0000EB4E0000}"/>
    <cellStyle name="Separador de milhares 2 6 2 5" xfId="15892" xr:uid="{00000000-0005-0000-0000-0000EC4E0000}"/>
    <cellStyle name="Separador de milhares 2 6 3" xfId="8870" xr:uid="{00000000-0005-0000-0000-0000ED4E0000}"/>
    <cellStyle name="Separador de milhares 2 6 3 2" xfId="17622" xr:uid="{00000000-0005-0000-0000-0000EE4E0000}"/>
    <cellStyle name="Separador de milhares 2 6 4" xfId="12082" xr:uid="{00000000-0005-0000-0000-0000EF4E0000}"/>
    <cellStyle name="Separador de milhares 2 6 4 2" xfId="20769" xr:uid="{00000000-0005-0000-0000-0000F04E0000}"/>
    <cellStyle name="Separador de milhares 2 6 5" xfId="13688" xr:uid="{00000000-0005-0000-0000-0000F14E0000}"/>
    <cellStyle name="Separador de milhares 2 6 5 2" xfId="22368" xr:uid="{00000000-0005-0000-0000-0000F24E0000}"/>
    <cellStyle name="Separador de milhares 2 6 6" xfId="13858" xr:uid="{00000000-0005-0000-0000-0000F34E0000}"/>
    <cellStyle name="Separador de milhares 2 7" xfId="4239" xr:uid="{00000000-0005-0000-0000-0000F44E0000}"/>
    <cellStyle name="Separador de milhares 2 7 2" xfId="4240" xr:uid="{00000000-0005-0000-0000-0000F54E0000}"/>
    <cellStyle name="Separador de milhares 2 7 2 2" xfId="8873" xr:uid="{00000000-0005-0000-0000-0000F64E0000}"/>
    <cellStyle name="Separador de milhares 2 7 2 2 2" xfId="17625" xr:uid="{00000000-0005-0000-0000-0000F74E0000}"/>
    <cellStyle name="Separador de milhares 2 7 2 3" xfId="12085" xr:uid="{00000000-0005-0000-0000-0000F84E0000}"/>
    <cellStyle name="Separador de milhares 2 7 2 3 2" xfId="20772" xr:uid="{00000000-0005-0000-0000-0000F94E0000}"/>
    <cellStyle name="Separador de milhares 2 7 2 4" xfId="13691" xr:uid="{00000000-0005-0000-0000-0000FA4E0000}"/>
    <cellStyle name="Separador de milhares 2 7 2 4 2" xfId="22371" xr:uid="{00000000-0005-0000-0000-0000FB4E0000}"/>
    <cellStyle name="Separador de milhares 2 7 2 5" xfId="15893" xr:uid="{00000000-0005-0000-0000-0000FC4E0000}"/>
    <cellStyle name="Separador de milhares 2 7 3" xfId="8872" xr:uid="{00000000-0005-0000-0000-0000FD4E0000}"/>
    <cellStyle name="Separador de milhares 2 7 3 2" xfId="17624" xr:uid="{00000000-0005-0000-0000-0000FE4E0000}"/>
    <cellStyle name="Separador de milhares 2 7 4" xfId="12084" xr:uid="{00000000-0005-0000-0000-0000FF4E0000}"/>
    <cellStyle name="Separador de milhares 2 7 4 2" xfId="20771" xr:uid="{00000000-0005-0000-0000-0000004F0000}"/>
    <cellStyle name="Separador de milhares 2 7 5" xfId="13690" xr:uid="{00000000-0005-0000-0000-0000014F0000}"/>
    <cellStyle name="Separador de milhares 2 7 5 2" xfId="22370" xr:uid="{00000000-0005-0000-0000-0000024F0000}"/>
    <cellStyle name="Separador de milhares 2 7 6" xfId="14004" xr:uid="{00000000-0005-0000-0000-0000034F0000}"/>
    <cellStyle name="Separador de milhares 2 8" xfId="4241" xr:uid="{00000000-0005-0000-0000-0000044F0000}"/>
    <cellStyle name="Separador de milhares 2 8 2" xfId="4242" xr:uid="{00000000-0005-0000-0000-0000054F0000}"/>
    <cellStyle name="Separador de milhares 2 8 2 2" xfId="8875" xr:uid="{00000000-0005-0000-0000-0000064F0000}"/>
    <cellStyle name="Separador de milhares 2 8 2 2 2" xfId="17627" xr:uid="{00000000-0005-0000-0000-0000074F0000}"/>
    <cellStyle name="Separador de milhares 2 8 2 3" xfId="12087" xr:uid="{00000000-0005-0000-0000-0000084F0000}"/>
    <cellStyle name="Separador de milhares 2 8 2 3 2" xfId="20774" xr:uid="{00000000-0005-0000-0000-0000094F0000}"/>
    <cellStyle name="Separador de milhares 2 8 2 4" xfId="13693" xr:uid="{00000000-0005-0000-0000-00000A4F0000}"/>
    <cellStyle name="Separador de milhares 2 8 2 4 2" xfId="22373" xr:uid="{00000000-0005-0000-0000-00000B4F0000}"/>
    <cellStyle name="Separador de milhares 2 8 2 5" xfId="15894" xr:uid="{00000000-0005-0000-0000-00000C4F0000}"/>
    <cellStyle name="Separador de milhares 2 8 3" xfId="8874" xr:uid="{00000000-0005-0000-0000-00000D4F0000}"/>
    <cellStyle name="Separador de milhares 2 8 3 2" xfId="17626" xr:uid="{00000000-0005-0000-0000-00000E4F0000}"/>
    <cellStyle name="Separador de milhares 2 8 4" xfId="12086" xr:uid="{00000000-0005-0000-0000-00000F4F0000}"/>
    <cellStyle name="Separador de milhares 2 8 4 2" xfId="20773" xr:uid="{00000000-0005-0000-0000-0000104F0000}"/>
    <cellStyle name="Separador de milhares 2 8 5" xfId="13692" xr:uid="{00000000-0005-0000-0000-0000114F0000}"/>
    <cellStyle name="Separador de milhares 2 8 5 2" xfId="22372" xr:uid="{00000000-0005-0000-0000-0000124F0000}"/>
    <cellStyle name="Separador de milhares 2 8 6" xfId="14014" xr:uid="{00000000-0005-0000-0000-0000134F0000}"/>
    <cellStyle name="Separador de milhares 2 9" xfId="4243" xr:uid="{00000000-0005-0000-0000-0000144F0000}"/>
    <cellStyle name="Separador de milhares 2 9 2" xfId="4244" xr:uid="{00000000-0005-0000-0000-0000154F0000}"/>
    <cellStyle name="Separador de milhares 2 9 2 2" xfId="8877" xr:uid="{00000000-0005-0000-0000-0000164F0000}"/>
    <cellStyle name="Separador de milhares 2 9 2 2 2" xfId="17629" xr:uid="{00000000-0005-0000-0000-0000174F0000}"/>
    <cellStyle name="Separador de milhares 2 9 2 3" xfId="12089" xr:uid="{00000000-0005-0000-0000-0000184F0000}"/>
    <cellStyle name="Separador de milhares 2 9 2 3 2" xfId="20776" xr:uid="{00000000-0005-0000-0000-0000194F0000}"/>
    <cellStyle name="Separador de milhares 2 9 2 4" xfId="13695" xr:uid="{00000000-0005-0000-0000-00001A4F0000}"/>
    <cellStyle name="Separador de milhares 2 9 2 4 2" xfId="22375" xr:uid="{00000000-0005-0000-0000-00001B4F0000}"/>
    <cellStyle name="Separador de milhares 2 9 2 5" xfId="15895" xr:uid="{00000000-0005-0000-0000-00001C4F0000}"/>
    <cellStyle name="Separador de milhares 2 9 3" xfId="8876" xr:uid="{00000000-0005-0000-0000-00001D4F0000}"/>
    <cellStyle name="Separador de milhares 2 9 3 2" xfId="17628" xr:uid="{00000000-0005-0000-0000-00001E4F0000}"/>
    <cellStyle name="Separador de milhares 2 9 4" xfId="12088" xr:uid="{00000000-0005-0000-0000-00001F4F0000}"/>
    <cellStyle name="Separador de milhares 2 9 4 2" xfId="20775" xr:uid="{00000000-0005-0000-0000-0000204F0000}"/>
    <cellStyle name="Separador de milhares 2 9 5" xfId="13694" xr:uid="{00000000-0005-0000-0000-0000214F0000}"/>
    <cellStyle name="Separador de milhares 2 9 5 2" xfId="22374" xr:uid="{00000000-0005-0000-0000-0000224F0000}"/>
    <cellStyle name="Separador de milhares 2 9 6" xfId="14022" xr:uid="{00000000-0005-0000-0000-0000234F0000}"/>
    <cellStyle name="Separador de milhares 20" xfId="4245" xr:uid="{00000000-0005-0000-0000-0000244F0000}"/>
    <cellStyle name="Separador de milhares 20 2" xfId="4246" xr:uid="{00000000-0005-0000-0000-0000254F0000}"/>
    <cellStyle name="Separador de milhares 20 2 2" xfId="8879" xr:uid="{00000000-0005-0000-0000-0000264F0000}"/>
    <cellStyle name="Separador de milhares 20 2 2 2" xfId="17631" xr:uid="{00000000-0005-0000-0000-0000274F0000}"/>
    <cellStyle name="Separador de milhares 20 2 3" xfId="12091" xr:uid="{00000000-0005-0000-0000-0000284F0000}"/>
    <cellStyle name="Separador de milhares 20 2 3 2" xfId="20778" xr:uid="{00000000-0005-0000-0000-0000294F0000}"/>
    <cellStyle name="Separador de milhares 20 2 4" xfId="13697" xr:uid="{00000000-0005-0000-0000-00002A4F0000}"/>
    <cellStyle name="Separador de milhares 20 2 4 2" xfId="22377" xr:uid="{00000000-0005-0000-0000-00002B4F0000}"/>
    <cellStyle name="Separador de milhares 20 2 5" xfId="15897" xr:uid="{00000000-0005-0000-0000-00002C4F0000}"/>
    <cellStyle name="Separador de milhares 20 3" xfId="4247" xr:uid="{00000000-0005-0000-0000-00002D4F0000}"/>
    <cellStyle name="Separador de milhares 20 3 2" xfId="8880" xr:uid="{00000000-0005-0000-0000-00002E4F0000}"/>
    <cellStyle name="Separador de milhares 20 3 2 2" xfId="17632" xr:uid="{00000000-0005-0000-0000-00002F4F0000}"/>
    <cellStyle name="Separador de milhares 20 3 3" xfId="12092" xr:uid="{00000000-0005-0000-0000-0000304F0000}"/>
    <cellStyle name="Separador de milhares 20 3 3 2" xfId="20779" xr:uid="{00000000-0005-0000-0000-0000314F0000}"/>
    <cellStyle name="Separador de milhares 20 3 4" xfId="13698" xr:uid="{00000000-0005-0000-0000-0000324F0000}"/>
    <cellStyle name="Separador de milhares 20 3 4 2" xfId="22378" xr:uid="{00000000-0005-0000-0000-0000334F0000}"/>
    <cellStyle name="Separador de milhares 20 3 5" xfId="15898" xr:uid="{00000000-0005-0000-0000-0000344F0000}"/>
    <cellStyle name="Separador de milhares 20 4" xfId="8878" xr:uid="{00000000-0005-0000-0000-0000354F0000}"/>
    <cellStyle name="Separador de milhares 20 4 2" xfId="17630" xr:uid="{00000000-0005-0000-0000-0000364F0000}"/>
    <cellStyle name="Separador de milhares 20 5" xfId="12090" xr:uid="{00000000-0005-0000-0000-0000374F0000}"/>
    <cellStyle name="Separador de milhares 20 5 2" xfId="20777" xr:uid="{00000000-0005-0000-0000-0000384F0000}"/>
    <cellStyle name="Separador de milhares 20 6" xfId="13696" xr:uid="{00000000-0005-0000-0000-0000394F0000}"/>
    <cellStyle name="Separador de milhares 20 6 2" xfId="22376" xr:uid="{00000000-0005-0000-0000-00003A4F0000}"/>
    <cellStyle name="Separador de milhares 20 7" xfId="15896" xr:uid="{00000000-0005-0000-0000-00003B4F0000}"/>
    <cellStyle name="Separador de milhares 3" xfId="91" xr:uid="{00000000-0005-0000-0000-00003C4F0000}"/>
    <cellStyle name="Separador de milhares 3 10" xfId="13918" xr:uid="{00000000-0005-0000-0000-00003D4F0000}"/>
    <cellStyle name="Separador de milhares 3 2" xfId="94" xr:uid="{00000000-0005-0000-0000-00003E4F0000}"/>
    <cellStyle name="Separador de milhares 3 2 2" xfId="4248" xr:uid="{00000000-0005-0000-0000-00003F4F0000}"/>
    <cellStyle name="Separador de milhares 3 2 2 2" xfId="7017" xr:uid="{00000000-0005-0000-0000-0000404F0000}"/>
    <cellStyle name="Separador de milhares 3 2 2 2 2" xfId="16161" xr:uid="{00000000-0005-0000-0000-0000414F0000}"/>
    <cellStyle name="Separador de milhares 3 2 2 3" xfId="8883" xr:uid="{00000000-0005-0000-0000-0000424F0000}"/>
    <cellStyle name="Separador de milhares 3 2 2 3 2" xfId="17635" xr:uid="{00000000-0005-0000-0000-0000434F0000}"/>
    <cellStyle name="Separador de milhares 3 2 2 4" xfId="12093" xr:uid="{00000000-0005-0000-0000-0000444F0000}"/>
    <cellStyle name="Separador de milhares 3 2 2 4 2" xfId="20780" xr:uid="{00000000-0005-0000-0000-0000454F0000}"/>
    <cellStyle name="Separador de milhares 3 2 2 5" xfId="13701" xr:uid="{00000000-0005-0000-0000-0000464F0000}"/>
    <cellStyle name="Separador de milhares 3 2 2 5 2" xfId="22381" xr:uid="{00000000-0005-0000-0000-0000474F0000}"/>
    <cellStyle name="Separador de milhares 3 2 2 6" xfId="14623" xr:uid="{00000000-0005-0000-0000-0000484F0000}"/>
    <cellStyle name="Separador de milhares 3 2 2 7" xfId="15899" xr:uid="{00000000-0005-0000-0000-0000494F0000}"/>
    <cellStyle name="Separador de milhares 3 2 3" xfId="4910" xr:uid="{00000000-0005-0000-0000-00004A4F0000}"/>
    <cellStyle name="Separador de milhares 3 2 3 2" xfId="10451" xr:uid="{00000000-0005-0000-0000-00004B4F0000}"/>
    <cellStyle name="Separador de milhares 3 2 3 2 2" xfId="19201" xr:uid="{00000000-0005-0000-0000-00004C4F0000}"/>
    <cellStyle name="Separador de milhares 3 2 3 3" xfId="9039" xr:uid="{00000000-0005-0000-0000-00004D4F0000}"/>
    <cellStyle name="Separador de milhares 3 2 3 3 2" xfId="17789" xr:uid="{00000000-0005-0000-0000-00004E4F0000}"/>
    <cellStyle name="Separador de milhares 3 2 3 4" xfId="12244" xr:uid="{00000000-0005-0000-0000-00004F4F0000}"/>
    <cellStyle name="Separador de milhares 3 2 3 4 2" xfId="20929" xr:uid="{00000000-0005-0000-0000-0000504F0000}"/>
    <cellStyle name="Separador de milhares 3 2 3 5" xfId="13853" xr:uid="{00000000-0005-0000-0000-0000514F0000}"/>
    <cellStyle name="Separador de milhares 3 2 3 5 2" xfId="22530" xr:uid="{00000000-0005-0000-0000-0000524F0000}"/>
    <cellStyle name="Separador de milhares 3 2 3 6" xfId="16046" xr:uid="{00000000-0005-0000-0000-0000534F0000}"/>
    <cellStyle name="Separador de milhares 3 2 4" xfId="8882" xr:uid="{00000000-0005-0000-0000-0000544F0000}"/>
    <cellStyle name="Separador de milhares 3 2 4 2" xfId="17634" xr:uid="{00000000-0005-0000-0000-0000554F0000}"/>
    <cellStyle name="Separador de milhares 3 2 5" xfId="10606" xr:uid="{00000000-0005-0000-0000-0000564F0000}"/>
    <cellStyle name="Separador de milhares 3 2 5 2" xfId="19309" xr:uid="{00000000-0005-0000-0000-0000574F0000}"/>
    <cellStyle name="Separador de milhares 3 2 6" xfId="13700" xr:uid="{00000000-0005-0000-0000-0000584F0000}"/>
    <cellStyle name="Separador de milhares 3 2 6 2" xfId="22380" xr:uid="{00000000-0005-0000-0000-0000594F0000}"/>
    <cellStyle name="Separador de milhares 3 2 7" xfId="13919" xr:uid="{00000000-0005-0000-0000-00005A4F0000}"/>
    <cellStyle name="Separador de milhares 3 3" xfId="4249" xr:uid="{00000000-0005-0000-0000-00005B4F0000}"/>
    <cellStyle name="Separador de milhares 3 3 2" xfId="4250" xr:uid="{00000000-0005-0000-0000-00005C4F0000}"/>
    <cellStyle name="Separador de milhares 3 3 2 2" xfId="8885" xr:uid="{00000000-0005-0000-0000-00005D4F0000}"/>
    <cellStyle name="Separador de milhares 3 3 2 2 2" xfId="17637" xr:uid="{00000000-0005-0000-0000-00005E4F0000}"/>
    <cellStyle name="Separador de milhares 3 3 2 3" xfId="12095" xr:uid="{00000000-0005-0000-0000-00005F4F0000}"/>
    <cellStyle name="Separador de milhares 3 3 2 3 2" xfId="20782" xr:uid="{00000000-0005-0000-0000-0000604F0000}"/>
    <cellStyle name="Separador de milhares 3 3 2 4" xfId="13703" xr:uid="{00000000-0005-0000-0000-0000614F0000}"/>
    <cellStyle name="Separador de milhares 3 3 2 4 2" xfId="22383" xr:uid="{00000000-0005-0000-0000-0000624F0000}"/>
    <cellStyle name="Separador de milhares 3 3 2 5" xfId="15900" xr:uid="{00000000-0005-0000-0000-0000634F0000}"/>
    <cellStyle name="Separador de milhares 3 3 3" xfId="4251" xr:uid="{00000000-0005-0000-0000-0000644F0000}"/>
    <cellStyle name="Separador de milhares 3 3 3 2" xfId="8886" xr:uid="{00000000-0005-0000-0000-0000654F0000}"/>
    <cellStyle name="Separador de milhares 3 3 3 2 2" xfId="17638" xr:uid="{00000000-0005-0000-0000-0000664F0000}"/>
    <cellStyle name="Separador de milhares 3 3 3 3" xfId="12096" xr:uid="{00000000-0005-0000-0000-0000674F0000}"/>
    <cellStyle name="Separador de milhares 3 3 3 3 2" xfId="20783" xr:uid="{00000000-0005-0000-0000-0000684F0000}"/>
    <cellStyle name="Separador de milhares 3 3 3 4" xfId="13704" xr:uid="{00000000-0005-0000-0000-0000694F0000}"/>
    <cellStyle name="Separador de milhares 3 3 3 4 2" xfId="22384" xr:uid="{00000000-0005-0000-0000-00006A4F0000}"/>
    <cellStyle name="Separador de milhares 3 3 3 5" xfId="15901" xr:uid="{00000000-0005-0000-0000-00006B4F0000}"/>
    <cellStyle name="Separador de milhares 3 3 4" xfId="4252" xr:uid="{00000000-0005-0000-0000-00006C4F0000}"/>
    <cellStyle name="Separador de milhares 3 3 4 2" xfId="8887" xr:uid="{00000000-0005-0000-0000-00006D4F0000}"/>
    <cellStyle name="Separador de milhares 3 3 4 2 2" xfId="17639" xr:uid="{00000000-0005-0000-0000-00006E4F0000}"/>
    <cellStyle name="Separador de milhares 3 3 4 3" xfId="12097" xr:uid="{00000000-0005-0000-0000-00006F4F0000}"/>
    <cellStyle name="Separador de milhares 3 3 4 3 2" xfId="20784" xr:uid="{00000000-0005-0000-0000-0000704F0000}"/>
    <cellStyle name="Separador de milhares 3 3 4 4" xfId="13705" xr:uid="{00000000-0005-0000-0000-0000714F0000}"/>
    <cellStyle name="Separador de milhares 3 3 4 4 2" xfId="22385" xr:uid="{00000000-0005-0000-0000-0000724F0000}"/>
    <cellStyle name="Separador de milhares 3 3 4 5" xfId="15902" xr:uid="{00000000-0005-0000-0000-0000734F0000}"/>
    <cellStyle name="Separador de milhares 3 3 5" xfId="8884" xr:uid="{00000000-0005-0000-0000-0000744F0000}"/>
    <cellStyle name="Separador de milhares 3 3 5 2" xfId="17636" xr:uid="{00000000-0005-0000-0000-0000754F0000}"/>
    <cellStyle name="Separador de milhares 3 3 6" xfId="12094" xr:uid="{00000000-0005-0000-0000-0000764F0000}"/>
    <cellStyle name="Separador de milhares 3 3 6 2" xfId="20781" xr:uid="{00000000-0005-0000-0000-0000774F0000}"/>
    <cellStyle name="Separador de milhares 3 3 7" xfId="13702" xr:uid="{00000000-0005-0000-0000-0000784F0000}"/>
    <cellStyle name="Separador de milhares 3 3 7 2" xfId="22382" xr:uid="{00000000-0005-0000-0000-0000794F0000}"/>
    <cellStyle name="Separador de milhares 3 3 8" xfId="13920" xr:uid="{00000000-0005-0000-0000-00007A4F0000}"/>
    <cellStyle name="Separador de milhares 3 4" xfId="4253" xr:uid="{00000000-0005-0000-0000-00007B4F0000}"/>
    <cellStyle name="Separador de milhares 3 4 2" xfId="4254" xr:uid="{00000000-0005-0000-0000-00007C4F0000}"/>
    <cellStyle name="Separador de milhares 3 4 2 2" xfId="8888" xr:uid="{00000000-0005-0000-0000-00007D4F0000}"/>
    <cellStyle name="Separador de milhares 3 4 2 2 2" xfId="17640" xr:uid="{00000000-0005-0000-0000-00007E4F0000}"/>
    <cellStyle name="Separador de milhares 3 4 2 3" xfId="12098" xr:uid="{00000000-0005-0000-0000-00007F4F0000}"/>
    <cellStyle name="Separador de milhares 3 4 2 3 2" xfId="20785" xr:uid="{00000000-0005-0000-0000-0000804F0000}"/>
    <cellStyle name="Separador de milhares 3 4 2 4" xfId="13706" xr:uid="{00000000-0005-0000-0000-0000814F0000}"/>
    <cellStyle name="Separador de milhares 3 4 2 4 2" xfId="22386" xr:uid="{00000000-0005-0000-0000-0000824F0000}"/>
    <cellStyle name="Separador de milhares 3 4 2 5" xfId="15903" xr:uid="{00000000-0005-0000-0000-0000834F0000}"/>
    <cellStyle name="Separador de milhares 3 4 3" xfId="5813" xr:uid="{00000000-0005-0000-0000-0000844F0000}"/>
    <cellStyle name="Separador de milhares 3 4 3 2" xfId="16110" xr:uid="{00000000-0005-0000-0000-0000854F0000}"/>
    <cellStyle name="Separador de milhares 3 4 4" xfId="14146" xr:uid="{00000000-0005-0000-0000-0000864F0000}"/>
    <cellStyle name="Separador de milhares 3 5" xfId="4255" xr:uid="{00000000-0005-0000-0000-0000874F0000}"/>
    <cellStyle name="Separador de milhares 3 5 2" xfId="8889" xr:uid="{00000000-0005-0000-0000-0000884F0000}"/>
    <cellStyle name="Separador de milhares 3 5 2 2" xfId="17641" xr:uid="{00000000-0005-0000-0000-0000894F0000}"/>
    <cellStyle name="Separador de milhares 3 5 3" xfId="12099" xr:uid="{00000000-0005-0000-0000-00008A4F0000}"/>
    <cellStyle name="Separador de milhares 3 5 3 2" xfId="20786" xr:uid="{00000000-0005-0000-0000-00008B4F0000}"/>
    <cellStyle name="Separador de milhares 3 5 4" xfId="13707" xr:uid="{00000000-0005-0000-0000-00008C4F0000}"/>
    <cellStyle name="Separador de milhares 3 5 4 2" xfId="22387" xr:uid="{00000000-0005-0000-0000-00008D4F0000}"/>
    <cellStyle name="Separador de milhares 3 5 5" xfId="15904" xr:uid="{00000000-0005-0000-0000-00008E4F0000}"/>
    <cellStyle name="Separador de milhares 3 6" xfId="4256" xr:uid="{00000000-0005-0000-0000-00008F4F0000}"/>
    <cellStyle name="Separador de milhares 3 6 2" xfId="8890" xr:uid="{00000000-0005-0000-0000-0000904F0000}"/>
    <cellStyle name="Separador de milhares 3 6 2 2" xfId="17642" xr:uid="{00000000-0005-0000-0000-0000914F0000}"/>
    <cellStyle name="Separador de milhares 3 6 3" xfId="12100" xr:uid="{00000000-0005-0000-0000-0000924F0000}"/>
    <cellStyle name="Separador de milhares 3 6 3 2" xfId="20787" xr:uid="{00000000-0005-0000-0000-0000934F0000}"/>
    <cellStyle name="Separador de milhares 3 6 4" xfId="13708" xr:uid="{00000000-0005-0000-0000-0000944F0000}"/>
    <cellStyle name="Separador de milhares 3 6 4 2" xfId="22388" xr:uid="{00000000-0005-0000-0000-0000954F0000}"/>
    <cellStyle name="Separador de milhares 3 6 5" xfId="15905" xr:uid="{00000000-0005-0000-0000-0000964F0000}"/>
    <cellStyle name="Separador de milhares 3 7" xfId="4257" xr:uid="{00000000-0005-0000-0000-0000974F0000}"/>
    <cellStyle name="Separador de milhares 3 7 2" xfId="8891" xr:uid="{00000000-0005-0000-0000-0000984F0000}"/>
    <cellStyle name="Separador de milhares 3 7 2 2" xfId="17643" xr:uid="{00000000-0005-0000-0000-0000994F0000}"/>
    <cellStyle name="Separador de milhares 3 7 3" xfId="12101" xr:uid="{00000000-0005-0000-0000-00009A4F0000}"/>
    <cellStyle name="Separador de milhares 3 7 3 2" xfId="20788" xr:uid="{00000000-0005-0000-0000-00009B4F0000}"/>
    <cellStyle name="Separador de milhares 3 7 4" xfId="13709" xr:uid="{00000000-0005-0000-0000-00009C4F0000}"/>
    <cellStyle name="Separador de milhares 3 7 4 2" xfId="22389" xr:uid="{00000000-0005-0000-0000-00009D4F0000}"/>
    <cellStyle name="Separador de milhares 3 7 5" xfId="15906" xr:uid="{00000000-0005-0000-0000-00009E4F0000}"/>
    <cellStyle name="Separador de milhares 3 8" xfId="8881" xr:uid="{00000000-0005-0000-0000-00009F4F0000}"/>
    <cellStyle name="Separador de milhares 3 8 2" xfId="17633" xr:uid="{00000000-0005-0000-0000-0000A04F0000}"/>
    <cellStyle name="Separador de milhares 3 9" xfId="13699" xr:uid="{00000000-0005-0000-0000-0000A14F0000}"/>
    <cellStyle name="Separador de milhares 3 9 2" xfId="22379" xr:uid="{00000000-0005-0000-0000-0000A24F0000}"/>
    <cellStyle name="Separador de milhares 3_Anápolis" xfId="4258" xr:uid="{00000000-0005-0000-0000-0000A34F0000}"/>
    <cellStyle name="Separador de milhares 32" xfId="4259" xr:uid="{00000000-0005-0000-0000-0000A44F0000}"/>
    <cellStyle name="Separador de milhares 32 2" xfId="8892" xr:uid="{00000000-0005-0000-0000-0000A54F0000}"/>
    <cellStyle name="Separador de milhares 32 2 2" xfId="17644" xr:uid="{00000000-0005-0000-0000-0000A64F0000}"/>
    <cellStyle name="Separador de milhares 32 3" xfId="12102" xr:uid="{00000000-0005-0000-0000-0000A74F0000}"/>
    <cellStyle name="Separador de milhares 32 3 2" xfId="20789" xr:uid="{00000000-0005-0000-0000-0000A84F0000}"/>
    <cellStyle name="Separador de milhares 32 4" xfId="13710" xr:uid="{00000000-0005-0000-0000-0000A94F0000}"/>
    <cellStyle name="Separador de milhares 32 4 2" xfId="22390" xr:uid="{00000000-0005-0000-0000-0000AA4F0000}"/>
    <cellStyle name="Separador de milhares 32 5" xfId="15907" xr:uid="{00000000-0005-0000-0000-0000AB4F0000}"/>
    <cellStyle name="Separador de milhares 4" xfId="4260" xr:uid="{00000000-0005-0000-0000-0000AC4F0000}"/>
    <cellStyle name="Separador de milhares 4 10" xfId="15908" xr:uid="{00000000-0005-0000-0000-0000AD4F0000}"/>
    <cellStyle name="Separador de milhares 4 2" xfId="4261" xr:uid="{00000000-0005-0000-0000-0000AE4F0000}"/>
    <cellStyle name="Separador de milhares 4 2 2" xfId="4262" xr:uid="{00000000-0005-0000-0000-0000AF4F0000}"/>
    <cellStyle name="Separador de milhares 4 2 2 2" xfId="4263" xr:uid="{00000000-0005-0000-0000-0000B04F0000}"/>
    <cellStyle name="Separador de milhares 4 2 2 2 2" xfId="8896" xr:uid="{00000000-0005-0000-0000-0000B14F0000}"/>
    <cellStyle name="Separador de milhares 4 2 2 2 2 2" xfId="17648" xr:uid="{00000000-0005-0000-0000-0000B24F0000}"/>
    <cellStyle name="Separador de milhares 4 2 2 2 3" xfId="12106" xr:uid="{00000000-0005-0000-0000-0000B34F0000}"/>
    <cellStyle name="Separador de milhares 4 2 2 2 3 2" xfId="20793" xr:uid="{00000000-0005-0000-0000-0000B44F0000}"/>
    <cellStyle name="Separador de milhares 4 2 2 2 4" xfId="13714" xr:uid="{00000000-0005-0000-0000-0000B54F0000}"/>
    <cellStyle name="Separador de milhares 4 2 2 2 4 2" xfId="22394" xr:uid="{00000000-0005-0000-0000-0000B64F0000}"/>
    <cellStyle name="Separador de milhares 4 2 2 2 5" xfId="15911" xr:uid="{00000000-0005-0000-0000-0000B74F0000}"/>
    <cellStyle name="Separador de milhares 4 2 2 3" xfId="8895" xr:uid="{00000000-0005-0000-0000-0000B84F0000}"/>
    <cellStyle name="Separador de milhares 4 2 2 3 2" xfId="17647" xr:uid="{00000000-0005-0000-0000-0000B94F0000}"/>
    <cellStyle name="Separador de milhares 4 2 2 4" xfId="12105" xr:uid="{00000000-0005-0000-0000-0000BA4F0000}"/>
    <cellStyle name="Separador de milhares 4 2 2 4 2" xfId="20792" xr:uid="{00000000-0005-0000-0000-0000BB4F0000}"/>
    <cellStyle name="Separador de milhares 4 2 2 5" xfId="13713" xr:uid="{00000000-0005-0000-0000-0000BC4F0000}"/>
    <cellStyle name="Separador de milhares 4 2 2 5 2" xfId="22393" xr:uid="{00000000-0005-0000-0000-0000BD4F0000}"/>
    <cellStyle name="Separador de milhares 4 2 2 6" xfId="15910" xr:uid="{00000000-0005-0000-0000-0000BE4F0000}"/>
    <cellStyle name="Separador de milhares 4 2 3" xfId="4264" xr:uid="{00000000-0005-0000-0000-0000BF4F0000}"/>
    <cellStyle name="Separador de milhares 4 2 3 2" xfId="8897" xr:uid="{00000000-0005-0000-0000-0000C04F0000}"/>
    <cellStyle name="Separador de milhares 4 2 3 2 2" xfId="17649" xr:uid="{00000000-0005-0000-0000-0000C14F0000}"/>
    <cellStyle name="Separador de milhares 4 2 3 3" xfId="12107" xr:uid="{00000000-0005-0000-0000-0000C24F0000}"/>
    <cellStyle name="Separador de milhares 4 2 3 3 2" xfId="20794" xr:uid="{00000000-0005-0000-0000-0000C34F0000}"/>
    <cellStyle name="Separador de milhares 4 2 3 4" xfId="13715" xr:uid="{00000000-0005-0000-0000-0000C44F0000}"/>
    <cellStyle name="Separador de milhares 4 2 3 4 2" xfId="22395" xr:uid="{00000000-0005-0000-0000-0000C54F0000}"/>
    <cellStyle name="Separador de milhares 4 2 3 5" xfId="15912" xr:uid="{00000000-0005-0000-0000-0000C64F0000}"/>
    <cellStyle name="Separador de milhares 4 2 4" xfId="7397" xr:uid="{00000000-0005-0000-0000-0000C74F0000}"/>
    <cellStyle name="Separador de milhares 4 2 4 2" xfId="16169" xr:uid="{00000000-0005-0000-0000-0000C84F0000}"/>
    <cellStyle name="Separador de milhares 4 2 5" xfId="8894" xr:uid="{00000000-0005-0000-0000-0000C94F0000}"/>
    <cellStyle name="Separador de milhares 4 2 5 2" xfId="17646" xr:uid="{00000000-0005-0000-0000-0000CA4F0000}"/>
    <cellStyle name="Separador de milhares 4 2 6" xfId="12104" xr:uid="{00000000-0005-0000-0000-0000CB4F0000}"/>
    <cellStyle name="Separador de milhares 4 2 6 2" xfId="20791" xr:uid="{00000000-0005-0000-0000-0000CC4F0000}"/>
    <cellStyle name="Separador de milhares 4 2 7" xfId="13712" xr:uid="{00000000-0005-0000-0000-0000CD4F0000}"/>
    <cellStyle name="Separador de milhares 4 2 7 2" xfId="22392" xr:uid="{00000000-0005-0000-0000-0000CE4F0000}"/>
    <cellStyle name="Separador de milhares 4 2 8" xfId="14733" xr:uid="{00000000-0005-0000-0000-0000CF4F0000}"/>
    <cellStyle name="Separador de milhares 4 2 9" xfId="15909" xr:uid="{00000000-0005-0000-0000-0000D04F0000}"/>
    <cellStyle name="Separador de milhares 4 3" xfId="4265" xr:uid="{00000000-0005-0000-0000-0000D14F0000}"/>
    <cellStyle name="Separador de milhares 4 3 2" xfId="8898" xr:uid="{00000000-0005-0000-0000-0000D24F0000}"/>
    <cellStyle name="Separador de milhares 4 3 2 2" xfId="17650" xr:uid="{00000000-0005-0000-0000-0000D34F0000}"/>
    <cellStyle name="Separador de milhares 4 3 3" xfId="12108" xr:uid="{00000000-0005-0000-0000-0000D44F0000}"/>
    <cellStyle name="Separador de milhares 4 3 3 2" xfId="20795" xr:uid="{00000000-0005-0000-0000-0000D54F0000}"/>
    <cellStyle name="Separador de milhares 4 3 4" xfId="13716" xr:uid="{00000000-0005-0000-0000-0000D64F0000}"/>
    <cellStyle name="Separador de milhares 4 3 4 2" xfId="22396" xr:uid="{00000000-0005-0000-0000-0000D74F0000}"/>
    <cellStyle name="Separador de milhares 4 3 5" xfId="15913" xr:uid="{00000000-0005-0000-0000-0000D84F0000}"/>
    <cellStyle name="Separador de milhares 4 4" xfId="4266" xr:uid="{00000000-0005-0000-0000-0000D94F0000}"/>
    <cellStyle name="Separador de milhares 4 4 2" xfId="8899" xr:uid="{00000000-0005-0000-0000-0000DA4F0000}"/>
    <cellStyle name="Separador de milhares 4 4 2 2" xfId="17651" xr:uid="{00000000-0005-0000-0000-0000DB4F0000}"/>
    <cellStyle name="Separador de milhares 4 4 3" xfId="12109" xr:uid="{00000000-0005-0000-0000-0000DC4F0000}"/>
    <cellStyle name="Separador de milhares 4 4 3 2" xfId="20796" xr:uid="{00000000-0005-0000-0000-0000DD4F0000}"/>
    <cellStyle name="Separador de milhares 4 4 4" xfId="13717" xr:uid="{00000000-0005-0000-0000-0000DE4F0000}"/>
    <cellStyle name="Separador de milhares 4 4 4 2" xfId="22397" xr:uid="{00000000-0005-0000-0000-0000DF4F0000}"/>
    <cellStyle name="Separador de milhares 4 4 5" xfId="15914" xr:uid="{00000000-0005-0000-0000-0000E04F0000}"/>
    <cellStyle name="Separador de milhares 4 5" xfId="4267" xr:uid="{00000000-0005-0000-0000-0000E14F0000}"/>
    <cellStyle name="Separador de milhares 4 5 2" xfId="8900" xr:uid="{00000000-0005-0000-0000-0000E24F0000}"/>
    <cellStyle name="Separador de milhares 4 5 2 2" xfId="17652" xr:uid="{00000000-0005-0000-0000-0000E34F0000}"/>
    <cellStyle name="Separador de milhares 4 5 3" xfId="12110" xr:uid="{00000000-0005-0000-0000-0000E44F0000}"/>
    <cellStyle name="Separador de milhares 4 5 3 2" xfId="20797" xr:uid="{00000000-0005-0000-0000-0000E54F0000}"/>
    <cellStyle name="Separador de milhares 4 5 4" xfId="13718" xr:uid="{00000000-0005-0000-0000-0000E64F0000}"/>
    <cellStyle name="Separador de milhares 4 5 4 2" xfId="22398" xr:uid="{00000000-0005-0000-0000-0000E74F0000}"/>
    <cellStyle name="Separador de milhares 4 5 5" xfId="15915" xr:uid="{00000000-0005-0000-0000-0000E84F0000}"/>
    <cellStyle name="Separador de milhares 4 6" xfId="8893" xr:uid="{00000000-0005-0000-0000-0000E94F0000}"/>
    <cellStyle name="Separador de milhares 4 6 2" xfId="17645" xr:uid="{00000000-0005-0000-0000-0000EA4F0000}"/>
    <cellStyle name="Separador de milhares 4 7" xfId="12103" xr:uid="{00000000-0005-0000-0000-0000EB4F0000}"/>
    <cellStyle name="Separador de milhares 4 7 2" xfId="20790" xr:uid="{00000000-0005-0000-0000-0000EC4F0000}"/>
    <cellStyle name="Separador de milhares 4 8" xfId="13711" xr:uid="{00000000-0005-0000-0000-0000ED4F0000}"/>
    <cellStyle name="Separador de milhares 4 8 2" xfId="22391" xr:uid="{00000000-0005-0000-0000-0000EE4F0000}"/>
    <cellStyle name="Separador de milhares 4 9" xfId="13921" xr:uid="{00000000-0005-0000-0000-0000EF4F0000}"/>
    <cellStyle name="Separador de milhares 5" xfId="4268" xr:uid="{00000000-0005-0000-0000-0000F04F0000}"/>
    <cellStyle name="Separador de milhares 5 10" xfId="4269" xr:uid="{00000000-0005-0000-0000-0000F14F0000}"/>
    <cellStyle name="Separador de milhares 5 10 2" xfId="8902" xr:uid="{00000000-0005-0000-0000-0000F24F0000}"/>
    <cellStyle name="Separador de milhares 5 10 2 2" xfId="17654" xr:uid="{00000000-0005-0000-0000-0000F34F0000}"/>
    <cellStyle name="Separador de milhares 5 10 3" xfId="12112" xr:uid="{00000000-0005-0000-0000-0000F44F0000}"/>
    <cellStyle name="Separador de milhares 5 10 3 2" xfId="20799" xr:uid="{00000000-0005-0000-0000-0000F54F0000}"/>
    <cellStyle name="Separador de milhares 5 10 4" xfId="13720" xr:uid="{00000000-0005-0000-0000-0000F64F0000}"/>
    <cellStyle name="Separador de milhares 5 10 4 2" xfId="22400" xr:uid="{00000000-0005-0000-0000-0000F74F0000}"/>
    <cellStyle name="Separador de milhares 5 10 5" xfId="15917" xr:uid="{00000000-0005-0000-0000-0000F84F0000}"/>
    <cellStyle name="Separador de milhares 5 11" xfId="4270" xr:uid="{00000000-0005-0000-0000-0000F94F0000}"/>
    <cellStyle name="Separador de milhares 5 11 2" xfId="8903" xr:uid="{00000000-0005-0000-0000-0000FA4F0000}"/>
    <cellStyle name="Separador de milhares 5 11 2 2" xfId="17655" xr:uid="{00000000-0005-0000-0000-0000FB4F0000}"/>
    <cellStyle name="Separador de milhares 5 11 3" xfId="12113" xr:uid="{00000000-0005-0000-0000-0000FC4F0000}"/>
    <cellStyle name="Separador de milhares 5 11 3 2" xfId="20800" xr:uid="{00000000-0005-0000-0000-0000FD4F0000}"/>
    <cellStyle name="Separador de milhares 5 11 4" xfId="13721" xr:uid="{00000000-0005-0000-0000-0000FE4F0000}"/>
    <cellStyle name="Separador de milhares 5 11 4 2" xfId="22401" xr:uid="{00000000-0005-0000-0000-0000FF4F0000}"/>
    <cellStyle name="Separador de milhares 5 11 5" xfId="15918" xr:uid="{00000000-0005-0000-0000-000000500000}"/>
    <cellStyle name="Separador de milhares 5 12" xfId="4271" xr:uid="{00000000-0005-0000-0000-000001500000}"/>
    <cellStyle name="Separador de milhares 5 12 2" xfId="8904" xr:uid="{00000000-0005-0000-0000-000002500000}"/>
    <cellStyle name="Separador de milhares 5 12 2 2" xfId="17656" xr:uid="{00000000-0005-0000-0000-000003500000}"/>
    <cellStyle name="Separador de milhares 5 12 3" xfId="12114" xr:uid="{00000000-0005-0000-0000-000004500000}"/>
    <cellStyle name="Separador de milhares 5 12 3 2" xfId="20801" xr:uid="{00000000-0005-0000-0000-000005500000}"/>
    <cellStyle name="Separador de milhares 5 12 4" xfId="13722" xr:uid="{00000000-0005-0000-0000-000006500000}"/>
    <cellStyle name="Separador de milhares 5 12 4 2" xfId="22402" xr:uid="{00000000-0005-0000-0000-000007500000}"/>
    <cellStyle name="Separador de milhares 5 12 5" xfId="15919" xr:uid="{00000000-0005-0000-0000-000008500000}"/>
    <cellStyle name="Separador de milhares 5 13" xfId="4272" xr:uid="{00000000-0005-0000-0000-000009500000}"/>
    <cellStyle name="Separador de milhares 5 13 2" xfId="8905" xr:uid="{00000000-0005-0000-0000-00000A500000}"/>
    <cellStyle name="Separador de milhares 5 13 2 2" xfId="17657" xr:uid="{00000000-0005-0000-0000-00000B500000}"/>
    <cellStyle name="Separador de milhares 5 13 3" xfId="12115" xr:uid="{00000000-0005-0000-0000-00000C500000}"/>
    <cellStyle name="Separador de milhares 5 13 3 2" xfId="20802" xr:uid="{00000000-0005-0000-0000-00000D500000}"/>
    <cellStyle name="Separador de milhares 5 13 4" xfId="13723" xr:uid="{00000000-0005-0000-0000-00000E500000}"/>
    <cellStyle name="Separador de milhares 5 13 4 2" xfId="22403" xr:uid="{00000000-0005-0000-0000-00000F500000}"/>
    <cellStyle name="Separador de milhares 5 13 5" xfId="15920" xr:uid="{00000000-0005-0000-0000-000010500000}"/>
    <cellStyle name="Separador de milhares 5 14" xfId="8901" xr:uid="{00000000-0005-0000-0000-000011500000}"/>
    <cellStyle name="Separador de milhares 5 14 2" xfId="17653" xr:uid="{00000000-0005-0000-0000-000012500000}"/>
    <cellStyle name="Separador de milhares 5 15" xfId="12111" xr:uid="{00000000-0005-0000-0000-000013500000}"/>
    <cellStyle name="Separador de milhares 5 15 2" xfId="20798" xr:uid="{00000000-0005-0000-0000-000014500000}"/>
    <cellStyle name="Separador de milhares 5 16" xfId="13719" xr:uid="{00000000-0005-0000-0000-000015500000}"/>
    <cellStyle name="Separador de milhares 5 16 2" xfId="22399" xr:uid="{00000000-0005-0000-0000-000016500000}"/>
    <cellStyle name="Separador de milhares 5 17" xfId="13922" xr:uid="{00000000-0005-0000-0000-000017500000}"/>
    <cellStyle name="Separador de milhares 5 18" xfId="15916" xr:uid="{00000000-0005-0000-0000-000018500000}"/>
    <cellStyle name="Separador de milhares 5 2" xfId="4273" xr:uid="{00000000-0005-0000-0000-000019500000}"/>
    <cellStyle name="Separador de milhares 5 2 10" xfId="15921" xr:uid="{00000000-0005-0000-0000-00001A500000}"/>
    <cellStyle name="Separador de milhares 5 2 2" xfId="4274" xr:uid="{00000000-0005-0000-0000-00001B500000}"/>
    <cellStyle name="Separador de milhares 5 2 2 2" xfId="8907" xr:uid="{00000000-0005-0000-0000-00001C500000}"/>
    <cellStyle name="Separador de milhares 5 2 2 2 2" xfId="17659" xr:uid="{00000000-0005-0000-0000-00001D500000}"/>
    <cellStyle name="Separador de milhares 5 2 2 3" xfId="12117" xr:uid="{00000000-0005-0000-0000-00001E500000}"/>
    <cellStyle name="Separador de milhares 5 2 2 3 2" xfId="20804" xr:uid="{00000000-0005-0000-0000-00001F500000}"/>
    <cellStyle name="Separador de milhares 5 2 2 4" xfId="13725" xr:uid="{00000000-0005-0000-0000-000020500000}"/>
    <cellStyle name="Separador de milhares 5 2 2 4 2" xfId="22405" xr:uid="{00000000-0005-0000-0000-000021500000}"/>
    <cellStyle name="Separador de milhares 5 2 2 5" xfId="15922" xr:uid="{00000000-0005-0000-0000-000022500000}"/>
    <cellStyle name="Separador de milhares 5 2 3" xfId="4275" xr:uid="{00000000-0005-0000-0000-000023500000}"/>
    <cellStyle name="Separador de milhares 5 2 3 2" xfId="8908" xr:uid="{00000000-0005-0000-0000-000024500000}"/>
    <cellStyle name="Separador de milhares 5 2 3 2 2" xfId="17660" xr:uid="{00000000-0005-0000-0000-000025500000}"/>
    <cellStyle name="Separador de milhares 5 2 3 3" xfId="12118" xr:uid="{00000000-0005-0000-0000-000026500000}"/>
    <cellStyle name="Separador de milhares 5 2 3 3 2" xfId="20805" xr:uid="{00000000-0005-0000-0000-000027500000}"/>
    <cellStyle name="Separador de milhares 5 2 3 4" xfId="13726" xr:uid="{00000000-0005-0000-0000-000028500000}"/>
    <cellStyle name="Separador de milhares 5 2 3 4 2" xfId="22406" xr:uid="{00000000-0005-0000-0000-000029500000}"/>
    <cellStyle name="Separador de milhares 5 2 3 5" xfId="15923" xr:uid="{00000000-0005-0000-0000-00002A500000}"/>
    <cellStyle name="Separador de milhares 5 2 4" xfId="4276" xr:uid="{00000000-0005-0000-0000-00002B500000}"/>
    <cellStyle name="Separador de milhares 5 2 4 2" xfId="4277" xr:uid="{00000000-0005-0000-0000-00002C500000}"/>
    <cellStyle name="Separador de milhares 5 2 4 2 2" xfId="8910" xr:uid="{00000000-0005-0000-0000-00002D500000}"/>
    <cellStyle name="Separador de milhares 5 2 4 2 2 2" xfId="17662" xr:uid="{00000000-0005-0000-0000-00002E500000}"/>
    <cellStyle name="Separador de milhares 5 2 4 2 3" xfId="12120" xr:uid="{00000000-0005-0000-0000-00002F500000}"/>
    <cellStyle name="Separador de milhares 5 2 4 2 3 2" xfId="20807" xr:uid="{00000000-0005-0000-0000-000030500000}"/>
    <cellStyle name="Separador de milhares 5 2 4 2 4" xfId="13728" xr:uid="{00000000-0005-0000-0000-000031500000}"/>
    <cellStyle name="Separador de milhares 5 2 4 2 4 2" xfId="22408" xr:uid="{00000000-0005-0000-0000-000032500000}"/>
    <cellStyle name="Separador de milhares 5 2 4 2 5" xfId="15925" xr:uid="{00000000-0005-0000-0000-000033500000}"/>
    <cellStyle name="Separador de milhares 5 2 4 3" xfId="4278" xr:uid="{00000000-0005-0000-0000-000034500000}"/>
    <cellStyle name="Separador de milhares 5 2 4 3 2" xfId="8911" xr:uid="{00000000-0005-0000-0000-000035500000}"/>
    <cellStyle name="Separador de milhares 5 2 4 3 2 2" xfId="17663" xr:uid="{00000000-0005-0000-0000-000036500000}"/>
    <cellStyle name="Separador de milhares 5 2 4 3 3" xfId="12121" xr:uid="{00000000-0005-0000-0000-000037500000}"/>
    <cellStyle name="Separador de milhares 5 2 4 3 3 2" xfId="20808" xr:uid="{00000000-0005-0000-0000-000038500000}"/>
    <cellStyle name="Separador de milhares 5 2 4 3 4" xfId="13729" xr:uid="{00000000-0005-0000-0000-000039500000}"/>
    <cellStyle name="Separador de milhares 5 2 4 3 4 2" xfId="22409" xr:uid="{00000000-0005-0000-0000-00003A500000}"/>
    <cellStyle name="Separador de milhares 5 2 4 3 5" xfId="15926" xr:uid="{00000000-0005-0000-0000-00003B500000}"/>
    <cellStyle name="Separador de milhares 5 2 4 4" xfId="4279" xr:uid="{00000000-0005-0000-0000-00003C500000}"/>
    <cellStyle name="Separador de milhares 5 2 4 4 2" xfId="8912" xr:uid="{00000000-0005-0000-0000-00003D500000}"/>
    <cellStyle name="Separador de milhares 5 2 4 4 2 2" xfId="17664" xr:uid="{00000000-0005-0000-0000-00003E500000}"/>
    <cellStyle name="Separador de milhares 5 2 4 4 3" xfId="12122" xr:uid="{00000000-0005-0000-0000-00003F500000}"/>
    <cellStyle name="Separador de milhares 5 2 4 4 3 2" xfId="20809" xr:uid="{00000000-0005-0000-0000-000040500000}"/>
    <cellStyle name="Separador de milhares 5 2 4 4 4" xfId="13730" xr:uid="{00000000-0005-0000-0000-000041500000}"/>
    <cellStyle name="Separador de milhares 5 2 4 4 4 2" xfId="22410" xr:uid="{00000000-0005-0000-0000-000042500000}"/>
    <cellStyle name="Separador de milhares 5 2 4 4 5" xfId="15927" xr:uid="{00000000-0005-0000-0000-000043500000}"/>
    <cellStyle name="Separador de milhares 5 2 4 5" xfId="8909" xr:uid="{00000000-0005-0000-0000-000044500000}"/>
    <cellStyle name="Separador de milhares 5 2 4 5 2" xfId="17661" xr:uid="{00000000-0005-0000-0000-000045500000}"/>
    <cellStyle name="Separador de milhares 5 2 4 6" xfId="12119" xr:uid="{00000000-0005-0000-0000-000046500000}"/>
    <cellStyle name="Separador de milhares 5 2 4 6 2" xfId="20806" xr:uid="{00000000-0005-0000-0000-000047500000}"/>
    <cellStyle name="Separador de milhares 5 2 4 7" xfId="13727" xr:uid="{00000000-0005-0000-0000-000048500000}"/>
    <cellStyle name="Separador de milhares 5 2 4 7 2" xfId="22407" xr:uid="{00000000-0005-0000-0000-000049500000}"/>
    <cellStyle name="Separador de milhares 5 2 4 8" xfId="15924" xr:uid="{00000000-0005-0000-0000-00004A500000}"/>
    <cellStyle name="Separador de milhares 5 2 5" xfId="4280" xr:uid="{00000000-0005-0000-0000-00004B500000}"/>
    <cellStyle name="Separador de milhares 5 2 5 2" xfId="8913" xr:uid="{00000000-0005-0000-0000-00004C500000}"/>
    <cellStyle name="Separador de milhares 5 2 5 2 2" xfId="17665" xr:uid="{00000000-0005-0000-0000-00004D500000}"/>
    <cellStyle name="Separador de milhares 5 2 5 3" xfId="12123" xr:uid="{00000000-0005-0000-0000-00004E500000}"/>
    <cellStyle name="Separador de milhares 5 2 5 3 2" xfId="20810" xr:uid="{00000000-0005-0000-0000-00004F500000}"/>
    <cellStyle name="Separador de milhares 5 2 5 4" xfId="13731" xr:uid="{00000000-0005-0000-0000-000050500000}"/>
    <cellStyle name="Separador de milhares 5 2 5 4 2" xfId="22411" xr:uid="{00000000-0005-0000-0000-000051500000}"/>
    <cellStyle name="Separador de milhares 5 2 5 5" xfId="15928" xr:uid="{00000000-0005-0000-0000-000052500000}"/>
    <cellStyle name="Separador de milhares 5 2 6" xfId="4281" xr:uid="{00000000-0005-0000-0000-000053500000}"/>
    <cellStyle name="Separador de milhares 5 2 6 2" xfId="8914" xr:uid="{00000000-0005-0000-0000-000054500000}"/>
    <cellStyle name="Separador de milhares 5 2 6 2 2" xfId="17666" xr:uid="{00000000-0005-0000-0000-000055500000}"/>
    <cellStyle name="Separador de milhares 5 2 6 3" xfId="12124" xr:uid="{00000000-0005-0000-0000-000056500000}"/>
    <cellStyle name="Separador de milhares 5 2 6 3 2" xfId="20811" xr:uid="{00000000-0005-0000-0000-000057500000}"/>
    <cellStyle name="Separador de milhares 5 2 6 4" xfId="13732" xr:uid="{00000000-0005-0000-0000-000058500000}"/>
    <cellStyle name="Separador de milhares 5 2 6 4 2" xfId="22412" xr:uid="{00000000-0005-0000-0000-000059500000}"/>
    <cellStyle name="Separador de milhares 5 2 6 5" xfId="15929" xr:uid="{00000000-0005-0000-0000-00005A500000}"/>
    <cellStyle name="Separador de milhares 5 2 7" xfId="8906" xr:uid="{00000000-0005-0000-0000-00005B500000}"/>
    <cellStyle name="Separador de milhares 5 2 7 2" xfId="17658" xr:uid="{00000000-0005-0000-0000-00005C500000}"/>
    <cellStyle name="Separador de milhares 5 2 8" xfId="12116" xr:uid="{00000000-0005-0000-0000-00005D500000}"/>
    <cellStyle name="Separador de milhares 5 2 8 2" xfId="20803" xr:uid="{00000000-0005-0000-0000-00005E500000}"/>
    <cellStyle name="Separador de milhares 5 2 9" xfId="13724" xr:uid="{00000000-0005-0000-0000-00005F500000}"/>
    <cellStyle name="Separador de milhares 5 2 9 2" xfId="22404" xr:uid="{00000000-0005-0000-0000-000060500000}"/>
    <cellStyle name="Separador de milhares 5 3" xfId="4282" xr:uid="{00000000-0005-0000-0000-000061500000}"/>
    <cellStyle name="Separador de milhares 5 3 2" xfId="4283" xr:uid="{00000000-0005-0000-0000-000062500000}"/>
    <cellStyle name="Separador de milhares 5 3 2 2" xfId="8916" xr:uid="{00000000-0005-0000-0000-000063500000}"/>
    <cellStyle name="Separador de milhares 5 3 2 2 2" xfId="17668" xr:uid="{00000000-0005-0000-0000-000064500000}"/>
    <cellStyle name="Separador de milhares 5 3 2 3" xfId="12126" xr:uid="{00000000-0005-0000-0000-000065500000}"/>
    <cellStyle name="Separador de milhares 5 3 2 3 2" xfId="20813" xr:uid="{00000000-0005-0000-0000-000066500000}"/>
    <cellStyle name="Separador de milhares 5 3 2 4" xfId="13734" xr:uid="{00000000-0005-0000-0000-000067500000}"/>
    <cellStyle name="Separador de milhares 5 3 2 4 2" xfId="22414" xr:uid="{00000000-0005-0000-0000-000068500000}"/>
    <cellStyle name="Separador de milhares 5 3 2 5" xfId="15931" xr:uid="{00000000-0005-0000-0000-000069500000}"/>
    <cellStyle name="Separador de milhares 5 3 3" xfId="8915" xr:uid="{00000000-0005-0000-0000-00006A500000}"/>
    <cellStyle name="Separador de milhares 5 3 3 2" xfId="17667" xr:uid="{00000000-0005-0000-0000-00006B500000}"/>
    <cellStyle name="Separador de milhares 5 3 4" xfId="12125" xr:uid="{00000000-0005-0000-0000-00006C500000}"/>
    <cellStyle name="Separador de milhares 5 3 4 2" xfId="20812" xr:uid="{00000000-0005-0000-0000-00006D500000}"/>
    <cellStyle name="Separador de milhares 5 3 5" xfId="13733" xr:uid="{00000000-0005-0000-0000-00006E500000}"/>
    <cellStyle name="Separador de milhares 5 3 5 2" xfId="22413" xr:uid="{00000000-0005-0000-0000-00006F500000}"/>
    <cellStyle name="Separador de milhares 5 3 6" xfId="15930" xr:uid="{00000000-0005-0000-0000-000070500000}"/>
    <cellStyle name="Separador de milhares 5 4" xfId="4284" xr:uid="{00000000-0005-0000-0000-000071500000}"/>
    <cellStyle name="Separador de milhares 5 4 2" xfId="4285" xr:uid="{00000000-0005-0000-0000-000072500000}"/>
    <cellStyle name="Separador de milhares 5 4 2 2" xfId="8918" xr:uid="{00000000-0005-0000-0000-000073500000}"/>
    <cellStyle name="Separador de milhares 5 4 2 2 2" xfId="17670" xr:uid="{00000000-0005-0000-0000-000074500000}"/>
    <cellStyle name="Separador de milhares 5 4 2 3" xfId="12128" xr:uid="{00000000-0005-0000-0000-000075500000}"/>
    <cellStyle name="Separador de milhares 5 4 2 3 2" xfId="20815" xr:uid="{00000000-0005-0000-0000-000076500000}"/>
    <cellStyle name="Separador de milhares 5 4 2 4" xfId="13736" xr:uid="{00000000-0005-0000-0000-000077500000}"/>
    <cellStyle name="Separador de milhares 5 4 2 4 2" xfId="22416" xr:uid="{00000000-0005-0000-0000-000078500000}"/>
    <cellStyle name="Separador de milhares 5 4 2 5" xfId="15933" xr:uid="{00000000-0005-0000-0000-000079500000}"/>
    <cellStyle name="Separador de milhares 5 4 3" xfId="8917" xr:uid="{00000000-0005-0000-0000-00007A500000}"/>
    <cellStyle name="Separador de milhares 5 4 3 2" xfId="17669" xr:uid="{00000000-0005-0000-0000-00007B500000}"/>
    <cellStyle name="Separador de milhares 5 4 4" xfId="12127" xr:uid="{00000000-0005-0000-0000-00007C500000}"/>
    <cellStyle name="Separador de milhares 5 4 4 2" xfId="20814" xr:uid="{00000000-0005-0000-0000-00007D500000}"/>
    <cellStyle name="Separador de milhares 5 4 5" xfId="13735" xr:uid="{00000000-0005-0000-0000-00007E500000}"/>
    <cellStyle name="Separador de milhares 5 4 5 2" xfId="22415" xr:uid="{00000000-0005-0000-0000-00007F500000}"/>
    <cellStyle name="Separador de milhares 5 4 6" xfId="15932" xr:uid="{00000000-0005-0000-0000-000080500000}"/>
    <cellStyle name="Separador de milhares 5 5" xfId="4286" xr:uid="{00000000-0005-0000-0000-000081500000}"/>
    <cellStyle name="Separador de milhares 5 5 2" xfId="4287" xr:uid="{00000000-0005-0000-0000-000082500000}"/>
    <cellStyle name="Separador de milhares 5 5 2 2" xfId="8920" xr:uid="{00000000-0005-0000-0000-000083500000}"/>
    <cellStyle name="Separador de milhares 5 5 2 2 2" xfId="17672" xr:uid="{00000000-0005-0000-0000-000084500000}"/>
    <cellStyle name="Separador de milhares 5 5 2 3" xfId="12130" xr:uid="{00000000-0005-0000-0000-000085500000}"/>
    <cellStyle name="Separador de milhares 5 5 2 3 2" xfId="20817" xr:uid="{00000000-0005-0000-0000-000086500000}"/>
    <cellStyle name="Separador de milhares 5 5 2 4" xfId="13738" xr:uid="{00000000-0005-0000-0000-000087500000}"/>
    <cellStyle name="Separador de milhares 5 5 2 4 2" xfId="22418" xr:uid="{00000000-0005-0000-0000-000088500000}"/>
    <cellStyle name="Separador de milhares 5 5 2 5" xfId="15935" xr:uid="{00000000-0005-0000-0000-000089500000}"/>
    <cellStyle name="Separador de milhares 5 5 3" xfId="8919" xr:uid="{00000000-0005-0000-0000-00008A500000}"/>
    <cellStyle name="Separador de milhares 5 5 3 2" xfId="17671" xr:uid="{00000000-0005-0000-0000-00008B500000}"/>
    <cellStyle name="Separador de milhares 5 5 4" xfId="12129" xr:uid="{00000000-0005-0000-0000-00008C500000}"/>
    <cellStyle name="Separador de milhares 5 5 4 2" xfId="20816" xr:uid="{00000000-0005-0000-0000-00008D500000}"/>
    <cellStyle name="Separador de milhares 5 5 5" xfId="13737" xr:uid="{00000000-0005-0000-0000-00008E500000}"/>
    <cellStyle name="Separador de milhares 5 5 5 2" xfId="22417" xr:uid="{00000000-0005-0000-0000-00008F500000}"/>
    <cellStyle name="Separador de milhares 5 5 6" xfId="15934" xr:uid="{00000000-0005-0000-0000-000090500000}"/>
    <cellStyle name="Separador de milhares 5 6" xfId="4288" xr:uid="{00000000-0005-0000-0000-000091500000}"/>
    <cellStyle name="Separador de milhares 5 6 2" xfId="4289" xr:uid="{00000000-0005-0000-0000-000092500000}"/>
    <cellStyle name="Separador de milhares 5 6 2 2" xfId="8922" xr:uid="{00000000-0005-0000-0000-000093500000}"/>
    <cellStyle name="Separador de milhares 5 6 2 2 2" xfId="17674" xr:uid="{00000000-0005-0000-0000-000094500000}"/>
    <cellStyle name="Separador de milhares 5 6 2 3" xfId="12132" xr:uid="{00000000-0005-0000-0000-000095500000}"/>
    <cellStyle name="Separador de milhares 5 6 2 3 2" xfId="20819" xr:uid="{00000000-0005-0000-0000-000096500000}"/>
    <cellStyle name="Separador de milhares 5 6 2 4" xfId="13740" xr:uid="{00000000-0005-0000-0000-000097500000}"/>
    <cellStyle name="Separador de milhares 5 6 2 4 2" xfId="22420" xr:uid="{00000000-0005-0000-0000-000098500000}"/>
    <cellStyle name="Separador de milhares 5 6 2 5" xfId="15937" xr:uid="{00000000-0005-0000-0000-000099500000}"/>
    <cellStyle name="Separador de milhares 5 6 3" xfId="8921" xr:uid="{00000000-0005-0000-0000-00009A500000}"/>
    <cellStyle name="Separador de milhares 5 6 3 2" xfId="17673" xr:uid="{00000000-0005-0000-0000-00009B500000}"/>
    <cellStyle name="Separador de milhares 5 6 4" xfId="12131" xr:uid="{00000000-0005-0000-0000-00009C500000}"/>
    <cellStyle name="Separador de milhares 5 6 4 2" xfId="20818" xr:uid="{00000000-0005-0000-0000-00009D500000}"/>
    <cellStyle name="Separador de milhares 5 6 5" xfId="13739" xr:uid="{00000000-0005-0000-0000-00009E500000}"/>
    <cellStyle name="Separador de milhares 5 6 5 2" xfId="22419" xr:uid="{00000000-0005-0000-0000-00009F500000}"/>
    <cellStyle name="Separador de milhares 5 6 6" xfId="15936" xr:uid="{00000000-0005-0000-0000-0000A0500000}"/>
    <cellStyle name="Separador de milhares 5 7" xfId="4290" xr:uid="{00000000-0005-0000-0000-0000A1500000}"/>
    <cellStyle name="Separador de milhares 5 7 2" xfId="4291" xr:uid="{00000000-0005-0000-0000-0000A2500000}"/>
    <cellStyle name="Separador de milhares 5 7 2 2" xfId="8924" xr:uid="{00000000-0005-0000-0000-0000A3500000}"/>
    <cellStyle name="Separador de milhares 5 7 2 2 2" xfId="17676" xr:uid="{00000000-0005-0000-0000-0000A4500000}"/>
    <cellStyle name="Separador de milhares 5 7 2 3" xfId="12134" xr:uid="{00000000-0005-0000-0000-0000A5500000}"/>
    <cellStyle name="Separador de milhares 5 7 2 3 2" xfId="20821" xr:uid="{00000000-0005-0000-0000-0000A6500000}"/>
    <cellStyle name="Separador de milhares 5 7 2 4" xfId="13742" xr:uid="{00000000-0005-0000-0000-0000A7500000}"/>
    <cellStyle name="Separador de milhares 5 7 2 4 2" xfId="22422" xr:uid="{00000000-0005-0000-0000-0000A8500000}"/>
    <cellStyle name="Separador de milhares 5 7 2 5" xfId="15939" xr:uid="{00000000-0005-0000-0000-0000A9500000}"/>
    <cellStyle name="Separador de milhares 5 7 3" xfId="4292" xr:uid="{00000000-0005-0000-0000-0000AA500000}"/>
    <cellStyle name="Separador de milhares 5 7 3 2" xfId="8925" xr:uid="{00000000-0005-0000-0000-0000AB500000}"/>
    <cellStyle name="Separador de milhares 5 7 3 2 2" xfId="17677" xr:uid="{00000000-0005-0000-0000-0000AC500000}"/>
    <cellStyle name="Separador de milhares 5 7 3 3" xfId="12135" xr:uid="{00000000-0005-0000-0000-0000AD500000}"/>
    <cellStyle name="Separador de milhares 5 7 3 3 2" xfId="20822" xr:uid="{00000000-0005-0000-0000-0000AE500000}"/>
    <cellStyle name="Separador de milhares 5 7 3 4" xfId="13743" xr:uid="{00000000-0005-0000-0000-0000AF500000}"/>
    <cellStyle name="Separador de milhares 5 7 3 4 2" xfId="22423" xr:uid="{00000000-0005-0000-0000-0000B0500000}"/>
    <cellStyle name="Separador de milhares 5 7 3 5" xfId="15940" xr:uid="{00000000-0005-0000-0000-0000B1500000}"/>
    <cellStyle name="Separador de milhares 5 7 4" xfId="8923" xr:uid="{00000000-0005-0000-0000-0000B2500000}"/>
    <cellStyle name="Separador de milhares 5 7 4 2" xfId="17675" xr:uid="{00000000-0005-0000-0000-0000B3500000}"/>
    <cellStyle name="Separador de milhares 5 7 5" xfId="12133" xr:uid="{00000000-0005-0000-0000-0000B4500000}"/>
    <cellStyle name="Separador de milhares 5 7 5 2" xfId="20820" xr:uid="{00000000-0005-0000-0000-0000B5500000}"/>
    <cellStyle name="Separador de milhares 5 7 6" xfId="13741" xr:uid="{00000000-0005-0000-0000-0000B6500000}"/>
    <cellStyle name="Separador de milhares 5 7 6 2" xfId="22421" xr:uid="{00000000-0005-0000-0000-0000B7500000}"/>
    <cellStyle name="Separador de milhares 5 7 7" xfId="15938" xr:uid="{00000000-0005-0000-0000-0000B8500000}"/>
    <cellStyle name="Separador de milhares 5 8" xfId="4293" xr:uid="{00000000-0005-0000-0000-0000B9500000}"/>
    <cellStyle name="Separador de milhares 5 8 2" xfId="8926" xr:uid="{00000000-0005-0000-0000-0000BA500000}"/>
    <cellStyle name="Separador de milhares 5 8 2 2" xfId="17678" xr:uid="{00000000-0005-0000-0000-0000BB500000}"/>
    <cellStyle name="Separador de milhares 5 8 3" xfId="12136" xr:uid="{00000000-0005-0000-0000-0000BC500000}"/>
    <cellStyle name="Separador de milhares 5 8 3 2" xfId="20823" xr:uid="{00000000-0005-0000-0000-0000BD500000}"/>
    <cellStyle name="Separador de milhares 5 8 4" xfId="13744" xr:uid="{00000000-0005-0000-0000-0000BE500000}"/>
    <cellStyle name="Separador de milhares 5 8 4 2" xfId="22424" xr:uid="{00000000-0005-0000-0000-0000BF500000}"/>
    <cellStyle name="Separador de milhares 5 8 5" xfId="15941" xr:uid="{00000000-0005-0000-0000-0000C0500000}"/>
    <cellStyle name="Separador de milhares 5 9" xfId="4294" xr:uid="{00000000-0005-0000-0000-0000C1500000}"/>
    <cellStyle name="Separador de milhares 5 9 2" xfId="8927" xr:uid="{00000000-0005-0000-0000-0000C2500000}"/>
    <cellStyle name="Separador de milhares 5 9 2 2" xfId="17679" xr:uid="{00000000-0005-0000-0000-0000C3500000}"/>
    <cellStyle name="Separador de milhares 5 9 3" xfId="12137" xr:uid="{00000000-0005-0000-0000-0000C4500000}"/>
    <cellStyle name="Separador de milhares 5 9 3 2" xfId="20824" xr:uid="{00000000-0005-0000-0000-0000C5500000}"/>
    <cellStyle name="Separador de milhares 5 9 4" xfId="13745" xr:uid="{00000000-0005-0000-0000-0000C6500000}"/>
    <cellStyle name="Separador de milhares 5 9 4 2" xfId="22425" xr:uid="{00000000-0005-0000-0000-0000C7500000}"/>
    <cellStyle name="Separador de milhares 5 9 5" xfId="15942" xr:uid="{00000000-0005-0000-0000-0000C8500000}"/>
    <cellStyle name="Separador de milhares 6" xfId="4295" xr:uid="{00000000-0005-0000-0000-0000C9500000}"/>
    <cellStyle name="Separador de milhares 6 10" xfId="4296" xr:uid="{00000000-0005-0000-0000-0000CA500000}"/>
    <cellStyle name="Separador de milhares 6 10 2" xfId="8929" xr:uid="{00000000-0005-0000-0000-0000CB500000}"/>
    <cellStyle name="Separador de milhares 6 10 2 2" xfId="17681" xr:uid="{00000000-0005-0000-0000-0000CC500000}"/>
    <cellStyle name="Separador de milhares 6 10 3" xfId="12139" xr:uid="{00000000-0005-0000-0000-0000CD500000}"/>
    <cellStyle name="Separador de milhares 6 10 3 2" xfId="20826" xr:uid="{00000000-0005-0000-0000-0000CE500000}"/>
    <cellStyle name="Separador de milhares 6 10 4" xfId="13747" xr:uid="{00000000-0005-0000-0000-0000CF500000}"/>
    <cellStyle name="Separador de milhares 6 10 4 2" xfId="22427" xr:uid="{00000000-0005-0000-0000-0000D0500000}"/>
    <cellStyle name="Separador de milhares 6 10 5" xfId="15944" xr:uid="{00000000-0005-0000-0000-0000D1500000}"/>
    <cellStyle name="Separador de milhares 6 11" xfId="4297" xr:uid="{00000000-0005-0000-0000-0000D2500000}"/>
    <cellStyle name="Separador de milhares 6 11 2" xfId="8930" xr:uid="{00000000-0005-0000-0000-0000D3500000}"/>
    <cellStyle name="Separador de milhares 6 11 2 2" xfId="17682" xr:uid="{00000000-0005-0000-0000-0000D4500000}"/>
    <cellStyle name="Separador de milhares 6 11 3" xfId="12140" xr:uid="{00000000-0005-0000-0000-0000D5500000}"/>
    <cellStyle name="Separador de milhares 6 11 3 2" xfId="20827" xr:uid="{00000000-0005-0000-0000-0000D6500000}"/>
    <cellStyle name="Separador de milhares 6 11 4" xfId="13748" xr:uid="{00000000-0005-0000-0000-0000D7500000}"/>
    <cellStyle name="Separador de milhares 6 11 4 2" xfId="22428" xr:uid="{00000000-0005-0000-0000-0000D8500000}"/>
    <cellStyle name="Separador de milhares 6 11 5" xfId="15945" xr:uid="{00000000-0005-0000-0000-0000D9500000}"/>
    <cellStyle name="Separador de milhares 6 12" xfId="5124" xr:uid="{00000000-0005-0000-0000-0000DA500000}"/>
    <cellStyle name="Separador de milhares 6 12 2" xfId="16073" xr:uid="{00000000-0005-0000-0000-0000DB500000}"/>
    <cellStyle name="Separador de milhares 6 13" xfId="8928" xr:uid="{00000000-0005-0000-0000-0000DC500000}"/>
    <cellStyle name="Separador de milhares 6 13 2" xfId="17680" xr:uid="{00000000-0005-0000-0000-0000DD500000}"/>
    <cellStyle name="Separador de milhares 6 14" xfId="12138" xr:uid="{00000000-0005-0000-0000-0000DE500000}"/>
    <cellStyle name="Separador de milhares 6 14 2" xfId="20825" xr:uid="{00000000-0005-0000-0000-0000DF500000}"/>
    <cellStyle name="Separador de milhares 6 15" xfId="13746" xr:uid="{00000000-0005-0000-0000-0000E0500000}"/>
    <cellStyle name="Separador de milhares 6 15 2" xfId="22426" xr:uid="{00000000-0005-0000-0000-0000E1500000}"/>
    <cellStyle name="Separador de milhares 6 16" xfId="13923" xr:uid="{00000000-0005-0000-0000-0000E2500000}"/>
    <cellStyle name="Separador de milhares 6 17" xfId="15943" xr:uid="{00000000-0005-0000-0000-0000E3500000}"/>
    <cellStyle name="Separador de milhares 6 2" xfId="4298" xr:uid="{00000000-0005-0000-0000-0000E4500000}"/>
    <cellStyle name="Separador de milhares 6 2 10" xfId="13749" xr:uid="{00000000-0005-0000-0000-0000E5500000}"/>
    <cellStyle name="Separador de milhares 6 2 10 2" xfId="22429" xr:uid="{00000000-0005-0000-0000-0000E6500000}"/>
    <cellStyle name="Separador de milhares 6 2 11" xfId="15946" xr:uid="{00000000-0005-0000-0000-0000E7500000}"/>
    <cellStyle name="Separador de milhares 6 2 2" xfId="4299" xr:uid="{00000000-0005-0000-0000-0000E8500000}"/>
    <cellStyle name="Separador de milhares 6 2 2 2" xfId="4300" xr:uid="{00000000-0005-0000-0000-0000E9500000}"/>
    <cellStyle name="Separador de milhares 6 2 2 2 2" xfId="8932" xr:uid="{00000000-0005-0000-0000-0000EA500000}"/>
    <cellStyle name="Separador de milhares 6 2 2 2 2 2" xfId="17684" xr:uid="{00000000-0005-0000-0000-0000EB500000}"/>
    <cellStyle name="Separador de milhares 6 2 2 2 3" xfId="12142" xr:uid="{00000000-0005-0000-0000-0000EC500000}"/>
    <cellStyle name="Separador de milhares 6 2 2 2 3 2" xfId="20829" xr:uid="{00000000-0005-0000-0000-0000ED500000}"/>
    <cellStyle name="Separador de milhares 6 2 2 2 4" xfId="13750" xr:uid="{00000000-0005-0000-0000-0000EE500000}"/>
    <cellStyle name="Separador de milhares 6 2 2 2 4 2" xfId="22430" xr:uid="{00000000-0005-0000-0000-0000EF500000}"/>
    <cellStyle name="Separador de milhares 6 2 2 2 5" xfId="15947" xr:uid="{00000000-0005-0000-0000-0000F0500000}"/>
    <cellStyle name="Separador de milhares 6 2 2 3" xfId="4301" xr:uid="{00000000-0005-0000-0000-0000F1500000}"/>
    <cellStyle name="Separador de milhares 6 2 2 3 2" xfId="8933" xr:uid="{00000000-0005-0000-0000-0000F2500000}"/>
    <cellStyle name="Separador de milhares 6 2 2 3 2 2" xfId="17685" xr:uid="{00000000-0005-0000-0000-0000F3500000}"/>
    <cellStyle name="Separador de milhares 6 2 2 3 3" xfId="12143" xr:uid="{00000000-0005-0000-0000-0000F4500000}"/>
    <cellStyle name="Separador de milhares 6 2 2 3 3 2" xfId="20830" xr:uid="{00000000-0005-0000-0000-0000F5500000}"/>
    <cellStyle name="Separador de milhares 6 2 2 3 4" xfId="13751" xr:uid="{00000000-0005-0000-0000-0000F6500000}"/>
    <cellStyle name="Separador de milhares 6 2 2 3 4 2" xfId="22431" xr:uid="{00000000-0005-0000-0000-0000F7500000}"/>
    <cellStyle name="Separador de milhares 6 2 2 3 5" xfId="15948" xr:uid="{00000000-0005-0000-0000-0000F8500000}"/>
    <cellStyle name="Separador de milhares 6 2 2 4" xfId="4302" xr:uid="{00000000-0005-0000-0000-0000F9500000}"/>
    <cellStyle name="Separador de milhares 6 2 2 4 2" xfId="8934" xr:uid="{00000000-0005-0000-0000-0000FA500000}"/>
    <cellStyle name="Separador de milhares 6 2 2 4 2 2" xfId="17686" xr:uid="{00000000-0005-0000-0000-0000FB500000}"/>
    <cellStyle name="Separador de milhares 6 2 2 4 3" xfId="12144" xr:uid="{00000000-0005-0000-0000-0000FC500000}"/>
    <cellStyle name="Separador de milhares 6 2 2 4 3 2" xfId="20831" xr:uid="{00000000-0005-0000-0000-0000FD500000}"/>
    <cellStyle name="Separador de milhares 6 2 2 4 4" xfId="13752" xr:uid="{00000000-0005-0000-0000-0000FE500000}"/>
    <cellStyle name="Separador de milhares 6 2 2 4 4 2" xfId="22432" xr:uid="{00000000-0005-0000-0000-0000FF500000}"/>
    <cellStyle name="Separador de milhares 6 2 2 4 5" xfId="15949" xr:uid="{00000000-0005-0000-0000-000000510000}"/>
    <cellStyle name="Separador de milhares 6 2 2 5" xfId="4303" xr:uid="{00000000-0005-0000-0000-000001510000}"/>
    <cellStyle name="Separador de milhares 6 2 2 5 2" xfId="8935" xr:uid="{00000000-0005-0000-0000-000002510000}"/>
    <cellStyle name="Separador de milhares 6 2 2 5 2 2" xfId="17687" xr:uid="{00000000-0005-0000-0000-000003510000}"/>
    <cellStyle name="Separador de milhares 6 2 2 5 3" xfId="12145" xr:uid="{00000000-0005-0000-0000-000004510000}"/>
    <cellStyle name="Separador de milhares 6 2 2 5 3 2" xfId="20832" xr:uid="{00000000-0005-0000-0000-000005510000}"/>
    <cellStyle name="Separador de milhares 6 2 2 5 4" xfId="13753" xr:uid="{00000000-0005-0000-0000-000006510000}"/>
    <cellStyle name="Separador de milhares 6 2 2 5 4 2" xfId="22433" xr:uid="{00000000-0005-0000-0000-000007510000}"/>
    <cellStyle name="Separador de milhares 6 2 2 5 5" xfId="15950" xr:uid="{00000000-0005-0000-0000-000008510000}"/>
    <cellStyle name="Separador de milhares 6 2 2 6" xfId="4304" xr:uid="{00000000-0005-0000-0000-000009510000}"/>
    <cellStyle name="Separador de milhares 6 2 2 6 2" xfId="8936" xr:uid="{00000000-0005-0000-0000-00000A510000}"/>
    <cellStyle name="Separador de milhares 6 2 2 6 2 2" xfId="17688" xr:uid="{00000000-0005-0000-0000-00000B510000}"/>
    <cellStyle name="Separador de milhares 6 2 2 6 3" xfId="12146" xr:uid="{00000000-0005-0000-0000-00000C510000}"/>
    <cellStyle name="Separador de milhares 6 2 2 6 3 2" xfId="20833" xr:uid="{00000000-0005-0000-0000-00000D510000}"/>
    <cellStyle name="Separador de milhares 6 2 2 6 4" xfId="13754" xr:uid="{00000000-0005-0000-0000-00000E510000}"/>
    <cellStyle name="Separador de milhares 6 2 2 6 4 2" xfId="22434" xr:uid="{00000000-0005-0000-0000-00000F510000}"/>
    <cellStyle name="Separador de milhares 6 2 2 6 5" xfId="15951" xr:uid="{00000000-0005-0000-0000-000010510000}"/>
    <cellStyle name="Separador de milhares 6 2 2 7" xfId="4305" xr:uid="{00000000-0005-0000-0000-000011510000}"/>
    <cellStyle name="Separador de milhares 6 2 2 7 2" xfId="8937" xr:uid="{00000000-0005-0000-0000-000012510000}"/>
    <cellStyle name="Separador de milhares 6 2 2 7 2 2" xfId="17689" xr:uid="{00000000-0005-0000-0000-000013510000}"/>
    <cellStyle name="Separador de milhares 6 2 2 7 3" xfId="12147" xr:uid="{00000000-0005-0000-0000-000014510000}"/>
    <cellStyle name="Separador de milhares 6 2 2 7 3 2" xfId="20834" xr:uid="{00000000-0005-0000-0000-000015510000}"/>
    <cellStyle name="Separador de milhares 6 2 2 7 4" xfId="13755" xr:uid="{00000000-0005-0000-0000-000016510000}"/>
    <cellStyle name="Separador de milhares 6 2 2 7 4 2" xfId="22435" xr:uid="{00000000-0005-0000-0000-000017510000}"/>
    <cellStyle name="Separador de milhares 6 2 2 7 5" xfId="15952" xr:uid="{00000000-0005-0000-0000-000018510000}"/>
    <cellStyle name="Separador de milhares 6 2 2 8" xfId="4306" xr:uid="{00000000-0005-0000-0000-000019510000}"/>
    <cellStyle name="Separador de milhares 6 2 2 8 2" xfId="8938" xr:uid="{00000000-0005-0000-0000-00001A510000}"/>
    <cellStyle name="Separador de milhares 6 2 2 8 2 2" xfId="17690" xr:uid="{00000000-0005-0000-0000-00001B510000}"/>
    <cellStyle name="Separador de milhares 6 2 2 8 3" xfId="12148" xr:uid="{00000000-0005-0000-0000-00001C510000}"/>
    <cellStyle name="Separador de milhares 6 2 2 8 3 2" xfId="20835" xr:uid="{00000000-0005-0000-0000-00001D510000}"/>
    <cellStyle name="Separador de milhares 6 2 2 8 4" xfId="13756" xr:uid="{00000000-0005-0000-0000-00001E510000}"/>
    <cellStyle name="Separador de milhares 6 2 2 8 4 2" xfId="22436" xr:uid="{00000000-0005-0000-0000-00001F510000}"/>
    <cellStyle name="Separador de milhares 6 2 2 8 5" xfId="15953" xr:uid="{00000000-0005-0000-0000-000020510000}"/>
    <cellStyle name="Separador de milhares 6 2 3" xfId="4307" xr:uid="{00000000-0005-0000-0000-000021510000}"/>
    <cellStyle name="Separador de milhares 6 2 3 2" xfId="8939" xr:uid="{00000000-0005-0000-0000-000022510000}"/>
    <cellStyle name="Separador de milhares 6 2 3 2 2" xfId="17691" xr:uid="{00000000-0005-0000-0000-000023510000}"/>
    <cellStyle name="Separador de milhares 6 2 3 3" xfId="12149" xr:uid="{00000000-0005-0000-0000-000024510000}"/>
    <cellStyle name="Separador de milhares 6 2 3 3 2" xfId="20836" xr:uid="{00000000-0005-0000-0000-000025510000}"/>
    <cellStyle name="Separador de milhares 6 2 3 4" xfId="13757" xr:uid="{00000000-0005-0000-0000-000026510000}"/>
    <cellStyle name="Separador de milhares 6 2 3 4 2" xfId="22437" xr:uid="{00000000-0005-0000-0000-000027510000}"/>
    <cellStyle name="Separador de milhares 6 2 3 5" xfId="15954" xr:uid="{00000000-0005-0000-0000-000028510000}"/>
    <cellStyle name="Separador de milhares 6 2 4" xfId="4308" xr:uid="{00000000-0005-0000-0000-000029510000}"/>
    <cellStyle name="Separador de milhares 6 2 4 2" xfId="4309" xr:uid="{00000000-0005-0000-0000-00002A510000}"/>
    <cellStyle name="Separador de milhares 6 2 4 2 2" xfId="8941" xr:uid="{00000000-0005-0000-0000-00002B510000}"/>
    <cellStyle name="Separador de milhares 6 2 4 2 2 2" xfId="17693" xr:uid="{00000000-0005-0000-0000-00002C510000}"/>
    <cellStyle name="Separador de milhares 6 2 4 2 3" xfId="12151" xr:uid="{00000000-0005-0000-0000-00002D510000}"/>
    <cellStyle name="Separador de milhares 6 2 4 2 3 2" xfId="20838" xr:uid="{00000000-0005-0000-0000-00002E510000}"/>
    <cellStyle name="Separador de milhares 6 2 4 2 4" xfId="13759" xr:uid="{00000000-0005-0000-0000-00002F510000}"/>
    <cellStyle name="Separador de milhares 6 2 4 2 4 2" xfId="22439" xr:uid="{00000000-0005-0000-0000-000030510000}"/>
    <cellStyle name="Separador de milhares 6 2 4 2 5" xfId="15956" xr:uid="{00000000-0005-0000-0000-000031510000}"/>
    <cellStyle name="Separador de milhares 6 2 4 3" xfId="4310" xr:uid="{00000000-0005-0000-0000-000032510000}"/>
    <cellStyle name="Separador de milhares 6 2 4 3 2" xfId="8942" xr:uid="{00000000-0005-0000-0000-000033510000}"/>
    <cellStyle name="Separador de milhares 6 2 4 3 2 2" xfId="17694" xr:uid="{00000000-0005-0000-0000-000034510000}"/>
    <cellStyle name="Separador de milhares 6 2 4 3 3" xfId="12152" xr:uid="{00000000-0005-0000-0000-000035510000}"/>
    <cellStyle name="Separador de milhares 6 2 4 3 3 2" xfId="20839" xr:uid="{00000000-0005-0000-0000-000036510000}"/>
    <cellStyle name="Separador de milhares 6 2 4 3 4" xfId="13760" xr:uid="{00000000-0005-0000-0000-000037510000}"/>
    <cellStyle name="Separador de milhares 6 2 4 3 4 2" xfId="22440" xr:uid="{00000000-0005-0000-0000-000038510000}"/>
    <cellStyle name="Separador de milhares 6 2 4 3 5" xfId="15957" xr:uid="{00000000-0005-0000-0000-000039510000}"/>
    <cellStyle name="Separador de milhares 6 2 4 4" xfId="4311" xr:uid="{00000000-0005-0000-0000-00003A510000}"/>
    <cellStyle name="Separador de milhares 6 2 4 4 2" xfId="8943" xr:uid="{00000000-0005-0000-0000-00003B510000}"/>
    <cellStyle name="Separador de milhares 6 2 4 4 2 2" xfId="17695" xr:uid="{00000000-0005-0000-0000-00003C510000}"/>
    <cellStyle name="Separador de milhares 6 2 4 4 3" xfId="12153" xr:uid="{00000000-0005-0000-0000-00003D510000}"/>
    <cellStyle name="Separador de milhares 6 2 4 4 3 2" xfId="20840" xr:uid="{00000000-0005-0000-0000-00003E510000}"/>
    <cellStyle name="Separador de milhares 6 2 4 4 4" xfId="13761" xr:uid="{00000000-0005-0000-0000-00003F510000}"/>
    <cellStyle name="Separador de milhares 6 2 4 4 4 2" xfId="22441" xr:uid="{00000000-0005-0000-0000-000040510000}"/>
    <cellStyle name="Separador de milhares 6 2 4 4 5" xfId="15958" xr:uid="{00000000-0005-0000-0000-000041510000}"/>
    <cellStyle name="Separador de milhares 6 2 4 5" xfId="8940" xr:uid="{00000000-0005-0000-0000-000042510000}"/>
    <cellStyle name="Separador de milhares 6 2 4 5 2" xfId="17692" xr:uid="{00000000-0005-0000-0000-000043510000}"/>
    <cellStyle name="Separador de milhares 6 2 4 6" xfId="12150" xr:uid="{00000000-0005-0000-0000-000044510000}"/>
    <cellStyle name="Separador de milhares 6 2 4 6 2" xfId="20837" xr:uid="{00000000-0005-0000-0000-000045510000}"/>
    <cellStyle name="Separador de milhares 6 2 4 7" xfId="13758" xr:uid="{00000000-0005-0000-0000-000046510000}"/>
    <cellStyle name="Separador de milhares 6 2 4 7 2" xfId="22438" xr:uid="{00000000-0005-0000-0000-000047510000}"/>
    <cellStyle name="Separador de milhares 6 2 4 8" xfId="15955" xr:uid="{00000000-0005-0000-0000-000048510000}"/>
    <cellStyle name="Separador de milhares 6 2 5" xfId="4312" xr:uid="{00000000-0005-0000-0000-000049510000}"/>
    <cellStyle name="Separador de milhares 6 2 5 2" xfId="4313" xr:uid="{00000000-0005-0000-0000-00004A510000}"/>
    <cellStyle name="Separador de milhares 6 2 5 2 2" xfId="8945" xr:uid="{00000000-0005-0000-0000-00004B510000}"/>
    <cellStyle name="Separador de milhares 6 2 5 2 2 2" xfId="17697" xr:uid="{00000000-0005-0000-0000-00004C510000}"/>
    <cellStyle name="Separador de milhares 6 2 5 2 3" xfId="12155" xr:uid="{00000000-0005-0000-0000-00004D510000}"/>
    <cellStyle name="Separador de milhares 6 2 5 2 3 2" xfId="20842" xr:uid="{00000000-0005-0000-0000-00004E510000}"/>
    <cellStyle name="Separador de milhares 6 2 5 2 4" xfId="13763" xr:uid="{00000000-0005-0000-0000-00004F510000}"/>
    <cellStyle name="Separador de milhares 6 2 5 2 4 2" xfId="22443" xr:uid="{00000000-0005-0000-0000-000050510000}"/>
    <cellStyle name="Separador de milhares 6 2 5 2 5" xfId="15960" xr:uid="{00000000-0005-0000-0000-000051510000}"/>
    <cellStyle name="Separador de milhares 6 2 5 3" xfId="4314" xr:uid="{00000000-0005-0000-0000-000052510000}"/>
    <cellStyle name="Separador de milhares 6 2 5 3 2" xfId="8946" xr:uid="{00000000-0005-0000-0000-000053510000}"/>
    <cellStyle name="Separador de milhares 6 2 5 3 2 2" xfId="17698" xr:uid="{00000000-0005-0000-0000-000054510000}"/>
    <cellStyle name="Separador de milhares 6 2 5 3 3" xfId="12156" xr:uid="{00000000-0005-0000-0000-000055510000}"/>
    <cellStyle name="Separador de milhares 6 2 5 3 3 2" xfId="20843" xr:uid="{00000000-0005-0000-0000-000056510000}"/>
    <cellStyle name="Separador de milhares 6 2 5 3 4" xfId="13764" xr:uid="{00000000-0005-0000-0000-000057510000}"/>
    <cellStyle name="Separador de milhares 6 2 5 3 4 2" xfId="22444" xr:uid="{00000000-0005-0000-0000-000058510000}"/>
    <cellStyle name="Separador de milhares 6 2 5 3 5" xfId="15961" xr:uid="{00000000-0005-0000-0000-000059510000}"/>
    <cellStyle name="Separador de milhares 6 2 5 4" xfId="4315" xr:uid="{00000000-0005-0000-0000-00005A510000}"/>
    <cellStyle name="Separador de milhares 6 2 5 4 2" xfId="8947" xr:uid="{00000000-0005-0000-0000-00005B510000}"/>
    <cellStyle name="Separador de milhares 6 2 5 4 2 2" xfId="17699" xr:uid="{00000000-0005-0000-0000-00005C510000}"/>
    <cellStyle name="Separador de milhares 6 2 5 4 3" xfId="12157" xr:uid="{00000000-0005-0000-0000-00005D510000}"/>
    <cellStyle name="Separador de milhares 6 2 5 4 3 2" xfId="20844" xr:uid="{00000000-0005-0000-0000-00005E510000}"/>
    <cellStyle name="Separador de milhares 6 2 5 4 4" xfId="13765" xr:uid="{00000000-0005-0000-0000-00005F510000}"/>
    <cellStyle name="Separador de milhares 6 2 5 4 4 2" xfId="22445" xr:uid="{00000000-0005-0000-0000-000060510000}"/>
    <cellStyle name="Separador de milhares 6 2 5 4 5" xfId="15962" xr:uid="{00000000-0005-0000-0000-000061510000}"/>
    <cellStyle name="Separador de milhares 6 2 5 5" xfId="8944" xr:uid="{00000000-0005-0000-0000-000062510000}"/>
    <cellStyle name="Separador de milhares 6 2 5 5 2" xfId="17696" xr:uid="{00000000-0005-0000-0000-000063510000}"/>
    <cellStyle name="Separador de milhares 6 2 5 6" xfId="12154" xr:uid="{00000000-0005-0000-0000-000064510000}"/>
    <cellStyle name="Separador de milhares 6 2 5 6 2" xfId="20841" xr:uid="{00000000-0005-0000-0000-000065510000}"/>
    <cellStyle name="Separador de milhares 6 2 5 7" xfId="13762" xr:uid="{00000000-0005-0000-0000-000066510000}"/>
    <cellStyle name="Separador de milhares 6 2 5 7 2" xfId="22442" xr:uid="{00000000-0005-0000-0000-000067510000}"/>
    <cellStyle name="Separador de milhares 6 2 5 8" xfId="15959" xr:uid="{00000000-0005-0000-0000-000068510000}"/>
    <cellStyle name="Separador de milhares 6 2 6" xfId="4316" xr:uid="{00000000-0005-0000-0000-000069510000}"/>
    <cellStyle name="Separador de milhares 6 2 6 2" xfId="8948" xr:uid="{00000000-0005-0000-0000-00006A510000}"/>
    <cellStyle name="Separador de milhares 6 2 6 2 2" xfId="17700" xr:uid="{00000000-0005-0000-0000-00006B510000}"/>
    <cellStyle name="Separador de milhares 6 2 6 3" xfId="12158" xr:uid="{00000000-0005-0000-0000-00006C510000}"/>
    <cellStyle name="Separador de milhares 6 2 6 3 2" xfId="20845" xr:uid="{00000000-0005-0000-0000-00006D510000}"/>
    <cellStyle name="Separador de milhares 6 2 6 4" xfId="13766" xr:uid="{00000000-0005-0000-0000-00006E510000}"/>
    <cellStyle name="Separador de milhares 6 2 6 4 2" xfId="22446" xr:uid="{00000000-0005-0000-0000-00006F510000}"/>
    <cellStyle name="Separador de milhares 6 2 6 5" xfId="15963" xr:uid="{00000000-0005-0000-0000-000070510000}"/>
    <cellStyle name="Separador de milhares 6 2 7" xfId="10415" xr:uid="{00000000-0005-0000-0000-000071510000}"/>
    <cellStyle name="Separador de milhares 6 2 7 2" xfId="19165" xr:uid="{00000000-0005-0000-0000-000072510000}"/>
    <cellStyle name="Separador de milhares 6 2 8" xfId="8931" xr:uid="{00000000-0005-0000-0000-000073510000}"/>
    <cellStyle name="Separador de milhares 6 2 8 2" xfId="17683" xr:uid="{00000000-0005-0000-0000-000074510000}"/>
    <cellStyle name="Separador de milhares 6 2 9" xfId="12141" xr:uid="{00000000-0005-0000-0000-000075510000}"/>
    <cellStyle name="Separador de milhares 6 2 9 2" xfId="20828" xr:uid="{00000000-0005-0000-0000-000076510000}"/>
    <cellStyle name="Separador de milhares 6 3" xfId="4317" xr:uid="{00000000-0005-0000-0000-000077510000}"/>
    <cellStyle name="Separador de milhares 6 3 2" xfId="4318" xr:uid="{00000000-0005-0000-0000-000078510000}"/>
    <cellStyle name="Separador de milhares 6 3 2 2" xfId="8949" xr:uid="{00000000-0005-0000-0000-000079510000}"/>
    <cellStyle name="Separador de milhares 6 3 2 2 2" xfId="17701" xr:uid="{00000000-0005-0000-0000-00007A510000}"/>
    <cellStyle name="Separador de milhares 6 3 2 3" xfId="12159" xr:uid="{00000000-0005-0000-0000-00007B510000}"/>
    <cellStyle name="Separador de milhares 6 3 2 3 2" xfId="20846" xr:uid="{00000000-0005-0000-0000-00007C510000}"/>
    <cellStyle name="Separador de milhares 6 3 2 4" xfId="13767" xr:uid="{00000000-0005-0000-0000-00007D510000}"/>
    <cellStyle name="Separador de milhares 6 3 2 4 2" xfId="22447" xr:uid="{00000000-0005-0000-0000-00007E510000}"/>
    <cellStyle name="Separador de milhares 6 3 2 5" xfId="15964" xr:uid="{00000000-0005-0000-0000-00007F510000}"/>
    <cellStyle name="Separador de milhares 6 3 3" xfId="4319" xr:uid="{00000000-0005-0000-0000-000080510000}"/>
    <cellStyle name="Separador de milhares 6 3 3 2" xfId="8950" xr:uid="{00000000-0005-0000-0000-000081510000}"/>
    <cellStyle name="Separador de milhares 6 3 3 2 2" xfId="17702" xr:uid="{00000000-0005-0000-0000-000082510000}"/>
    <cellStyle name="Separador de milhares 6 3 3 3" xfId="12160" xr:uid="{00000000-0005-0000-0000-000083510000}"/>
    <cellStyle name="Separador de milhares 6 3 3 3 2" xfId="20847" xr:uid="{00000000-0005-0000-0000-000084510000}"/>
    <cellStyle name="Separador de milhares 6 3 3 4" xfId="13768" xr:uid="{00000000-0005-0000-0000-000085510000}"/>
    <cellStyle name="Separador de milhares 6 3 3 4 2" xfId="22448" xr:uid="{00000000-0005-0000-0000-000086510000}"/>
    <cellStyle name="Separador de milhares 6 3 3 5" xfId="15965" xr:uid="{00000000-0005-0000-0000-000087510000}"/>
    <cellStyle name="Separador de milhares 6 4" xfId="4320" xr:uid="{00000000-0005-0000-0000-000088510000}"/>
    <cellStyle name="Separador de milhares 6 4 2" xfId="4321" xr:uid="{00000000-0005-0000-0000-000089510000}"/>
    <cellStyle name="Separador de milhares 6 4 2 2" xfId="8951" xr:uid="{00000000-0005-0000-0000-00008A510000}"/>
    <cellStyle name="Separador de milhares 6 4 2 2 2" xfId="17703" xr:uid="{00000000-0005-0000-0000-00008B510000}"/>
    <cellStyle name="Separador de milhares 6 4 2 3" xfId="12161" xr:uid="{00000000-0005-0000-0000-00008C510000}"/>
    <cellStyle name="Separador de milhares 6 4 2 3 2" xfId="20848" xr:uid="{00000000-0005-0000-0000-00008D510000}"/>
    <cellStyle name="Separador de milhares 6 4 2 4" xfId="13769" xr:uid="{00000000-0005-0000-0000-00008E510000}"/>
    <cellStyle name="Separador de milhares 6 4 2 4 2" xfId="22449" xr:uid="{00000000-0005-0000-0000-00008F510000}"/>
    <cellStyle name="Separador de milhares 6 4 2 5" xfId="15966" xr:uid="{00000000-0005-0000-0000-000090510000}"/>
    <cellStyle name="Separador de milhares 6 4 3" xfId="4322" xr:uid="{00000000-0005-0000-0000-000091510000}"/>
    <cellStyle name="Separador de milhares 6 4 3 2" xfId="8952" xr:uid="{00000000-0005-0000-0000-000092510000}"/>
    <cellStyle name="Separador de milhares 6 4 3 2 2" xfId="17704" xr:uid="{00000000-0005-0000-0000-000093510000}"/>
    <cellStyle name="Separador de milhares 6 4 3 3" xfId="12162" xr:uid="{00000000-0005-0000-0000-000094510000}"/>
    <cellStyle name="Separador de milhares 6 4 3 3 2" xfId="20849" xr:uid="{00000000-0005-0000-0000-000095510000}"/>
    <cellStyle name="Separador de milhares 6 4 3 4" xfId="13770" xr:uid="{00000000-0005-0000-0000-000096510000}"/>
    <cellStyle name="Separador de milhares 6 4 3 4 2" xfId="22450" xr:uid="{00000000-0005-0000-0000-000097510000}"/>
    <cellStyle name="Separador de milhares 6 4 3 5" xfId="15967" xr:uid="{00000000-0005-0000-0000-000098510000}"/>
    <cellStyle name="Separador de milhares 6 5" xfId="4323" xr:uid="{00000000-0005-0000-0000-000099510000}"/>
    <cellStyle name="Separador de milhares 6 5 2" xfId="4324" xr:uid="{00000000-0005-0000-0000-00009A510000}"/>
    <cellStyle name="Separador de milhares 6 5 2 2" xfId="8953" xr:uid="{00000000-0005-0000-0000-00009B510000}"/>
    <cellStyle name="Separador de milhares 6 5 2 2 2" xfId="17705" xr:uid="{00000000-0005-0000-0000-00009C510000}"/>
    <cellStyle name="Separador de milhares 6 5 2 3" xfId="12163" xr:uid="{00000000-0005-0000-0000-00009D510000}"/>
    <cellStyle name="Separador de milhares 6 5 2 3 2" xfId="20850" xr:uid="{00000000-0005-0000-0000-00009E510000}"/>
    <cellStyle name="Separador de milhares 6 5 2 4" xfId="13771" xr:uid="{00000000-0005-0000-0000-00009F510000}"/>
    <cellStyle name="Separador de milhares 6 5 2 4 2" xfId="22451" xr:uid="{00000000-0005-0000-0000-0000A0510000}"/>
    <cellStyle name="Separador de milhares 6 5 2 5" xfId="15968" xr:uid="{00000000-0005-0000-0000-0000A1510000}"/>
    <cellStyle name="Separador de milhares 6 5 3" xfId="4325" xr:uid="{00000000-0005-0000-0000-0000A2510000}"/>
    <cellStyle name="Separador de milhares 6 5 3 2" xfId="8954" xr:uid="{00000000-0005-0000-0000-0000A3510000}"/>
    <cellStyle name="Separador de milhares 6 5 3 2 2" xfId="17706" xr:uid="{00000000-0005-0000-0000-0000A4510000}"/>
    <cellStyle name="Separador de milhares 6 5 3 3" xfId="12164" xr:uid="{00000000-0005-0000-0000-0000A5510000}"/>
    <cellStyle name="Separador de milhares 6 5 3 3 2" xfId="20851" xr:uid="{00000000-0005-0000-0000-0000A6510000}"/>
    <cellStyle name="Separador de milhares 6 5 3 4" xfId="13772" xr:uid="{00000000-0005-0000-0000-0000A7510000}"/>
    <cellStyle name="Separador de milhares 6 5 3 4 2" xfId="22452" xr:uid="{00000000-0005-0000-0000-0000A8510000}"/>
    <cellStyle name="Separador de milhares 6 5 3 5" xfId="15969" xr:uid="{00000000-0005-0000-0000-0000A9510000}"/>
    <cellStyle name="Separador de milhares 6 6" xfId="4326" xr:uid="{00000000-0005-0000-0000-0000AA510000}"/>
    <cellStyle name="Separador de milhares 6 6 2" xfId="4327" xr:uid="{00000000-0005-0000-0000-0000AB510000}"/>
    <cellStyle name="Separador de milhares 6 6 2 2" xfId="8955" xr:uid="{00000000-0005-0000-0000-0000AC510000}"/>
    <cellStyle name="Separador de milhares 6 6 2 2 2" xfId="17707" xr:uid="{00000000-0005-0000-0000-0000AD510000}"/>
    <cellStyle name="Separador de milhares 6 6 2 3" xfId="12165" xr:uid="{00000000-0005-0000-0000-0000AE510000}"/>
    <cellStyle name="Separador de milhares 6 6 2 3 2" xfId="20852" xr:uid="{00000000-0005-0000-0000-0000AF510000}"/>
    <cellStyle name="Separador de milhares 6 6 2 4" xfId="13773" xr:uid="{00000000-0005-0000-0000-0000B0510000}"/>
    <cellStyle name="Separador de milhares 6 6 2 4 2" xfId="22453" xr:uid="{00000000-0005-0000-0000-0000B1510000}"/>
    <cellStyle name="Separador de milhares 6 6 2 5" xfId="15970" xr:uid="{00000000-0005-0000-0000-0000B2510000}"/>
    <cellStyle name="Separador de milhares 6 6 3" xfId="4328" xr:uid="{00000000-0005-0000-0000-0000B3510000}"/>
    <cellStyle name="Separador de milhares 6 6 3 2" xfId="8956" xr:uid="{00000000-0005-0000-0000-0000B4510000}"/>
    <cellStyle name="Separador de milhares 6 6 3 2 2" xfId="17708" xr:uid="{00000000-0005-0000-0000-0000B5510000}"/>
    <cellStyle name="Separador de milhares 6 6 3 3" xfId="12166" xr:uid="{00000000-0005-0000-0000-0000B6510000}"/>
    <cellStyle name="Separador de milhares 6 6 3 3 2" xfId="20853" xr:uid="{00000000-0005-0000-0000-0000B7510000}"/>
    <cellStyle name="Separador de milhares 6 6 3 4" xfId="13774" xr:uid="{00000000-0005-0000-0000-0000B8510000}"/>
    <cellStyle name="Separador de milhares 6 6 3 4 2" xfId="22454" xr:uid="{00000000-0005-0000-0000-0000B9510000}"/>
    <cellStyle name="Separador de milhares 6 6 3 5" xfId="15971" xr:uid="{00000000-0005-0000-0000-0000BA510000}"/>
    <cellStyle name="Separador de milhares 6 7" xfId="4329" xr:uid="{00000000-0005-0000-0000-0000BB510000}"/>
    <cellStyle name="Separador de milhares 6 7 2" xfId="4330" xr:uid="{00000000-0005-0000-0000-0000BC510000}"/>
    <cellStyle name="Separador de milhares 6 7 2 2" xfId="8957" xr:uid="{00000000-0005-0000-0000-0000BD510000}"/>
    <cellStyle name="Separador de milhares 6 7 2 2 2" xfId="17709" xr:uid="{00000000-0005-0000-0000-0000BE510000}"/>
    <cellStyle name="Separador de milhares 6 7 2 3" xfId="12167" xr:uid="{00000000-0005-0000-0000-0000BF510000}"/>
    <cellStyle name="Separador de milhares 6 7 2 3 2" xfId="20854" xr:uid="{00000000-0005-0000-0000-0000C0510000}"/>
    <cellStyle name="Separador de milhares 6 7 2 4" xfId="13775" xr:uid="{00000000-0005-0000-0000-0000C1510000}"/>
    <cellStyle name="Separador de milhares 6 7 2 4 2" xfId="22455" xr:uid="{00000000-0005-0000-0000-0000C2510000}"/>
    <cellStyle name="Separador de milhares 6 7 2 5" xfId="15972" xr:uid="{00000000-0005-0000-0000-0000C3510000}"/>
    <cellStyle name="Separador de milhares 6 7 3" xfId="4331" xr:uid="{00000000-0005-0000-0000-0000C4510000}"/>
    <cellStyle name="Separador de milhares 6 7 3 2" xfId="8958" xr:uid="{00000000-0005-0000-0000-0000C5510000}"/>
    <cellStyle name="Separador de milhares 6 7 3 2 2" xfId="17710" xr:uid="{00000000-0005-0000-0000-0000C6510000}"/>
    <cellStyle name="Separador de milhares 6 7 3 3" xfId="12168" xr:uid="{00000000-0005-0000-0000-0000C7510000}"/>
    <cellStyle name="Separador de milhares 6 7 3 3 2" xfId="20855" xr:uid="{00000000-0005-0000-0000-0000C8510000}"/>
    <cellStyle name="Separador de milhares 6 7 3 4" xfId="13776" xr:uid="{00000000-0005-0000-0000-0000C9510000}"/>
    <cellStyle name="Separador de milhares 6 7 3 4 2" xfId="22456" xr:uid="{00000000-0005-0000-0000-0000CA510000}"/>
    <cellStyle name="Separador de milhares 6 7 3 5" xfId="15973" xr:uid="{00000000-0005-0000-0000-0000CB510000}"/>
    <cellStyle name="Separador de milhares 6 7 4" xfId="4332" xr:uid="{00000000-0005-0000-0000-0000CC510000}"/>
    <cellStyle name="Separador de milhares 6 7 4 2" xfId="8959" xr:uid="{00000000-0005-0000-0000-0000CD510000}"/>
    <cellStyle name="Separador de milhares 6 7 4 2 2" xfId="17711" xr:uid="{00000000-0005-0000-0000-0000CE510000}"/>
    <cellStyle name="Separador de milhares 6 7 4 3" xfId="12169" xr:uid="{00000000-0005-0000-0000-0000CF510000}"/>
    <cellStyle name="Separador de milhares 6 7 4 3 2" xfId="20856" xr:uid="{00000000-0005-0000-0000-0000D0510000}"/>
    <cellStyle name="Separador de milhares 6 7 4 4" xfId="13777" xr:uid="{00000000-0005-0000-0000-0000D1510000}"/>
    <cellStyle name="Separador de milhares 6 7 4 4 2" xfId="22457" xr:uid="{00000000-0005-0000-0000-0000D2510000}"/>
    <cellStyle name="Separador de milhares 6 7 4 5" xfId="15974" xr:uid="{00000000-0005-0000-0000-0000D3510000}"/>
    <cellStyle name="Separador de milhares 6 7 5" xfId="4333" xr:uid="{00000000-0005-0000-0000-0000D4510000}"/>
    <cellStyle name="Separador de milhares 6 7 5 2" xfId="8960" xr:uid="{00000000-0005-0000-0000-0000D5510000}"/>
    <cellStyle name="Separador de milhares 6 7 5 2 2" xfId="17712" xr:uid="{00000000-0005-0000-0000-0000D6510000}"/>
    <cellStyle name="Separador de milhares 6 7 5 3" xfId="12170" xr:uid="{00000000-0005-0000-0000-0000D7510000}"/>
    <cellStyle name="Separador de milhares 6 7 5 3 2" xfId="20857" xr:uid="{00000000-0005-0000-0000-0000D8510000}"/>
    <cellStyle name="Separador de milhares 6 7 5 4" xfId="13778" xr:uid="{00000000-0005-0000-0000-0000D9510000}"/>
    <cellStyle name="Separador de milhares 6 7 5 4 2" xfId="22458" xr:uid="{00000000-0005-0000-0000-0000DA510000}"/>
    <cellStyle name="Separador de milhares 6 7 5 5" xfId="15975" xr:uid="{00000000-0005-0000-0000-0000DB510000}"/>
    <cellStyle name="Separador de milhares 6 8" xfId="4334" xr:uid="{00000000-0005-0000-0000-0000DC510000}"/>
    <cellStyle name="Separador de milhares 6 8 2" xfId="8961" xr:uid="{00000000-0005-0000-0000-0000DD510000}"/>
    <cellStyle name="Separador de milhares 6 8 2 2" xfId="17713" xr:uid="{00000000-0005-0000-0000-0000DE510000}"/>
    <cellStyle name="Separador de milhares 6 8 3" xfId="12171" xr:uid="{00000000-0005-0000-0000-0000DF510000}"/>
    <cellStyle name="Separador de milhares 6 8 3 2" xfId="20858" xr:uid="{00000000-0005-0000-0000-0000E0510000}"/>
    <cellStyle name="Separador de milhares 6 8 4" xfId="13779" xr:uid="{00000000-0005-0000-0000-0000E1510000}"/>
    <cellStyle name="Separador de milhares 6 8 4 2" xfId="22459" xr:uid="{00000000-0005-0000-0000-0000E2510000}"/>
    <cellStyle name="Separador de milhares 6 8 5" xfId="15976" xr:uid="{00000000-0005-0000-0000-0000E3510000}"/>
    <cellStyle name="Separador de milhares 6 9" xfId="4335" xr:uid="{00000000-0005-0000-0000-0000E4510000}"/>
    <cellStyle name="Separador de milhares 6 9 2" xfId="8962" xr:uid="{00000000-0005-0000-0000-0000E5510000}"/>
    <cellStyle name="Separador de milhares 6 9 2 2" xfId="17714" xr:uid="{00000000-0005-0000-0000-0000E6510000}"/>
    <cellStyle name="Separador de milhares 6 9 3" xfId="12172" xr:uid="{00000000-0005-0000-0000-0000E7510000}"/>
    <cellStyle name="Separador de milhares 6 9 3 2" xfId="20859" xr:uid="{00000000-0005-0000-0000-0000E8510000}"/>
    <cellStyle name="Separador de milhares 6 9 4" xfId="13780" xr:uid="{00000000-0005-0000-0000-0000E9510000}"/>
    <cellStyle name="Separador de milhares 6 9 4 2" xfId="22460" xr:uid="{00000000-0005-0000-0000-0000EA510000}"/>
    <cellStyle name="Separador de milhares 6 9 5" xfId="15977" xr:uid="{00000000-0005-0000-0000-0000EB510000}"/>
    <cellStyle name="Separador de milhares 7" xfId="4336" xr:uid="{00000000-0005-0000-0000-0000EC510000}"/>
    <cellStyle name="Separador de milhares 7 10" xfId="4337" xr:uid="{00000000-0005-0000-0000-0000ED510000}"/>
    <cellStyle name="Separador de milhares 7 10 2" xfId="4338" xr:uid="{00000000-0005-0000-0000-0000EE510000}"/>
    <cellStyle name="Separador de milhares 7 10 3" xfId="4339" xr:uid="{00000000-0005-0000-0000-0000EF510000}"/>
    <cellStyle name="Separador de milhares 7 10 4" xfId="4340" xr:uid="{00000000-0005-0000-0000-0000F0510000}"/>
    <cellStyle name="Separador de milhares 7 10 5" xfId="4341" xr:uid="{00000000-0005-0000-0000-0000F1510000}"/>
    <cellStyle name="Separador de milhares 7 10 6" xfId="4342" xr:uid="{00000000-0005-0000-0000-0000F2510000}"/>
    <cellStyle name="Separador de milhares 7 10 7" xfId="4343" xr:uid="{00000000-0005-0000-0000-0000F3510000}"/>
    <cellStyle name="Separador de milhares 7 11" xfId="4344" xr:uid="{00000000-0005-0000-0000-0000F4510000}"/>
    <cellStyle name="Separador de milhares 7 11 2" xfId="4345" xr:uid="{00000000-0005-0000-0000-0000F5510000}"/>
    <cellStyle name="Separador de milhares 7 11 2 2" xfId="10416" xr:uid="{00000000-0005-0000-0000-0000F6510000}"/>
    <cellStyle name="Separador de milhares 7 11 2 2 2" xfId="19166" xr:uid="{00000000-0005-0000-0000-0000F7510000}"/>
    <cellStyle name="Separador de milhares 7 11 2 3" xfId="8964" xr:uid="{00000000-0005-0000-0000-0000F8510000}"/>
    <cellStyle name="Separador de milhares 7 11 2 3 2" xfId="17716" xr:uid="{00000000-0005-0000-0000-0000F9510000}"/>
    <cellStyle name="Separador de milhares 7 11 2 4" xfId="12174" xr:uid="{00000000-0005-0000-0000-0000FA510000}"/>
    <cellStyle name="Separador de milhares 7 11 2 4 2" xfId="20861" xr:uid="{00000000-0005-0000-0000-0000FB510000}"/>
    <cellStyle name="Separador de milhares 7 11 2 5" xfId="13782" xr:uid="{00000000-0005-0000-0000-0000FC510000}"/>
    <cellStyle name="Separador de milhares 7 11 2 5 2" xfId="22462" xr:uid="{00000000-0005-0000-0000-0000FD510000}"/>
    <cellStyle name="Separador de milhares 7 11 2 6" xfId="15979" xr:uid="{00000000-0005-0000-0000-0000FE510000}"/>
    <cellStyle name="Separador de milhares 7 11 3" xfId="4346" xr:uid="{00000000-0005-0000-0000-0000FF510000}"/>
    <cellStyle name="Separador de milhares 7 11 4" xfId="4347" xr:uid="{00000000-0005-0000-0000-000000520000}"/>
    <cellStyle name="Separador de milhares 7 11 5" xfId="4348" xr:uid="{00000000-0005-0000-0000-000001520000}"/>
    <cellStyle name="Separador de milhares 7 11 6" xfId="4349" xr:uid="{00000000-0005-0000-0000-000002520000}"/>
    <cellStyle name="Separador de milhares 7 11 7" xfId="4350" xr:uid="{00000000-0005-0000-0000-000003520000}"/>
    <cellStyle name="Separador de milhares 7 12" xfId="4351" xr:uid="{00000000-0005-0000-0000-000004520000}"/>
    <cellStyle name="Separador de milhares 7 13" xfId="4352" xr:uid="{00000000-0005-0000-0000-000005520000}"/>
    <cellStyle name="Separador de milhares 7 14" xfId="4353" xr:uid="{00000000-0005-0000-0000-000006520000}"/>
    <cellStyle name="Separador de milhares 7 14 2" xfId="4354" xr:uid="{00000000-0005-0000-0000-000007520000}"/>
    <cellStyle name="Separador de milhares 7 14 2 2" xfId="10417" xr:uid="{00000000-0005-0000-0000-000008520000}"/>
    <cellStyle name="Separador de milhares 7 14 2 2 2" xfId="19167" xr:uid="{00000000-0005-0000-0000-000009520000}"/>
    <cellStyle name="Separador de milhares 7 14 2 3" xfId="8965" xr:uid="{00000000-0005-0000-0000-00000A520000}"/>
    <cellStyle name="Separador de milhares 7 14 2 3 2" xfId="17717" xr:uid="{00000000-0005-0000-0000-00000B520000}"/>
    <cellStyle name="Separador de milhares 7 14 2 4" xfId="12175" xr:uid="{00000000-0005-0000-0000-00000C520000}"/>
    <cellStyle name="Separador de milhares 7 14 2 4 2" xfId="20862" xr:uid="{00000000-0005-0000-0000-00000D520000}"/>
    <cellStyle name="Separador de milhares 7 14 2 5" xfId="13783" xr:uid="{00000000-0005-0000-0000-00000E520000}"/>
    <cellStyle name="Separador de milhares 7 14 2 5 2" xfId="22463" xr:uid="{00000000-0005-0000-0000-00000F520000}"/>
    <cellStyle name="Separador de milhares 7 14 2 6" xfId="15980" xr:uid="{00000000-0005-0000-0000-000010520000}"/>
    <cellStyle name="Separador de milhares 7 15" xfId="4355" xr:uid="{00000000-0005-0000-0000-000011520000}"/>
    <cellStyle name="Separador de milhares 7 15 2" xfId="10418" xr:uid="{00000000-0005-0000-0000-000012520000}"/>
    <cellStyle name="Separador de milhares 7 15 2 2" xfId="19168" xr:uid="{00000000-0005-0000-0000-000013520000}"/>
    <cellStyle name="Separador de milhares 7 15 3" xfId="8966" xr:uid="{00000000-0005-0000-0000-000014520000}"/>
    <cellStyle name="Separador de milhares 7 15 3 2" xfId="17718" xr:uid="{00000000-0005-0000-0000-000015520000}"/>
    <cellStyle name="Separador de milhares 7 15 4" xfId="12176" xr:uid="{00000000-0005-0000-0000-000016520000}"/>
    <cellStyle name="Separador de milhares 7 15 4 2" xfId="20863" xr:uid="{00000000-0005-0000-0000-000017520000}"/>
    <cellStyle name="Separador de milhares 7 15 5" xfId="13784" xr:uid="{00000000-0005-0000-0000-000018520000}"/>
    <cellStyle name="Separador de milhares 7 15 5 2" xfId="22464" xr:uid="{00000000-0005-0000-0000-000019520000}"/>
    <cellStyle name="Separador de milhares 7 15 6" xfId="15981" xr:uid="{00000000-0005-0000-0000-00001A520000}"/>
    <cellStyle name="Separador de milhares 7 16" xfId="4356" xr:uid="{00000000-0005-0000-0000-00001B520000}"/>
    <cellStyle name="Separador de milhares 7 17" xfId="4357" xr:uid="{00000000-0005-0000-0000-00001C520000}"/>
    <cellStyle name="Separador de milhares 7 18" xfId="4358" xr:uid="{00000000-0005-0000-0000-00001D520000}"/>
    <cellStyle name="Separador de milhares 7 18 2" xfId="10419" xr:uid="{00000000-0005-0000-0000-00001E520000}"/>
    <cellStyle name="Separador de milhares 7 18 2 2" xfId="19169" xr:uid="{00000000-0005-0000-0000-00001F520000}"/>
    <cellStyle name="Separador de milhares 7 18 3" xfId="8967" xr:uid="{00000000-0005-0000-0000-000020520000}"/>
    <cellStyle name="Separador de milhares 7 18 3 2" xfId="17719" xr:uid="{00000000-0005-0000-0000-000021520000}"/>
    <cellStyle name="Separador de milhares 7 18 4" xfId="12177" xr:uid="{00000000-0005-0000-0000-000022520000}"/>
    <cellStyle name="Separador de milhares 7 18 4 2" xfId="20864" xr:uid="{00000000-0005-0000-0000-000023520000}"/>
    <cellStyle name="Separador de milhares 7 18 5" xfId="13785" xr:uid="{00000000-0005-0000-0000-000024520000}"/>
    <cellStyle name="Separador de milhares 7 18 5 2" xfId="22465" xr:uid="{00000000-0005-0000-0000-000025520000}"/>
    <cellStyle name="Separador de milhares 7 18 6" xfId="15982" xr:uid="{00000000-0005-0000-0000-000026520000}"/>
    <cellStyle name="Separador de milhares 7 19" xfId="8963" xr:uid="{00000000-0005-0000-0000-000027520000}"/>
    <cellStyle name="Separador de milhares 7 19 2" xfId="17715" xr:uid="{00000000-0005-0000-0000-000028520000}"/>
    <cellStyle name="Separador de milhares 7 2" xfId="4359" xr:uid="{00000000-0005-0000-0000-000029520000}"/>
    <cellStyle name="Separador de milhares 7 2 2" xfId="4360" xr:uid="{00000000-0005-0000-0000-00002A520000}"/>
    <cellStyle name="Separador de milhares 7 2 2 10" xfId="12178" xr:uid="{00000000-0005-0000-0000-00002B520000}"/>
    <cellStyle name="Separador de milhares 7 2 2 10 2" xfId="20865" xr:uid="{00000000-0005-0000-0000-00002C520000}"/>
    <cellStyle name="Separador de milhares 7 2 2 11" xfId="13786" xr:uid="{00000000-0005-0000-0000-00002D520000}"/>
    <cellStyle name="Separador de milhares 7 2 2 11 2" xfId="22466" xr:uid="{00000000-0005-0000-0000-00002E520000}"/>
    <cellStyle name="Separador de milhares 7 2 2 12" xfId="15983" xr:uid="{00000000-0005-0000-0000-00002F520000}"/>
    <cellStyle name="Separador de milhares 7 2 2 2" xfId="4361" xr:uid="{00000000-0005-0000-0000-000030520000}"/>
    <cellStyle name="Separador de milhares 7 2 2 2 2" xfId="8969" xr:uid="{00000000-0005-0000-0000-000031520000}"/>
    <cellStyle name="Separador de milhares 7 2 2 2 2 2" xfId="17721" xr:uid="{00000000-0005-0000-0000-000032520000}"/>
    <cellStyle name="Separador de milhares 7 2 2 2 3" xfId="12179" xr:uid="{00000000-0005-0000-0000-000033520000}"/>
    <cellStyle name="Separador de milhares 7 2 2 2 3 2" xfId="20866" xr:uid="{00000000-0005-0000-0000-000034520000}"/>
    <cellStyle name="Separador de milhares 7 2 2 2 4" xfId="13787" xr:uid="{00000000-0005-0000-0000-000035520000}"/>
    <cellStyle name="Separador de milhares 7 2 2 2 4 2" xfId="22467" xr:uid="{00000000-0005-0000-0000-000036520000}"/>
    <cellStyle name="Separador de milhares 7 2 2 2 5" xfId="15984" xr:uid="{00000000-0005-0000-0000-000037520000}"/>
    <cellStyle name="Separador de milhares 7 2 2 3" xfId="4362" xr:uid="{00000000-0005-0000-0000-000038520000}"/>
    <cellStyle name="Separador de milhares 7 2 2 3 2" xfId="8970" xr:uid="{00000000-0005-0000-0000-000039520000}"/>
    <cellStyle name="Separador de milhares 7 2 2 3 2 2" xfId="17722" xr:uid="{00000000-0005-0000-0000-00003A520000}"/>
    <cellStyle name="Separador de milhares 7 2 2 3 3" xfId="12180" xr:uid="{00000000-0005-0000-0000-00003B520000}"/>
    <cellStyle name="Separador de milhares 7 2 2 3 3 2" xfId="20867" xr:uid="{00000000-0005-0000-0000-00003C520000}"/>
    <cellStyle name="Separador de milhares 7 2 2 3 4" xfId="13788" xr:uid="{00000000-0005-0000-0000-00003D520000}"/>
    <cellStyle name="Separador de milhares 7 2 2 3 4 2" xfId="22468" xr:uid="{00000000-0005-0000-0000-00003E520000}"/>
    <cellStyle name="Separador de milhares 7 2 2 3 5" xfId="15985" xr:uid="{00000000-0005-0000-0000-00003F520000}"/>
    <cellStyle name="Separador de milhares 7 2 2 4" xfId="4363" xr:uid="{00000000-0005-0000-0000-000040520000}"/>
    <cellStyle name="Separador de milhares 7 2 2 4 2" xfId="8971" xr:uid="{00000000-0005-0000-0000-000041520000}"/>
    <cellStyle name="Separador de milhares 7 2 2 4 2 2" xfId="17723" xr:uid="{00000000-0005-0000-0000-000042520000}"/>
    <cellStyle name="Separador de milhares 7 2 2 4 3" xfId="12181" xr:uid="{00000000-0005-0000-0000-000043520000}"/>
    <cellStyle name="Separador de milhares 7 2 2 4 3 2" xfId="20868" xr:uid="{00000000-0005-0000-0000-000044520000}"/>
    <cellStyle name="Separador de milhares 7 2 2 4 4" xfId="13789" xr:uid="{00000000-0005-0000-0000-000045520000}"/>
    <cellStyle name="Separador de milhares 7 2 2 4 4 2" xfId="22469" xr:uid="{00000000-0005-0000-0000-000046520000}"/>
    <cellStyle name="Separador de milhares 7 2 2 4 5" xfId="15986" xr:uid="{00000000-0005-0000-0000-000047520000}"/>
    <cellStyle name="Separador de milhares 7 2 2 5" xfId="4364" xr:uid="{00000000-0005-0000-0000-000048520000}"/>
    <cellStyle name="Separador de milhares 7 2 2 5 2" xfId="8972" xr:uid="{00000000-0005-0000-0000-000049520000}"/>
    <cellStyle name="Separador de milhares 7 2 2 5 2 2" xfId="17724" xr:uid="{00000000-0005-0000-0000-00004A520000}"/>
    <cellStyle name="Separador de milhares 7 2 2 5 3" xfId="12182" xr:uid="{00000000-0005-0000-0000-00004B520000}"/>
    <cellStyle name="Separador de milhares 7 2 2 5 3 2" xfId="20869" xr:uid="{00000000-0005-0000-0000-00004C520000}"/>
    <cellStyle name="Separador de milhares 7 2 2 5 4" xfId="13790" xr:uid="{00000000-0005-0000-0000-00004D520000}"/>
    <cellStyle name="Separador de milhares 7 2 2 5 4 2" xfId="22470" xr:uid="{00000000-0005-0000-0000-00004E520000}"/>
    <cellStyle name="Separador de milhares 7 2 2 5 5" xfId="15987" xr:uid="{00000000-0005-0000-0000-00004F520000}"/>
    <cellStyle name="Separador de milhares 7 2 2 6" xfId="4365" xr:uid="{00000000-0005-0000-0000-000050520000}"/>
    <cellStyle name="Separador de milhares 7 2 2 6 2" xfId="8973" xr:uid="{00000000-0005-0000-0000-000051520000}"/>
    <cellStyle name="Separador de milhares 7 2 2 6 2 2" xfId="17725" xr:uid="{00000000-0005-0000-0000-000052520000}"/>
    <cellStyle name="Separador de milhares 7 2 2 6 3" xfId="12183" xr:uid="{00000000-0005-0000-0000-000053520000}"/>
    <cellStyle name="Separador de milhares 7 2 2 6 3 2" xfId="20870" xr:uid="{00000000-0005-0000-0000-000054520000}"/>
    <cellStyle name="Separador de milhares 7 2 2 6 4" xfId="13791" xr:uid="{00000000-0005-0000-0000-000055520000}"/>
    <cellStyle name="Separador de milhares 7 2 2 6 4 2" xfId="22471" xr:uid="{00000000-0005-0000-0000-000056520000}"/>
    <cellStyle name="Separador de milhares 7 2 2 6 5" xfId="15988" xr:uid="{00000000-0005-0000-0000-000057520000}"/>
    <cellStyle name="Separador de milhares 7 2 2 7" xfId="4366" xr:uid="{00000000-0005-0000-0000-000058520000}"/>
    <cellStyle name="Separador de milhares 7 2 2 7 2" xfId="8974" xr:uid="{00000000-0005-0000-0000-000059520000}"/>
    <cellStyle name="Separador de milhares 7 2 2 7 2 2" xfId="17726" xr:uid="{00000000-0005-0000-0000-00005A520000}"/>
    <cellStyle name="Separador de milhares 7 2 2 7 3" xfId="12184" xr:uid="{00000000-0005-0000-0000-00005B520000}"/>
    <cellStyle name="Separador de milhares 7 2 2 7 3 2" xfId="20871" xr:uid="{00000000-0005-0000-0000-00005C520000}"/>
    <cellStyle name="Separador de milhares 7 2 2 7 4" xfId="13792" xr:uid="{00000000-0005-0000-0000-00005D520000}"/>
    <cellStyle name="Separador de milhares 7 2 2 7 4 2" xfId="22472" xr:uid="{00000000-0005-0000-0000-00005E520000}"/>
    <cellStyle name="Separador de milhares 7 2 2 7 5" xfId="15989" xr:uid="{00000000-0005-0000-0000-00005F520000}"/>
    <cellStyle name="Separador de milhares 7 2 2 8" xfId="10420" xr:uid="{00000000-0005-0000-0000-000060520000}"/>
    <cellStyle name="Separador de milhares 7 2 2 8 2" xfId="19170" xr:uid="{00000000-0005-0000-0000-000061520000}"/>
    <cellStyle name="Separador de milhares 7 2 2 9" xfId="8968" xr:uid="{00000000-0005-0000-0000-000062520000}"/>
    <cellStyle name="Separador de milhares 7 2 2 9 2" xfId="17720" xr:uid="{00000000-0005-0000-0000-000063520000}"/>
    <cellStyle name="Separador de milhares 7 2 3" xfId="4367" xr:uid="{00000000-0005-0000-0000-000064520000}"/>
    <cellStyle name="Separador de milhares 7 2 4" xfId="4368" xr:uid="{00000000-0005-0000-0000-000065520000}"/>
    <cellStyle name="Separador de milhares 7 2 4 2" xfId="10421" xr:uid="{00000000-0005-0000-0000-000066520000}"/>
    <cellStyle name="Separador de milhares 7 2 4 2 2" xfId="19171" xr:uid="{00000000-0005-0000-0000-000067520000}"/>
    <cellStyle name="Separador de milhares 7 2 4 3" xfId="8975" xr:uid="{00000000-0005-0000-0000-000068520000}"/>
    <cellStyle name="Separador de milhares 7 2 4 3 2" xfId="17727" xr:uid="{00000000-0005-0000-0000-000069520000}"/>
    <cellStyle name="Separador de milhares 7 2 4 4" xfId="12185" xr:uid="{00000000-0005-0000-0000-00006A520000}"/>
    <cellStyle name="Separador de milhares 7 2 4 4 2" xfId="20872" xr:uid="{00000000-0005-0000-0000-00006B520000}"/>
    <cellStyle name="Separador de milhares 7 2 4 5" xfId="13793" xr:uid="{00000000-0005-0000-0000-00006C520000}"/>
    <cellStyle name="Separador de milhares 7 2 4 5 2" xfId="22473" xr:uid="{00000000-0005-0000-0000-00006D520000}"/>
    <cellStyle name="Separador de milhares 7 2 4 6" xfId="15990" xr:uid="{00000000-0005-0000-0000-00006E520000}"/>
    <cellStyle name="Separador de milhares 7 2 5" xfId="4369" xr:uid="{00000000-0005-0000-0000-00006F520000}"/>
    <cellStyle name="Separador de milhares 7 2 6" xfId="4370" xr:uid="{00000000-0005-0000-0000-000070520000}"/>
    <cellStyle name="Separador de milhares 7 2 7" xfId="4371" xr:uid="{00000000-0005-0000-0000-000071520000}"/>
    <cellStyle name="Separador de milhares 7 2 8" xfId="4372" xr:uid="{00000000-0005-0000-0000-000072520000}"/>
    <cellStyle name="Separador de milhares 7 2 9" xfId="4373" xr:uid="{00000000-0005-0000-0000-000073520000}"/>
    <cellStyle name="Separador de milhares 7 2 9 2" xfId="8976" xr:uid="{00000000-0005-0000-0000-000074520000}"/>
    <cellStyle name="Separador de milhares 7 2 9 2 2" xfId="17728" xr:uid="{00000000-0005-0000-0000-000075520000}"/>
    <cellStyle name="Separador de milhares 7 2 9 3" xfId="12186" xr:uid="{00000000-0005-0000-0000-000076520000}"/>
    <cellStyle name="Separador de milhares 7 2 9 3 2" xfId="20873" xr:uid="{00000000-0005-0000-0000-000077520000}"/>
    <cellStyle name="Separador de milhares 7 2 9 4" xfId="13794" xr:uid="{00000000-0005-0000-0000-000078520000}"/>
    <cellStyle name="Separador de milhares 7 2 9 4 2" xfId="22474" xr:uid="{00000000-0005-0000-0000-000079520000}"/>
    <cellStyle name="Separador de milhares 7 2 9 5" xfId="15991" xr:uid="{00000000-0005-0000-0000-00007A520000}"/>
    <cellStyle name="Separador de milhares 7 20" xfId="12173" xr:uid="{00000000-0005-0000-0000-00007B520000}"/>
    <cellStyle name="Separador de milhares 7 20 2" xfId="20860" xr:uid="{00000000-0005-0000-0000-00007C520000}"/>
    <cellStyle name="Separador de milhares 7 21" xfId="13781" xr:uid="{00000000-0005-0000-0000-00007D520000}"/>
    <cellStyle name="Separador de milhares 7 21 2" xfId="22461" xr:uid="{00000000-0005-0000-0000-00007E520000}"/>
    <cellStyle name="Separador de milhares 7 22" xfId="13924" xr:uid="{00000000-0005-0000-0000-00007F520000}"/>
    <cellStyle name="Separador de milhares 7 23" xfId="15978" xr:uid="{00000000-0005-0000-0000-000080520000}"/>
    <cellStyle name="Separador de milhares 7 3" xfId="4374" xr:uid="{00000000-0005-0000-0000-000081520000}"/>
    <cellStyle name="Separador de milhares 7 3 10" xfId="8977" xr:uid="{00000000-0005-0000-0000-000082520000}"/>
    <cellStyle name="Separador de milhares 7 3 10 2" xfId="17729" xr:uid="{00000000-0005-0000-0000-000083520000}"/>
    <cellStyle name="Separador de milhares 7 3 11" xfId="12187" xr:uid="{00000000-0005-0000-0000-000084520000}"/>
    <cellStyle name="Separador de milhares 7 3 11 2" xfId="20874" xr:uid="{00000000-0005-0000-0000-000085520000}"/>
    <cellStyle name="Separador de milhares 7 3 12" xfId="13795" xr:uid="{00000000-0005-0000-0000-000086520000}"/>
    <cellStyle name="Separador de milhares 7 3 12 2" xfId="22475" xr:uid="{00000000-0005-0000-0000-000087520000}"/>
    <cellStyle name="Separador de milhares 7 3 13" xfId="15992" xr:uid="{00000000-0005-0000-0000-000088520000}"/>
    <cellStyle name="Separador de milhares 7 3 2" xfId="4375" xr:uid="{00000000-0005-0000-0000-000089520000}"/>
    <cellStyle name="Separador de milhares 7 3 3" xfId="4376" xr:uid="{00000000-0005-0000-0000-00008A520000}"/>
    <cellStyle name="Separador de milhares 7 3 4" xfId="4377" xr:uid="{00000000-0005-0000-0000-00008B520000}"/>
    <cellStyle name="Separador de milhares 7 3 5" xfId="4378" xr:uid="{00000000-0005-0000-0000-00008C520000}"/>
    <cellStyle name="Separador de milhares 7 3 6" xfId="4379" xr:uid="{00000000-0005-0000-0000-00008D520000}"/>
    <cellStyle name="Separador de milhares 7 3 7" xfId="4380" xr:uid="{00000000-0005-0000-0000-00008E520000}"/>
    <cellStyle name="Separador de milhares 7 3 8" xfId="4381" xr:uid="{00000000-0005-0000-0000-00008F520000}"/>
    <cellStyle name="Separador de milhares 7 3 8 2" xfId="8978" xr:uid="{00000000-0005-0000-0000-000090520000}"/>
    <cellStyle name="Separador de milhares 7 3 8 2 2" xfId="17730" xr:uid="{00000000-0005-0000-0000-000091520000}"/>
    <cellStyle name="Separador de milhares 7 3 8 3" xfId="12188" xr:uid="{00000000-0005-0000-0000-000092520000}"/>
    <cellStyle name="Separador de milhares 7 3 8 3 2" xfId="20875" xr:uid="{00000000-0005-0000-0000-000093520000}"/>
    <cellStyle name="Separador de milhares 7 3 8 4" xfId="13796" xr:uid="{00000000-0005-0000-0000-000094520000}"/>
    <cellStyle name="Separador de milhares 7 3 8 4 2" xfId="22476" xr:uid="{00000000-0005-0000-0000-000095520000}"/>
    <cellStyle name="Separador de milhares 7 3 8 5" xfId="15993" xr:uid="{00000000-0005-0000-0000-000096520000}"/>
    <cellStyle name="Separador de milhares 7 3 9" xfId="10422" xr:uid="{00000000-0005-0000-0000-000097520000}"/>
    <cellStyle name="Separador de milhares 7 3 9 2" xfId="19172" xr:uid="{00000000-0005-0000-0000-000098520000}"/>
    <cellStyle name="Separador de milhares 7 4" xfId="4382" xr:uid="{00000000-0005-0000-0000-000099520000}"/>
    <cellStyle name="Separador de milhares 7 4 10" xfId="8979" xr:uid="{00000000-0005-0000-0000-00009A520000}"/>
    <cellStyle name="Separador de milhares 7 4 10 2" xfId="17731" xr:uid="{00000000-0005-0000-0000-00009B520000}"/>
    <cellStyle name="Separador de milhares 7 4 11" xfId="12189" xr:uid="{00000000-0005-0000-0000-00009C520000}"/>
    <cellStyle name="Separador de milhares 7 4 11 2" xfId="20876" xr:uid="{00000000-0005-0000-0000-00009D520000}"/>
    <cellStyle name="Separador de milhares 7 4 12" xfId="13797" xr:uid="{00000000-0005-0000-0000-00009E520000}"/>
    <cellStyle name="Separador de milhares 7 4 12 2" xfId="22477" xr:uid="{00000000-0005-0000-0000-00009F520000}"/>
    <cellStyle name="Separador de milhares 7 4 13" xfId="15994" xr:uid="{00000000-0005-0000-0000-0000A0520000}"/>
    <cellStyle name="Separador de milhares 7 4 2" xfId="4383" xr:uid="{00000000-0005-0000-0000-0000A1520000}"/>
    <cellStyle name="Separador de milhares 7 4 3" xfId="4384" xr:uid="{00000000-0005-0000-0000-0000A2520000}"/>
    <cellStyle name="Separador de milhares 7 4 4" xfId="4385" xr:uid="{00000000-0005-0000-0000-0000A3520000}"/>
    <cellStyle name="Separador de milhares 7 4 5" xfId="4386" xr:uid="{00000000-0005-0000-0000-0000A4520000}"/>
    <cellStyle name="Separador de milhares 7 4 6" xfId="4387" xr:uid="{00000000-0005-0000-0000-0000A5520000}"/>
    <cellStyle name="Separador de milhares 7 4 7" xfId="4388" xr:uid="{00000000-0005-0000-0000-0000A6520000}"/>
    <cellStyle name="Separador de milhares 7 4 8" xfId="4389" xr:uid="{00000000-0005-0000-0000-0000A7520000}"/>
    <cellStyle name="Separador de milhares 7 4 8 2" xfId="8980" xr:uid="{00000000-0005-0000-0000-0000A8520000}"/>
    <cellStyle name="Separador de milhares 7 4 8 2 2" xfId="17732" xr:uid="{00000000-0005-0000-0000-0000A9520000}"/>
    <cellStyle name="Separador de milhares 7 4 8 3" xfId="12190" xr:uid="{00000000-0005-0000-0000-0000AA520000}"/>
    <cellStyle name="Separador de milhares 7 4 8 3 2" xfId="20877" xr:uid="{00000000-0005-0000-0000-0000AB520000}"/>
    <cellStyle name="Separador de milhares 7 4 8 4" xfId="13798" xr:uid="{00000000-0005-0000-0000-0000AC520000}"/>
    <cellStyle name="Separador de milhares 7 4 8 4 2" xfId="22478" xr:uid="{00000000-0005-0000-0000-0000AD520000}"/>
    <cellStyle name="Separador de milhares 7 4 8 5" xfId="15995" xr:uid="{00000000-0005-0000-0000-0000AE520000}"/>
    <cellStyle name="Separador de milhares 7 4 9" xfId="10423" xr:uid="{00000000-0005-0000-0000-0000AF520000}"/>
    <cellStyle name="Separador de milhares 7 4 9 2" xfId="19173" xr:uid="{00000000-0005-0000-0000-0000B0520000}"/>
    <cellStyle name="Separador de milhares 7 5" xfId="4390" xr:uid="{00000000-0005-0000-0000-0000B1520000}"/>
    <cellStyle name="Separador de milhares 7 5 2" xfId="4391" xr:uid="{00000000-0005-0000-0000-0000B2520000}"/>
    <cellStyle name="Separador de milhares 7 5 2 2" xfId="10424" xr:uid="{00000000-0005-0000-0000-0000B3520000}"/>
    <cellStyle name="Separador de milhares 7 5 2 2 2" xfId="19174" xr:uid="{00000000-0005-0000-0000-0000B4520000}"/>
    <cellStyle name="Separador de milhares 7 5 2 3" xfId="8981" xr:uid="{00000000-0005-0000-0000-0000B5520000}"/>
    <cellStyle name="Separador de milhares 7 5 2 3 2" xfId="17733" xr:uid="{00000000-0005-0000-0000-0000B6520000}"/>
    <cellStyle name="Separador de milhares 7 5 2 4" xfId="12191" xr:uid="{00000000-0005-0000-0000-0000B7520000}"/>
    <cellStyle name="Separador de milhares 7 5 2 4 2" xfId="20878" xr:uid="{00000000-0005-0000-0000-0000B8520000}"/>
    <cellStyle name="Separador de milhares 7 5 2 5" xfId="13799" xr:uid="{00000000-0005-0000-0000-0000B9520000}"/>
    <cellStyle name="Separador de milhares 7 5 2 5 2" xfId="22479" xr:uid="{00000000-0005-0000-0000-0000BA520000}"/>
    <cellStyle name="Separador de milhares 7 5 2 6" xfId="15996" xr:uid="{00000000-0005-0000-0000-0000BB520000}"/>
    <cellStyle name="Separador de milhares 7 5 3" xfId="4392" xr:uid="{00000000-0005-0000-0000-0000BC520000}"/>
    <cellStyle name="Separador de milhares 7 5 3 2" xfId="10425" xr:uid="{00000000-0005-0000-0000-0000BD520000}"/>
    <cellStyle name="Separador de milhares 7 5 3 2 2" xfId="19175" xr:uid="{00000000-0005-0000-0000-0000BE520000}"/>
    <cellStyle name="Separador de milhares 7 5 3 3" xfId="8982" xr:uid="{00000000-0005-0000-0000-0000BF520000}"/>
    <cellStyle name="Separador de milhares 7 5 3 3 2" xfId="17734" xr:uid="{00000000-0005-0000-0000-0000C0520000}"/>
    <cellStyle name="Separador de milhares 7 5 3 4" xfId="12192" xr:uid="{00000000-0005-0000-0000-0000C1520000}"/>
    <cellStyle name="Separador de milhares 7 5 3 4 2" xfId="20879" xr:uid="{00000000-0005-0000-0000-0000C2520000}"/>
    <cellStyle name="Separador de milhares 7 5 3 5" xfId="13800" xr:uid="{00000000-0005-0000-0000-0000C3520000}"/>
    <cellStyle name="Separador de milhares 7 5 3 5 2" xfId="22480" xr:uid="{00000000-0005-0000-0000-0000C4520000}"/>
    <cellStyle name="Separador de milhares 7 5 3 6" xfId="15997" xr:uid="{00000000-0005-0000-0000-0000C5520000}"/>
    <cellStyle name="Separador de milhares 7 5 4" xfId="4393" xr:uid="{00000000-0005-0000-0000-0000C6520000}"/>
    <cellStyle name="Separador de milhares 7 5 5" xfId="4394" xr:uid="{00000000-0005-0000-0000-0000C7520000}"/>
    <cellStyle name="Separador de milhares 7 5 6" xfId="4395" xr:uid="{00000000-0005-0000-0000-0000C8520000}"/>
    <cellStyle name="Separador de milhares 7 5 7" xfId="4396" xr:uid="{00000000-0005-0000-0000-0000C9520000}"/>
    <cellStyle name="Separador de milhares 7 5 8" xfId="4397" xr:uid="{00000000-0005-0000-0000-0000CA520000}"/>
    <cellStyle name="Separador de milhares 7 5 8 2" xfId="8983" xr:uid="{00000000-0005-0000-0000-0000CB520000}"/>
    <cellStyle name="Separador de milhares 7 5 8 2 2" xfId="17735" xr:uid="{00000000-0005-0000-0000-0000CC520000}"/>
    <cellStyle name="Separador de milhares 7 5 8 3" xfId="12193" xr:uid="{00000000-0005-0000-0000-0000CD520000}"/>
    <cellStyle name="Separador de milhares 7 5 8 3 2" xfId="20880" xr:uid="{00000000-0005-0000-0000-0000CE520000}"/>
    <cellStyle name="Separador de milhares 7 5 8 4" xfId="13801" xr:uid="{00000000-0005-0000-0000-0000CF520000}"/>
    <cellStyle name="Separador de milhares 7 5 8 4 2" xfId="22481" xr:uid="{00000000-0005-0000-0000-0000D0520000}"/>
    <cellStyle name="Separador de milhares 7 5 8 5" xfId="15998" xr:uid="{00000000-0005-0000-0000-0000D1520000}"/>
    <cellStyle name="Separador de milhares 7 6" xfId="4398" xr:uid="{00000000-0005-0000-0000-0000D2520000}"/>
    <cellStyle name="Separador de milhares 7 6 10" xfId="8984" xr:uid="{00000000-0005-0000-0000-0000D3520000}"/>
    <cellStyle name="Separador de milhares 7 6 10 2" xfId="17736" xr:uid="{00000000-0005-0000-0000-0000D4520000}"/>
    <cellStyle name="Separador de milhares 7 6 11" xfId="12194" xr:uid="{00000000-0005-0000-0000-0000D5520000}"/>
    <cellStyle name="Separador de milhares 7 6 11 2" xfId="20881" xr:uid="{00000000-0005-0000-0000-0000D6520000}"/>
    <cellStyle name="Separador de milhares 7 6 12" xfId="13802" xr:uid="{00000000-0005-0000-0000-0000D7520000}"/>
    <cellStyle name="Separador de milhares 7 6 12 2" xfId="22482" xr:uid="{00000000-0005-0000-0000-0000D8520000}"/>
    <cellStyle name="Separador de milhares 7 6 13" xfId="15999" xr:uid="{00000000-0005-0000-0000-0000D9520000}"/>
    <cellStyle name="Separador de milhares 7 6 2" xfId="4399" xr:uid="{00000000-0005-0000-0000-0000DA520000}"/>
    <cellStyle name="Separador de milhares 7 6 2 2" xfId="10427" xr:uid="{00000000-0005-0000-0000-0000DB520000}"/>
    <cellStyle name="Separador de milhares 7 6 2 2 2" xfId="19177" xr:uid="{00000000-0005-0000-0000-0000DC520000}"/>
    <cellStyle name="Separador de milhares 7 6 2 3" xfId="8985" xr:uid="{00000000-0005-0000-0000-0000DD520000}"/>
    <cellStyle name="Separador de milhares 7 6 2 3 2" xfId="17737" xr:uid="{00000000-0005-0000-0000-0000DE520000}"/>
    <cellStyle name="Separador de milhares 7 6 2 4" xfId="12195" xr:uid="{00000000-0005-0000-0000-0000DF520000}"/>
    <cellStyle name="Separador de milhares 7 6 2 4 2" xfId="20882" xr:uid="{00000000-0005-0000-0000-0000E0520000}"/>
    <cellStyle name="Separador de milhares 7 6 2 5" xfId="13803" xr:uid="{00000000-0005-0000-0000-0000E1520000}"/>
    <cellStyle name="Separador de milhares 7 6 2 5 2" xfId="22483" xr:uid="{00000000-0005-0000-0000-0000E2520000}"/>
    <cellStyle name="Separador de milhares 7 6 2 6" xfId="16000" xr:uid="{00000000-0005-0000-0000-0000E3520000}"/>
    <cellStyle name="Separador de milhares 7 6 3" xfId="4400" xr:uid="{00000000-0005-0000-0000-0000E4520000}"/>
    <cellStyle name="Separador de milhares 7 6 4" xfId="4401" xr:uid="{00000000-0005-0000-0000-0000E5520000}"/>
    <cellStyle name="Separador de milhares 7 6 5" xfId="4402" xr:uid="{00000000-0005-0000-0000-0000E6520000}"/>
    <cellStyle name="Separador de milhares 7 6 6" xfId="4403" xr:uid="{00000000-0005-0000-0000-0000E7520000}"/>
    <cellStyle name="Separador de milhares 7 6 7" xfId="4404" xr:uid="{00000000-0005-0000-0000-0000E8520000}"/>
    <cellStyle name="Separador de milhares 7 6 8" xfId="4405" xr:uid="{00000000-0005-0000-0000-0000E9520000}"/>
    <cellStyle name="Separador de milhares 7 6 8 2" xfId="8986" xr:uid="{00000000-0005-0000-0000-0000EA520000}"/>
    <cellStyle name="Separador de milhares 7 6 8 2 2" xfId="17738" xr:uid="{00000000-0005-0000-0000-0000EB520000}"/>
    <cellStyle name="Separador de milhares 7 6 8 3" xfId="12196" xr:uid="{00000000-0005-0000-0000-0000EC520000}"/>
    <cellStyle name="Separador de milhares 7 6 8 3 2" xfId="20883" xr:uid="{00000000-0005-0000-0000-0000ED520000}"/>
    <cellStyle name="Separador de milhares 7 6 8 4" xfId="13804" xr:uid="{00000000-0005-0000-0000-0000EE520000}"/>
    <cellStyle name="Separador de milhares 7 6 8 4 2" xfId="22484" xr:uid="{00000000-0005-0000-0000-0000EF520000}"/>
    <cellStyle name="Separador de milhares 7 6 8 5" xfId="16001" xr:uid="{00000000-0005-0000-0000-0000F0520000}"/>
    <cellStyle name="Separador de milhares 7 6 9" xfId="10426" xr:uid="{00000000-0005-0000-0000-0000F1520000}"/>
    <cellStyle name="Separador de milhares 7 6 9 2" xfId="19176" xr:uid="{00000000-0005-0000-0000-0000F2520000}"/>
    <cellStyle name="Separador de milhares 7 7" xfId="4406" xr:uid="{00000000-0005-0000-0000-0000F3520000}"/>
    <cellStyle name="Separador de milhares 7 7 10" xfId="12197" xr:uid="{00000000-0005-0000-0000-0000F4520000}"/>
    <cellStyle name="Separador de milhares 7 7 10 2" xfId="20884" xr:uid="{00000000-0005-0000-0000-0000F5520000}"/>
    <cellStyle name="Separador de milhares 7 7 11" xfId="13805" xr:uid="{00000000-0005-0000-0000-0000F6520000}"/>
    <cellStyle name="Separador de milhares 7 7 11 2" xfId="22485" xr:uid="{00000000-0005-0000-0000-0000F7520000}"/>
    <cellStyle name="Separador de milhares 7 7 12" xfId="16002" xr:uid="{00000000-0005-0000-0000-0000F8520000}"/>
    <cellStyle name="Separador de milhares 7 7 2" xfId="4407" xr:uid="{00000000-0005-0000-0000-0000F9520000}"/>
    <cellStyle name="Separador de milhares 7 7 3" xfId="4408" xr:uid="{00000000-0005-0000-0000-0000FA520000}"/>
    <cellStyle name="Separador de milhares 7 7 4" xfId="4409" xr:uid="{00000000-0005-0000-0000-0000FB520000}"/>
    <cellStyle name="Separador de milhares 7 7 5" xfId="4410" xr:uid="{00000000-0005-0000-0000-0000FC520000}"/>
    <cellStyle name="Separador de milhares 7 7 6" xfId="4411" xr:uid="{00000000-0005-0000-0000-0000FD520000}"/>
    <cellStyle name="Separador de milhares 7 7 7" xfId="4412" xr:uid="{00000000-0005-0000-0000-0000FE520000}"/>
    <cellStyle name="Separador de milhares 7 7 8" xfId="10428" xr:uid="{00000000-0005-0000-0000-0000FF520000}"/>
    <cellStyle name="Separador de milhares 7 7 8 2" xfId="19178" xr:uid="{00000000-0005-0000-0000-000000530000}"/>
    <cellStyle name="Separador de milhares 7 7 9" xfId="8987" xr:uid="{00000000-0005-0000-0000-000001530000}"/>
    <cellStyle name="Separador de milhares 7 7 9 2" xfId="17739" xr:uid="{00000000-0005-0000-0000-000002530000}"/>
    <cellStyle name="Separador de milhares 7 8" xfId="4413" xr:uid="{00000000-0005-0000-0000-000003530000}"/>
    <cellStyle name="Separador de milhares 7 8 10" xfId="12198" xr:uid="{00000000-0005-0000-0000-000004530000}"/>
    <cellStyle name="Separador de milhares 7 8 10 2" xfId="20885" xr:uid="{00000000-0005-0000-0000-000005530000}"/>
    <cellStyle name="Separador de milhares 7 8 11" xfId="13806" xr:uid="{00000000-0005-0000-0000-000006530000}"/>
    <cellStyle name="Separador de milhares 7 8 11 2" xfId="22486" xr:uid="{00000000-0005-0000-0000-000007530000}"/>
    <cellStyle name="Separador de milhares 7 8 12" xfId="16003" xr:uid="{00000000-0005-0000-0000-000008530000}"/>
    <cellStyle name="Separador de milhares 7 8 2" xfId="4414" xr:uid="{00000000-0005-0000-0000-000009530000}"/>
    <cellStyle name="Separador de milhares 7 8 2 2" xfId="8989" xr:uid="{00000000-0005-0000-0000-00000A530000}"/>
    <cellStyle name="Separador de milhares 7 8 2 2 2" xfId="17741" xr:uid="{00000000-0005-0000-0000-00000B530000}"/>
    <cellStyle name="Separador de milhares 7 8 2 3" xfId="12199" xr:uid="{00000000-0005-0000-0000-00000C530000}"/>
    <cellStyle name="Separador de milhares 7 8 2 3 2" xfId="20886" xr:uid="{00000000-0005-0000-0000-00000D530000}"/>
    <cellStyle name="Separador de milhares 7 8 2 4" xfId="13807" xr:uid="{00000000-0005-0000-0000-00000E530000}"/>
    <cellStyle name="Separador de milhares 7 8 2 4 2" xfId="22487" xr:uid="{00000000-0005-0000-0000-00000F530000}"/>
    <cellStyle name="Separador de milhares 7 8 2 5" xfId="16004" xr:uid="{00000000-0005-0000-0000-000010530000}"/>
    <cellStyle name="Separador de milhares 7 8 3" xfId="4415" xr:uid="{00000000-0005-0000-0000-000011530000}"/>
    <cellStyle name="Separador de milhares 7 8 3 2" xfId="8990" xr:uid="{00000000-0005-0000-0000-000012530000}"/>
    <cellStyle name="Separador de milhares 7 8 3 2 2" xfId="17742" xr:uid="{00000000-0005-0000-0000-000013530000}"/>
    <cellStyle name="Separador de milhares 7 8 3 3" xfId="12200" xr:uid="{00000000-0005-0000-0000-000014530000}"/>
    <cellStyle name="Separador de milhares 7 8 3 3 2" xfId="20887" xr:uid="{00000000-0005-0000-0000-000015530000}"/>
    <cellStyle name="Separador de milhares 7 8 3 4" xfId="13808" xr:uid="{00000000-0005-0000-0000-000016530000}"/>
    <cellStyle name="Separador de milhares 7 8 3 4 2" xfId="22488" xr:uid="{00000000-0005-0000-0000-000017530000}"/>
    <cellStyle name="Separador de milhares 7 8 3 5" xfId="16005" xr:uid="{00000000-0005-0000-0000-000018530000}"/>
    <cellStyle name="Separador de milhares 7 8 4" xfId="4416" xr:uid="{00000000-0005-0000-0000-000019530000}"/>
    <cellStyle name="Separador de milhares 7 8 4 2" xfId="8991" xr:uid="{00000000-0005-0000-0000-00001A530000}"/>
    <cellStyle name="Separador de milhares 7 8 4 2 2" xfId="17743" xr:uid="{00000000-0005-0000-0000-00001B530000}"/>
    <cellStyle name="Separador de milhares 7 8 4 3" xfId="12201" xr:uid="{00000000-0005-0000-0000-00001C530000}"/>
    <cellStyle name="Separador de milhares 7 8 4 3 2" xfId="20888" xr:uid="{00000000-0005-0000-0000-00001D530000}"/>
    <cellStyle name="Separador de milhares 7 8 4 4" xfId="13809" xr:uid="{00000000-0005-0000-0000-00001E530000}"/>
    <cellStyle name="Separador de milhares 7 8 4 4 2" xfId="22489" xr:uid="{00000000-0005-0000-0000-00001F530000}"/>
    <cellStyle name="Separador de milhares 7 8 4 5" xfId="16006" xr:uid="{00000000-0005-0000-0000-000020530000}"/>
    <cellStyle name="Separador de milhares 7 8 5" xfId="4417" xr:uid="{00000000-0005-0000-0000-000021530000}"/>
    <cellStyle name="Separador de milhares 7 8 5 2" xfId="8992" xr:uid="{00000000-0005-0000-0000-000022530000}"/>
    <cellStyle name="Separador de milhares 7 8 5 2 2" xfId="17744" xr:uid="{00000000-0005-0000-0000-000023530000}"/>
    <cellStyle name="Separador de milhares 7 8 5 3" xfId="12202" xr:uid="{00000000-0005-0000-0000-000024530000}"/>
    <cellStyle name="Separador de milhares 7 8 5 3 2" xfId="20889" xr:uid="{00000000-0005-0000-0000-000025530000}"/>
    <cellStyle name="Separador de milhares 7 8 5 4" xfId="13810" xr:uid="{00000000-0005-0000-0000-000026530000}"/>
    <cellStyle name="Separador de milhares 7 8 5 4 2" xfId="22490" xr:uid="{00000000-0005-0000-0000-000027530000}"/>
    <cellStyle name="Separador de milhares 7 8 5 5" xfId="16007" xr:uid="{00000000-0005-0000-0000-000028530000}"/>
    <cellStyle name="Separador de milhares 7 8 6" xfId="4418" xr:uid="{00000000-0005-0000-0000-000029530000}"/>
    <cellStyle name="Separador de milhares 7 8 6 2" xfId="8993" xr:uid="{00000000-0005-0000-0000-00002A530000}"/>
    <cellStyle name="Separador de milhares 7 8 6 2 2" xfId="17745" xr:uid="{00000000-0005-0000-0000-00002B530000}"/>
    <cellStyle name="Separador de milhares 7 8 6 3" xfId="12203" xr:uid="{00000000-0005-0000-0000-00002C530000}"/>
    <cellStyle name="Separador de milhares 7 8 6 3 2" xfId="20890" xr:uid="{00000000-0005-0000-0000-00002D530000}"/>
    <cellStyle name="Separador de milhares 7 8 6 4" xfId="13811" xr:uid="{00000000-0005-0000-0000-00002E530000}"/>
    <cellStyle name="Separador de milhares 7 8 6 4 2" xfId="22491" xr:uid="{00000000-0005-0000-0000-00002F530000}"/>
    <cellStyle name="Separador de milhares 7 8 6 5" xfId="16008" xr:uid="{00000000-0005-0000-0000-000030530000}"/>
    <cellStyle name="Separador de milhares 7 8 7" xfId="4419" xr:uid="{00000000-0005-0000-0000-000031530000}"/>
    <cellStyle name="Separador de milhares 7 8 7 2" xfId="8994" xr:uid="{00000000-0005-0000-0000-000032530000}"/>
    <cellStyle name="Separador de milhares 7 8 7 2 2" xfId="17746" xr:uid="{00000000-0005-0000-0000-000033530000}"/>
    <cellStyle name="Separador de milhares 7 8 7 3" xfId="12204" xr:uid="{00000000-0005-0000-0000-000034530000}"/>
    <cellStyle name="Separador de milhares 7 8 7 3 2" xfId="20891" xr:uid="{00000000-0005-0000-0000-000035530000}"/>
    <cellStyle name="Separador de milhares 7 8 7 4" xfId="13812" xr:uid="{00000000-0005-0000-0000-000036530000}"/>
    <cellStyle name="Separador de milhares 7 8 7 4 2" xfId="22492" xr:uid="{00000000-0005-0000-0000-000037530000}"/>
    <cellStyle name="Separador de milhares 7 8 7 5" xfId="16009" xr:uid="{00000000-0005-0000-0000-000038530000}"/>
    <cellStyle name="Separador de milhares 7 8 8" xfId="10429" xr:uid="{00000000-0005-0000-0000-000039530000}"/>
    <cellStyle name="Separador de milhares 7 8 8 2" xfId="19179" xr:uid="{00000000-0005-0000-0000-00003A530000}"/>
    <cellStyle name="Separador de milhares 7 8 9" xfId="8988" xr:uid="{00000000-0005-0000-0000-00003B530000}"/>
    <cellStyle name="Separador de milhares 7 8 9 2" xfId="17740" xr:uid="{00000000-0005-0000-0000-00003C530000}"/>
    <cellStyle name="Separador de milhares 7 9" xfId="4420" xr:uid="{00000000-0005-0000-0000-00003D530000}"/>
    <cellStyle name="Separador de milhares 7 9 2" xfId="4421" xr:uid="{00000000-0005-0000-0000-00003E530000}"/>
    <cellStyle name="Separador de milhares 7 9 2 2" xfId="10430" xr:uid="{00000000-0005-0000-0000-00003F530000}"/>
    <cellStyle name="Separador de milhares 7 9 2 2 2" xfId="19180" xr:uid="{00000000-0005-0000-0000-000040530000}"/>
    <cellStyle name="Separador de milhares 7 9 2 3" xfId="8995" xr:uid="{00000000-0005-0000-0000-000041530000}"/>
    <cellStyle name="Separador de milhares 7 9 2 3 2" xfId="17747" xr:uid="{00000000-0005-0000-0000-000042530000}"/>
    <cellStyle name="Separador de milhares 7 9 2 4" xfId="12205" xr:uid="{00000000-0005-0000-0000-000043530000}"/>
    <cellStyle name="Separador de milhares 7 9 2 4 2" xfId="20892" xr:uid="{00000000-0005-0000-0000-000044530000}"/>
    <cellStyle name="Separador de milhares 7 9 2 5" xfId="13813" xr:uid="{00000000-0005-0000-0000-000045530000}"/>
    <cellStyle name="Separador de milhares 7 9 2 5 2" xfId="22493" xr:uid="{00000000-0005-0000-0000-000046530000}"/>
    <cellStyle name="Separador de milhares 7 9 2 6" xfId="16010" xr:uid="{00000000-0005-0000-0000-000047530000}"/>
    <cellStyle name="Separador de milhares 7 9 3" xfId="4422" xr:uid="{00000000-0005-0000-0000-000048530000}"/>
    <cellStyle name="Separador de milhares 7 9 4" xfId="4423" xr:uid="{00000000-0005-0000-0000-000049530000}"/>
    <cellStyle name="Separador de milhares 7 9 5" xfId="4424" xr:uid="{00000000-0005-0000-0000-00004A530000}"/>
    <cellStyle name="Separador de milhares 7 9 6" xfId="4425" xr:uid="{00000000-0005-0000-0000-00004B530000}"/>
    <cellStyle name="Separador de milhares 7 9 7" xfId="4426" xr:uid="{00000000-0005-0000-0000-00004C530000}"/>
    <cellStyle name="Separador de milhares 8" xfId="4427" xr:uid="{00000000-0005-0000-0000-00004D530000}"/>
    <cellStyle name="Separador de milhares 8 10" xfId="13945" xr:uid="{00000000-0005-0000-0000-00004E530000}"/>
    <cellStyle name="Separador de milhares 8 2" xfId="4428" xr:uid="{00000000-0005-0000-0000-00004F530000}"/>
    <cellStyle name="Separador de milhares 8 2 10" xfId="13815" xr:uid="{00000000-0005-0000-0000-000050530000}"/>
    <cellStyle name="Separador de milhares 8 2 10 2" xfId="22495" xr:uid="{00000000-0005-0000-0000-000051530000}"/>
    <cellStyle name="Separador de milhares 8 2 11" xfId="16011" xr:uid="{00000000-0005-0000-0000-000052530000}"/>
    <cellStyle name="Separador de milhares 8 2 2" xfId="4429" xr:uid="{00000000-0005-0000-0000-000053530000}"/>
    <cellStyle name="Separador de milhares 8 2 2 2" xfId="4430" xr:uid="{00000000-0005-0000-0000-000054530000}"/>
    <cellStyle name="Separador de milhares 8 2 2 2 2" xfId="10433" xr:uid="{00000000-0005-0000-0000-000055530000}"/>
    <cellStyle name="Separador de milhares 8 2 2 2 2 2" xfId="19183" xr:uid="{00000000-0005-0000-0000-000056530000}"/>
    <cellStyle name="Separador de milhares 8 2 2 2 3" xfId="8999" xr:uid="{00000000-0005-0000-0000-000057530000}"/>
    <cellStyle name="Separador de milhares 8 2 2 2 3 2" xfId="17751" xr:uid="{00000000-0005-0000-0000-000058530000}"/>
    <cellStyle name="Separador de milhares 8 2 2 2 4" xfId="12209" xr:uid="{00000000-0005-0000-0000-000059530000}"/>
    <cellStyle name="Separador de milhares 8 2 2 2 4 2" xfId="20896" xr:uid="{00000000-0005-0000-0000-00005A530000}"/>
    <cellStyle name="Separador de milhares 8 2 2 2 5" xfId="13817" xr:uid="{00000000-0005-0000-0000-00005B530000}"/>
    <cellStyle name="Separador de milhares 8 2 2 2 5 2" xfId="22497" xr:uid="{00000000-0005-0000-0000-00005C530000}"/>
    <cellStyle name="Separador de milhares 8 2 2 2 6" xfId="16013" xr:uid="{00000000-0005-0000-0000-00005D530000}"/>
    <cellStyle name="Separador de milhares 8 2 2 3" xfId="4431" xr:uid="{00000000-0005-0000-0000-00005E530000}"/>
    <cellStyle name="Separador de milhares 8 2 2 3 2" xfId="10434" xr:uid="{00000000-0005-0000-0000-00005F530000}"/>
    <cellStyle name="Separador de milhares 8 2 2 3 2 2" xfId="19184" xr:uid="{00000000-0005-0000-0000-000060530000}"/>
    <cellStyle name="Separador de milhares 8 2 2 3 3" xfId="9000" xr:uid="{00000000-0005-0000-0000-000061530000}"/>
    <cellStyle name="Separador de milhares 8 2 2 3 3 2" xfId="17752" xr:uid="{00000000-0005-0000-0000-000062530000}"/>
    <cellStyle name="Separador de milhares 8 2 2 3 4" xfId="12210" xr:uid="{00000000-0005-0000-0000-000063530000}"/>
    <cellStyle name="Separador de milhares 8 2 2 3 4 2" xfId="20897" xr:uid="{00000000-0005-0000-0000-000064530000}"/>
    <cellStyle name="Separador de milhares 8 2 2 3 5" xfId="13818" xr:uid="{00000000-0005-0000-0000-000065530000}"/>
    <cellStyle name="Separador de milhares 8 2 2 3 5 2" xfId="22498" xr:uid="{00000000-0005-0000-0000-000066530000}"/>
    <cellStyle name="Separador de milhares 8 2 2 3 6" xfId="16014" xr:uid="{00000000-0005-0000-0000-000067530000}"/>
    <cellStyle name="Separador de milhares 8 2 2 4" xfId="4432" xr:uid="{00000000-0005-0000-0000-000068530000}"/>
    <cellStyle name="Separador de milhares 8 2 2 4 2" xfId="10435" xr:uid="{00000000-0005-0000-0000-000069530000}"/>
    <cellStyle name="Separador de milhares 8 2 2 4 2 2" xfId="19185" xr:uid="{00000000-0005-0000-0000-00006A530000}"/>
    <cellStyle name="Separador de milhares 8 2 2 4 3" xfId="9001" xr:uid="{00000000-0005-0000-0000-00006B530000}"/>
    <cellStyle name="Separador de milhares 8 2 2 4 3 2" xfId="17753" xr:uid="{00000000-0005-0000-0000-00006C530000}"/>
    <cellStyle name="Separador de milhares 8 2 2 4 4" xfId="12211" xr:uid="{00000000-0005-0000-0000-00006D530000}"/>
    <cellStyle name="Separador de milhares 8 2 2 4 4 2" xfId="20898" xr:uid="{00000000-0005-0000-0000-00006E530000}"/>
    <cellStyle name="Separador de milhares 8 2 2 4 5" xfId="13819" xr:uid="{00000000-0005-0000-0000-00006F530000}"/>
    <cellStyle name="Separador de milhares 8 2 2 4 5 2" xfId="22499" xr:uid="{00000000-0005-0000-0000-000070530000}"/>
    <cellStyle name="Separador de milhares 8 2 2 4 6" xfId="16015" xr:uid="{00000000-0005-0000-0000-000071530000}"/>
    <cellStyle name="Separador de milhares 8 2 2 5" xfId="8998" xr:uid="{00000000-0005-0000-0000-000072530000}"/>
    <cellStyle name="Separador de milhares 8 2 2 5 2" xfId="17750" xr:uid="{00000000-0005-0000-0000-000073530000}"/>
    <cellStyle name="Separador de milhares 8 2 2 6" xfId="12208" xr:uid="{00000000-0005-0000-0000-000074530000}"/>
    <cellStyle name="Separador de milhares 8 2 2 6 2" xfId="20895" xr:uid="{00000000-0005-0000-0000-000075530000}"/>
    <cellStyle name="Separador de milhares 8 2 2 7" xfId="13816" xr:uid="{00000000-0005-0000-0000-000076530000}"/>
    <cellStyle name="Separador de milhares 8 2 2 7 2" xfId="22496" xr:uid="{00000000-0005-0000-0000-000077530000}"/>
    <cellStyle name="Separador de milhares 8 2 2 8" xfId="16012" xr:uid="{00000000-0005-0000-0000-000078530000}"/>
    <cellStyle name="Separador de milhares 8 2 3" xfId="4433" xr:uid="{00000000-0005-0000-0000-000079530000}"/>
    <cellStyle name="Separador de milhares 8 2 3 2" xfId="10436" xr:uid="{00000000-0005-0000-0000-00007A530000}"/>
    <cellStyle name="Separador de milhares 8 2 3 2 2" xfId="19186" xr:uid="{00000000-0005-0000-0000-00007B530000}"/>
    <cellStyle name="Separador de milhares 8 2 3 3" xfId="9002" xr:uid="{00000000-0005-0000-0000-00007C530000}"/>
    <cellStyle name="Separador de milhares 8 2 3 3 2" xfId="17754" xr:uid="{00000000-0005-0000-0000-00007D530000}"/>
    <cellStyle name="Separador de milhares 8 2 3 4" xfId="12212" xr:uid="{00000000-0005-0000-0000-00007E530000}"/>
    <cellStyle name="Separador de milhares 8 2 3 4 2" xfId="20899" xr:uid="{00000000-0005-0000-0000-00007F530000}"/>
    <cellStyle name="Separador de milhares 8 2 3 5" xfId="13820" xr:uid="{00000000-0005-0000-0000-000080530000}"/>
    <cellStyle name="Separador de milhares 8 2 3 5 2" xfId="22500" xr:uid="{00000000-0005-0000-0000-000081530000}"/>
    <cellStyle name="Separador de milhares 8 2 3 6" xfId="16016" xr:uid="{00000000-0005-0000-0000-000082530000}"/>
    <cellStyle name="Separador de milhares 8 2 4" xfId="4434" xr:uid="{00000000-0005-0000-0000-000083530000}"/>
    <cellStyle name="Separador de milhares 8 2 4 2" xfId="9003" xr:uid="{00000000-0005-0000-0000-000084530000}"/>
    <cellStyle name="Separador de milhares 8 2 4 2 2" xfId="17755" xr:uid="{00000000-0005-0000-0000-000085530000}"/>
    <cellStyle name="Separador de milhares 8 2 4 3" xfId="12213" xr:uid="{00000000-0005-0000-0000-000086530000}"/>
    <cellStyle name="Separador de milhares 8 2 4 3 2" xfId="20900" xr:uid="{00000000-0005-0000-0000-000087530000}"/>
    <cellStyle name="Separador de milhares 8 2 4 4" xfId="13821" xr:uid="{00000000-0005-0000-0000-000088530000}"/>
    <cellStyle name="Separador de milhares 8 2 4 4 2" xfId="22501" xr:uid="{00000000-0005-0000-0000-000089530000}"/>
    <cellStyle name="Separador de milhares 8 2 4 5" xfId="16017" xr:uid="{00000000-0005-0000-0000-00008A530000}"/>
    <cellStyle name="Separador de milhares 8 2 5" xfId="4435" xr:uid="{00000000-0005-0000-0000-00008B530000}"/>
    <cellStyle name="Separador de milhares 8 2 5 2" xfId="9004" xr:uid="{00000000-0005-0000-0000-00008C530000}"/>
    <cellStyle name="Separador de milhares 8 2 5 2 2" xfId="17756" xr:uid="{00000000-0005-0000-0000-00008D530000}"/>
    <cellStyle name="Separador de milhares 8 2 5 3" xfId="12214" xr:uid="{00000000-0005-0000-0000-00008E530000}"/>
    <cellStyle name="Separador de milhares 8 2 5 3 2" xfId="20901" xr:uid="{00000000-0005-0000-0000-00008F530000}"/>
    <cellStyle name="Separador de milhares 8 2 5 4" xfId="13822" xr:uid="{00000000-0005-0000-0000-000090530000}"/>
    <cellStyle name="Separador de milhares 8 2 5 4 2" xfId="22502" xr:uid="{00000000-0005-0000-0000-000091530000}"/>
    <cellStyle name="Separador de milhares 8 2 5 5" xfId="16018" xr:uid="{00000000-0005-0000-0000-000092530000}"/>
    <cellStyle name="Separador de milhares 8 2 6" xfId="4436" xr:uid="{00000000-0005-0000-0000-000093530000}"/>
    <cellStyle name="Separador de milhares 8 2 6 2" xfId="10437" xr:uid="{00000000-0005-0000-0000-000094530000}"/>
    <cellStyle name="Separador de milhares 8 2 6 2 2" xfId="19187" xr:uid="{00000000-0005-0000-0000-000095530000}"/>
    <cellStyle name="Separador de milhares 8 2 6 3" xfId="9005" xr:uid="{00000000-0005-0000-0000-000096530000}"/>
    <cellStyle name="Separador de milhares 8 2 6 3 2" xfId="17757" xr:uid="{00000000-0005-0000-0000-000097530000}"/>
    <cellStyle name="Separador de milhares 8 2 6 4" xfId="12215" xr:uid="{00000000-0005-0000-0000-000098530000}"/>
    <cellStyle name="Separador de milhares 8 2 6 4 2" xfId="20902" xr:uid="{00000000-0005-0000-0000-000099530000}"/>
    <cellStyle name="Separador de milhares 8 2 6 5" xfId="13823" xr:uid="{00000000-0005-0000-0000-00009A530000}"/>
    <cellStyle name="Separador de milhares 8 2 6 5 2" xfId="22503" xr:uid="{00000000-0005-0000-0000-00009B530000}"/>
    <cellStyle name="Separador de milhares 8 2 6 6" xfId="16019" xr:uid="{00000000-0005-0000-0000-00009C530000}"/>
    <cellStyle name="Separador de milhares 8 2 7" xfId="10432" xr:uid="{00000000-0005-0000-0000-00009D530000}"/>
    <cellStyle name="Separador de milhares 8 2 7 2" xfId="19182" xr:uid="{00000000-0005-0000-0000-00009E530000}"/>
    <cellStyle name="Separador de milhares 8 2 8" xfId="8997" xr:uid="{00000000-0005-0000-0000-00009F530000}"/>
    <cellStyle name="Separador de milhares 8 2 8 2" xfId="17749" xr:uid="{00000000-0005-0000-0000-0000A0530000}"/>
    <cellStyle name="Separador de milhares 8 2 9" xfId="12207" xr:uid="{00000000-0005-0000-0000-0000A1530000}"/>
    <cellStyle name="Separador de milhares 8 2 9 2" xfId="20894" xr:uid="{00000000-0005-0000-0000-0000A2530000}"/>
    <cellStyle name="Separador de milhares 8 3" xfId="4437" xr:uid="{00000000-0005-0000-0000-0000A3530000}"/>
    <cellStyle name="Separador de milhares 8 3 2" xfId="4438" xr:uid="{00000000-0005-0000-0000-0000A4530000}"/>
    <cellStyle name="Separador de milhares 8 3 2 2" xfId="10439" xr:uid="{00000000-0005-0000-0000-0000A5530000}"/>
    <cellStyle name="Separador de milhares 8 3 2 2 2" xfId="19189" xr:uid="{00000000-0005-0000-0000-0000A6530000}"/>
    <cellStyle name="Separador de milhares 8 3 2 3" xfId="9007" xr:uid="{00000000-0005-0000-0000-0000A7530000}"/>
    <cellStyle name="Separador de milhares 8 3 2 3 2" xfId="17759" xr:uid="{00000000-0005-0000-0000-0000A8530000}"/>
    <cellStyle name="Separador de milhares 8 3 2 4" xfId="12217" xr:uid="{00000000-0005-0000-0000-0000A9530000}"/>
    <cellStyle name="Separador de milhares 8 3 2 4 2" xfId="20904" xr:uid="{00000000-0005-0000-0000-0000AA530000}"/>
    <cellStyle name="Separador de milhares 8 3 2 5" xfId="13825" xr:uid="{00000000-0005-0000-0000-0000AB530000}"/>
    <cellStyle name="Separador de milhares 8 3 2 5 2" xfId="22505" xr:uid="{00000000-0005-0000-0000-0000AC530000}"/>
    <cellStyle name="Separador de milhares 8 3 2 6" xfId="16021" xr:uid="{00000000-0005-0000-0000-0000AD530000}"/>
    <cellStyle name="Separador de milhares 8 3 3" xfId="4439" xr:uid="{00000000-0005-0000-0000-0000AE530000}"/>
    <cellStyle name="Separador de milhares 8 3 3 2" xfId="10440" xr:uid="{00000000-0005-0000-0000-0000AF530000}"/>
    <cellStyle name="Separador de milhares 8 3 3 2 2" xfId="19190" xr:uid="{00000000-0005-0000-0000-0000B0530000}"/>
    <cellStyle name="Separador de milhares 8 3 3 3" xfId="9008" xr:uid="{00000000-0005-0000-0000-0000B1530000}"/>
    <cellStyle name="Separador de milhares 8 3 3 3 2" xfId="17760" xr:uid="{00000000-0005-0000-0000-0000B2530000}"/>
    <cellStyle name="Separador de milhares 8 3 3 4" xfId="12218" xr:uid="{00000000-0005-0000-0000-0000B3530000}"/>
    <cellStyle name="Separador de milhares 8 3 3 4 2" xfId="20905" xr:uid="{00000000-0005-0000-0000-0000B4530000}"/>
    <cellStyle name="Separador de milhares 8 3 3 5" xfId="13826" xr:uid="{00000000-0005-0000-0000-0000B5530000}"/>
    <cellStyle name="Separador de milhares 8 3 3 5 2" xfId="22506" xr:uid="{00000000-0005-0000-0000-0000B6530000}"/>
    <cellStyle name="Separador de milhares 8 3 3 6" xfId="16022" xr:uid="{00000000-0005-0000-0000-0000B7530000}"/>
    <cellStyle name="Separador de milhares 8 3 4" xfId="4440" xr:uid="{00000000-0005-0000-0000-0000B8530000}"/>
    <cellStyle name="Separador de milhares 8 3 4 2" xfId="10441" xr:uid="{00000000-0005-0000-0000-0000B9530000}"/>
    <cellStyle name="Separador de milhares 8 3 4 2 2" xfId="19191" xr:uid="{00000000-0005-0000-0000-0000BA530000}"/>
    <cellStyle name="Separador de milhares 8 3 4 3" xfId="9009" xr:uid="{00000000-0005-0000-0000-0000BB530000}"/>
    <cellStyle name="Separador de milhares 8 3 4 3 2" xfId="17761" xr:uid="{00000000-0005-0000-0000-0000BC530000}"/>
    <cellStyle name="Separador de milhares 8 3 4 4" xfId="12219" xr:uid="{00000000-0005-0000-0000-0000BD530000}"/>
    <cellStyle name="Separador de milhares 8 3 4 4 2" xfId="20906" xr:uid="{00000000-0005-0000-0000-0000BE530000}"/>
    <cellStyle name="Separador de milhares 8 3 4 5" xfId="13827" xr:uid="{00000000-0005-0000-0000-0000BF530000}"/>
    <cellStyle name="Separador de milhares 8 3 4 5 2" xfId="22507" xr:uid="{00000000-0005-0000-0000-0000C0530000}"/>
    <cellStyle name="Separador de milhares 8 3 4 6" xfId="16023" xr:uid="{00000000-0005-0000-0000-0000C1530000}"/>
    <cellStyle name="Separador de milhares 8 3 5" xfId="10438" xr:uid="{00000000-0005-0000-0000-0000C2530000}"/>
    <cellStyle name="Separador de milhares 8 3 5 2" xfId="19188" xr:uid="{00000000-0005-0000-0000-0000C3530000}"/>
    <cellStyle name="Separador de milhares 8 3 6" xfId="9006" xr:uid="{00000000-0005-0000-0000-0000C4530000}"/>
    <cellStyle name="Separador de milhares 8 3 6 2" xfId="17758" xr:uid="{00000000-0005-0000-0000-0000C5530000}"/>
    <cellStyle name="Separador de milhares 8 3 7" xfId="12216" xr:uid="{00000000-0005-0000-0000-0000C6530000}"/>
    <cellStyle name="Separador de milhares 8 3 7 2" xfId="20903" xr:uid="{00000000-0005-0000-0000-0000C7530000}"/>
    <cellStyle name="Separador de milhares 8 3 8" xfId="13824" xr:uid="{00000000-0005-0000-0000-0000C8530000}"/>
    <cellStyle name="Separador de milhares 8 3 8 2" xfId="22504" xr:uid="{00000000-0005-0000-0000-0000C9530000}"/>
    <cellStyle name="Separador de milhares 8 3 9" xfId="16020" xr:uid="{00000000-0005-0000-0000-0000CA530000}"/>
    <cellStyle name="Separador de milhares 8 4" xfId="4441" xr:uid="{00000000-0005-0000-0000-0000CB530000}"/>
    <cellStyle name="Separador de milhares 8 4 2" xfId="9010" xr:uid="{00000000-0005-0000-0000-0000CC530000}"/>
    <cellStyle name="Separador de milhares 8 4 2 2" xfId="17762" xr:uid="{00000000-0005-0000-0000-0000CD530000}"/>
    <cellStyle name="Separador de milhares 8 4 3" xfId="12220" xr:uid="{00000000-0005-0000-0000-0000CE530000}"/>
    <cellStyle name="Separador de milhares 8 4 3 2" xfId="20907" xr:uid="{00000000-0005-0000-0000-0000CF530000}"/>
    <cellStyle name="Separador de milhares 8 4 4" xfId="13828" xr:uid="{00000000-0005-0000-0000-0000D0530000}"/>
    <cellStyle name="Separador de milhares 8 4 4 2" xfId="22508" xr:uid="{00000000-0005-0000-0000-0000D1530000}"/>
    <cellStyle name="Separador de milhares 8 4 5" xfId="16024" xr:uid="{00000000-0005-0000-0000-0000D2530000}"/>
    <cellStyle name="Separador de milhares 8 5" xfId="4442" xr:uid="{00000000-0005-0000-0000-0000D3530000}"/>
    <cellStyle name="Separador de milhares 8 5 2" xfId="9011" xr:uid="{00000000-0005-0000-0000-0000D4530000}"/>
    <cellStyle name="Separador de milhares 8 5 2 2" xfId="17763" xr:uid="{00000000-0005-0000-0000-0000D5530000}"/>
    <cellStyle name="Separador de milhares 8 5 3" xfId="12221" xr:uid="{00000000-0005-0000-0000-0000D6530000}"/>
    <cellStyle name="Separador de milhares 8 5 3 2" xfId="20908" xr:uid="{00000000-0005-0000-0000-0000D7530000}"/>
    <cellStyle name="Separador de milhares 8 5 4" xfId="13829" xr:uid="{00000000-0005-0000-0000-0000D8530000}"/>
    <cellStyle name="Separador de milhares 8 5 4 2" xfId="22509" xr:uid="{00000000-0005-0000-0000-0000D9530000}"/>
    <cellStyle name="Separador de milhares 8 5 5" xfId="16025" xr:uid="{00000000-0005-0000-0000-0000DA530000}"/>
    <cellStyle name="Separador de milhares 8 6" xfId="5191" xr:uid="{00000000-0005-0000-0000-0000DB530000}"/>
    <cellStyle name="Separador de milhares 8 6 2" xfId="10431" xr:uid="{00000000-0005-0000-0000-0000DC530000}"/>
    <cellStyle name="Separador de milhares 8 6 2 2" xfId="19181" xr:uid="{00000000-0005-0000-0000-0000DD530000}"/>
    <cellStyle name="Separador de milhares 8 6 3" xfId="16076" xr:uid="{00000000-0005-0000-0000-0000DE530000}"/>
    <cellStyle name="Separador de milhares 8 7" xfId="8996" xr:uid="{00000000-0005-0000-0000-0000DF530000}"/>
    <cellStyle name="Separador de milhares 8 7 2" xfId="17748" xr:uid="{00000000-0005-0000-0000-0000E0530000}"/>
    <cellStyle name="Separador de milhares 8 8" xfId="12206" xr:uid="{00000000-0005-0000-0000-0000E1530000}"/>
    <cellStyle name="Separador de milhares 8 8 2" xfId="20893" xr:uid="{00000000-0005-0000-0000-0000E2530000}"/>
    <cellStyle name="Separador de milhares 8 9" xfId="13814" xr:uid="{00000000-0005-0000-0000-0000E3530000}"/>
    <cellStyle name="Separador de milhares 8 9 2" xfId="22494" xr:uid="{00000000-0005-0000-0000-0000E4530000}"/>
    <cellStyle name="Separador de milhares 9" xfId="130" xr:uid="{00000000-0005-0000-0000-0000E5530000}"/>
    <cellStyle name="Separador de milhares 9 10" xfId="4443" xr:uid="{00000000-0005-0000-0000-0000E6530000}"/>
    <cellStyle name="Separador de milhares 9 10 2" xfId="10442" xr:uid="{00000000-0005-0000-0000-0000E7530000}"/>
    <cellStyle name="Separador de milhares 9 10 2 2" xfId="19192" xr:uid="{00000000-0005-0000-0000-0000E8530000}"/>
    <cellStyle name="Separador de milhares 9 10 3" xfId="12222" xr:uid="{00000000-0005-0000-0000-0000E9530000}"/>
    <cellStyle name="Separador de milhares 9 10 3 2" xfId="20909" xr:uid="{00000000-0005-0000-0000-0000EA530000}"/>
    <cellStyle name="Separador de milhares 9 10 4" xfId="16026" xr:uid="{00000000-0005-0000-0000-0000EB530000}"/>
    <cellStyle name="Separador de milhares 9 11" xfId="10458" xr:uid="{00000000-0005-0000-0000-0000EC530000}"/>
    <cellStyle name="Separador de milhares 9 11 2" xfId="19203" xr:uid="{00000000-0005-0000-0000-0000ED530000}"/>
    <cellStyle name="Separador de milhares 9 12" xfId="9012" xr:uid="{00000000-0005-0000-0000-0000EE530000}"/>
    <cellStyle name="Separador de milhares 9 12 2" xfId="17764" xr:uid="{00000000-0005-0000-0000-0000EF530000}"/>
    <cellStyle name="Separador de milhares 9 13" xfId="10494" xr:uid="{00000000-0005-0000-0000-0000F0530000}"/>
    <cellStyle name="Separador de milhares 9 13 2" xfId="19222" xr:uid="{00000000-0005-0000-0000-0000F1530000}"/>
    <cellStyle name="Separador de milhares 9 14" xfId="10618" xr:uid="{00000000-0005-0000-0000-0000F2530000}"/>
    <cellStyle name="Separador de milhares 9 14 2" xfId="19321" xr:uid="{00000000-0005-0000-0000-0000F3530000}"/>
    <cellStyle name="Separador de milhares 9 15" xfId="13830" xr:uid="{00000000-0005-0000-0000-0000F4530000}"/>
    <cellStyle name="Separador de milhares 9 15 2" xfId="22510" xr:uid="{00000000-0005-0000-0000-0000F5530000}"/>
    <cellStyle name="Separador de milhares 9 16" xfId="14128" xr:uid="{00000000-0005-0000-0000-0000F6530000}"/>
    <cellStyle name="Separador de milhares 9 17" xfId="14055" xr:uid="{00000000-0005-0000-0000-0000F7530000}"/>
    <cellStyle name="Separador de milhares 9 2" xfId="4444" xr:uid="{00000000-0005-0000-0000-0000F8530000}"/>
    <cellStyle name="Separador de milhares 9 2 2" xfId="4445" xr:uid="{00000000-0005-0000-0000-0000F9530000}"/>
    <cellStyle name="Separador de milhares 9 2 2 2" xfId="9013" xr:uid="{00000000-0005-0000-0000-0000FA530000}"/>
    <cellStyle name="Separador de milhares 9 2 2 2 2" xfId="17765" xr:uid="{00000000-0005-0000-0000-0000FB530000}"/>
    <cellStyle name="Separador de milhares 9 2 2 3" xfId="12223" xr:uid="{00000000-0005-0000-0000-0000FC530000}"/>
    <cellStyle name="Separador de milhares 9 2 2 3 2" xfId="20910" xr:uid="{00000000-0005-0000-0000-0000FD530000}"/>
    <cellStyle name="Separador de milhares 9 2 2 4" xfId="13831" xr:uid="{00000000-0005-0000-0000-0000FE530000}"/>
    <cellStyle name="Separador de milhares 9 2 2 4 2" xfId="22511" xr:uid="{00000000-0005-0000-0000-0000FF530000}"/>
    <cellStyle name="Separador de milhares 9 2 2 5" xfId="16027" xr:uid="{00000000-0005-0000-0000-000000540000}"/>
    <cellStyle name="Separador de milhares 9 3" xfId="4446" xr:uid="{00000000-0005-0000-0000-000001540000}"/>
    <cellStyle name="Separador de milhares 9 3 2" xfId="4447" xr:uid="{00000000-0005-0000-0000-000002540000}"/>
    <cellStyle name="Separador de milhares 9 3 2 2" xfId="4448" xr:uid="{00000000-0005-0000-0000-000003540000}"/>
    <cellStyle name="Separador de milhares 9 3 3" xfId="4449" xr:uid="{00000000-0005-0000-0000-000004540000}"/>
    <cellStyle name="Separador de milhares 9 3 4" xfId="4450" xr:uid="{00000000-0005-0000-0000-000005540000}"/>
    <cellStyle name="Separador de milhares 9 3 4 2" xfId="9014" xr:uid="{00000000-0005-0000-0000-000006540000}"/>
    <cellStyle name="Separador de milhares 9 3 4 2 2" xfId="17766" xr:uid="{00000000-0005-0000-0000-000007540000}"/>
    <cellStyle name="Separador de milhares 9 3 4 3" xfId="12224" xr:uid="{00000000-0005-0000-0000-000008540000}"/>
    <cellStyle name="Separador de milhares 9 3 4 3 2" xfId="20911" xr:uid="{00000000-0005-0000-0000-000009540000}"/>
    <cellStyle name="Separador de milhares 9 3 4 4" xfId="13832" xr:uid="{00000000-0005-0000-0000-00000A540000}"/>
    <cellStyle name="Separador de milhares 9 3 4 4 2" xfId="22512" xr:uid="{00000000-0005-0000-0000-00000B540000}"/>
    <cellStyle name="Separador de milhares 9 3 4 5" xfId="16028" xr:uid="{00000000-0005-0000-0000-00000C540000}"/>
    <cellStyle name="Separador de milhares 9 4" xfId="4451" xr:uid="{00000000-0005-0000-0000-00000D540000}"/>
    <cellStyle name="Separador de milhares 9 4 2" xfId="4452" xr:uid="{00000000-0005-0000-0000-00000E540000}"/>
    <cellStyle name="Separador de milhares 9 4 2 2" xfId="4453" xr:uid="{00000000-0005-0000-0000-00000F540000}"/>
    <cellStyle name="Separador de milhares 9 4 2 2 2" xfId="13835" xr:uid="{00000000-0005-0000-0000-000010540000}"/>
    <cellStyle name="Separador de milhares 9 4 2 3" xfId="13834" xr:uid="{00000000-0005-0000-0000-000011540000}"/>
    <cellStyle name="Separador de milhares 9 4 3" xfId="4454" xr:uid="{00000000-0005-0000-0000-000012540000}"/>
    <cellStyle name="Separador de milhares 9 4 3 2" xfId="9015" xr:uid="{00000000-0005-0000-0000-000013540000}"/>
    <cellStyle name="Separador de milhares 9 4 3 2 2" xfId="17767" xr:uid="{00000000-0005-0000-0000-000014540000}"/>
    <cellStyle name="Separador de milhares 9 4 3 3" xfId="12225" xr:uid="{00000000-0005-0000-0000-000015540000}"/>
    <cellStyle name="Separador de milhares 9 4 3 3 2" xfId="20912" xr:uid="{00000000-0005-0000-0000-000016540000}"/>
    <cellStyle name="Separador de milhares 9 4 3 4" xfId="13836" xr:uid="{00000000-0005-0000-0000-000017540000}"/>
    <cellStyle name="Separador de milhares 9 4 3 4 2" xfId="22513" xr:uid="{00000000-0005-0000-0000-000018540000}"/>
    <cellStyle name="Separador de milhares 9 4 3 5" xfId="16029" xr:uid="{00000000-0005-0000-0000-000019540000}"/>
    <cellStyle name="Separador de milhares 9 4 4" xfId="13833" xr:uid="{00000000-0005-0000-0000-00001A540000}"/>
    <cellStyle name="Separador de milhares 9 5" xfId="4455" xr:uid="{00000000-0005-0000-0000-00001B540000}"/>
    <cellStyle name="Separador de milhares 9 5 2" xfId="9016" xr:uid="{00000000-0005-0000-0000-00001C540000}"/>
    <cellStyle name="Separador de milhares 9 5 2 2" xfId="17768" xr:uid="{00000000-0005-0000-0000-00001D540000}"/>
    <cellStyle name="Separador de milhares 9 5 3" xfId="12226" xr:uid="{00000000-0005-0000-0000-00001E540000}"/>
    <cellStyle name="Separador de milhares 9 5 3 2" xfId="20913" xr:uid="{00000000-0005-0000-0000-00001F540000}"/>
    <cellStyle name="Separador de milhares 9 5 4" xfId="13837" xr:uid="{00000000-0005-0000-0000-000020540000}"/>
    <cellStyle name="Separador de milhares 9 5 4 2" xfId="22514" xr:uid="{00000000-0005-0000-0000-000021540000}"/>
    <cellStyle name="Separador de milhares 9 5 5" xfId="16030" xr:uid="{00000000-0005-0000-0000-000022540000}"/>
    <cellStyle name="Separador de milhares 9 6" xfId="4456" xr:uid="{00000000-0005-0000-0000-000023540000}"/>
    <cellStyle name="Separador de milhares 9 6 2" xfId="9017" xr:uid="{00000000-0005-0000-0000-000024540000}"/>
    <cellStyle name="Separador de milhares 9 6 2 2" xfId="17769" xr:uid="{00000000-0005-0000-0000-000025540000}"/>
    <cellStyle name="Separador de milhares 9 6 3" xfId="12227" xr:uid="{00000000-0005-0000-0000-000026540000}"/>
    <cellStyle name="Separador de milhares 9 6 3 2" xfId="20914" xr:uid="{00000000-0005-0000-0000-000027540000}"/>
    <cellStyle name="Separador de milhares 9 6 4" xfId="13838" xr:uid="{00000000-0005-0000-0000-000028540000}"/>
    <cellStyle name="Separador de milhares 9 6 4 2" xfId="22515" xr:uid="{00000000-0005-0000-0000-000029540000}"/>
    <cellStyle name="Separador de milhares 9 6 5" xfId="16031" xr:uid="{00000000-0005-0000-0000-00002A540000}"/>
    <cellStyle name="Separador de milhares 9 7" xfId="4457" xr:uid="{00000000-0005-0000-0000-00002B540000}"/>
    <cellStyle name="Separador de milhares 9 7 2" xfId="9018" xr:uid="{00000000-0005-0000-0000-00002C540000}"/>
    <cellStyle name="Separador de milhares 9 7 2 2" xfId="17770" xr:uid="{00000000-0005-0000-0000-00002D540000}"/>
    <cellStyle name="Separador de milhares 9 7 3" xfId="12228" xr:uid="{00000000-0005-0000-0000-00002E540000}"/>
    <cellStyle name="Separador de milhares 9 7 3 2" xfId="20915" xr:uid="{00000000-0005-0000-0000-00002F540000}"/>
    <cellStyle name="Separador de milhares 9 7 4" xfId="13839" xr:uid="{00000000-0005-0000-0000-000030540000}"/>
    <cellStyle name="Separador de milhares 9 7 4 2" xfId="22516" xr:uid="{00000000-0005-0000-0000-000031540000}"/>
    <cellStyle name="Separador de milhares 9 7 5" xfId="16032" xr:uid="{00000000-0005-0000-0000-000032540000}"/>
    <cellStyle name="Separador de milhares 9 8" xfId="4458" xr:uid="{00000000-0005-0000-0000-000033540000}"/>
    <cellStyle name="Separador de milhares 9 8 2" xfId="9019" xr:uid="{00000000-0005-0000-0000-000034540000}"/>
    <cellStyle name="Separador de milhares 9 8 2 2" xfId="17771" xr:uid="{00000000-0005-0000-0000-000035540000}"/>
    <cellStyle name="Separador de milhares 9 8 3" xfId="12229" xr:uid="{00000000-0005-0000-0000-000036540000}"/>
    <cellStyle name="Separador de milhares 9 8 3 2" xfId="20916" xr:uid="{00000000-0005-0000-0000-000037540000}"/>
    <cellStyle name="Separador de milhares 9 8 4" xfId="13840" xr:uid="{00000000-0005-0000-0000-000038540000}"/>
    <cellStyle name="Separador de milhares 9 8 4 2" xfId="22517" xr:uid="{00000000-0005-0000-0000-000039540000}"/>
    <cellStyle name="Separador de milhares 9 8 5" xfId="16033" xr:uid="{00000000-0005-0000-0000-00003A540000}"/>
    <cellStyle name="Separador de milhares 9 9" xfId="4459" xr:uid="{00000000-0005-0000-0000-00003B540000}"/>
    <cellStyle name="Separador de milhares 9 9 2" xfId="9020" xr:uid="{00000000-0005-0000-0000-00003C540000}"/>
    <cellStyle name="Separador de milhares 9 9 2 2" xfId="17772" xr:uid="{00000000-0005-0000-0000-00003D540000}"/>
    <cellStyle name="Separador de milhares 9 9 3" xfId="12230" xr:uid="{00000000-0005-0000-0000-00003E540000}"/>
    <cellStyle name="Separador de milhares 9 9 3 2" xfId="20917" xr:uid="{00000000-0005-0000-0000-00003F540000}"/>
    <cellStyle name="Separador de milhares 9 9 4" xfId="13841" xr:uid="{00000000-0005-0000-0000-000040540000}"/>
    <cellStyle name="Separador de milhares 9 9 4 2" xfId="22518" xr:uid="{00000000-0005-0000-0000-000041540000}"/>
    <cellStyle name="Separador de milhares 9 9 5" xfId="16034" xr:uid="{00000000-0005-0000-0000-000042540000}"/>
    <cellStyle name="Shading" xfId="5125" xr:uid="{00000000-0005-0000-0000-000043540000}"/>
    <cellStyle name="Shading 2" xfId="16074" xr:uid="{00000000-0005-0000-0000-000044540000}"/>
    <cellStyle name="SHEET2!Normal" xfId="5126" xr:uid="{00000000-0005-0000-0000-000045540000}"/>
    <cellStyle name="Sombra" xfId="4460" xr:uid="{00000000-0005-0000-0000-000046540000}"/>
    <cellStyle name="Sombra 10" xfId="4461" xr:uid="{00000000-0005-0000-0000-000047540000}"/>
    <cellStyle name="Sombra 11" xfId="4462" xr:uid="{00000000-0005-0000-0000-000048540000}"/>
    <cellStyle name="Sombra 12" xfId="4463" xr:uid="{00000000-0005-0000-0000-000049540000}"/>
    <cellStyle name="Sombra 13" xfId="4464" xr:uid="{00000000-0005-0000-0000-00004A540000}"/>
    <cellStyle name="Sombra 14" xfId="4465" xr:uid="{00000000-0005-0000-0000-00004B540000}"/>
    <cellStyle name="Sombra 15" xfId="4466" xr:uid="{00000000-0005-0000-0000-00004C540000}"/>
    <cellStyle name="Sombra 16" xfId="4467" xr:uid="{00000000-0005-0000-0000-00004D540000}"/>
    <cellStyle name="Sombra 17" xfId="4468" xr:uid="{00000000-0005-0000-0000-00004E540000}"/>
    <cellStyle name="Sombra 18" xfId="4469" xr:uid="{00000000-0005-0000-0000-00004F540000}"/>
    <cellStyle name="Sombra 19" xfId="4470" xr:uid="{00000000-0005-0000-0000-000050540000}"/>
    <cellStyle name="Sombra 2" xfId="4471" xr:uid="{00000000-0005-0000-0000-000051540000}"/>
    <cellStyle name="Sombra 20" xfId="4472" xr:uid="{00000000-0005-0000-0000-000052540000}"/>
    <cellStyle name="Sombra 21" xfId="4473" xr:uid="{00000000-0005-0000-0000-000053540000}"/>
    <cellStyle name="Sombra 22" xfId="4474" xr:uid="{00000000-0005-0000-0000-000054540000}"/>
    <cellStyle name="Sombra 23" xfId="4475" xr:uid="{00000000-0005-0000-0000-000055540000}"/>
    <cellStyle name="Sombra 24" xfId="4476" xr:uid="{00000000-0005-0000-0000-000056540000}"/>
    <cellStyle name="Sombra 25" xfId="4477" xr:uid="{00000000-0005-0000-0000-000057540000}"/>
    <cellStyle name="Sombra 26" xfId="4478" xr:uid="{00000000-0005-0000-0000-000058540000}"/>
    <cellStyle name="Sombra 27" xfId="4479" xr:uid="{00000000-0005-0000-0000-000059540000}"/>
    <cellStyle name="Sombra 28" xfId="4480" xr:uid="{00000000-0005-0000-0000-00005A540000}"/>
    <cellStyle name="Sombra 29" xfId="4481" xr:uid="{00000000-0005-0000-0000-00005B540000}"/>
    <cellStyle name="Sombra 3" xfId="4482" xr:uid="{00000000-0005-0000-0000-00005C540000}"/>
    <cellStyle name="Sombra 30" xfId="4483" xr:uid="{00000000-0005-0000-0000-00005D540000}"/>
    <cellStyle name="Sombra 31" xfId="4484" xr:uid="{00000000-0005-0000-0000-00005E540000}"/>
    <cellStyle name="Sombra 32" xfId="4485" xr:uid="{00000000-0005-0000-0000-00005F540000}"/>
    <cellStyle name="Sombra 33" xfId="4486" xr:uid="{00000000-0005-0000-0000-000060540000}"/>
    <cellStyle name="Sombra 34" xfId="4487" xr:uid="{00000000-0005-0000-0000-000061540000}"/>
    <cellStyle name="Sombra 35" xfId="4488" xr:uid="{00000000-0005-0000-0000-000062540000}"/>
    <cellStyle name="Sombra 36" xfId="4489" xr:uid="{00000000-0005-0000-0000-000063540000}"/>
    <cellStyle name="Sombra 37" xfId="4490" xr:uid="{00000000-0005-0000-0000-000064540000}"/>
    <cellStyle name="Sombra 38" xfId="4491" xr:uid="{00000000-0005-0000-0000-000065540000}"/>
    <cellStyle name="Sombra 39" xfId="4492" xr:uid="{00000000-0005-0000-0000-000066540000}"/>
    <cellStyle name="Sombra 4" xfId="4493" xr:uid="{00000000-0005-0000-0000-000067540000}"/>
    <cellStyle name="Sombra 40" xfId="4494" xr:uid="{00000000-0005-0000-0000-000068540000}"/>
    <cellStyle name="Sombra 5" xfId="4495" xr:uid="{00000000-0005-0000-0000-000069540000}"/>
    <cellStyle name="Sombra 6" xfId="4496" xr:uid="{00000000-0005-0000-0000-00006A540000}"/>
    <cellStyle name="Sombra 7" xfId="4497" xr:uid="{00000000-0005-0000-0000-00006B540000}"/>
    <cellStyle name="Sombra 8" xfId="4498" xr:uid="{00000000-0005-0000-0000-00006C540000}"/>
    <cellStyle name="Sombra 9" xfId="4499" xr:uid="{00000000-0005-0000-0000-00006D540000}"/>
    <cellStyle name="ssubtitulo" xfId="4500" xr:uid="{00000000-0005-0000-0000-00006E540000}"/>
    <cellStyle name="Standaard_Blad1" xfId="4501" xr:uid="{00000000-0005-0000-0000-00006F540000}"/>
    <cellStyle name="Standard_Anlagenbuchhaltung" xfId="4502" xr:uid="{00000000-0005-0000-0000-000070540000}"/>
    <cellStyle name="Style 1" xfId="5127" xr:uid="{00000000-0005-0000-0000-000071540000}"/>
    <cellStyle name="Style 100" xfId="4503" xr:uid="{00000000-0005-0000-0000-000072540000}"/>
    <cellStyle name="Style 101" xfId="4504" xr:uid="{00000000-0005-0000-0000-000073540000}"/>
    <cellStyle name="Style 102" xfId="4505" xr:uid="{00000000-0005-0000-0000-000074540000}"/>
    <cellStyle name="Style 103" xfId="4506" xr:uid="{00000000-0005-0000-0000-000075540000}"/>
    <cellStyle name="Style 104" xfId="4507" xr:uid="{00000000-0005-0000-0000-000076540000}"/>
    <cellStyle name="Style 105" xfId="4508" xr:uid="{00000000-0005-0000-0000-000077540000}"/>
    <cellStyle name="Style 106" xfId="4509" xr:uid="{00000000-0005-0000-0000-000078540000}"/>
    <cellStyle name="Style 107" xfId="4510" xr:uid="{00000000-0005-0000-0000-000079540000}"/>
    <cellStyle name="Style 108" xfId="4511" xr:uid="{00000000-0005-0000-0000-00007A540000}"/>
    <cellStyle name="Style 109" xfId="4512" xr:uid="{00000000-0005-0000-0000-00007B540000}"/>
    <cellStyle name="Style 110" xfId="4513" xr:uid="{00000000-0005-0000-0000-00007C540000}"/>
    <cellStyle name="Style 111" xfId="4514" xr:uid="{00000000-0005-0000-0000-00007D540000}"/>
    <cellStyle name="Style 112" xfId="4515" xr:uid="{00000000-0005-0000-0000-00007E540000}"/>
    <cellStyle name="Style 113" xfId="4516" xr:uid="{00000000-0005-0000-0000-00007F540000}"/>
    <cellStyle name="Style 114" xfId="4517" xr:uid="{00000000-0005-0000-0000-000080540000}"/>
    <cellStyle name="Style 115" xfId="4518" xr:uid="{00000000-0005-0000-0000-000081540000}"/>
    <cellStyle name="Style 116" xfId="4519" xr:uid="{00000000-0005-0000-0000-000082540000}"/>
    <cellStyle name="Style 117" xfId="4520" xr:uid="{00000000-0005-0000-0000-000083540000}"/>
    <cellStyle name="Style 118" xfId="4521" xr:uid="{00000000-0005-0000-0000-000084540000}"/>
    <cellStyle name="Style 119" xfId="4522" xr:uid="{00000000-0005-0000-0000-000085540000}"/>
    <cellStyle name="Style 120" xfId="4523" xr:uid="{00000000-0005-0000-0000-000086540000}"/>
    <cellStyle name="Style 121" xfId="4524" xr:uid="{00000000-0005-0000-0000-000087540000}"/>
    <cellStyle name="Style 122" xfId="4525" xr:uid="{00000000-0005-0000-0000-000088540000}"/>
    <cellStyle name="Style 123" xfId="4526" xr:uid="{00000000-0005-0000-0000-000089540000}"/>
    <cellStyle name="Style 124" xfId="4527" xr:uid="{00000000-0005-0000-0000-00008A540000}"/>
    <cellStyle name="Style 125" xfId="4528" xr:uid="{00000000-0005-0000-0000-00008B540000}"/>
    <cellStyle name="Style 126" xfId="4529" xr:uid="{00000000-0005-0000-0000-00008C540000}"/>
    <cellStyle name="Style 127" xfId="4530" xr:uid="{00000000-0005-0000-0000-00008D540000}"/>
    <cellStyle name="Style 128" xfId="4531" xr:uid="{00000000-0005-0000-0000-00008E540000}"/>
    <cellStyle name="Style 129" xfId="4532" xr:uid="{00000000-0005-0000-0000-00008F540000}"/>
    <cellStyle name="Style 130" xfId="4533" xr:uid="{00000000-0005-0000-0000-000090540000}"/>
    <cellStyle name="Style 131" xfId="4534" xr:uid="{00000000-0005-0000-0000-000091540000}"/>
    <cellStyle name="Style 132" xfId="4535" xr:uid="{00000000-0005-0000-0000-000092540000}"/>
    <cellStyle name="Style 133" xfId="4536" xr:uid="{00000000-0005-0000-0000-000093540000}"/>
    <cellStyle name="Style 134" xfId="4537" xr:uid="{00000000-0005-0000-0000-000094540000}"/>
    <cellStyle name="Style 135" xfId="4538" xr:uid="{00000000-0005-0000-0000-000095540000}"/>
    <cellStyle name="Style 136" xfId="4539" xr:uid="{00000000-0005-0000-0000-000096540000}"/>
    <cellStyle name="Style 137" xfId="4540" xr:uid="{00000000-0005-0000-0000-000097540000}"/>
    <cellStyle name="Style 138" xfId="4541" xr:uid="{00000000-0005-0000-0000-000098540000}"/>
    <cellStyle name="Style 139" xfId="4542" xr:uid="{00000000-0005-0000-0000-000099540000}"/>
    <cellStyle name="Style 140" xfId="4543" xr:uid="{00000000-0005-0000-0000-00009A540000}"/>
    <cellStyle name="Style 141" xfId="4544" xr:uid="{00000000-0005-0000-0000-00009B540000}"/>
    <cellStyle name="Style 142" xfId="4545" xr:uid="{00000000-0005-0000-0000-00009C540000}"/>
    <cellStyle name="Style 143" xfId="4546" xr:uid="{00000000-0005-0000-0000-00009D540000}"/>
    <cellStyle name="Style 144" xfId="4547" xr:uid="{00000000-0005-0000-0000-00009E540000}"/>
    <cellStyle name="Style 145" xfId="4548" xr:uid="{00000000-0005-0000-0000-00009F540000}"/>
    <cellStyle name="Style 146" xfId="4549" xr:uid="{00000000-0005-0000-0000-0000A0540000}"/>
    <cellStyle name="Style 147" xfId="4550" xr:uid="{00000000-0005-0000-0000-0000A1540000}"/>
    <cellStyle name="Style 149" xfId="4551" xr:uid="{00000000-0005-0000-0000-0000A2540000}"/>
    <cellStyle name="Style 151" xfId="4552" xr:uid="{00000000-0005-0000-0000-0000A3540000}"/>
    <cellStyle name="Style 153" xfId="4553" xr:uid="{00000000-0005-0000-0000-0000A4540000}"/>
    <cellStyle name="Style 155" xfId="4554" xr:uid="{00000000-0005-0000-0000-0000A5540000}"/>
    <cellStyle name="Style 157" xfId="4555" xr:uid="{00000000-0005-0000-0000-0000A6540000}"/>
    <cellStyle name="Style 159" xfId="4556" xr:uid="{00000000-0005-0000-0000-0000A7540000}"/>
    <cellStyle name="Style 161" xfId="4557" xr:uid="{00000000-0005-0000-0000-0000A8540000}"/>
    <cellStyle name="Style 2" xfId="5128" xr:uid="{00000000-0005-0000-0000-0000A9540000}"/>
    <cellStyle name="Style 21" xfId="4558" xr:uid="{00000000-0005-0000-0000-0000AA540000}"/>
    <cellStyle name="Style 22" xfId="4559" xr:uid="{00000000-0005-0000-0000-0000AB540000}"/>
    <cellStyle name="Style 23" xfId="4560" xr:uid="{00000000-0005-0000-0000-0000AC540000}"/>
    <cellStyle name="Style 24" xfId="4561" xr:uid="{00000000-0005-0000-0000-0000AD540000}"/>
    <cellStyle name="Style 25" xfId="4562" xr:uid="{00000000-0005-0000-0000-0000AE540000}"/>
    <cellStyle name="Style 26" xfId="4563" xr:uid="{00000000-0005-0000-0000-0000AF540000}"/>
    <cellStyle name="Style 27" xfId="4564" xr:uid="{00000000-0005-0000-0000-0000B0540000}"/>
    <cellStyle name="Style 27 2" xfId="5129" xr:uid="{00000000-0005-0000-0000-0000B1540000}"/>
    <cellStyle name="Style 28" xfId="4565" xr:uid="{00000000-0005-0000-0000-0000B2540000}"/>
    <cellStyle name="Style 29" xfId="4566" xr:uid="{00000000-0005-0000-0000-0000B3540000}"/>
    <cellStyle name="Style 30" xfId="4567" xr:uid="{00000000-0005-0000-0000-0000B4540000}"/>
    <cellStyle name="Style 31" xfId="4568" xr:uid="{00000000-0005-0000-0000-0000B5540000}"/>
    <cellStyle name="Style 32" xfId="4569" xr:uid="{00000000-0005-0000-0000-0000B6540000}"/>
    <cellStyle name="Style 32 2" xfId="4911" xr:uid="{00000000-0005-0000-0000-0000B7540000}"/>
    <cellStyle name="Style 32 2 2" xfId="14516" xr:uid="{00000000-0005-0000-0000-0000B8540000}"/>
    <cellStyle name="Style 32 3" xfId="12231" xr:uid="{00000000-0005-0000-0000-0000B9540000}"/>
    <cellStyle name="Style 33" xfId="4570" xr:uid="{00000000-0005-0000-0000-0000BA540000}"/>
    <cellStyle name="Style 34" xfId="4571" xr:uid="{00000000-0005-0000-0000-0000BB540000}"/>
    <cellStyle name="Style 34 2" xfId="4912" xr:uid="{00000000-0005-0000-0000-0000BC540000}"/>
    <cellStyle name="Style 34 2 2" xfId="14521" xr:uid="{00000000-0005-0000-0000-0000BD540000}"/>
    <cellStyle name="Style 34 3" xfId="12232" xr:uid="{00000000-0005-0000-0000-0000BE540000}"/>
    <cellStyle name="Style 35" xfId="4572" xr:uid="{00000000-0005-0000-0000-0000BF540000}"/>
    <cellStyle name="Style 36" xfId="4573" xr:uid="{00000000-0005-0000-0000-0000C0540000}"/>
    <cellStyle name="Style 37" xfId="4574" xr:uid="{00000000-0005-0000-0000-0000C1540000}"/>
    <cellStyle name="Style 38" xfId="4575" xr:uid="{00000000-0005-0000-0000-0000C2540000}"/>
    <cellStyle name="Style 39" xfId="4576" xr:uid="{00000000-0005-0000-0000-0000C3540000}"/>
    <cellStyle name="Style 39 2" xfId="5130" xr:uid="{00000000-0005-0000-0000-0000C4540000}"/>
    <cellStyle name="Style 40" xfId="4577" xr:uid="{00000000-0005-0000-0000-0000C5540000}"/>
    <cellStyle name="Style 40 2" xfId="5131" xr:uid="{00000000-0005-0000-0000-0000C6540000}"/>
    <cellStyle name="Style 41" xfId="4578" xr:uid="{00000000-0005-0000-0000-0000C7540000}"/>
    <cellStyle name="Style 41 2" xfId="5132" xr:uid="{00000000-0005-0000-0000-0000C8540000}"/>
    <cellStyle name="Style 42" xfId="4579" xr:uid="{00000000-0005-0000-0000-0000C9540000}"/>
    <cellStyle name="Style 42 2" xfId="5133" xr:uid="{00000000-0005-0000-0000-0000CA540000}"/>
    <cellStyle name="Style 43" xfId="4580" xr:uid="{00000000-0005-0000-0000-0000CB540000}"/>
    <cellStyle name="Style 43 2" xfId="5134" xr:uid="{00000000-0005-0000-0000-0000CC540000}"/>
    <cellStyle name="Style 43 2 2" xfId="16079" xr:uid="{00000000-0005-0000-0000-0000CD540000}"/>
    <cellStyle name="Style 44" xfId="4581" xr:uid="{00000000-0005-0000-0000-0000CE540000}"/>
    <cellStyle name="Style 44 2" xfId="5135" xr:uid="{00000000-0005-0000-0000-0000CF540000}"/>
    <cellStyle name="Style 45" xfId="4582" xr:uid="{00000000-0005-0000-0000-0000D0540000}"/>
    <cellStyle name="Style 45 2" xfId="5136" xr:uid="{00000000-0005-0000-0000-0000D1540000}"/>
    <cellStyle name="Style 46" xfId="4583" xr:uid="{00000000-0005-0000-0000-0000D2540000}"/>
    <cellStyle name="Style 46 2" xfId="5137" xr:uid="{00000000-0005-0000-0000-0000D3540000}"/>
    <cellStyle name="Style 47" xfId="4584" xr:uid="{00000000-0005-0000-0000-0000D4540000}"/>
    <cellStyle name="Style 47 2" xfId="5138" xr:uid="{00000000-0005-0000-0000-0000D5540000}"/>
    <cellStyle name="Style 48" xfId="4585" xr:uid="{00000000-0005-0000-0000-0000D6540000}"/>
    <cellStyle name="Style 48 2" xfId="5139" xr:uid="{00000000-0005-0000-0000-0000D7540000}"/>
    <cellStyle name="Style 49" xfId="4586" xr:uid="{00000000-0005-0000-0000-0000D8540000}"/>
    <cellStyle name="Style 49 2" xfId="5140" xr:uid="{00000000-0005-0000-0000-0000D9540000}"/>
    <cellStyle name="Style 50" xfId="4587" xr:uid="{00000000-0005-0000-0000-0000DA540000}"/>
    <cellStyle name="Style 50 2" xfId="5141" xr:uid="{00000000-0005-0000-0000-0000DB540000}"/>
    <cellStyle name="Style 50 3" xfId="13929" xr:uid="{00000000-0005-0000-0000-0000DC540000}"/>
    <cellStyle name="Style 51" xfId="4588" xr:uid="{00000000-0005-0000-0000-0000DD540000}"/>
    <cellStyle name="Style 51 2" xfId="5142" xr:uid="{00000000-0005-0000-0000-0000DE540000}"/>
    <cellStyle name="Style 51 3" xfId="13930" xr:uid="{00000000-0005-0000-0000-0000DF540000}"/>
    <cellStyle name="Style 52" xfId="4589" xr:uid="{00000000-0005-0000-0000-0000E0540000}"/>
    <cellStyle name="Style 52 2" xfId="5143" xr:uid="{00000000-0005-0000-0000-0000E1540000}"/>
    <cellStyle name="Style 52 3" xfId="13931" xr:uid="{00000000-0005-0000-0000-0000E2540000}"/>
    <cellStyle name="Style 53" xfId="4590" xr:uid="{00000000-0005-0000-0000-0000E3540000}"/>
    <cellStyle name="Style 53 2" xfId="5144" xr:uid="{00000000-0005-0000-0000-0000E4540000}"/>
    <cellStyle name="Style 53 3" xfId="13932" xr:uid="{00000000-0005-0000-0000-0000E5540000}"/>
    <cellStyle name="Style 54" xfId="4591" xr:uid="{00000000-0005-0000-0000-0000E6540000}"/>
    <cellStyle name="Style 54 2" xfId="5145" xr:uid="{00000000-0005-0000-0000-0000E7540000}"/>
    <cellStyle name="Style 54 3" xfId="13933" xr:uid="{00000000-0005-0000-0000-0000E8540000}"/>
    <cellStyle name="Style 55" xfId="4592" xr:uid="{00000000-0005-0000-0000-0000E9540000}"/>
    <cellStyle name="Style 55 2" xfId="5146" xr:uid="{00000000-0005-0000-0000-0000EA540000}"/>
    <cellStyle name="Style 56" xfId="4593" xr:uid="{00000000-0005-0000-0000-0000EB540000}"/>
    <cellStyle name="Style 57" xfId="4594" xr:uid="{00000000-0005-0000-0000-0000EC540000}"/>
    <cellStyle name="Style 58" xfId="4595" xr:uid="{00000000-0005-0000-0000-0000ED540000}"/>
    <cellStyle name="Style 58 2" xfId="4596" xr:uid="{00000000-0005-0000-0000-0000EE540000}"/>
    <cellStyle name="Style 58 2 2" xfId="4597" xr:uid="{00000000-0005-0000-0000-0000EF540000}"/>
    <cellStyle name="Style 58 2 2 2" xfId="10589" xr:uid="{00000000-0005-0000-0000-0000F0540000}"/>
    <cellStyle name="Style 58 2 3" xfId="10588" xr:uid="{00000000-0005-0000-0000-0000F1540000}"/>
    <cellStyle name="Style 58 3" xfId="4598" xr:uid="{00000000-0005-0000-0000-0000F2540000}"/>
    <cellStyle name="Style 58 3 2" xfId="4599" xr:uid="{00000000-0005-0000-0000-0000F3540000}"/>
    <cellStyle name="Style 58 3 2 2" xfId="10591" xr:uid="{00000000-0005-0000-0000-0000F4540000}"/>
    <cellStyle name="Style 58 3 3" xfId="10590" xr:uid="{00000000-0005-0000-0000-0000F5540000}"/>
    <cellStyle name="Style 58 4" xfId="4600" xr:uid="{00000000-0005-0000-0000-0000F6540000}"/>
    <cellStyle name="Style 58 4 2" xfId="10592" xr:uid="{00000000-0005-0000-0000-0000F7540000}"/>
    <cellStyle name="Style 58 5" xfId="10587" xr:uid="{00000000-0005-0000-0000-0000F8540000}"/>
    <cellStyle name="Style 59" xfId="4601" xr:uid="{00000000-0005-0000-0000-0000F9540000}"/>
    <cellStyle name="Style 60" xfId="4602" xr:uid="{00000000-0005-0000-0000-0000FA540000}"/>
    <cellStyle name="Style 61" xfId="4603" xr:uid="{00000000-0005-0000-0000-0000FB540000}"/>
    <cellStyle name="Style 62" xfId="4604" xr:uid="{00000000-0005-0000-0000-0000FC540000}"/>
    <cellStyle name="Style 63" xfId="4605" xr:uid="{00000000-0005-0000-0000-0000FD540000}"/>
    <cellStyle name="Style 64" xfId="4606" xr:uid="{00000000-0005-0000-0000-0000FE540000}"/>
    <cellStyle name="Style 65" xfId="4607" xr:uid="{00000000-0005-0000-0000-0000FF540000}"/>
    <cellStyle name="Style 66" xfId="4608" xr:uid="{00000000-0005-0000-0000-000000550000}"/>
    <cellStyle name="Style 67" xfId="4609" xr:uid="{00000000-0005-0000-0000-000001550000}"/>
    <cellStyle name="Style 68" xfId="4610" xr:uid="{00000000-0005-0000-0000-000002550000}"/>
    <cellStyle name="Style 69" xfId="4611" xr:uid="{00000000-0005-0000-0000-000003550000}"/>
    <cellStyle name="Style 70" xfId="4612" xr:uid="{00000000-0005-0000-0000-000004550000}"/>
    <cellStyle name="Style 71" xfId="4613" xr:uid="{00000000-0005-0000-0000-000005550000}"/>
    <cellStyle name="Style 72" xfId="4614" xr:uid="{00000000-0005-0000-0000-000006550000}"/>
    <cellStyle name="Style 73" xfId="4615" xr:uid="{00000000-0005-0000-0000-000007550000}"/>
    <cellStyle name="Style 74" xfId="4616" xr:uid="{00000000-0005-0000-0000-000008550000}"/>
    <cellStyle name="Style 83" xfId="4617" xr:uid="{00000000-0005-0000-0000-000009550000}"/>
    <cellStyle name="Style 84" xfId="4618" xr:uid="{00000000-0005-0000-0000-00000A550000}"/>
    <cellStyle name="Style 85" xfId="4619" xr:uid="{00000000-0005-0000-0000-00000B550000}"/>
    <cellStyle name="Style 86" xfId="4620" xr:uid="{00000000-0005-0000-0000-00000C550000}"/>
    <cellStyle name="Style 87" xfId="4621" xr:uid="{00000000-0005-0000-0000-00000D550000}"/>
    <cellStyle name="Style 88" xfId="4622" xr:uid="{00000000-0005-0000-0000-00000E550000}"/>
    <cellStyle name="Style 89" xfId="4623" xr:uid="{00000000-0005-0000-0000-00000F550000}"/>
    <cellStyle name="Style 90" xfId="4624" xr:uid="{00000000-0005-0000-0000-000010550000}"/>
    <cellStyle name="Style 91" xfId="4625" xr:uid="{00000000-0005-0000-0000-000011550000}"/>
    <cellStyle name="Style 92" xfId="4626" xr:uid="{00000000-0005-0000-0000-000012550000}"/>
    <cellStyle name="Style 93" xfId="4627" xr:uid="{00000000-0005-0000-0000-000013550000}"/>
    <cellStyle name="Style 94" xfId="4628" xr:uid="{00000000-0005-0000-0000-000014550000}"/>
    <cellStyle name="Style 95" xfId="4629" xr:uid="{00000000-0005-0000-0000-000015550000}"/>
    <cellStyle name="Style 96" xfId="4630" xr:uid="{00000000-0005-0000-0000-000016550000}"/>
    <cellStyle name="Style 97" xfId="4631" xr:uid="{00000000-0005-0000-0000-000017550000}"/>
    <cellStyle name="Style 98" xfId="4632" xr:uid="{00000000-0005-0000-0000-000018550000}"/>
    <cellStyle name="Style 99" xfId="4633" xr:uid="{00000000-0005-0000-0000-000019550000}"/>
    <cellStyle name="subtitulo" xfId="4634" xr:uid="{00000000-0005-0000-0000-00001A550000}"/>
    <cellStyle name="Subtotal" xfId="4635" xr:uid="{00000000-0005-0000-0000-00001B550000}"/>
    <cellStyle name="Subtotal 2" xfId="5147" xr:uid="{00000000-0005-0000-0000-00001C550000}"/>
    <cellStyle name="Table Col Head" xfId="4636" xr:uid="{00000000-0005-0000-0000-00001D550000}"/>
    <cellStyle name="Table Head" xfId="4637" xr:uid="{00000000-0005-0000-0000-00001E550000}"/>
    <cellStyle name="Table Head 2" xfId="5148" xr:uid="{00000000-0005-0000-0000-00001F550000}"/>
    <cellStyle name="Table Head Aligned" xfId="5149" xr:uid="{00000000-0005-0000-0000-000020550000}"/>
    <cellStyle name="Table Head Blue" xfId="5150" xr:uid="{00000000-0005-0000-0000-000021550000}"/>
    <cellStyle name="Table Head Green" xfId="5151" xr:uid="{00000000-0005-0000-0000-000022550000}"/>
    <cellStyle name="Table Head_pldt" xfId="5152" xr:uid="{00000000-0005-0000-0000-000023550000}"/>
    <cellStyle name="Table Heading" xfId="4638" xr:uid="{00000000-0005-0000-0000-000024550000}"/>
    <cellStyle name="Table Source" xfId="5153" xr:uid="{00000000-0005-0000-0000-000025550000}"/>
    <cellStyle name="Table Text" xfId="5154" xr:uid="{00000000-0005-0000-0000-000026550000}"/>
    <cellStyle name="Table Title" xfId="4639" xr:uid="{00000000-0005-0000-0000-000027550000}"/>
    <cellStyle name="Table Title 2" xfId="5155" xr:uid="{00000000-0005-0000-0000-000028550000}"/>
    <cellStyle name="Table Units" xfId="4640" xr:uid="{00000000-0005-0000-0000-000029550000}"/>
    <cellStyle name="Table Units 2" xfId="4641" xr:uid="{00000000-0005-0000-0000-00002A550000}"/>
    <cellStyle name="Table Units 3" xfId="4642" xr:uid="{00000000-0005-0000-0000-00002B550000}"/>
    <cellStyle name="Table Units 4" xfId="5156" xr:uid="{00000000-0005-0000-0000-00002C550000}"/>
    <cellStyle name="Table_Header" xfId="5157" xr:uid="{00000000-0005-0000-0000-00002D550000}"/>
    <cellStyle name="TEXT" xfId="4643" xr:uid="{00000000-0005-0000-0000-00002E550000}"/>
    <cellStyle name="Text 1" xfId="5158" xr:uid="{00000000-0005-0000-0000-00002F550000}"/>
    <cellStyle name="Text 2" xfId="5159" xr:uid="{00000000-0005-0000-0000-000030550000}"/>
    <cellStyle name="Text Head 1" xfId="5160" xr:uid="{00000000-0005-0000-0000-000031550000}"/>
    <cellStyle name="Text Head 2" xfId="5161" xr:uid="{00000000-0005-0000-0000-000032550000}"/>
    <cellStyle name="Text Indent 1" xfId="5162" xr:uid="{00000000-0005-0000-0000-000033550000}"/>
    <cellStyle name="Text Indent 2" xfId="5163" xr:uid="{00000000-0005-0000-0000-000034550000}"/>
    <cellStyle name="Text Indent A" xfId="5164" xr:uid="{00000000-0005-0000-0000-000035550000}"/>
    <cellStyle name="Text Indent B" xfId="5165" xr:uid="{00000000-0005-0000-0000-000036550000}"/>
    <cellStyle name="Text Indent C" xfId="5166" xr:uid="{00000000-0005-0000-0000-000037550000}"/>
    <cellStyle name="TEXTO" xfId="4644" xr:uid="{00000000-0005-0000-0000-000038550000}"/>
    <cellStyle name="TEXTO 10" xfId="4645" xr:uid="{00000000-0005-0000-0000-000039550000}"/>
    <cellStyle name="TEXTO 11" xfId="4646" xr:uid="{00000000-0005-0000-0000-00003A550000}"/>
    <cellStyle name="TEXTO 12" xfId="4647" xr:uid="{00000000-0005-0000-0000-00003B550000}"/>
    <cellStyle name="TEXTO 13" xfId="4648" xr:uid="{00000000-0005-0000-0000-00003C550000}"/>
    <cellStyle name="TEXTO 14" xfId="4649" xr:uid="{00000000-0005-0000-0000-00003D550000}"/>
    <cellStyle name="TEXTO 15" xfId="4650" xr:uid="{00000000-0005-0000-0000-00003E550000}"/>
    <cellStyle name="TEXTO 16" xfId="4651" xr:uid="{00000000-0005-0000-0000-00003F550000}"/>
    <cellStyle name="TEXTO 17" xfId="4652" xr:uid="{00000000-0005-0000-0000-000040550000}"/>
    <cellStyle name="TEXTO 18" xfId="4653" xr:uid="{00000000-0005-0000-0000-000041550000}"/>
    <cellStyle name="TEXTO 19" xfId="4654" xr:uid="{00000000-0005-0000-0000-000042550000}"/>
    <cellStyle name="TEXTO 2" xfId="4655" xr:uid="{00000000-0005-0000-0000-000043550000}"/>
    <cellStyle name="TEXTO 20" xfId="4656" xr:uid="{00000000-0005-0000-0000-000044550000}"/>
    <cellStyle name="TEXTO 21" xfId="4657" xr:uid="{00000000-0005-0000-0000-000045550000}"/>
    <cellStyle name="TEXTO 22" xfId="4658" xr:uid="{00000000-0005-0000-0000-000046550000}"/>
    <cellStyle name="TEXTO 23" xfId="4659" xr:uid="{00000000-0005-0000-0000-000047550000}"/>
    <cellStyle name="TEXTO 24" xfId="4660" xr:uid="{00000000-0005-0000-0000-000048550000}"/>
    <cellStyle name="TEXTO 25" xfId="4661" xr:uid="{00000000-0005-0000-0000-000049550000}"/>
    <cellStyle name="TEXTO 26" xfId="4662" xr:uid="{00000000-0005-0000-0000-00004A550000}"/>
    <cellStyle name="TEXTO 27" xfId="4663" xr:uid="{00000000-0005-0000-0000-00004B550000}"/>
    <cellStyle name="TEXTO 28" xfId="4664" xr:uid="{00000000-0005-0000-0000-00004C550000}"/>
    <cellStyle name="TEXTO 29" xfId="4665" xr:uid="{00000000-0005-0000-0000-00004D550000}"/>
    <cellStyle name="TEXTO 3" xfId="4666" xr:uid="{00000000-0005-0000-0000-00004E550000}"/>
    <cellStyle name="TEXTO 30" xfId="4667" xr:uid="{00000000-0005-0000-0000-00004F550000}"/>
    <cellStyle name="TEXTO 31" xfId="4668" xr:uid="{00000000-0005-0000-0000-000050550000}"/>
    <cellStyle name="TEXTO 32" xfId="4669" xr:uid="{00000000-0005-0000-0000-000051550000}"/>
    <cellStyle name="TEXTO 33" xfId="4670" xr:uid="{00000000-0005-0000-0000-000052550000}"/>
    <cellStyle name="TEXTO 34" xfId="4671" xr:uid="{00000000-0005-0000-0000-000053550000}"/>
    <cellStyle name="TEXTO 35" xfId="4672" xr:uid="{00000000-0005-0000-0000-000054550000}"/>
    <cellStyle name="TEXTO 36" xfId="4673" xr:uid="{00000000-0005-0000-0000-000055550000}"/>
    <cellStyle name="TEXTO 37" xfId="4674" xr:uid="{00000000-0005-0000-0000-000056550000}"/>
    <cellStyle name="TEXTO 38" xfId="4675" xr:uid="{00000000-0005-0000-0000-000057550000}"/>
    <cellStyle name="TEXTO 39" xfId="4676" xr:uid="{00000000-0005-0000-0000-000058550000}"/>
    <cellStyle name="TEXTO 4" xfId="4677" xr:uid="{00000000-0005-0000-0000-000059550000}"/>
    <cellStyle name="TEXTO 40" xfId="4678" xr:uid="{00000000-0005-0000-0000-00005A550000}"/>
    <cellStyle name="TEXTO 5" xfId="4679" xr:uid="{00000000-0005-0000-0000-00005B550000}"/>
    <cellStyle name="TEXTO 6" xfId="4680" xr:uid="{00000000-0005-0000-0000-00005C550000}"/>
    <cellStyle name="TEXTO 7" xfId="4681" xr:uid="{00000000-0005-0000-0000-00005D550000}"/>
    <cellStyle name="TEXTO 8" xfId="4682" xr:uid="{00000000-0005-0000-0000-00005E550000}"/>
    <cellStyle name="TEXTO 9" xfId="4683" xr:uid="{00000000-0005-0000-0000-00005F550000}"/>
    <cellStyle name="Texto de advertencia" xfId="4684" xr:uid="{00000000-0005-0000-0000-000060550000}"/>
    <cellStyle name="Texto de Aviso" xfId="81" xr:uid="{00000000-0005-0000-0000-000061550000}"/>
    <cellStyle name="Texto de Aviso 10" xfId="5611" xr:uid="{00000000-0005-0000-0000-000062550000}"/>
    <cellStyle name="Texto de Aviso 11" xfId="5640" xr:uid="{00000000-0005-0000-0000-000063550000}"/>
    <cellStyle name="Texto de Aviso 12" xfId="5660" xr:uid="{00000000-0005-0000-0000-000064550000}"/>
    <cellStyle name="Texto de Aviso 13" xfId="5673" xr:uid="{00000000-0005-0000-0000-000065550000}"/>
    <cellStyle name="Texto de Aviso 14" xfId="5680" xr:uid="{00000000-0005-0000-0000-000066550000}"/>
    <cellStyle name="Texto de Aviso 15" xfId="5756" xr:uid="{00000000-0005-0000-0000-000067550000}"/>
    <cellStyle name="Texto de Aviso 16" xfId="5763" xr:uid="{00000000-0005-0000-0000-000068550000}"/>
    <cellStyle name="Texto de Aviso 17" xfId="5784" xr:uid="{00000000-0005-0000-0000-000069550000}"/>
    <cellStyle name="Texto de Aviso 2" xfId="5167" xr:uid="{00000000-0005-0000-0000-00006A550000}"/>
    <cellStyle name="Texto de Aviso 2 2" xfId="7019" xr:uid="{00000000-0005-0000-0000-00006B550000}"/>
    <cellStyle name="Texto de Aviso 2 2 2" xfId="7020" xr:uid="{00000000-0005-0000-0000-00006C550000}"/>
    <cellStyle name="Texto de Aviso 2 2 2 2" xfId="7021" xr:uid="{00000000-0005-0000-0000-00006D550000}"/>
    <cellStyle name="Texto de Aviso 2 2 2 2 2" xfId="7022" xr:uid="{00000000-0005-0000-0000-00006E550000}"/>
    <cellStyle name="Texto de Aviso 2 2 2 2 2 2" xfId="7023" xr:uid="{00000000-0005-0000-0000-00006F550000}"/>
    <cellStyle name="Texto de Aviso 2 2 2 2 2 2 2" xfId="7024" xr:uid="{00000000-0005-0000-0000-000070550000}"/>
    <cellStyle name="Texto de Aviso 2 2 2 2 2 2 2 2" xfId="7025" xr:uid="{00000000-0005-0000-0000-000071550000}"/>
    <cellStyle name="Texto de Aviso 2 2 2 2 2 2 3" xfId="7026" xr:uid="{00000000-0005-0000-0000-000072550000}"/>
    <cellStyle name="Texto de Aviso 2 2 2 2 2 3" xfId="7027" xr:uid="{00000000-0005-0000-0000-000073550000}"/>
    <cellStyle name="Texto de Aviso 2 2 2 2 2 3 2" xfId="7028" xr:uid="{00000000-0005-0000-0000-000074550000}"/>
    <cellStyle name="Texto de Aviso 2 2 2 2 3" xfId="7029" xr:uid="{00000000-0005-0000-0000-000075550000}"/>
    <cellStyle name="Texto de Aviso 2 2 2 2 3 2" xfId="7030" xr:uid="{00000000-0005-0000-0000-000076550000}"/>
    <cellStyle name="Texto de Aviso 2 2 2 3" xfId="7031" xr:uid="{00000000-0005-0000-0000-000077550000}"/>
    <cellStyle name="Texto de Aviso 2 2 2 4" xfId="7032" xr:uid="{00000000-0005-0000-0000-000078550000}"/>
    <cellStyle name="Texto de Aviso 2 2 2 4 2" xfId="7033" xr:uid="{00000000-0005-0000-0000-000079550000}"/>
    <cellStyle name="Texto de Aviso 2 2 3" xfId="7034" xr:uid="{00000000-0005-0000-0000-00007A550000}"/>
    <cellStyle name="Texto de Aviso 2 2 4" xfId="7035" xr:uid="{00000000-0005-0000-0000-00007B550000}"/>
    <cellStyle name="Texto de Aviso 2 2 4 2" xfId="7036" xr:uid="{00000000-0005-0000-0000-00007C550000}"/>
    <cellStyle name="Texto de Aviso 2 3" xfId="7037" xr:uid="{00000000-0005-0000-0000-00007D550000}"/>
    <cellStyle name="Texto de Aviso 2 4" xfId="7038" xr:uid="{00000000-0005-0000-0000-00007E550000}"/>
    <cellStyle name="Texto de Aviso 2 5" xfId="7039" xr:uid="{00000000-0005-0000-0000-00007F550000}"/>
    <cellStyle name="Texto de Aviso 2 6" xfId="7040" xr:uid="{00000000-0005-0000-0000-000080550000}"/>
    <cellStyle name="Texto de Aviso 2 6 2" xfId="7041" xr:uid="{00000000-0005-0000-0000-000081550000}"/>
    <cellStyle name="Texto de Aviso 2 7" xfId="7018" xr:uid="{00000000-0005-0000-0000-000082550000}"/>
    <cellStyle name="Texto de Aviso 3" xfId="5347" xr:uid="{00000000-0005-0000-0000-000083550000}"/>
    <cellStyle name="Texto de Aviso 3 2" xfId="7043" xr:uid="{00000000-0005-0000-0000-000084550000}"/>
    <cellStyle name="Texto de Aviso 3 3" xfId="7044" xr:uid="{00000000-0005-0000-0000-000085550000}"/>
    <cellStyle name="Texto de Aviso 3 4" xfId="7045" xr:uid="{00000000-0005-0000-0000-000086550000}"/>
    <cellStyle name="Texto de Aviso 3 5" xfId="7042" xr:uid="{00000000-0005-0000-0000-000087550000}"/>
    <cellStyle name="Texto de Aviso 4" xfId="5376" xr:uid="{00000000-0005-0000-0000-000088550000}"/>
    <cellStyle name="Texto de Aviso 4 2" xfId="7047" xr:uid="{00000000-0005-0000-0000-000089550000}"/>
    <cellStyle name="Texto de Aviso 4 3" xfId="7048" xr:uid="{00000000-0005-0000-0000-00008A550000}"/>
    <cellStyle name="Texto de Aviso 4 4" xfId="7046" xr:uid="{00000000-0005-0000-0000-00008B550000}"/>
    <cellStyle name="Texto de Aviso 5" xfId="5404" xr:uid="{00000000-0005-0000-0000-00008C550000}"/>
    <cellStyle name="Texto de Aviso 5 2" xfId="7050" xr:uid="{00000000-0005-0000-0000-00008D550000}"/>
    <cellStyle name="Texto de Aviso 5 3" xfId="7049" xr:uid="{00000000-0005-0000-0000-00008E550000}"/>
    <cellStyle name="Texto de Aviso 6" xfId="5431" xr:uid="{00000000-0005-0000-0000-00008F550000}"/>
    <cellStyle name="Texto de Aviso 6 2" xfId="7052" xr:uid="{00000000-0005-0000-0000-000090550000}"/>
    <cellStyle name="Texto de Aviso 6 3" xfId="7378" xr:uid="{00000000-0005-0000-0000-000091550000}"/>
    <cellStyle name="Texto de Aviso 6 4" xfId="7051" xr:uid="{00000000-0005-0000-0000-000092550000}"/>
    <cellStyle name="Texto de Aviso 7" xfId="5451" xr:uid="{00000000-0005-0000-0000-000093550000}"/>
    <cellStyle name="Texto de Aviso 7 2" xfId="7379" xr:uid="{00000000-0005-0000-0000-000094550000}"/>
    <cellStyle name="Texto de Aviso 7 3" xfId="7053" xr:uid="{00000000-0005-0000-0000-000095550000}"/>
    <cellStyle name="Texto de Aviso 8" xfId="5464" xr:uid="{00000000-0005-0000-0000-000096550000}"/>
    <cellStyle name="Texto de Aviso 9" xfId="5471" xr:uid="{00000000-0005-0000-0000-000097550000}"/>
    <cellStyle name="Texto Explicativo" xfId="82" xr:uid="{00000000-0005-0000-0000-000098550000}"/>
    <cellStyle name="Texto Explicativo 10" xfId="5612" xr:uid="{00000000-0005-0000-0000-000099550000}"/>
    <cellStyle name="Texto Explicativo 11" xfId="5641" xr:uid="{00000000-0005-0000-0000-00009A550000}"/>
    <cellStyle name="Texto Explicativo 12" xfId="5661" xr:uid="{00000000-0005-0000-0000-00009B550000}"/>
    <cellStyle name="Texto Explicativo 13" xfId="5674" xr:uid="{00000000-0005-0000-0000-00009C550000}"/>
    <cellStyle name="Texto Explicativo 14" xfId="5681" xr:uid="{00000000-0005-0000-0000-00009D550000}"/>
    <cellStyle name="Texto Explicativo 15" xfId="5757" xr:uid="{00000000-0005-0000-0000-00009E550000}"/>
    <cellStyle name="Texto Explicativo 16" xfId="5764" xr:uid="{00000000-0005-0000-0000-00009F550000}"/>
    <cellStyle name="Texto Explicativo 17" xfId="5785" xr:uid="{00000000-0005-0000-0000-0000A0550000}"/>
    <cellStyle name="Texto Explicativo 2" xfId="5168" xr:uid="{00000000-0005-0000-0000-0000A1550000}"/>
    <cellStyle name="Texto Explicativo 2 2" xfId="7055" xr:uid="{00000000-0005-0000-0000-0000A2550000}"/>
    <cellStyle name="Texto Explicativo 2 2 2" xfId="7056" xr:uid="{00000000-0005-0000-0000-0000A3550000}"/>
    <cellStyle name="Texto Explicativo 2 2 2 2" xfId="7057" xr:uid="{00000000-0005-0000-0000-0000A4550000}"/>
    <cellStyle name="Texto Explicativo 2 2 2 2 2" xfId="7058" xr:uid="{00000000-0005-0000-0000-0000A5550000}"/>
    <cellStyle name="Texto Explicativo 2 2 2 2 2 2" xfId="7059" xr:uid="{00000000-0005-0000-0000-0000A6550000}"/>
    <cellStyle name="Texto Explicativo 2 2 2 2 2 2 2" xfId="7060" xr:uid="{00000000-0005-0000-0000-0000A7550000}"/>
    <cellStyle name="Texto Explicativo 2 2 2 2 2 2 2 2" xfId="7061" xr:uid="{00000000-0005-0000-0000-0000A8550000}"/>
    <cellStyle name="Texto Explicativo 2 2 2 2 2 2 3" xfId="7062" xr:uid="{00000000-0005-0000-0000-0000A9550000}"/>
    <cellStyle name="Texto Explicativo 2 2 2 2 2 3" xfId="7063" xr:uid="{00000000-0005-0000-0000-0000AA550000}"/>
    <cellStyle name="Texto Explicativo 2 2 2 2 2 3 2" xfId="7064" xr:uid="{00000000-0005-0000-0000-0000AB550000}"/>
    <cellStyle name="Texto Explicativo 2 2 2 2 3" xfId="7065" xr:uid="{00000000-0005-0000-0000-0000AC550000}"/>
    <cellStyle name="Texto Explicativo 2 2 2 2 3 2" xfId="7066" xr:uid="{00000000-0005-0000-0000-0000AD550000}"/>
    <cellStyle name="Texto Explicativo 2 2 2 3" xfId="7067" xr:uid="{00000000-0005-0000-0000-0000AE550000}"/>
    <cellStyle name="Texto Explicativo 2 2 2 4" xfId="7068" xr:uid="{00000000-0005-0000-0000-0000AF550000}"/>
    <cellStyle name="Texto Explicativo 2 2 2 4 2" xfId="7069" xr:uid="{00000000-0005-0000-0000-0000B0550000}"/>
    <cellStyle name="Texto Explicativo 2 2 3" xfId="7070" xr:uid="{00000000-0005-0000-0000-0000B1550000}"/>
    <cellStyle name="Texto Explicativo 2 2 4" xfId="7071" xr:uid="{00000000-0005-0000-0000-0000B2550000}"/>
    <cellStyle name="Texto Explicativo 2 2 4 2" xfId="7072" xr:uid="{00000000-0005-0000-0000-0000B3550000}"/>
    <cellStyle name="Texto Explicativo 2 3" xfId="7073" xr:uid="{00000000-0005-0000-0000-0000B4550000}"/>
    <cellStyle name="Texto Explicativo 2 4" xfId="7074" xr:uid="{00000000-0005-0000-0000-0000B5550000}"/>
    <cellStyle name="Texto Explicativo 2 5" xfId="7075" xr:uid="{00000000-0005-0000-0000-0000B6550000}"/>
    <cellStyle name="Texto Explicativo 2 6" xfId="7076" xr:uid="{00000000-0005-0000-0000-0000B7550000}"/>
    <cellStyle name="Texto Explicativo 2 6 2" xfId="7077" xr:uid="{00000000-0005-0000-0000-0000B8550000}"/>
    <cellStyle name="Texto Explicativo 2 7" xfId="7054" xr:uid="{00000000-0005-0000-0000-0000B9550000}"/>
    <cellStyle name="Texto Explicativo 3" xfId="5348" xr:uid="{00000000-0005-0000-0000-0000BA550000}"/>
    <cellStyle name="Texto Explicativo 3 2" xfId="7079" xr:uid="{00000000-0005-0000-0000-0000BB550000}"/>
    <cellStyle name="Texto Explicativo 3 3" xfId="7080" xr:uid="{00000000-0005-0000-0000-0000BC550000}"/>
    <cellStyle name="Texto Explicativo 3 4" xfId="7081" xr:uid="{00000000-0005-0000-0000-0000BD550000}"/>
    <cellStyle name="Texto Explicativo 3 5" xfId="7078" xr:uid="{00000000-0005-0000-0000-0000BE550000}"/>
    <cellStyle name="Texto Explicativo 4" xfId="5377" xr:uid="{00000000-0005-0000-0000-0000BF550000}"/>
    <cellStyle name="Texto Explicativo 4 2" xfId="7083" xr:uid="{00000000-0005-0000-0000-0000C0550000}"/>
    <cellStyle name="Texto Explicativo 4 3" xfId="7084" xr:uid="{00000000-0005-0000-0000-0000C1550000}"/>
    <cellStyle name="Texto Explicativo 4 4" xfId="7082" xr:uid="{00000000-0005-0000-0000-0000C2550000}"/>
    <cellStyle name="Texto Explicativo 5" xfId="5405" xr:uid="{00000000-0005-0000-0000-0000C3550000}"/>
    <cellStyle name="Texto Explicativo 5 2" xfId="7086" xr:uid="{00000000-0005-0000-0000-0000C4550000}"/>
    <cellStyle name="Texto Explicativo 5 3" xfId="7085" xr:uid="{00000000-0005-0000-0000-0000C5550000}"/>
    <cellStyle name="Texto Explicativo 6" xfId="5432" xr:uid="{00000000-0005-0000-0000-0000C6550000}"/>
    <cellStyle name="Texto Explicativo 6 2" xfId="7088" xr:uid="{00000000-0005-0000-0000-0000C7550000}"/>
    <cellStyle name="Texto Explicativo 6 3" xfId="7380" xr:uid="{00000000-0005-0000-0000-0000C8550000}"/>
    <cellStyle name="Texto Explicativo 6 4" xfId="7087" xr:uid="{00000000-0005-0000-0000-0000C9550000}"/>
    <cellStyle name="Texto Explicativo 7" xfId="5452" xr:uid="{00000000-0005-0000-0000-0000CA550000}"/>
    <cellStyle name="Texto Explicativo 7 2" xfId="7381" xr:uid="{00000000-0005-0000-0000-0000CB550000}"/>
    <cellStyle name="Texto Explicativo 7 3" xfId="7089" xr:uid="{00000000-0005-0000-0000-0000CC550000}"/>
    <cellStyle name="Texto Explicativo 8" xfId="5465" xr:uid="{00000000-0005-0000-0000-0000CD550000}"/>
    <cellStyle name="Texto Explicativo 9" xfId="5472" xr:uid="{00000000-0005-0000-0000-0000CE550000}"/>
    <cellStyle name="texto2" xfId="4685" xr:uid="{00000000-0005-0000-0000-0000CF550000}"/>
    <cellStyle name="texto2 10" xfId="4686" xr:uid="{00000000-0005-0000-0000-0000D0550000}"/>
    <cellStyle name="texto2 11" xfId="4687" xr:uid="{00000000-0005-0000-0000-0000D1550000}"/>
    <cellStyle name="texto2 12" xfId="4688" xr:uid="{00000000-0005-0000-0000-0000D2550000}"/>
    <cellStyle name="texto2 13" xfId="4689" xr:uid="{00000000-0005-0000-0000-0000D3550000}"/>
    <cellStyle name="texto2 14" xfId="4690" xr:uid="{00000000-0005-0000-0000-0000D4550000}"/>
    <cellStyle name="texto2 15" xfId="4691" xr:uid="{00000000-0005-0000-0000-0000D5550000}"/>
    <cellStyle name="texto2 16" xfId="4692" xr:uid="{00000000-0005-0000-0000-0000D6550000}"/>
    <cellStyle name="texto2 17" xfId="4693" xr:uid="{00000000-0005-0000-0000-0000D7550000}"/>
    <cellStyle name="texto2 18" xfId="4694" xr:uid="{00000000-0005-0000-0000-0000D8550000}"/>
    <cellStyle name="texto2 19" xfId="4695" xr:uid="{00000000-0005-0000-0000-0000D9550000}"/>
    <cellStyle name="texto2 2" xfId="4696" xr:uid="{00000000-0005-0000-0000-0000DA550000}"/>
    <cellStyle name="texto2 20" xfId="4697" xr:uid="{00000000-0005-0000-0000-0000DB550000}"/>
    <cellStyle name="texto2 21" xfId="4698" xr:uid="{00000000-0005-0000-0000-0000DC550000}"/>
    <cellStyle name="texto2 22" xfId="4699" xr:uid="{00000000-0005-0000-0000-0000DD550000}"/>
    <cellStyle name="texto2 23" xfId="4700" xr:uid="{00000000-0005-0000-0000-0000DE550000}"/>
    <cellStyle name="texto2 24" xfId="4701" xr:uid="{00000000-0005-0000-0000-0000DF550000}"/>
    <cellStyle name="texto2 25" xfId="4702" xr:uid="{00000000-0005-0000-0000-0000E0550000}"/>
    <cellStyle name="texto2 26" xfId="4703" xr:uid="{00000000-0005-0000-0000-0000E1550000}"/>
    <cellStyle name="texto2 27" xfId="4704" xr:uid="{00000000-0005-0000-0000-0000E2550000}"/>
    <cellStyle name="texto2 28" xfId="4705" xr:uid="{00000000-0005-0000-0000-0000E3550000}"/>
    <cellStyle name="texto2 29" xfId="4706" xr:uid="{00000000-0005-0000-0000-0000E4550000}"/>
    <cellStyle name="texto2 3" xfId="4707" xr:uid="{00000000-0005-0000-0000-0000E5550000}"/>
    <cellStyle name="texto2 30" xfId="4708" xr:uid="{00000000-0005-0000-0000-0000E6550000}"/>
    <cellStyle name="texto2 31" xfId="4709" xr:uid="{00000000-0005-0000-0000-0000E7550000}"/>
    <cellStyle name="texto2 32" xfId="4710" xr:uid="{00000000-0005-0000-0000-0000E8550000}"/>
    <cellStyle name="texto2 33" xfId="4711" xr:uid="{00000000-0005-0000-0000-0000E9550000}"/>
    <cellStyle name="texto2 34" xfId="4712" xr:uid="{00000000-0005-0000-0000-0000EA550000}"/>
    <cellStyle name="texto2 35" xfId="4713" xr:uid="{00000000-0005-0000-0000-0000EB550000}"/>
    <cellStyle name="texto2 36" xfId="4714" xr:uid="{00000000-0005-0000-0000-0000EC550000}"/>
    <cellStyle name="texto2 37" xfId="4715" xr:uid="{00000000-0005-0000-0000-0000ED550000}"/>
    <cellStyle name="texto2 38" xfId="4716" xr:uid="{00000000-0005-0000-0000-0000EE550000}"/>
    <cellStyle name="texto2 39" xfId="4717" xr:uid="{00000000-0005-0000-0000-0000EF550000}"/>
    <cellStyle name="texto2 4" xfId="4718" xr:uid="{00000000-0005-0000-0000-0000F0550000}"/>
    <cellStyle name="texto2 40" xfId="4719" xr:uid="{00000000-0005-0000-0000-0000F1550000}"/>
    <cellStyle name="texto2 5" xfId="4720" xr:uid="{00000000-0005-0000-0000-0000F2550000}"/>
    <cellStyle name="texto2 6" xfId="4721" xr:uid="{00000000-0005-0000-0000-0000F3550000}"/>
    <cellStyle name="texto2 7" xfId="4722" xr:uid="{00000000-0005-0000-0000-0000F4550000}"/>
    <cellStyle name="texto2 8" xfId="4723" xr:uid="{00000000-0005-0000-0000-0000F5550000}"/>
    <cellStyle name="texto2 9" xfId="4724" xr:uid="{00000000-0005-0000-0000-0000F6550000}"/>
    <cellStyle name="TFCF" xfId="4725" xr:uid="{00000000-0005-0000-0000-0000F7550000}"/>
    <cellStyle name="Times12" xfId="4726" xr:uid="{00000000-0005-0000-0000-0000F8550000}"/>
    <cellStyle name="Times12 10" xfId="4727" xr:uid="{00000000-0005-0000-0000-0000F9550000}"/>
    <cellStyle name="Times12 11" xfId="4728" xr:uid="{00000000-0005-0000-0000-0000FA550000}"/>
    <cellStyle name="Times12 12" xfId="4729" xr:uid="{00000000-0005-0000-0000-0000FB550000}"/>
    <cellStyle name="Times12 13" xfId="4730" xr:uid="{00000000-0005-0000-0000-0000FC550000}"/>
    <cellStyle name="Times12 14" xfId="4731" xr:uid="{00000000-0005-0000-0000-0000FD550000}"/>
    <cellStyle name="Times12 15" xfId="4732" xr:uid="{00000000-0005-0000-0000-0000FE550000}"/>
    <cellStyle name="Times12 16" xfId="4733" xr:uid="{00000000-0005-0000-0000-0000FF550000}"/>
    <cellStyle name="Times12 17" xfId="4734" xr:uid="{00000000-0005-0000-0000-000000560000}"/>
    <cellStyle name="Times12 18" xfId="4735" xr:uid="{00000000-0005-0000-0000-000001560000}"/>
    <cellStyle name="Times12 19" xfId="4736" xr:uid="{00000000-0005-0000-0000-000002560000}"/>
    <cellStyle name="Times12 2" xfId="4737" xr:uid="{00000000-0005-0000-0000-000003560000}"/>
    <cellStyle name="Times12 20" xfId="4738" xr:uid="{00000000-0005-0000-0000-000004560000}"/>
    <cellStyle name="Times12 21" xfId="4739" xr:uid="{00000000-0005-0000-0000-000005560000}"/>
    <cellStyle name="Times12 22" xfId="4740" xr:uid="{00000000-0005-0000-0000-000006560000}"/>
    <cellStyle name="Times12 23" xfId="4741" xr:uid="{00000000-0005-0000-0000-000007560000}"/>
    <cellStyle name="Times12 24" xfId="4742" xr:uid="{00000000-0005-0000-0000-000008560000}"/>
    <cellStyle name="Times12 25" xfId="4743" xr:uid="{00000000-0005-0000-0000-000009560000}"/>
    <cellStyle name="Times12 26" xfId="4744" xr:uid="{00000000-0005-0000-0000-00000A560000}"/>
    <cellStyle name="Times12 27" xfId="4745" xr:uid="{00000000-0005-0000-0000-00000B560000}"/>
    <cellStyle name="Times12 28" xfId="4746" xr:uid="{00000000-0005-0000-0000-00000C560000}"/>
    <cellStyle name="Times12 29" xfId="4747" xr:uid="{00000000-0005-0000-0000-00000D560000}"/>
    <cellStyle name="Times12 3" xfId="4748" xr:uid="{00000000-0005-0000-0000-00000E560000}"/>
    <cellStyle name="Times12 30" xfId="4749" xr:uid="{00000000-0005-0000-0000-00000F560000}"/>
    <cellStyle name="Times12 31" xfId="4750" xr:uid="{00000000-0005-0000-0000-000010560000}"/>
    <cellStyle name="Times12 32" xfId="4751" xr:uid="{00000000-0005-0000-0000-000011560000}"/>
    <cellStyle name="Times12 33" xfId="4752" xr:uid="{00000000-0005-0000-0000-000012560000}"/>
    <cellStyle name="Times12 34" xfId="4753" xr:uid="{00000000-0005-0000-0000-000013560000}"/>
    <cellStyle name="Times12 35" xfId="4754" xr:uid="{00000000-0005-0000-0000-000014560000}"/>
    <cellStyle name="Times12 36" xfId="4755" xr:uid="{00000000-0005-0000-0000-000015560000}"/>
    <cellStyle name="Times12 37" xfId="4756" xr:uid="{00000000-0005-0000-0000-000016560000}"/>
    <cellStyle name="Times12 38" xfId="4757" xr:uid="{00000000-0005-0000-0000-000017560000}"/>
    <cellStyle name="Times12 39" xfId="4758" xr:uid="{00000000-0005-0000-0000-000018560000}"/>
    <cellStyle name="Times12 4" xfId="4759" xr:uid="{00000000-0005-0000-0000-000019560000}"/>
    <cellStyle name="Times12 40" xfId="4760" xr:uid="{00000000-0005-0000-0000-00001A560000}"/>
    <cellStyle name="Times12 5" xfId="4761" xr:uid="{00000000-0005-0000-0000-00001B560000}"/>
    <cellStyle name="Times12 6" xfId="4762" xr:uid="{00000000-0005-0000-0000-00001C560000}"/>
    <cellStyle name="Times12 7" xfId="4763" xr:uid="{00000000-0005-0000-0000-00001D560000}"/>
    <cellStyle name="Times12 8" xfId="4764" xr:uid="{00000000-0005-0000-0000-00001E560000}"/>
    <cellStyle name="Times12 9" xfId="4765" xr:uid="{00000000-0005-0000-0000-00001F560000}"/>
    <cellStyle name="Times20" xfId="4766" xr:uid="{00000000-0005-0000-0000-000020560000}"/>
    <cellStyle name="Times20 10" xfId="4767" xr:uid="{00000000-0005-0000-0000-000021560000}"/>
    <cellStyle name="Times20 11" xfId="4768" xr:uid="{00000000-0005-0000-0000-000022560000}"/>
    <cellStyle name="Times20 12" xfId="4769" xr:uid="{00000000-0005-0000-0000-000023560000}"/>
    <cellStyle name="Times20 13" xfId="4770" xr:uid="{00000000-0005-0000-0000-000024560000}"/>
    <cellStyle name="Times20 14" xfId="4771" xr:uid="{00000000-0005-0000-0000-000025560000}"/>
    <cellStyle name="Times20 15" xfId="4772" xr:uid="{00000000-0005-0000-0000-000026560000}"/>
    <cellStyle name="Times20 16" xfId="4773" xr:uid="{00000000-0005-0000-0000-000027560000}"/>
    <cellStyle name="Times20 17" xfId="4774" xr:uid="{00000000-0005-0000-0000-000028560000}"/>
    <cellStyle name="Times20 18" xfId="4775" xr:uid="{00000000-0005-0000-0000-000029560000}"/>
    <cellStyle name="Times20 19" xfId="4776" xr:uid="{00000000-0005-0000-0000-00002A560000}"/>
    <cellStyle name="Times20 2" xfId="4777" xr:uid="{00000000-0005-0000-0000-00002B560000}"/>
    <cellStyle name="Times20 20" xfId="4778" xr:uid="{00000000-0005-0000-0000-00002C560000}"/>
    <cellStyle name="Times20 21" xfId="4779" xr:uid="{00000000-0005-0000-0000-00002D560000}"/>
    <cellStyle name="Times20 22" xfId="4780" xr:uid="{00000000-0005-0000-0000-00002E560000}"/>
    <cellStyle name="Times20 23" xfId="4781" xr:uid="{00000000-0005-0000-0000-00002F560000}"/>
    <cellStyle name="Times20 24" xfId="4782" xr:uid="{00000000-0005-0000-0000-000030560000}"/>
    <cellStyle name="Times20 25" xfId="4783" xr:uid="{00000000-0005-0000-0000-000031560000}"/>
    <cellStyle name="Times20 26" xfId="4784" xr:uid="{00000000-0005-0000-0000-000032560000}"/>
    <cellStyle name="Times20 27" xfId="4785" xr:uid="{00000000-0005-0000-0000-000033560000}"/>
    <cellStyle name="Times20 28" xfId="4786" xr:uid="{00000000-0005-0000-0000-000034560000}"/>
    <cellStyle name="Times20 29" xfId="4787" xr:uid="{00000000-0005-0000-0000-000035560000}"/>
    <cellStyle name="Times20 3" xfId="4788" xr:uid="{00000000-0005-0000-0000-000036560000}"/>
    <cellStyle name="Times20 30" xfId="4789" xr:uid="{00000000-0005-0000-0000-000037560000}"/>
    <cellStyle name="Times20 31" xfId="4790" xr:uid="{00000000-0005-0000-0000-000038560000}"/>
    <cellStyle name="Times20 32" xfId="4791" xr:uid="{00000000-0005-0000-0000-000039560000}"/>
    <cellStyle name="Times20 33" xfId="4792" xr:uid="{00000000-0005-0000-0000-00003A560000}"/>
    <cellStyle name="Times20 34" xfId="4793" xr:uid="{00000000-0005-0000-0000-00003B560000}"/>
    <cellStyle name="Times20 35" xfId="4794" xr:uid="{00000000-0005-0000-0000-00003C560000}"/>
    <cellStyle name="Times20 36" xfId="4795" xr:uid="{00000000-0005-0000-0000-00003D560000}"/>
    <cellStyle name="Times20 37" xfId="4796" xr:uid="{00000000-0005-0000-0000-00003E560000}"/>
    <cellStyle name="Times20 38" xfId="4797" xr:uid="{00000000-0005-0000-0000-00003F560000}"/>
    <cellStyle name="Times20 39" xfId="4798" xr:uid="{00000000-0005-0000-0000-000040560000}"/>
    <cellStyle name="Times20 4" xfId="4799" xr:uid="{00000000-0005-0000-0000-000041560000}"/>
    <cellStyle name="Times20 40" xfId="4800" xr:uid="{00000000-0005-0000-0000-000042560000}"/>
    <cellStyle name="Times20 5" xfId="4801" xr:uid="{00000000-0005-0000-0000-000043560000}"/>
    <cellStyle name="Times20 6" xfId="4802" xr:uid="{00000000-0005-0000-0000-000044560000}"/>
    <cellStyle name="Times20 7" xfId="4803" xr:uid="{00000000-0005-0000-0000-000045560000}"/>
    <cellStyle name="Times20 8" xfId="4804" xr:uid="{00000000-0005-0000-0000-000046560000}"/>
    <cellStyle name="Times20 9" xfId="4805" xr:uid="{00000000-0005-0000-0000-000047560000}"/>
    <cellStyle name="Title" xfId="83" xr:uid="{00000000-0005-0000-0000-000048560000}"/>
    <cellStyle name="Titulo" xfId="4806" xr:uid="{00000000-0005-0000-0000-000049560000}"/>
    <cellStyle name="Título" xfId="84" xr:uid="{00000000-0005-0000-0000-00004A560000}"/>
    <cellStyle name="Título 1" xfId="85" xr:uid="{00000000-0005-0000-0000-00004B560000}"/>
    <cellStyle name="Título 1 10" xfId="5615" xr:uid="{00000000-0005-0000-0000-00004C560000}"/>
    <cellStyle name="Título 1 11" xfId="5644" xr:uid="{00000000-0005-0000-0000-00004D560000}"/>
    <cellStyle name="Título 1 12" xfId="5663" xr:uid="{00000000-0005-0000-0000-00004E560000}"/>
    <cellStyle name="Título 1 13" xfId="5676" xr:uid="{00000000-0005-0000-0000-00004F560000}"/>
    <cellStyle name="Título 1 14" xfId="5683" xr:uid="{00000000-0005-0000-0000-000050560000}"/>
    <cellStyle name="Título 1 15" xfId="5759" xr:uid="{00000000-0005-0000-0000-000051560000}"/>
    <cellStyle name="Título 1 16" xfId="5766" xr:uid="{00000000-0005-0000-0000-000052560000}"/>
    <cellStyle name="Título 1 17" xfId="5773" xr:uid="{00000000-0005-0000-0000-000053560000}"/>
    <cellStyle name="Título 1 18" xfId="10603" xr:uid="{00000000-0005-0000-0000-000054560000}"/>
    <cellStyle name="Título 1 2" xfId="5170" xr:uid="{00000000-0005-0000-0000-000055560000}"/>
    <cellStyle name="Título 1 2 2" xfId="7091" xr:uid="{00000000-0005-0000-0000-000056560000}"/>
    <cellStyle name="Título 1 2 2 2" xfId="7092" xr:uid="{00000000-0005-0000-0000-000057560000}"/>
    <cellStyle name="Título 1 2 2 2 2" xfId="7093" xr:uid="{00000000-0005-0000-0000-000058560000}"/>
    <cellStyle name="Título 1 2 2 2 2 2" xfId="7094" xr:uid="{00000000-0005-0000-0000-000059560000}"/>
    <cellStyle name="Título 1 2 2 2 2 2 2" xfId="7095" xr:uid="{00000000-0005-0000-0000-00005A560000}"/>
    <cellStyle name="Título 1 2 2 2 2 2 2 2" xfId="7096" xr:uid="{00000000-0005-0000-0000-00005B560000}"/>
    <cellStyle name="Título 1 2 2 2 2 2 2 2 2" xfId="7097" xr:uid="{00000000-0005-0000-0000-00005C560000}"/>
    <cellStyle name="Título 1 2 2 2 2 2 2 3" xfId="7098" xr:uid="{00000000-0005-0000-0000-00005D560000}"/>
    <cellStyle name="Título 1 2 2 2 2 2 3" xfId="7099" xr:uid="{00000000-0005-0000-0000-00005E560000}"/>
    <cellStyle name="Título 1 2 2 2 2 2 3 2" xfId="7100" xr:uid="{00000000-0005-0000-0000-00005F560000}"/>
    <cellStyle name="Título 1 2 2 2 2 3" xfId="7101" xr:uid="{00000000-0005-0000-0000-000060560000}"/>
    <cellStyle name="Título 1 2 2 2 2 3 2" xfId="7102" xr:uid="{00000000-0005-0000-0000-000061560000}"/>
    <cellStyle name="Título 1 2 2 2 3" xfId="7103" xr:uid="{00000000-0005-0000-0000-000062560000}"/>
    <cellStyle name="Título 1 2 2 2 4" xfId="7104" xr:uid="{00000000-0005-0000-0000-000063560000}"/>
    <cellStyle name="Título 1 2 2 2 4 2" xfId="7105" xr:uid="{00000000-0005-0000-0000-000064560000}"/>
    <cellStyle name="Título 1 2 2 3" xfId="7106" xr:uid="{00000000-0005-0000-0000-000065560000}"/>
    <cellStyle name="Título 1 2 2 4" xfId="7107" xr:uid="{00000000-0005-0000-0000-000066560000}"/>
    <cellStyle name="Título 1 2 2 4 2" xfId="7108" xr:uid="{00000000-0005-0000-0000-000067560000}"/>
    <cellStyle name="Título 1 2 3" xfId="7109" xr:uid="{00000000-0005-0000-0000-000068560000}"/>
    <cellStyle name="Título 1 2 4" xfId="7110" xr:uid="{00000000-0005-0000-0000-000069560000}"/>
    <cellStyle name="Título 1 2 5" xfId="7111" xr:uid="{00000000-0005-0000-0000-00006A560000}"/>
    <cellStyle name="Título 1 2 6" xfId="7112" xr:uid="{00000000-0005-0000-0000-00006B560000}"/>
    <cellStyle name="Título 1 2 6 2" xfId="7113" xr:uid="{00000000-0005-0000-0000-00006C560000}"/>
    <cellStyle name="Título 1 2 7" xfId="7090" xr:uid="{00000000-0005-0000-0000-00006D560000}"/>
    <cellStyle name="Título 1 3" xfId="5351" xr:uid="{00000000-0005-0000-0000-00006E560000}"/>
    <cellStyle name="Título 1 3 2" xfId="7115" xr:uid="{00000000-0005-0000-0000-00006F560000}"/>
    <cellStyle name="Título 1 3 3" xfId="7116" xr:uid="{00000000-0005-0000-0000-000070560000}"/>
    <cellStyle name="Título 1 3 4" xfId="7117" xr:uid="{00000000-0005-0000-0000-000071560000}"/>
    <cellStyle name="Título 1 3 5" xfId="7114" xr:uid="{00000000-0005-0000-0000-000072560000}"/>
    <cellStyle name="Título 1 4" xfId="5380" xr:uid="{00000000-0005-0000-0000-000073560000}"/>
    <cellStyle name="Título 1 4 2" xfId="7119" xr:uid="{00000000-0005-0000-0000-000074560000}"/>
    <cellStyle name="Título 1 4 3" xfId="7120" xr:uid="{00000000-0005-0000-0000-000075560000}"/>
    <cellStyle name="Título 1 4 4" xfId="7118" xr:uid="{00000000-0005-0000-0000-000076560000}"/>
    <cellStyle name="Título 1 5" xfId="5408" xr:uid="{00000000-0005-0000-0000-000077560000}"/>
    <cellStyle name="Título 1 5 2" xfId="7122" xr:uid="{00000000-0005-0000-0000-000078560000}"/>
    <cellStyle name="Título 1 5 3" xfId="7121" xr:uid="{00000000-0005-0000-0000-000079560000}"/>
    <cellStyle name="Título 1 6" xfId="5435" xr:uid="{00000000-0005-0000-0000-00007A560000}"/>
    <cellStyle name="Título 1 6 2" xfId="7124" xr:uid="{00000000-0005-0000-0000-00007B560000}"/>
    <cellStyle name="Título 1 6 3" xfId="7382" xr:uid="{00000000-0005-0000-0000-00007C560000}"/>
    <cellStyle name="Título 1 6 4" xfId="7123" xr:uid="{00000000-0005-0000-0000-00007D560000}"/>
    <cellStyle name="Título 1 7" xfId="5454" xr:uid="{00000000-0005-0000-0000-00007E560000}"/>
    <cellStyle name="Título 1 7 2" xfId="7383" xr:uid="{00000000-0005-0000-0000-00007F560000}"/>
    <cellStyle name="Título 1 7 3" xfId="7125" xr:uid="{00000000-0005-0000-0000-000080560000}"/>
    <cellStyle name="Título 1 8" xfId="5467" xr:uid="{00000000-0005-0000-0000-000081560000}"/>
    <cellStyle name="Título 1 9" xfId="5474" xr:uid="{00000000-0005-0000-0000-000082560000}"/>
    <cellStyle name="TITULO 10" xfId="4807" xr:uid="{00000000-0005-0000-0000-000083560000}"/>
    <cellStyle name="Título 10" xfId="5453" xr:uid="{00000000-0005-0000-0000-000084560000}"/>
    <cellStyle name="Título 10 2" xfId="7384" xr:uid="{00000000-0005-0000-0000-000085560000}"/>
    <cellStyle name="Título 10 3" xfId="7126" xr:uid="{00000000-0005-0000-0000-000086560000}"/>
    <cellStyle name="TITULO 11" xfId="4808" xr:uid="{00000000-0005-0000-0000-000087560000}"/>
    <cellStyle name="Título 11" xfId="5466" xr:uid="{00000000-0005-0000-0000-000088560000}"/>
    <cellStyle name="TITULO 12" xfId="4809" xr:uid="{00000000-0005-0000-0000-000089560000}"/>
    <cellStyle name="Título 12" xfId="5473" xr:uid="{00000000-0005-0000-0000-00008A560000}"/>
    <cellStyle name="TITULO 13" xfId="4810" xr:uid="{00000000-0005-0000-0000-00008B560000}"/>
    <cellStyle name="Título 13" xfId="5614" xr:uid="{00000000-0005-0000-0000-00008C560000}"/>
    <cellStyle name="TITULO 14" xfId="4811" xr:uid="{00000000-0005-0000-0000-00008D560000}"/>
    <cellStyle name="Título 14" xfId="5643" xr:uid="{00000000-0005-0000-0000-00008E560000}"/>
    <cellStyle name="TITULO 15" xfId="4812" xr:uid="{00000000-0005-0000-0000-00008F560000}"/>
    <cellStyle name="Título 15" xfId="5662" xr:uid="{00000000-0005-0000-0000-000090560000}"/>
    <cellStyle name="TITULO 16" xfId="4813" xr:uid="{00000000-0005-0000-0000-000091560000}"/>
    <cellStyle name="Título 16" xfId="5675" xr:uid="{00000000-0005-0000-0000-000092560000}"/>
    <cellStyle name="TITULO 17" xfId="4814" xr:uid="{00000000-0005-0000-0000-000093560000}"/>
    <cellStyle name="Título 17" xfId="5682" xr:uid="{00000000-0005-0000-0000-000094560000}"/>
    <cellStyle name="TITULO 18" xfId="4815" xr:uid="{00000000-0005-0000-0000-000095560000}"/>
    <cellStyle name="Título 18" xfId="5758" xr:uid="{00000000-0005-0000-0000-000096560000}"/>
    <cellStyle name="TITULO 19" xfId="4816" xr:uid="{00000000-0005-0000-0000-000097560000}"/>
    <cellStyle name="Título 19" xfId="5765" xr:uid="{00000000-0005-0000-0000-000098560000}"/>
    <cellStyle name="titulo 2" xfId="4817" xr:uid="{00000000-0005-0000-0000-000099560000}"/>
    <cellStyle name="Título 2" xfId="86" xr:uid="{00000000-0005-0000-0000-00009A560000}"/>
    <cellStyle name="Título 2 10" xfId="5616" xr:uid="{00000000-0005-0000-0000-00009B560000}"/>
    <cellStyle name="Título 2 11" xfId="5645" xr:uid="{00000000-0005-0000-0000-00009C560000}"/>
    <cellStyle name="Título 2 12" xfId="5664" xr:uid="{00000000-0005-0000-0000-00009D560000}"/>
    <cellStyle name="Título 2 13" xfId="5677" xr:uid="{00000000-0005-0000-0000-00009E560000}"/>
    <cellStyle name="Título 2 14" xfId="5684" xr:uid="{00000000-0005-0000-0000-00009F560000}"/>
    <cellStyle name="Título 2 15" xfId="5760" xr:uid="{00000000-0005-0000-0000-0000A0560000}"/>
    <cellStyle name="Título 2 16" xfId="5767" xr:uid="{00000000-0005-0000-0000-0000A1560000}"/>
    <cellStyle name="Título 2 17" xfId="5774" xr:uid="{00000000-0005-0000-0000-0000A2560000}"/>
    <cellStyle name="Título 2 18" xfId="10604" xr:uid="{00000000-0005-0000-0000-0000A3560000}"/>
    <cellStyle name="TITULO 2 2" xfId="4818" xr:uid="{00000000-0005-0000-0000-0000A4560000}"/>
    <cellStyle name="Título 2 2" xfId="5171" xr:uid="{00000000-0005-0000-0000-0000A5560000}"/>
    <cellStyle name="Título 2 2 2" xfId="7128" xr:uid="{00000000-0005-0000-0000-0000A6560000}"/>
    <cellStyle name="Título 2 2 2 2" xfId="7129" xr:uid="{00000000-0005-0000-0000-0000A7560000}"/>
    <cellStyle name="Título 2 2 2 2 2" xfId="7130" xr:uid="{00000000-0005-0000-0000-0000A8560000}"/>
    <cellStyle name="Título 2 2 2 2 2 2" xfId="7131" xr:uid="{00000000-0005-0000-0000-0000A9560000}"/>
    <cellStyle name="Título 2 2 2 2 2 2 2" xfId="7132" xr:uid="{00000000-0005-0000-0000-0000AA560000}"/>
    <cellStyle name="Título 2 2 2 2 2 2 2 2" xfId="7133" xr:uid="{00000000-0005-0000-0000-0000AB560000}"/>
    <cellStyle name="Título 2 2 2 2 2 2 2 2 2" xfId="7134" xr:uid="{00000000-0005-0000-0000-0000AC560000}"/>
    <cellStyle name="Título 2 2 2 2 2 2 2 3" xfId="7135" xr:uid="{00000000-0005-0000-0000-0000AD560000}"/>
    <cellStyle name="Título 2 2 2 2 2 2 3" xfId="7136" xr:uid="{00000000-0005-0000-0000-0000AE560000}"/>
    <cellStyle name="Título 2 2 2 2 2 2 3 2" xfId="7137" xr:uid="{00000000-0005-0000-0000-0000AF560000}"/>
    <cellStyle name="Título 2 2 2 2 2 3" xfId="7138" xr:uid="{00000000-0005-0000-0000-0000B0560000}"/>
    <cellStyle name="Título 2 2 2 2 2 3 2" xfId="7139" xr:uid="{00000000-0005-0000-0000-0000B1560000}"/>
    <cellStyle name="Título 2 2 2 2 3" xfId="7140" xr:uid="{00000000-0005-0000-0000-0000B2560000}"/>
    <cellStyle name="Título 2 2 2 2 4" xfId="7141" xr:uid="{00000000-0005-0000-0000-0000B3560000}"/>
    <cellStyle name="Título 2 2 2 2 4 2" xfId="7142" xr:uid="{00000000-0005-0000-0000-0000B4560000}"/>
    <cellStyle name="Título 2 2 2 3" xfId="7143" xr:uid="{00000000-0005-0000-0000-0000B5560000}"/>
    <cellStyle name="Título 2 2 2 4" xfId="7144" xr:uid="{00000000-0005-0000-0000-0000B6560000}"/>
    <cellStyle name="Título 2 2 2 4 2" xfId="7145" xr:uid="{00000000-0005-0000-0000-0000B7560000}"/>
    <cellStyle name="Título 2 2 3" xfId="7146" xr:uid="{00000000-0005-0000-0000-0000B8560000}"/>
    <cellStyle name="Título 2 2 4" xfId="7147" xr:uid="{00000000-0005-0000-0000-0000B9560000}"/>
    <cellStyle name="Título 2 2 5" xfId="7148" xr:uid="{00000000-0005-0000-0000-0000BA560000}"/>
    <cellStyle name="Título 2 2 6" xfId="7149" xr:uid="{00000000-0005-0000-0000-0000BB560000}"/>
    <cellStyle name="Título 2 2 6 2" xfId="7150" xr:uid="{00000000-0005-0000-0000-0000BC560000}"/>
    <cellStyle name="Título 2 2 7" xfId="7127" xr:uid="{00000000-0005-0000-0000-0000BD560000}"/>
    <cellStyle name="Título 2 3" xfId="5352" xr:uid="{00000000-0005-0000-0000-0000BE560000}"/>
    <cellStyle name="Título 2 3 2" xfId="7152" xr:uid="{00000000-0005-0000-0000-0000BF560000}"/>
    <cellStyle name="Título 2 3 3" xfId="7153" xr:uid="{00000000-0005-0000-0000-0000C0560000}"/>
    <cellStyle name="Título 2 3 4" xfId="7154" xr:uid="{00000000-0005-0000-0000-0000C1560000}"/>
    <cellStyle name="Título 2 3 5" xfId="7151" xr:uid="{00000000-0005-0000-0000-0000C2560000}"/>
    <cellStyle name="Título 2 4" xfId="5381" xr:uid="{00000000-0005-0000-0000-0000C3560000}"/>
    <cellStyle name="Título 2 4 2" xfId="7156" xr:uid="{00000000-0005-0000-0000-0000C4560000}"/>
    <cellStyle name="Título 2 4 3" xfId="7157" xr:uid="{00000000-0005-0000-0000-0000C5560000}"/>
    <cellStyle name="Título 2 4 4" xfId="7155" xr:uid="{00000000-0005-0000-0000-0000C6560000}"/>
    <cellStyle name="Título 2 5" xfId="5409" xr:uid="{00000000-0005-0000-0000-0000C7560000}"/>
    <cellStyle name="Título 2 5 2" xfId="7159" xr:uid="{00000000-0005-0000-0000-0000C8560000}"/>
    <cellStyle name="Título 2 5 3" xfId="7158" xr:uid="{00000000-0005-0000-0000-0000C9560000}"/>
    <cellStyle name="Título 2 6" xfId="5436" xr:uid="{00000000-0005-0000-0000-0000CA560000}"/>
    <cellStyle name="Título 2 6 2" xfId="7161" xr:uid="{00000000-0005-0000-0000-0000CB560000}"/>
    <cellStyle name="Título 2 6 3" xfId="7385" xr:uid="{00000000-0005-0000-0000-0000CC560000}"/>
    <cellStyle name="Título 2 6 4" xfId="7160" xr:uid="{00000000-0005-0000-0000-0000CD560000}"/>
    <cellStyle name="Título 2 7" xfId="5455" xr:uid="{00000000-0005-0000-0000-0000CE560000}"/>
    <cellStyle name="Título 2 7 2" xfId="7386" xr:uid="{00000000-0005-0000-0000-0000CF560000}"/>
    <cellStyle name="Título 2 7 3" xfId="7162" xr:uid="{00000000-0005-0000-0000-0000D0560000}"/>
    <cellStyle name="Título 2 8" xfId="5468" xr:uid="{00000000-0005-0000-0000-0000D1560000}"/>
    <cellStyle name="Título 2 9" xfId="5475" xr:uid="{00000000-0005-0000-0000-0000D2560000}"/>
    <cellStyle name="TITULO 20" xfId="4819" xr:uid="{00000000-0005-0000-0000-0000D3560000}"/>
    <cellStyle name="Título 20" xfId="7395" xr:uid="{00000000-0005-0000-0000-0000D4560000}"/>
    <cellStyle name="TITULO 21" xfId="4820" xr:uid="{00000000-0005-0000-0000-0000D5560000}"/>
    <cellStyle name="TITULO 22" xfId="4821" xr:uid="{00000000-0005-0000-0000-0000D6560000}"/>
    <cellStyle name="TITULO 23" xfId="4822" xr:uid="{00000000-0005-0000-0000-0000D7560000}"/>
    <cellStyle name="TITULO 24" xfId="4823" xr:uid="{00000000-0005-0000-0000-0000D8560000}"/>
    <cellStyle name="TITULO 25" xfId="4824" xr:uid="{00000000-0005-0000-0000-0000D9560000}"/>
    <cellStyle name="TITULO 26" xfId="4825" xr:uid="{00000000-0005-0000-0000-0000DA560000}"/>
    <cellStyle name="TITULO 27" xfId="4826" xr:uid="{00000000-0005-0000-0000-0000DB560000}"/>
    <cellStyle name="TITULO 28" xfId="4827" xr:uid="{00000000-0005-0000-0000-0000DC560000}"/>
    <cellStyle name="TITULO 29" xfId="4828" xr:uid="{00000000-0005-0000-0000-0000DD560000}"/>
    <cellStyle name="TITULO 3" xfId="4829" xr:uid="{00000000-0005-0000-0000-0000DE560000}"/>
    <cellStyle name="Título 3" xfId="87" xr:uid="{00000000-0005-0000-0000-0000DF560000}"/>
    <cellStyle name="Título 3 10" xfId="5617" xr:uid="{00000000-0005-0000-0000-0000E0560000}"/>
    <cellStyle name="Título 3 11" xfId="5646" xr:uid="{00000000-0005-0000-0000-0000E1560000}"/>
    <cellStyle name="Título 3 12" xfId="5665" xr:uid="{00000000-0005-0000-0000-0000E2560000}"/>
    <cellStyle name="Título 3 13" xfId="5678" xr:uid="{00000000-0005-0000-0000-0000E3560000}"/>
    <cellStyle name="Título 3 14" xfId="5685" xr:uid="{00000000-0005-0000-0000-0000E4560000}"/>
    <cellStyle name="Título 3 15" xfId="5761" xr:uid="{00000000-0005-0000-0000-0000E5560000}"/>
    <cellStyle name="Título 3 16" xfId="5768" xr:uid="{00000000-0005-0000-0000-0000E6560000}"/>
    <cellStyle name="Título 3 17" xfId="5775" xr:uid="{00000000-0005-0000-0000-0000E7560000}"/>
    <cellStyle name="Título 3 2" xfId="5172" xr:uid="{00000000-0005-0000-0000-0000E8560000}"/>
    <cellStyle name="Título 3 2 2" xfId="7164" xr:uid="{00000000-0005-0000-0000-0000E9560000}"/>
    <cellStyle name="Título 3 2 2 2" xfId="7165" xr:uid="{00000000-0005-0000-0000-0000EA560000}"/>
    <cellStyle name="Título 3 2 2 2 2" xfId="7166" xr:uid="{00000000-0005-0000-0000-0000EB560000}"/>
    <cellStyle name="Título 3 2 2 2 2 2" xfId="7167" xr:uid="{00000000-0005-0000-0000-0000EC560000}"/>
    <cellStyle name="Título 3 2 2 2 2 2 2" xfId="7168" xr:uid="{00000000-0005-0000-0000-0000ED560000}"/>
    <cellStyle name="Título 3 2 2 2 2 2 2 2" xfId="7169" xr:uid="{00000000-0005-0000-0000-0000EE560000}"/>
    <cellStyle name="Título 3 2 2 2 2 2 2 2 2" xfId="7170" xr:uid="{00000000-0005-0000-0000-0000EF560000}"/>
    <cellStyle name="Título 3 2 2 2 2 2 2 3" xfId="7171" xr:uid="{00000000-0005-0000-0000-0000F0560000}"/>
    <cellStyle name="Título 3 2 2 2 2 2 3" xfId="7172" xr:uid="{00000000-0005-0000-0000-0000F1560000}"/>
    <cellStyle name="Título 3 2 2 2 2 2 3 2" xfId="7173" xr:uid="{00000000-0005-0000-0000-0000F2560000}"/>
    <cellStyle name="Título 3 2 2 2 2 3" xfId="7174" xr:uid="{00000000-0005-0000-0000-0000F3560000}"/>
    <cellStyle name="Título 3 2 2 2 2 3 2" xfId="7175" xr:uid="{00000000-0005-0000-0000-0000F4560000}"/>
    <cellStyle name="Título 3 2 2 2 3" xfId="7176" xr:uid="{00000000-0005-0000-0000-0000F5560000}"/>
    <cellStyle name="Título 3 2 2 2 4" xfId="7177" xr:uid="{00000000-0005-0000-0000-0000F6560000}"/>
    <cellStyle name="Título 3 2 2 2 4 2" xfId="7178" xr:uid="{00000000-0005-0000-0000-0000F7560000}"/>
    <cellStyle name="Título 3 2 2 3" xfId="7179" xr:uid="{00000000-0005-0000-0000-0000F8560000}"/>
    <cellStyle name="Título 3 2 2 4" xfId="7180" xr:uid="{00000000-0005-0000-0000-0000F9560000}"/>
    <cellStyle name="Título 3 2 2 4 2" xfId="7181" xr:uid="{00000000-0005-0000-0000-0000FA560000}"/>
    <cellStyle name="Título 3 2 3" xfId="7182" xr:uid="{00000000-0005-0000-0000-0000FB560000}"/>
    <cellStyle name="Título 3 2 4" xfId="7183" xr:uid="{00000000-0005-0000-0000-0000FC560000}"/>
    <cellStyle name="Título 3 2 5" xfId="7184" xr:uid="{00000000-0005-0000-0000-0000FD560000}"/>
    <cellStyle name="Título 3 2 6" xfId="7185" xr:uid="{00000000-0005-0000-0000-0000FE560000}"/>
    <cellStyle name="Título 3 2 6 2" xfId="7186" xr:uid="{00000000-0005-0000-0000-0000FF560000}"/>
    <cellStyle name="Título 3 2 7" xfId="7163" xr:uid="{00000000-0005-0000-0000-000000570000}"/>
    <cellStyle name="Título 3 3" xfId="5353" xr:uid="{00000000-0005-0000-0000-000001570000}"/>
    <cellStyle name="Título 3 3 2" xfId="7188" xr:uid="{00000000-0005-0000-0000-000002570000}"/>
    <cellStyle name="Título 3 3 3" xfId="7189" xr:uid="{00000000-0005-0000-0000-000003570000}"/>
    <cellStyle name="Título 3 3 4" xfId="7190" xr:uid="{00000000-0005-0000-0000-000004570000}"/>
    <cellStyle name="Título 3 3 5" xfId="7187" xr:uid="{00000000-0005-0000-0000-000005570000}"/>
    <cellStyle name="Título 3 4" xfId="5382" xr:uid="{00000000-0005-0000-0000-000006570000}"/>
    <cellStyle name="Título 3 4 2" xfId="7192" xr:uid="{00000000-0005-0000-0000-000007570000}"/>
    <cellStyle name="Título 3 4 3" xfId="7193" xr:uid="{00000000-0005-0000-0000-000008570000}"/>
    <cellStyle name="Título 3 4 4" xfId="7191" xr:uid="{00000000-0005-0000-0000-000009570000}"/>
    <cellStyle name="Título 3 5" xfId="5410" xr:uid="{00000000-0005-0000-0000-00000A570000}"/>
    <cellStyle name="Título 3 5 2" xfId="7195" xr:uid="{00000000-0005-0000-0000-00000B570000}"/>
    <cellStyle name="Título 3 5 3" xfId="7194" xr:uid="{00000000-0005-0000-0000-00000C570000}"/>
    <cellStyle name="Título 3 6" xfId="5437" xr:uid="{00000000-0005-0000-0000-00000D570000}"/>
    <cellStyle name="Título 3 6 2" xfId="7197" xr:uid="{00000000-0005-0000-0000-00000E570000}"/>
    <cellStyle name="Título 3 6 3" xfId="7387" xr:uid="{00000000-0005-0000-0000-00000F570000}"/>
    <cellStyle name="Título 3 6 4" xfId="7196" xr:uid="{00000000-0005-0000-0000-000010570000}"/>
    <cellStyle name="Título 3 7" xfId="5456" xr:uid="{00000000-0005-0000-0000-000011570000}"/>
    <cellStyle name="Título 3 7 2" xfId="7388" xr:uid="{00000000-0005-0000-0000-000012570000}"/>
    <cellStyle name="Título 3 7 3" xfId="7198" xr:uid="{00000000-0005-0000-0000-000013570000}"/>
    <cellStyle name="Título 3 8" xfId="5469" xr:uid="{00000000-0005-0000-0000-000014570000}"/>
    <cellStyle name="Título 3 9" xfId="5476" xr:uid="{00000000-0005-0000-0000-000015570000}"/>
    <cellStyle name="TITULO 30" xfId="4830" xr:uid="{00000000-0005-0000-0000-000016570000}"/>
    <cellStyle name="TITULO 31" xfId="4831" xr:uid="{00000000-0005-0000-0000-000017570000}"/>
    <cellStyle name="TITULO 32" xfId="4832" xr:uid="{00000000-0005-0000-0000-000018570000}"/>
    <cellStyle name="TITULO 33" xfId="4833" xr:uid="{00000000-0005-0000-0000-000019570000}"/>
    <cellStyle name="TITULO 34" xfId="4834" xr:uid="{00000000-0005-0000-0000-00001A570000}"/>
    <cellStyle name="TITULO 35" xfId="4835" xr:uid="{00000000-0005-0000-0000-00001B570000}"/>
    <cellStyle name="TITULO 36" xfId="4836" xr:uid="{00000000-0005-0000-0000-00001C570000}"/>
    <cellStyle name="TITULO 37" xfId="4837" xr:uid="{00000000-0005-0000-0000-00001D570000}"/>
    <cellStyle name="TITULO 38" xfId="4838" xr:uid="{00000000-0005-0000-0000-00001E570000}"/>
    <cellStyle name="TITULO 39" xfId="4839" xr:uid="{00000000-0005-0000-0000-00001F570000}"/>
    <cellStyle name="TITULO 4" xfId="4840" xr:uid="{00000000-0005-0000-0000-000020570000}"/>
    <cellStyle name="Título 4" xfId="88" xr:uid="{00000000-0005-0000-0000-000021570000}"/>
    <cellStyle name="Título 4 10" xfId="5618" xr:uid="{00000000-0005-0000-0000-000022570000}"/>
    <cellStyle name="Título 4 11" xfId="5647" xr:uid="{00000000-0005-0000-0000-000023570000}"/>
    <cellStyle name="Título 4 12" xfId="5666" xr:uid="{00000000-0005-0000-0000-000024570000}"/>
    <cellStyle name="Título 4 13" xfId="5679" xr:uid="{00000000-0005-0000-0000-000025570000}"/>
    <cellStyle name="Título 4 14" xfId="5686" xr:uid="{00000000-0005-0000-0000-000026570000}"/>
    <cellStyle name="Título 4 15" xfId="5762" xr:uid="{00000000-0005-0000-0000-000027570000}"/>
    <cellStyle name="Título 4 16" xfId="5769" xr:uid="{00000000-0005-0000-0000-000028570000}"/>
    <cellStyle name="Título 4 17" xfId="5776" xr:uid="{00000000-0005-0000-0000-000029570000}"/>
    <cellStyle name="Título 4 2" xfId="5173" xr:uid="{00000000-0005-0000-0000-00002A570000}"/>
    <cellStyle name="Título 4 2 2" xfId="7200" xr:uid="{00000000-0005-0000-0000-00002B570000}"/>
    <cellStyle name="Título 4 2 2 2" xfId="7201" xr:uid="{00000000-0005-0000-0000-00002C570000}"/>
    <cellStyle name="Título 4 2 2 2 2" xfId="7202" xr:uid="{00000000-0005-0000-0000-00002D570000}"/>
    <cellStyle name="Título 4 2 2 2 2 2" xfId="7203" xr:uid="{00000000-0005-0000-0000-00002E570000}"/>
    <cellStyle name="Título 4 2 2 2 2 2 2" xfId="7204" xr:uid="{00000000-0005-0000-0000-00002F570000}"/>
    <cellStyle name="Título 4 2 2 2 2 2 2 2" xfId="7205" xr:uid="{00000000-0005-0000-0000-000030570000}"/>
    <cellStyle name="Título 4 2 2 2 2 2 2 2 2" xfId="7206" xr:uid="{00000000-0005-0000-0000-000031570000}"/>
    <cellStyle name="Título 4 2 2 2 2 2 2 3" xfId="7207" xr:uid="{00000000-0005-0000-0000-000032570000}"/>
    <cellStyle name="Título 4 2 2 2 2 2 3" xfId="7208" xr:uid="{00000000-0005-0000-0000-000033570000}"/>
    <cellStyle name="Título 4 2 2 2 2 2 3 2" xfId="7209" xr:uid="{00000000-0005-0000-0000-000034570000}"/>
    <cellStyle name="Título 4 2 2 2 2 3" xfId="7210" xr:uid="{00000000-0005-0000-0000-000035570000}"/>
    <cellStyle name="Título 4 2 2 2 2 3 2" xfId="7211" xr:uid="{00000000-0005-0000-0000-000036570000}"/>
    <cellStyle name="Título 4 2 2 2 3" xfId="7212" xr:uid="{00000000-0005-0000-0000-000037570000}"/>
    <cellStyle name="Título 4 2 2 2 4" xfId="7213" xr:uid="{00000000-0005-0000-0000-000038570000}"/>
    <cellStyle name="Título 4 2 2 2 4 2" xfId="7214" xr:uid="{00000000-0005-0000-0000-000039570000}"/>
    <cellStyle name="Título 4 2 2 3" xfId="7215" xr:uid="{00000000-0005-0000-0000-00003A570000}"/>
    <cellStyle name="Título 4 2 2 4" xfId="7216" xr:uid="{00000000-0005-0000-0000-00003B570000}"/>
    <cellStyle name="Título 4 2 2 4 2" xfId="7217" xr:uid="{00000000-0005-0000-0000-00003C570000}"/>
    <cellStyle name="Título 4 2 3" xfId="7218" xr:uid="{00000000-0005-0000-0000-00003D570000}"/>
    <cellStyle name="Título 4 2 4" xfId="7219" xr:uid="{00000000-0005-0000-0000-00003E570000}"/>
    <cellStyle name="Título 4 2 5" xfId="7220" xr:uid="{00000000-0005-0000-0000-00003F570000}"/>
    <cellStyle name="Título 4 2 6" xfId="7221" xr:uid="{00000000-0005-0000-0000-000040570000}"/>
    <cellStyle name="Título 4 2 6 2" xfId="7222" xr:uid="{00000000-0005-0000-0000-000041570000}"/>
    <cellStyle name="Título 4 2 7" xfId="7199" xr:uid="{00000000-0005-0000-0000-000042570000}"/>
    <cellStyle name="Título 4 3" xfId="5354" xr:uid="{00000000-0005-0000-0000-000043570000}"/>
    <cellStyle name="Título 4 3 2" xfId="7224" xr:uid="{00000000-0005-0000-0000-000044570000}"/>
    <cellStyle name="Título 4 3 3" xfId="7225" xr:uid="{00000000-0005-0000-0000-000045570000}"/>
    <cellStyle name="Título 4 3 4" xfId="7226" xr:uid="{00000000-0005-0000-0000-000046570000}"/>
    <cellStyle name="Título 4 3 5" xfId="7223" xr:uid="{00000000-0005-0000-0000-000047570000}"/>
    <cellStyle name="Título 4 4" xfId="5383" xr:uid="{00000000-0005-0000-0000-000048570000}"/>
    <cellStyle name="Título 4 4 2" xfId="7228" xr:uid="{00000000-0005-0000-0000-000049570000}"/>
    <cellStyle name="Título 4 4 3" xfId="7229" xr:uid="{00000000-0005-0000-0000-00004A570000}"/>
    <cellStyle name="Título 4 4 4" xfId="7227" xr:uid="{00000000-0005-0000-0000-00004B570000}"/>
    <cellStyle name="Título 4 5" xfId="5411" xr:uid="{00000000-0005-0000-0000-00004C570000}"/>
    <cellStyle name="Título 4 5 2" xfId="7231" xr:uid="{00000000-0005-0000-0000-00004D570000}"/>
    <cellStyle name="Título 4 5 3" xfId="7230" xr:uid="{00000000-0005-0000-0000-00004E570000}"/>
    <cellStyle name="Título 4 6" xfId="5438" xr:uid="{00000000-0005-0000-0000-00004F570000}"/>
    <cellStyle name="Título 4 6 2" xfId="7233" xr:uid="{00000000-0005-0000-0000-000050570000}"/>
    <cellStyle name="Título 4 6 3" xfId="7389" xr:uid="{00000000-0005-0000-0000-000051570000}"/>
    <cellStyle name="Título 4 6 4" xfId="7232" xr:uid="{00000000-0005-0000-0000-000052570000}"/>
    <cellStyle name="Título 4 7" xfId="5457" xr:uid="{00000000-0005-0000-0000-000053570000}"/>
    <cellStyle name="Título 4 7 2" xfId="7390" xr:uid="{00000000-0005-0000-0000-000054570000}"/>
    <cellStyle name="Título 4 7 3" xfId="7234" xr:uid="{00000000-0005-0000-0000-000055570000}"/>
    <cellStyle name="Título 4 8" xfId="5470" xr:uid="{00000000-0005-0000-0000-000056570000}"/>
    <cellStyle name="Título 4 9" xfId="5477" xr:uid="{00000000-0005-0000-0000-000057570000}"/>
    <cellStyle name="TITULO 40" xfId="4841" xr:uid="{00000000-0005-0000-0000-000058570000}"/>
    <cellStyle name="TITULO 41" xfId="4842" xr:uid="{00000000-0005-0000-0000-000059570000}"/>
    <cellStyle name="TITULO 42" xfId="4843" xr:uid="{00000000-0005-0000-0000-00005A570000}"/>
    <cellStyle name="TITULO 43" xfId="4844" xr:uid="{00000000-0005-0000-0000-00005B570000}"/>
    <cellStyle name="TITULO 44" xfId="4845" xr:uid="{00000000-0005-0000-0000-00005C570000}"/>
    <cellStyle name="TITULO 45" xfId="4846" xr:uid="{00000000-0005-0000-0000-00005D570000}"/>
    <cellStyle name="TITULO 46" xfId="4847" xr:uid="{00000000-0005-0000-0000-00005E570000}"/>
    <cellStyle name="TITULO 47" xfId="4848" xr:uid="{00000000-0005-0000-0000-00005F570000}"/>
    <cellStyle name="TITULO 48" xfId="4849" xr:uid="{00000000-0005-0000-0000-000060570000}"/>
    <cellStyle name="TITULO 49" xfId="4850" xr:uid="{00000000-0005-0000-0000-000061570000}"/>
    <cellStyle name="TITULO 5" xfId="4851" xr:uid="{00000000-0005-0000-0000-000062570000}"/>
    <cellStyle name="Título 5" xfId="5169" xr:uid="{00000000-0005-0000-0000-000063570000}"/>
    <cellStyle name="Título 5 2" xfId="7236" xr:uid="{00000000-0005-0000-0000-000064570000}"/>
    <cellStyle name="Título 5 2 2" xfId="7237" xr:uid="{00000000-0005-0000-0000-000065570000}"/>
    <cellStyle name="Título 5 2 2 2" xfId="7238" xr:uid="{00000000-0005-0000-0000-000066570000}"/>
    <cellStyle name="Título 5 2 2 2 2" xfId="7239" xr:uid="{00000000-0005-0000-0000-000067570000}"/>
    <cellStyle name="Título 5 2 2 2 2 2" xfId="7240" xr:uid="{00000000-0005-0000-0000-000068570000}"/>
    <cellStyle name="Título 5 2 2 2 2 2 2" xfId="7241" xr:uid="{00000000-0005-0000-0000-000069570000}"/>
    <cellStyle name="Título 5 2 2 2 2 2 2 2" xfId="7242" xr:uid="{00000000-0005-0000-0000-00006A570000}"/>
    <cellStyle name="Título 5 2 2 2 2 2 3" xfId="7243" xr:uid="{00000000-0005-0000-0000-00006B570000}"/>
    <cellStyle name="Título 5 2 2 2 2 3" xfId="7244" xr:uid="{00000000-0005-0000-0000-00006C570000}"/>
    <cellStyle name="Título 5 2 2 2 2 3 2" xfId="7245" xr:uid="{00000000-0005-0000-0000-00006D570000}"/>
    <cellStyle name="Título 5 2 2 2 3" xfId="7246" xr:uid="{00000000-0005-0000-0000-00006E570000}"/>
    <cellStyle name="Título 5 2 2 2 3 2" xfId="7247" xr:uid="{00000000-0005-0000-0000-00006F570000}"/>
    <cellStyle name="Título 5 2 2 3" xfId="7248" xr:uid="{00000000-0005-0000-0000-000070570000}"/>
    <cellStyle name="Título 5 2 2 4" xfId="7249" xr:uid="{00000000-0005-0000-0000-000071570000}"/>
    <cellStyle name="Título 5 2 2 4 2" xfId="7250" xr:uid="{00000000-0005-0000-0000-000072570000}"/>
    <cellStyle name="Título 5 2 3" xfId="7251" xr:uid="{00000000-0005-0000-0000-000073570000}"/>
    <cellStyle name="Título 5 2 4" xfId="7252" xr:uid="{00000000-0005-0000-0000-000074570000}"/>
    <cellStyle name="Título 5 2 4 2" xfId="7253" xr:uid="{00000000-0005-0000-0000-000075570000}"/>
    <cellStyle name="Título 5 3" xfId="7254" xr:uid="{00000000-0005-0000-0000-000076570000}"/>
    <cellStyle name="Título 5 4" xfId="7255" xr:uid="{00000000-0005-0000-0000-000077570000}"/>
    <cellStyle name="Título 5 5" xfId="7256" xr:uid="{00000000-0005-0000-0000-000078570000}"/>
    <cellStyle name="Título 5 6" xfId="7257" xr:uid="{00000000-0005-0000-0000-000079570000}"/>
    <cellStyle name="Título 5 6 2" xfId="7258" xr:uid="{00000000-0005-0000-0000-00007A570000}"/>
    <cellStyle name="Título 5 7" xfId="7235" xr:uid="{00000000-0005-0000-0000-00007B570000}"/>
    <cellStyle name="TITULO 50" xfId="4852" xr:uid="{00000000-0005-0000-0000-00007C570000}"/>
    <cellStyle name="TITULO 51" xfId="4853" xr:uid="{00000000-0005-0000-0000-00007D570000}"/>
    <cellStyle name="TITULO 52" xfId="4854" xr:uid="{00000000-0005-0000-0000-00007E570000}"/>
    <cellStyle name="TITULO 53" xfId="4855" xr:uid="{00000000-0005-0000-0000-00007F570000}"/>
    <cellStyle name="TITULO 54" xfId="4856" xr:uid="{00000000-0005-0000-0000-000080570000}"/>
    <cellStyle name="TITULO 55" xfId="4857" xr:uid="{00000000-0005-0000-0000-000081570000}"/>
    <cellStyle name="TITULO 56" xfId="4858" xr:uid="{00000000-0005-0000-0000-000082570000}"/>
    <cellStyle name="TITULO 6" xfId="4859" xr:uid="{00000000-0005-0000-0000-000083570000}"/>
    <cellStyle name="Título 6" xfId="5350" xr:uid="{00000000-0005-0000-0000-000084570000}"/>
    <cellStyle name="Título 6 2" xfId="7260" xr:uid="{00000000-0005-0000-0000-000085570000}"/>
    <cellStyle name="Título 6 3" xfId="7261" xr:uid="{00000000-0005-0000-0000-000086570000}"/>
    <cellStyle name="Título 6 4" xfId="7262" xr:uid="{00000000-0005-0000-0000-000087570000}"/>
    <cellStyle name="Título 6 5" xfId="7259" xr:uid="{00000000-0005-0000-0000-000088570000}"/>
    <cellStyle name="TITULO 7" xfId="4860" xr:uid="{00000000-0005-0000-0000-000089570000}"/>
    <cellStyle name="Título 7" xfId="5379" xr:uid="{00000000-0005-0000-0000-00008A570000}"/>
    <cellStyle name="Título 7 2" xfId="7264" xr:uid="{00000000-0005-0000-0000-00008B570000}"/>
    <cellStyle name="Título 7 3" xfId="7265" xr:uid="{00000000-0005-0000-0000-00008C570000}"/>
    <cellStyle name="Título 7 4" xfId="7263" xr:uid="{00000000-0005-0000-0000-00008D570000}"/>
    <cellStyle name="TITULO 8" xfId="4861" xr:uid="{00000000-0005-0000-0000-00008E570000}"/>
    <cellStyle name="Título 8" xfId="5407" xr:uid="{00000000-0005-0000-0000-00008F570000}"/>
    <cellStyle name="Título 8 2" xfId="7267" xr:uid="{00000000-0005-0000-0000-000090570000}"/>
    <cellStyle name="Título 8 3" xfId="7266" xr:uid="{00000000-0005-0000-0000-000091570000}"/>
    <cellStyle name="TITULO 9" xfId="4862" xr:uid="{00000000-0005-0000-0000-000092570000}"/>
    <cellStyle name="Título 9" xfId="5434" xr:uid="{00000000-0005-0000-0000-000093570000}"/>
    <cellStyle name="Título 9 2" xfId="7269" xr:uid="{00000000-0005-0000-0000-000094570000}"/>
    <cellStyle name="Título 9 3" xfId="7391" xr:uid="{00000000-0005-0000-0000-000095570000}"/>
    <cellStyle name="Título 9 4" xfId="7268" xr:uid="{00000000-0005-0000-0000-000096570000}"/>
    <cellStyle name="Titulo de conta" xfId="4863" xr:uid="{00000000-0005-0000-0000-000097570000}"/>
    <cellStyle name="Titulo de conta 2" xfId="9023" xr:uid="{00000000-0005-0000-0000-000098570000}"/>
    <cellStyle name="TITULO_Novos quadros - SBSA" xfId="4864" xr:uid="{00000000-0005-0000-0000-000099570000}"/>
    <cellStyle name="Titulo1" xfId="5174" xr:uid="{00000000-0005-0000-0000-00009A570000}"/>
    <cellStyle name="Titulo2" xfId="5175" xr:uid="{00000000-0005-0000-0000-00009B570000}"/>
    <cellStyle name="titulomov" xfId="4865" xr:uid="{00000000-0005-0000-0000-00009C570000}"/>
    <cellStyle name="titulomov 2" xfId="9024" xr:uid="{00000000-0005-0000-0000-00009D570000}"/>
    <cellStyle name="TOC 1" xfId="5176" xr:uid="{00000000-0005-0000-0000-00009E570000}"/>
    <cellStyle name="TOC 2" xfId="5177" xr:uid="{00000000-0005-0000-0000-00009F570000}"/>
    <cellStyle name="Todos" xfId="4866" xr:uid="{00000000-0005-0000-0000-0000A0570000}"/>
    <cellStyle name="tons" xfId="4867" xr:uid="{00000000-0005-0000-0000-0000A1570000}"/>
    <cellStyle name="Total" xfId="4915" builtinId="25" customBuiltin="1"/>
    <cellStyle name="Total 2" xfId="7271" xr:uid="{00000000-0005-0000-0000-0000A3570000}"/>
    <cellStyle name="Total 2 2" xfId="7272" xr:uid="{00000000-0005-0000-0000-0000A4570000}"/>
    <cellStyle name="Total 2 2 2" xfId="7273" xr:uid="{00000000-0005-0000-0000-0000A5570000}"/>
    <cellStyle name="Total 2 2 2 2" xfId="7274" xr:uid="{00000000-0005-0000-0000-0000A6570000}"/>
    <cellStyle name="Total 2 2 2 2 2" xfId="7275" xr:uid="{00000000-0005-0000-0000-0000A7570000}"/>
    <cellStyle name="Total 2 2 2 2 2 2" xfId="7276" xr:uid="{00000000-0005-0000-0000-0000A8570000}"/>
    <cellStyle name="Total 2 2 2 2 2 2 2" xfId="7277" xr:uid="{00000000-0005-0000-0000-0000A9570000}"/>
    <cellStyle name="Total 2 2 2 2 2 2 2 2" xfId="7278" xr:uid="{00000000-0005-0000-0000-0000AA570000}"/>
    <cellStyle name="Total 2 2 2 2 2 2 2 2 2" xfId="22610" xr:uid="{00000000-0005-0000-0000-0000AB570000}"/>
    <cellStyle name="Total 2 2 2 2 2 2 3" xfId="7279" xr:uid="{00000000-0005-0000-0000-0000AC570000}"/>
    <cellStyle name="Total 2 2 2 2 2 2 3 2" xfId="22592" xr:uid="{00000000-0005-0000-0000-0000AD570000}"/>
    <cellStyle name="Total 2 2 2 2 2 2 4" xfId="22565" xr:uid="{00000000-0005-0000-0000-0000AE570000}"/>
    <cellStyle name="Total 2 2 2 2 2 3" xfId="7280" xr:uid="{00000000-0005-0000-0000-0000AF570000}"/>
    <cellStyle name="Total 2 2 2 2 2 3 2" xfId="7281" xr:uid="{00000000-0005-0000-0000-0000B0570000}"/>
    <cellStyle name="Total 2 2 2 2 2 3 3" xfId="22564" xr:uid="{00000000-0005-0000-0000-0000B1570000}"/>
    <cellStyle name="Total 2 2 2 2 3" xfId="7282" xr:uid="{00000000-0005-0000-0000-0000B2570000}"/>
    <cellStyle name="Total 2 2 2 2 3 2" xfId="7283" xr:uid="{00000000-0005-0000-0000-0000B3570000}"/>
    <cellStyle name="Total 2 2 2 2 3 2 2" xfId="22563" xr:uid="{00000000-0005-0000-0000-0000B4570000}"/>
    <cellStyle name="Total 2 2 2 2 4" xfId="22611" xr:uid="{00000000-0005-0000-0000-0000B5570000}"/>
    <cellStyle name="Total 2 2 2 3" xfId="7284" xr:uid="{00000000-0005-0000-0000-0000B6570000}"/>
    <cellStyle name="Total 2 2 2 3 2" xfId="22582" xr:uid="{00000000-0005-0000-0000-0000B7570000}"/>
    <cellStyle name="Total 2 2 2 4" xfId="7285" xr:uid="{00000000-0005-0000-0000-0000B8570000}"/>
    <cellStyle name="Total 2 2 2 4 2" xfId="7286" xr:uid="{00000000-0005-0000-0000-0000B9570000}"/>
    <cellStyle name="Total 2 2 2 4 3" xfId="16136" xr:uid="{00000000-0005-0000-0000-0000BA570000}"/>
    <cellStyle name="Total 2 2 3" xfId="7287" xr:uid="{00000000-0005-0000-0000-0000BB570000}"/>
    <cellStyle name="Total 2 2 4" xfId="7288" xr:uid="{00000000-0005-0000-0000-0000BC570000}"/>
    <cellStyle name="Total 2 2 4 2" xfId="7289" xr:uid="{00000000-0005-0000-0000-0000BD570000}"/>
    <cellStyle name="Total 2 2 4 2 2" xfId="16137" xr:uid="{00000000-0005-0000-0000-0000BE570000}"/>
    <cellStyle name="Total 2 2 5" xfId="22593" xr:uid="{00000000-0005-0000-0000-0000BF570000}"/>
    <cellStyle name="Total 2 3" xfId="7290" xr:uid="{00000000-0005-0000-0000-0000C0570000}"/>
    <cellStyle name="Total 2 3 2" xfId="16138" xr:uid="{00000000-0005-0000-0000-0000C1570000}"/>
    <cellStyle name="Total 2 4" xfId="7291" xr:uid="{00000000-0005-0000-0000-0000C2570000}"/>
    <cellStyle name="Total 2 4 2" xfId="22609" xr:uid="{00000000-0005-0000-0000-0000C3570000}"/>
    <cellStyle name="Total 2 5" xfId="7292" xr:uid="{00000000-0005-0000-0000-0000C4570000}"/>
    <cellStyle name="Total 2 5 2" xfId="22591" xr:uid="{00000000-0005-0000-0000-0000C5570000}"/>
    <cellStyle name="Total 2 6" xfId="7293" xr:uid="{00000000-0005-0000-0000-0000C6570000}"/>
    <cellStyle name="Total 2 6 2" xfId="7294" xr:uid="{00000000-0005-0000-0000-0000C7570000}"/>
    <cellStyle name="Total 2 6 3" xfId="16139" xr:uid="{00000000-0005-0000-0000-0000C8570000}"/>
    <cellStyle name="Total 3" xfId="7295" xr:uid="{00000000-0005-0000-0000-0000C9570000}"/>
    <cellStyle name="Total 3 2" xfId="7296" xr:uid="{00000000-0005-0000-0000-0000CA570000}"/>
    <cellStyle name="Total 3 3" xfId="7297" xr:uid="{00000000-0005-0000-0000-0000CB570000}"/>
    <cellStyle name="Total 3 4" xfId="7298" xr:uid="{00000000-0005-0000-0000-0000CC570000}"/>
    <cellStyle name="Total 4" xfId="7299" xr:uid="{00000000-0005-0000-0000-0000CD570000}"/>
    <cellStyle name="Total 4 2" xfId="7300" xr:uid="{00000000-0005-0000-0000-0000CE570000}"/>
    <cellStyle name="Total 4 3" xfId="7301" xr:uid="{00000000-0005-0000-0000-0000CF570000}"/>
    <cellStyle name="Total 5" xfId="7302" xr:uid="{00000000-0005-0000-0000-0000D0570000}"/>
    <cellStyle name="Total 5 2" xfId="7303" xr:uid="{00000000-0005-0000-0000-0000D1570000}"/>
    <cellStyle name="Total 6" xfId="7304" xr:uid="{00000000-0005-0000-0000-0000D2570000}"/>
    <cellStyle name="Total 6 2" xfId="7305" xr:uid="{00000000-0005-0000-0000-0000D3570000}"/>
    <cellStyle name="Total 6 2 2" xfId="22562" xr:uid="{00000000-0005-0000-0000-0000D4570000}"/>
    <cellStyle name="Total 6 3" xfId="7393" xr:uid="{00000000-0005-0000-0000-0000D5570000}"/>
    <cellStyle name="Total 7" xfId="7306" xr:uid="{00000000-0005-0000-0000-0000D6570000}"/>
    <cellStyle name="Total 7 2" xfId="7394" xr:uid="{00000000-0005-0000-0000-0000D7570000}"/>
    <cellStyle name="Total 8" xfId="7392" xr:uid="{00000000-0005-0000-0000-0000D8570000}"/>
    <cellStyle name="Total 8 2" xfId="13979" xr:uid="{00000000-0005-0000-0000-0000D9570000}"/>
    <cellStyle name="Total 9" xfId="7270" xr:uid="{00000000-0005-0000-0000-0000DA570000}"/>
    <cellStyle name="Total 9 2" xfId="16135" xr:uid="{00000000-0005-0000-0000-0000DB570000}"/>
    <cellStyle name="totalbalan" xfId="4868" xr:uid="{00000000-0005-0000-0000-0000DC570000}"/>
    <cellStyle name="Underline_Double" xfId="5178" xr:uid="{00000000-0005-0000-0000-0000DD570000}"/>
    <cellStyle name="Unprot" xfId="4869" xr:uid="{00000000-0005-0000-0000-0000DE570000}"/>
    <cellStyle name="Unprot$" xfId="4870" xr:uid="{00000000-0005-0000-0000-0000DF570000}"/>
    <cellStyle name="Unprotect" xfId="4871" xr:uid="{00000000-0005-0000-0000-0000E0570000}"/>
    <cellStyle name="UNPROTECTED" xfId="4872" xr:uid="{00000000-0005-0000-0000-0000E1570000}"/>
    <cellStyle name="Validation" xfId="5179" xr:uid="{00000000-0005-0000-0000-0000E2570000}"/>
    <cellStyle name="Valuta [0]_Blad1" xfId="4873" xr:uid="{00000000-0005-0000-0000-0000E3570000}"/>
    <cellStyle name="Valuta_Blad1" xfId="4874" xr:uid="{00000000-0005-0000-0000-0000E4570000}"/>
    <cellStyle name="Vírgula" xfId="79" builtinId="3"/>
    <cellStyle name="Vírgula 10" xfId="13842" xr:uid="{00000000-0005-0000-0000-0000E6570000}"/>
    <cellStyle name="Vírgula 10 2" xfId="22519" xr:uid="{00000000-0005-0000-0000-0000E7570000}"/>
    <cellStyle name="Vírgula 11" xfId="13856" xr:uid="{00000000-0005-0000-0000-0000E8570000}"/>
    <cellStyle name="Vírgula 12" xfId="14514" xr:uid="{00000000-0005-0000-0000-0000E9570000}"/>
    <cellStyle name="Vírgula 2" xfId="90" xr:uid="{00000000-0005-0000-0000-0000EA570000}"/>
    <cellStyle name="Vírgula 2 2" xfId="96" xr:uid="{00000000-0005-0000-0000-0000EB570000}"/>
    <cellStyle name="Vírgula 2 2 2" xfId="4908" xr:uid="{00000000-0005-0000-0000-0000EC570000}"/>
    <cellStyle name="Vírgula 2 2 2 2" xfId="9038" xr:uid="{00000000-0005-0000-0000-0000ED570000}"/>
    <cellStyle name="Vírgula 2 2 2 2 2" xfId="17788" xr:uid="{00000000-0005-0000-0000-0000EE570000}"/>
    <cellStyle name="Vírgula 2 2 2 3" xfId="12243" xr:uid="{00000000-0005-0000-0000-0000EF570000}"/>
    <cellStyle name="Vírgula 2 2 2 3 2" xfId="20928" xr:uid="{00000000-0005-0000-0000-0000F0570000}"/>
    <cellStyle name="Vírgula 2 2 2 4" xfId="13852" xr:uid="{00000000-0005-0000-0000-0000F1570000}"/>
    <cellStyle name="Vírgula 2 2 2 4 2" xfId="22529" xr:uid="{00000000-0005-0000-0000-0000F2570000}"/>
    <cellStyle name="Vírgula 2 2 2 5" xfId="16045" xr:uid="{00000000-0005-0000-0000-0000F3570000}"/>
    <cellStyle name="Vírgula 2 2 3" xfId="4892" xr:uid="{00000000-0005-0000-0000-0000F4570000}"/>
    <cellStyle name="Vírgula 2 2 3 2" xfId="9031" xr:uid="{00000000-0005-0000-0000-0000F5570000}"/>
    <cellStyle name="Vírgula 2 2 3 2 2" xfId="17781" xr:uid="{00000000-0005-0000-0000-0000F6570000}"/>
    <cellStyle name="Vírgula 2 2 3 3" xfId="12236" xr:uid="{00000000-0005-0000-0000-0000F7570000}"/>
    <cellStyle name="Vírgula 2 2 3 3 2" xfId="20921" xr:uid="{00000000-0005-0000-0000-0000F8570000}"/>
    <cellStyle name="Vírgula 2 2 3 4" xfId="16038" xr:uid="{00000000-0005-0000-0000-0000F9570000}"/>
    <cellStyle name="Vírgula 2 2 4" xfId="10445" xr:uid="{00000000-0005-0000-0000-0000FA570000}"/>
    <cellStyle name="Vírgula 2 2 4 2" xfId="19195" xr:uid="{00000000-0005-0000-0000-0000FB570000}"/>
    <cellStyle name="Vírgula 2 2 5" xfId="10608" xr:uid="{00000000-0005-0000-0000-0000FC570000}"/>
    <cellStyle name="Vírgula 2 2 5 2" xfId="19311" xr:uid="{00000000-0005-0000-0000-0000FD570000}"/>
    <cellStyle name="Vírgula 2 2 6" xfId="13845" xr:uid="{00000000-0005-0000-0000-0000FE570000}"/>
    <cellStyle name="Vírgula 2 2 6 2" xfId="22522" xr:uid="{00000000-0005-0000-0000-0000FF570000}"/>
    <cellStyle name="Vírgula 2 2 7" xfId="14497" xr:uid="{00000000-0005-0000-0000-000000580000}"/>
    <cellStyle name="Vírgula 2 3" xfId="116" xr:uid="{00000000-0005-0000-0000-000001580000}"/>
    <cellStyle name="Vírgula 2 3 2" xfId="4902" xr:uid="{00000000-0005-0000-0000-000002580000}"/>
    <cellStyle name="Vírgula 2 3 2 2" xfId="12241" xr:uid="{00000000-0005-0000-0000-000003580000}"/>
    <cellStyle name="Vírgula 2 3 2 2 2" xfId="20926" xr:uid="{00000000-0005-0000-0000-000004580000}"/>
    <cellStyle name="Vírgula 2 3 2 3" xfId="16043" xr:uid="{00000000-0005-0000-0000-000005580000}"/>
    <cellStyle name="Vírgula 2 3 3" xfId="9036" xr:uid="{00000000-0005-0000-0000-000006580000}"/>
    <cellStyle name="Vírgula 2 3 3 2" xfId="17786" xr:uid="{00000000-0005-0000-0000-000007580000}"/>
    <cellStyle name="Vírgula 2 3 4" xfId="10613" xr:uid="{00000000-0005-0000-0000-000008580000}"/>
    <cellStyle name="Vírgula 2 3 4 2" xfId="19316" xr:uid="{00000000-0005-0000-0000-000009580000}"/>
    <cellStyle name="Vírgula 2 3 5" xfId="13850" xr:uid="{00000000-0005-0000-0000-00000A580000}"/>
    <cellStyle name="Vírgula 2 3 5 2" xfId="22527" xr:uid="{00000000-0005-0000-0000-00000B580000}"/>
    <cellStyle name="Vírgula 2 3 6" xfId="14494" xr:uid="{00000000-0005-0000-0000-00000C580000}"/>
    <cellStyle name="Vírgula 2 4" xfId="138" xr:uid="{00000000-0005-0000-0000-00000D580000}"/>
    <cellStyle name="Vírgula 2 4 2" xfId="9030" xr:uid="{00000000-0005-0000-0000-00000E580000}"/>
    <cellStyle name="Vírgula 2 4 2 2" xfId="17780" xr:uid="{00000000-0005-0000-0000-00000F580000}"/>
    <cellStyle name="Vírgula 2 4 3" xfId="10623" xr:uid="{00000000-0005-0000-0000-000010580000}"/>
    <cellStyle name="Vírgula 2 4 3 2" xfId="19326" xr:uid="{00000000-0005-0000-0000-000011580000}"/>
    <cellStyle name="Vírgula 2 4 4" xfId="13854" xr:uid="{00000000-0005-0000-0000-000012580000}"/>
    <cellStyle name="Vírgula 2 4 4 2" xfId="22531" xr:uid="{00000000-0005-0000-0000-000013580000}"/>
    <cellStyle name="Vírgula 2 4 5" xfId="13890" xr:uid="{00000000-0005-0000-0000-000014580000}"/>
    <cellStyle name="Vírgula 2 5" xfId="5771" xr:uid="{00000000-0005-0000-0000-000015580000}"/>
    <cellStyle name="Vírgula 2 5 2" xfId="10465" xr:uid="{00000000-0005-0000-0000-000016580000}"/>
    <cellStyle name="Vírgula 2 5 2 2" xfId="19208" xr:uid="{00000000-0005-0000-0000-000017580000}"/>
    <cellStyle name="Vírgula 2 5 3" xfId="16096" xr:uid="{00000000-0005-0000-0000-000018580000}"/>
    <cellStyle name="Vírgula 2 6" xfId="13844" xr:uid="{00000000-0005-0000-0000-000019580000}"/>
    <cellStyle name="Vírgula 2 6 2" xfId="22521" xr:uid="{00000000-0005-0000-0000-00001A580000}"/>
    <cellStyle name="Vírgula 2 7" xfId="14130" xr:uid="{00000000-0005-0000-0000-00001B580000}"/>
    <cellStyle name="Vírgula 2 8" xfId="14499" xr:uid="{00000000-0005-0000-0000-00001C580000}"/>
    <cellStyle name="Vírgula 3" xfId="114" xr:uid="{00000000-0005-0000-0000-00001D580000}"/>
    <cellStyle name="Vírgula 3 2" xfId="4894" xr:uid="{00000000-0005-0000-0000-00001E580000}"/>
    <cellStyle name="Vírgula 3 2 2" xfId="9032" xr:uid="{00000000-0005-0000-0000-00001F580000}"/>
    <cellStyle name="Vírgula 3 2 2 2" xfId="17782" xr:uid="{00000000-0005-0000-0000-000020580000}"/>
    <cellStyle name="Vírgula 3 2 3" xfId="12237" xr:uid="{00000000-0005-0000-0000-000021580000}"/>
    <cellStyle name="Vírgula 3 2 3 2" xfId="20922" xr:uid="{00000000-0005-0000-0000-000022580000}"/>
    <cellStyle name="Vírgula 3 2 4" xfId="16039" xr:uid="{00000000-0005-0000-0000-000023580000}"/>
    <cellStyle name="Vírgula 3 3" xfId="5811" xr:uid="{00000000-0005-0000-0000-000024580000}"/>
    <cellStyle name="Vírgula 3 3 2" xfId="10446" xr:uid="{00000000-0005-0000-0000-000025580000}"/>
    <cellStyle name="Vírgula 3 3 2 2" xfId="19196" xr:uid="{00000000-0005-0000-0000-000026580000}"/>
    <cellStyle name="Vírgula 3 3 3" xfId="16109" xr:uid="{00000000-0005-0000-0000-000027580000}"/>
    <cellStyle name="Vírgula 3 4" xfId="7416" xr:uid="{00000000-0005-0000-0000-000028580000}"/>
    <cellStyle name="Vírgula 3 4 2" xfId="16177" xr:uid="{00000000-0005-0000-0000-000029580000}"/>
    <cellStyle name="Vírgula 3 5" xfId="10611" xr:uid="{00000000-0005-0000-0000-00002A580000}"/>
    <cellStyle name="Vírgula 3 5 2" xfId="19314" xr:uid="{00000000-0005-0000-0000-00002B580000}"/>
    <cellStyle name="Vírgula 3 6" xfId="13846" xr:uid="{00000000-0005-0000-0000-00002C580000}"/>
    <cellStyle name="Vírgula 3 6 2" xfId="22523" xr:uid="{00000000-0005-0000-0000-00002D580000}"/>
    <cellStyle name="Vírgula 3 7" xfId="14145" xr:uid="{00000000-0005-0000-0000-00002E580000}"/>
    <cellStyle name="Vírgula 3 8" xfId="14495" xr:uid="{00000000-0005-0000-0000-00002F580000}"/>
    <cellStyle name="Vírgula 4" xfId="99" xr:uid="{00000000-0005-0000-0000-000030580000}"/>
    <cellStyle name="Vírgula 4 2" xfId="7400" xr:uid="{00000000-0005-0000-0000-000031580000}"/>
    <cellStyle name="Vírgula 4 2 2" xfId="16170" xr:uid="{00000000-0005-0000-0000-000032580000}"/>
    <cellStyle name="Vírgula 4 3" xfId="7418" xr:uid="{00000000-0005-0000-0000-000033580000}"/>
    <cellStyle name="Vírgula 4 3 2" xfId="16179" xr:uid="{00000000-0005-0000-0000-000034580000}"/>
    <cellStyle name="Vírgula 4 4" xfId="10610" xr:uid="{00000000-0005-0000-0000-000035580000}"/>
    <cellStyle name="Vírgula 4 4 2" xfId="19313" xr:uid="{00000000-0005-0000-0000-000036580000}"/>
    <cellStyle name="Vírgula 4 5" xfId="14735" xr:uid="{00000000-0005-0000-0000-000037580000}"/>
    <cellStyle name="Vírgula 4 6" xfId="14496" xr:uid="{00000000-0005-0000-0000-000038580000}"/>
    <cellStyle name="Vírgula 5" xfId="119" xr:uid="{00000000-0005-0000-0000-000039580000}"/>
    <cellStyle name="Vírgula 5 2" xfId="9027" xr:uid="{00000000-0005-0000-0000-00003A580000}"/>
    <cellStyle name="Vírgula 5 2 2" xfId="17777" xr:uid="{00000000-0005-0000-0000-00003B580000}"/>
    <cellStyle name="Vírgula 5 3" xfId="7419" xr:uid="{00000000-0005-0000-0000-00003C580000}"/>
    <cellStyle name="Vírgula 5 4" xfId="10615" xr:uid="{00000000-0005-0000-0000-00003D580000}"/>
    <cellStyle name="Vírgula 5 4 2" xfId="19318" xr:uid="{00000000-0005-0000-0000-00003E580000}"/>
    <cellStyle name="Vírgula 5 5" xfId="14611" xr:uid="{00000000-0005-0000-0000-00003F580000}"/>
    <cellStyle name="Vírgula 6" xfId="4885" xr:uid="{00000000-0005-0000-0000-000040580000}"/>
    <cellStyle name="Vírgula 6 2" xfId="10444" xr:uid="{00000000-0005-0000-0000-000041580000}"/>
    <cellStyle name="Vírgula 6 2 2" xfId="19194" xr:uid="{00000000-0005-0000-0000-000042580000}"/>
    <cellStyle name="Vírgula 6 3" xfId="12234" xr:uid="{00000000-0005-0000-0000-000043580000}"/>
    <cellStyle name="Vírgula 6 3 2" xfId="20919" xr:uid="{00000000-0005-0000-0000-000044580000}"/>
    <cellStyle name="Vírgula 6 4" xfId="16036" xr:uid="{00000000-0005-0000-0000-000045580000}"/>
    <cellStyle name="Vírgula 7" xfId="4917" xr:uid="{00000000-0005-0000-0000-000046580000}"/>
    <cellStyle name="Vírgula 7 2" xfId="16049" xr:uid="{00000000-0005-0000-0000-000047580000}"/>
    <cellStyle name="Vírgula 8" xfId="7413" xr:uid="{00000000-0005-0000-0000-000048580000}"/>
    <cellStyle name="Vírgula 9" xfId="10601" xr:uid="{00000000-0005-0000-0000-000049580000}"/>
    <cellStyle name="Vírgula 9 2" xfId="19306" xr:uid="{00000000-0005-0000-0000-00004A580000}"/>
    <cellStyle name="Währung [0]_Anlagenbuchhaltung" xfId="4875" xr:uid="{00000000-0005-0000-0000-00004B580000}"/>
    <cellStyle name="Währung_Anlagenbuchhaltung" xfId="4876" xr:uid="{00000000-0005-0000-0000-00004C580000}"/>
    <cellStyle name="Warning Text" xfId="89" xr:uid="{00000000-0005-0000-0000-00004D580000}"/>
    <cellStyle name="WhiteCells" xfId="5181" xr:uid="{00000000-0005-0000-0000-00004E580000}"/>
    <cellStyle name="WingDing" xfId="5182" xr:uid="{00000000-0005-0000-0000-00004F580000}"/>
    <cellStyle name="wrap" xfId="4878" xr:uid="{00000000-0005-0000-0000-000050580000}"/>
    <cellStyle name="year" xfId="4879" xr:uid="{00000000-0005-0000-0000-000051580000}"/>
    <cellStyle name="YEARS" xfId="4880" xr:uid="{00000000-0005-0000-0000-000052580000}"/>
    <cellStyle name="Yellow" xfId="5183" xr:uid="{00000000-0005-0000-0000-000053580000}"/>
    <cellStyle name="백분율_Sheet13" xfId="5184" xr:uid="{00000000-0005-0000-0000-000054580000}"/>
    <cellStyle name="콤마 [0]_97MBO" xfId="5185" xr:uid="{00000000-0005-0000-0000-000055580000}"/>
    <cellStyle name="콤마_97MBO" xfId="5186" xr:uid="{00000000-0005-0000-0000-000056580000}"/>
    <cellStyle name="통화 [0]_97MBO" xfId="5187" xr:uid="{00000000-0005-0000-0000-000057580000}"/>
    <cellStyle name="통화_97MBO" xfId="5188" xr:uid="{00000000-0005-0000-0000-000058580000}"/>
    <cellStyle name="표준_9708" xfId="5189" xr:uid="{00000000-0005-0000-0000-000059580000}"/>
    <cellStyle name="千位分隔[0]_2000_Budgetnew" xfId="4881" xr:uid="{00000000-0005-0000-0000-00005A580000}"/>
    <cellStyle name="千位分隔_2000_Budgetnew" xfId="4882" xr:uid="{00000000-0005-0000-0000-00005B580000}"/>
    <cellStyle name="標準_（１）－②経営数値（製造子会社用）ＤＬＩＮＣ" xfId="5190" xr:uid="{00000000-0005-0000-0000-00005C580000}"/>
    <cellStyle name="货币[0]_Yangpu1" xfId="4883" xr:uid="{00000000-0005-0000-0000-00005D580000}"/>
    <cellStyle name="货币_Yangpu1" xfId="4884" xr:uid="{00000000-0005-0000-0000-00005E580000}"/>
  </cellStyles>
  <dxfs count="56"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theme="0"/>
      </font>
    </dxf>
    <dxf>
      <font>
        <color rgb="FFE2211E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81" formatCode="_(* #,##0.0_);_(* \(#,##0.0\);_(* &quot;-&quot;??_);_(@_)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6D6E70"/>
        </left>
        <right/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6D6E70"/>
        </left>
        <right style="thin">
          <color rgb="FF6D6E7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6D6E70"/>
        </left>
        <right style="thin">
          <color rgb="FF6D6E7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rgb="FF6D6E70"/>
        </left>
        <right style="thin">
          <color rgb="FF6D6E7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  <border diagonalUp="0" diagonalDown="0">
        <left/>
        <right style="thin">
          <color rgb="FF6D6E70"/>
        </right>
        <top/>
        <bottom/>
        <horizontal/>
      </border>
    </dxf>
    <dxf>
      <border diagonalUp="0" diagonalDown="0">
        <left style="thin">
          <color rgb="FF6D6E70"/>
        </left>
        <right style="thin">
          <color rgb="FF6D6E70"/>
        </right>
        <top style="thin">
          <color rgb="FF6D6E7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rial"/>
        <family val="2"/>
        <scheme val="none"/>
      </font>
      <fill>
        <patternFill patternType="solid">
          <fgColor indexed="64"/>
          <bgColor rgb="FF6D6E70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rgb="FF6D6E70"/>
        </left>
        <right style="thin">
          <color rgb="FF6D6E70"/>
        </right>
        <top/>
        <bottom/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BE5400"/>
      <color rgb="FF6D6E70"/>
      <color rgb="FFFFFF00"/>
      <color rgb="FF663300"/>
      <color rgb="FFFFFFFF"/>
      <color rgb="FFC8141E"/>
      <color rgb="FFF7F6F6"/>
      <color rgb="FFAFABAB"/>
      <color rgb="FFE221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B&amp;M Units'!A1"/><Relationship Id="rId13" Type="http://schemas.openxmlformats.org/officeDocument/2006/relationships/image" Target="../media/image1.png"/><Relationship Id="rId3" Type="http://schemas.openxmlformats.org/officeDocument/2006/relationships/hyperlink" Target="#'Financial Services'!A1"/><Relationship Id="rId7" Type="http://schemas.openxmlformats.org/officeDocument/2006/relationships/hyperlink" Target="#CAPEX!B1"/><Relationship Id="rId12" Type="http://schemas.openxmlformats.org/officeDocument/2006/relationships/hyperlink" Target="#ROIC!B1"/><Relationship Id="rId2" Type="http://schemas.openxmlformats.org/officeDocument/2006/relationships/hyperlink" Target="#'Income Statement'!A1"/><Relationship Id="rId1" Type="http://schemas.openxmlformats.org/officeDocument/2006/relationships/hyperlink" Target="#'Balance Sheet'!A1"/><Relationship Id="rId6" Type="http://schemas.openxmlformats.org/officeDocument/2006/relationships/hyperlink" Target="#'Operating Data'!A1"/><Relationship Id="rId11" Type="http://schemas.openxmlformats.org/officeDocument/2006/relationships/hyperlink" Target="#'Estimated Credit Losses IFRS'!A1"/><Relationship Id="rId5" Type="http://schemas.openxmlformats.org/officeDocument/2006/relationships/hyperlink" Target="#'Accounts Receivables'!A1"/><Relationship Id="rId10" Type="http://schemas.openxmlformats.org/officeDocument/2006/relationships/hyperlink" Target="#'Cash Flow'!A1"/><Relationship Id="rId4" Type="http://schemas.openxmlformats.org/officeDocument/2006/relationships/hyperlink" Target="#EBITDA!B1"/><Relationship Id="rId9" Type="http://schemas.openxmlformats.org/officeDocument/2006/relationships/hyperlink" Target="#'Dividends and IOC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524933</xdr:colOff>
      <xdr:row>8</xdr:row>
      <xdr:rowOff>138823</xdr:rowOff>
    </xdr:from>
    <xdr:to>
      <xdr:col>16</xdr:col>
      <xdr:colOff>237067</xdr:colOff>
      <xdr:row>37</xdr:row>
      <xdr:rowOff>42335</xdr:rowOff>
    </xdr:to>
    <xdr:sp macro="" textlink="">
      <xdr:nvSpPr>
        <xdr:cNvPr id="25" name="Retângulo: Cantos Diagonais Arredondados 24">
          <a:extLst>
            <a:ext uri="{FF2B5EF4-FFF2-40B4-BE49-F238E27FC236}">
              <a16:creationId xmlns:a16="http://schemas.microsoft.com/office/drawing/2014/main" id="{1D5E090F-7FBE-45FC-B18F-C24404727532}"/>
            </a:ext>
          </a:extLst>
        </xdr:cNvPr>
        <xdr:cNvSpPr/>
      </xdr:nvSpPr>
      <xdr:spPr>
        <a:xfrm>
          <a:off x="6392333" y="1493490"/>
          <a:ext cx="4275667" cy="4306178"/>
        </a:xfrm>
        <a:prstGeom prst="round2DiagRect">
          <a:avLst>
            <a:gd name="adj1" fmla="val 0"/>
            <a:gd name="adj2" fmla="val 0"/>
          </a:avLst>
        </a:prstGeom>
        <a:solidFill>
          <a:schemeClr val="bg1"/>
        </a:solidFill>
        <a:ln w="12700">
          <a:solidFill>
            <a:srgbClr val="BE54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12</xdr:col>
      <xdr:colOff>27893</xdr:colOff>
      <xdr:row>0</xdr:row>
      <xdr:rowOff>155048</xdr:rowOff>
    </xdr:from>
    <xdr:to>
      <xdr:col>16</xdr:col>
      <xdr:colOff>243413</xdr:colOff>
      <xdr:row>8</xdr:row>
      <xdr:rowOff>111128</xdr:rowOff>
    </xdr:to>
    <xdr:sp macro="" textlink="">
      <xdr:nvSpPr>
        <xdr:cNvPr id="23" name="Retângulo: Cantos Arredondados 22">
          <a:extLst>
            <a:ext uri="{FF2B5EF4-FFF2-40B4-BE49-F238E27FC236}">
              <a16:creationId xmlns:a16="http://schemas.microsoft.com/office/drawing/2014/main" id="{08A4859D-83F1-412C-A6D1-8223C12F62E3}"/>
            </a:ext>
          </a:extLst>
        </xdr:cNvPr>
        <xdr:cNvSpPr/>
      </xdr:nvSpPr>
      <xdr:spPr>
        <a:xfrm>
          <a:off x="7933643" y="155048"/>
          <a:ext cx="2850770" cy="1226080"/>
        </a:xfrm>
        <a:prstGeom prst="roundRect">
          <a:avLst/>
        </a:prstGeom>
        <a:solidFill>
          <a:srgbClr val="FFFFFF">
            <a:alpha val="80000"/>
          </a:srgb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r"/>
          <a:r>
            <a:rPr lang="pt-BR" sz="2000" b="1" i="0">
              <a:solidFill>
                <a:srgbClr val="BE5400"/>
              </a:solidFill>
              <a:latin typeface="Arial" panose="020B0604020202020204" pitchFamily="34" charset="0"/>
              <a:cs typeface="Arial" panose="020B0604020202020204" pitchFamily="34" charset="0"/>
            </a:rPr>
            <a:t>Historical Data</a:t>
          </a:r>
        </a:p>
        <a:p>
          <a:pPr algn="r"/>
          <a:r>
            <a:rPr lang="pt-BR" sz="3200" b="1" i="0" baseline="0">
              <a:solidFill>
                <a:srgbClr val="BE5400"/>
              </a:solidFill>
              <a:latin typeface="Arial" panose="020B0604020202020204" pitchFamily="34" charset="0"/>
              <a:cs typeface="Arial" panose="020B0604020202020204" pitchFamily="34" charset="0"/>
            </a:rPr>
            <a:t>2Q26</a:t>
          </a:r>
          <a:endParaRPr lang="pt-BR" sz="3200" b="1" i="0">
            <a:solidFill>
              <a:srgbClr val="BE54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28800</xdr:colOff>
      <xdr:row>9</xdr:row>
      <xdr:rowOff>115107</xdr:rowOff>
    </xdr:from>
    <xdr:to>
      <xdr:col>13</xdr:col>
      <xdr:colOff>0</xdr:colOff>
      <xdr:row>13</xdr:row>
      <xdr:rowOff>0</xdr:rowOff>
    </xdr:to>
    <xdr:sp macro="" textlink="">
      <xdr:nvSpPr>
        <xdr:cNvPr id="11" name="Retângulo: Cantos Arredondados 1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81A9E-E61F-4FE3-8AE4-6755CA275928}"/>
            </a:ext>
          </a:extLst>
        </xdr:cNvPr>
        <xdr:cNvSpPr/>
      </xdr:nvSpPr>
      <xdr:spPr>
        <a:xfrm>
          <a:off x="6548133" y="1639107"/>
          <a:ext cx="1927000" cy="562226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BALANCE SHEET</a:t>
          </a:r>
        </a:p>
      </xdr:txBody>
    </xdr:sp>
    <xdr:clientData/>
  </xdr:twoCellAnchor>
  <xdr:twoCellAnchor>
    <xdr:from>
      <xdr:col>13</xdr:col>
      <xdr:colOff>130401</xdr:colOff>
      <xdr:row>9</xdr:row>
      <xdr:rowOff>132041</xdr:rowOff>
    </xdr:from>
    <xdr:to>
      <xdr:col>16</xdr:col>
      <xdr:colOff>101600</xdr:colOff>
      <xdr:row>13</xdr:row>
      <xdr:rowOff>16934</xdr:rowOff>
    </xdr:to>
    <xdr:sp macro="" textlink="">
      <xdr:nvSpPr>
        <xdr:cNvPr id="13" name="Retângulo: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5189A85-7FB3-4A9E-B164-EB404C1A7D35}"/>
            </a:ext>
          </a:extLst>
        </xdr:cNvPr>
        <xdr:cNvSpPr/>
      </xdr:nvSpPr>
      <xdr:spPr>
        <a:xfrm>
          <a:off x="8752290" y="1592541"/>
          <a:ext cx="1960866" cy="534004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INCOME STATEMENT</a:t>
          </a:r>
        </a:p>
      </xdr:txBody>
    </xdr:sp>
    <xdr:clientData/>
  </xdr:twoCellAnchor>
  <xdr:twoCellAnchor>
    <xdr:from>
      <xdr:col>13</xdr:col>
      <xdr:colOff>110068</xdr:colOff>
      <xdr:row>13</xdr:row>
      <xdr:rowOff>123576</xdr:rowOff>
    </xdr:from>
    <xdr:to>
      <xdr:col>16</xdr:col>
      <xdr:colOff>81267</xdr:colOff>
      <xdr:row>17</xdr:row>
      <xdr:rowOff>8467</xdr:rowOff>
    </xdr:to>
    <xdr:sp macro="" textlink="">
      <xdr:nvSpPr>
        <xdr:cNvPr id="14" name="Retângulo: Cantos Arredondados 1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30470B68-402C-42E0-946E-EB21E0671CEE}"/>
            </a:ext>
          </a:extLst>
        </xdr:cNvPr>
        <xdr:cNvSpPr/>
      </xdr:nvSpPr>
      <xdr:spPr>
        <a:xfrm>
          <a:off x="8585201" y="2324909"/>
          <a:ext cx="1926999" cy="5622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FINANCIAL SERVICES</a:t>
          </a:r>
        </a:p>
      </xdr:txBody>
    </xdr:sp>
    <xdr:clientData/>
  </xdr:twoCellAnchor>
  <xdr:twoCellAnchor>
    <xdr:from>
      <xdr:col>10</xdr:col>
      <xdr:colOff>0</xdr:colOff>
      <xdr:row>17</xdr:row>
      <xdr:rowOff>113415</xdr:rowOff>
    </xdr:from>
    <xdr:to>
      <xdr:col>12</xdr:col>
      <xdr:colOff>623133</xdr:colOff>
      <xdr:row>21</xdr:row>
      <xdr:rowOff>0</xdr:rowOff>
    </xdr:to>
    <xdr:sp macro="" textlink="">
      <xdr:nvSpPr>
        <xdr:cNvPr id="15" name="Retângulo: Cantos Arredondados 14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AAC28B54-2448-41F7-AB34-1ED49BC386D0}"/>
            </a:ext>
          </a:extLst>
        </xdr:cNvPr>
        <xdr:cNvSpPr/>
      </xdr:nvSpPr>
      <xdr:spPr>
        <a:xfrm>
          <a:off x="6519333" y="2992082"/>
          <a:ext cx="1927000" cy="563918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EBITDA</a:t>
          </a:r>
        </a:p>
      </xdr:txBody>
    </xdr:sp>
    <xdr:clientData/>
  </xdr:twoCellAnchor>
  <xdr:twoCellAnchor>
    <xdr:from>
      <xdr:col>10</xdr:col>
      <xdr:colOff>0</xdr:colOff>
      <xdr:row>21</xdr:row>
      <xdr:rowOff>115108</xdr:rowOff>
    </xdr:from>
    <xdr:to>
      <xdr:col>12</xdr:col>
      <xdr:colOff>622133</xdr:colOff>
      <xdr:row>25</xdr:row>
      <xdr:rowOff>0</xdr:rowOff>
    </xdr:to>
    <xdr:sp macro="" textlink="">
      <xdr:nvSpPr>
        <xdr:cNvPr id="16" name="Retângulo: Cantos Arredondados 1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765031F8-B357-4462-B375-EC0FBE0B6C80}"/>
            </a:ext>
          </a:extLst>
        </xdr:cNvPr>
        <xdr:cNvSpPr/>
      </xdr:nvSpPr>
      <xdr:spPr>
        <a:xfrm>
          <a:off x="6519333" y="3671108"/>
          <a:ext cx="1926000" cy="5622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ACCOUNTS RECEIVABLES</a:t>
          </a:r>
        </a:p>
      </xdr:txBody>
    </xdr:sp>
    <xdr:clientData/>
  </xdr:twoCellAnchor>
  <xdr:twoCellAnchor>
    <xdr:from>
      <xdr:col>10</xdr:col>
      <xdr:colOff>0</xdr:colOff>
      <xdr:row>25</xdr:row>
      <xdr:rowOff>107066</xdr:rowOff>
    </xdr:from>
    <xdr:to>
      <xdr:col>12</xdr:col>
      <xdr:colOff>623133</xdr:colOff>
      <xdr:row>29</xdr:row>
      <xdr:rowOff>0</xdr:rowOff>
    </xdr:to>
    <xdr:sp macro="" textlink="">
      <xdr:nvSpPr>
        <xdr:cNvPr id="17" name="Retângulo: Cantos Arredondados 16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B013964-868B-48DB-AC84-E839BB6D73FF}"/>
            </a:ext>
          </a:extLst>
        </xdr:cNvPr>
        <xdr:cNvSpPr/>
      </xdr:nvSpPr>
      <xdr:spPr>
        <a:xfrm>
          <a:off x="6519333" y="4340399"/>
          <a:ext cx="1927000" cy="570268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OPERATING</a:t>
          </a:r>
          <a:r>
            <a:rPr lang="pt-BR" sz="105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DATA</a:t>
          </a:r>
          <a:endParaRPr lang="pt-BR" sz="1050" b="0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104500</xdr:colOff>
      <xdr:row>25</xdr:row>
      <xdr:rowOff>132957</xdr:rowOff>
    </xdr:from>
    <xdr:to>
      <xdr:col>16</xdr:col>
      <xdr:colOff>75699</xdr:colOff>
      <xdr:row>29</xdr:row>
      <xdr:rowOff>23895</xdr:rowOff>
    </xdr:to>
    <xdr:sp macro="" textlink="">
      <xdr:nvSpPr>
        <xdr:cNvPr id="18" name="Retângulo: Cantos Arredondados 17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766AB1F5-6F91-4303-9C0D-2A60301FA2E1}"/>
            </a:ext>
          </a:extLst>
        </xdr:cNvPr>
        <xdr:cNvSpPr/>
      </xdr:nvSpPr>
      <xdr:spPr>
        <a:xfrm>
          <a:off x="8579633" y="4366290"/>
          <a:ext cx="1926999" cy="568272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CAPEX</a:t>
          </a:r>
        </a:p>
      </xdr:txBody>
    </xdr:sp>
    <xdr:clientData/>
  </xdr:twoCellAnchor>
  <xdr:twoCellAnchor>
    <xdr:from>
      <xdr:col>13</xdr:col>
      <xdr:colOff>130400</xdr:colOff>
      <xdr:row>29</xdr:row>
      <xdr:rowOff>107256</xdr:rowOff>
    </xdr:from>
    <xdr:to>
      <xdr:col>16</xdr:col>
      <xdr:colOff>101600</xdr:colOff>
      <xdr:row>36</xdr:row>
      <xdr:rowOff>2</xdr:rowOff>
    </xdr:to>
    <xdr:sp macro="" textlink="">
      <xdr:nvSpPr>
        <xdr:cNvPr id="19" name="Retângulo: Cantos Arredondados 18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310627F-A704-4F9B-9CDF-2B6FA65948A7}"/>
            </a:ext>
          </a:extLst>
        </xdr:cNvPr>
        <xdr:cNvSpPr/>
      </xdr:nvSpPr>
      <xdr:spPr>
        <a:xfrm>
          <a:off x="8605533" y="5017923"/>
          <a:ext cx="1927000" cy="570079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BRICK</a:t>
          </a:r>
          <a:r>
            <a:rPr lang="pt-BR" sz="105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AND MORTAR</a:t>
          </a:r>
        </a:p>
        <a:p>
          <a:pPr algn="ctr"/>
          <a:r>
            <a:rPr lang="pt-BR" sz="105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UNITS</a:t>
          </a:r>
          <a:endParaRPr lang="pt-BR" sz="1050" b="0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10</xdr:col>
      <xdr:colOff>0</xdr:colOff>
      <xdr:row>29</xdr:row>
      <xdr:rowOff>109060</xdr:rowOff>
    </xdr:from>
    <xdr:to>
      <xdr:col>12</xdr:col>
      <xdr:colOff>623132</xdr:colOff>
      <xdr:row>36</xdr:row>
      <xdr:rowOff>0</xdr:rowOff>
    </xdr:to>
    <xdr:sp macro="" textlink="">
      <xdr:nvSpPr>
        <xdr:cNvPr id="20" name="Retângulo: Cantos Arredondados 19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9C61F28-5F6E-49B6-A886-809FD249875C}"/>
            </a:ext>
          </a:extLst>
        </xdr:cNvPr>
        <xdr:cNvSpPr/>
      </xdr:nvSpPr>
      <xdr:spPr>
        <a:xfrm>
          <a:off x="6519333" y="5019727"/>
          <a:ext cx="1926999" cy="568273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DIVIDENDS / IOC</a:t>
          </a:r>
        </a:p>
      </xdr:txBody>
    </xdr:sp>
    <xdr:clientData/>
  </xdr:twoCellAnchor>
  <xdr:twoCellAnchor>
    <xdr:from>
      <xdr:col>10</xdr:col>
      <xdr:colOff>0</xdr:colOff>
      <xdr:row>13</xdr:row>
      <xdr:rowOff>115109</xdr:rowOff>
    </xdr:from>
    <xdr:to>
      <xdr:col>12</xdr:col>
      <xdr:colOff>623133</xdr:colOff>
      <xdr:row>17</xdr:row>
      <xdr:rowOff>0</xdr:rowOff>
    </xdr:to>
    <xdr:sp macro="" textlink="">
      <xdr:nvSpPr>
        <xdr:cNvPr id="3" name="Retângulo: Cantos Arredondados 2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FC4EA567-5D17-4063-BE37-93867B6EACE3}"/>
            </a:ext>
          </a:extLst>
        </xdr:cNvPr>
        <xdr:cNvSpPr/>
      </xdr:nvSpPr>
      <xdr:spPr>
        <a:xfrm>
          <a:off x="6519333" y="2316442"/>
          <a:ext cx="1927000" cy="562225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CASH</a:t>
          </a:r>
          <a:r>
            <a:rPr lang="pt-BR" sz="1050" b="0" i="0" baseline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 FLOW</a:t>
          </a:r>
          <a:endParaRPr lang="pt-BR" sz="1050" b="0" i="0">
            <a:solidFill>
              <a:sysClr val="windowText" lastClr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13</xdr:col>
      <xdr:colOff>101184</xdr:colOff>
      <xdr:row>21</xdr:row>
      <xdr:rowOff>129504</xdr:rowOff>
    </xdr:from>
    <xdr:to>
      <xdr:col>16</xdr:col>
      <xdr:colOff>71384</xdr:colOff>
      <xdr:row>25</xdr:row>
      <xdr:rowOff>21804</xdr:rowOff>
    </xdr:to>
    <xdr:sp macro="" textlink="">
      <xdr:nvSpPr>
        <xdr:cNvPr id="2" name="Retângulo: Cantos Arredondados 1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465600DD-AC4B-4DAE-916D-C387BBF21D16}"/>
            </a:ext>
          </a:extLst>
        </xdr:cNvPr>
        <xdr:cNvSpPr/>
      </xdr:nvSpPr>
      <xdr:spPr>
        <a:xfrm>
          <a:off x="8576317" y="3685504"/>
          <a:ext cx="1926000" cy="569633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 i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ESTIMATED CREDIT LOSSES IFRS</a:t>
          </a:r>
        </a:p>
      </xdr:txBody>
    </xdr:sp>
    <xdr:clientData/>
  </xdr:twoCellAnchor>
  <xdr:twoCellAnchor>
    <xdr:from>
      <xdr:col>13</xdr:col>
      <xdr:colOff>102686</xdr:colOff>
      <xdr:row>17</xdr:row>
      <xdr:rowOff>132956</xdr:rowOff>
    </xdr:from>
    <xdr:to>
      <xdr:col>16</xdr:col>
      <xdr:colOff>73885</xdr:colOff>
      <xdr:row>21</xdr:row>
      <xdr:rowOff>23895</xdr:rowOff>
    </xdr:to>
    <xdr:sp macro="" textlink="">
      <xdr:nvSpPr>
        <xdr:cNvPr id="4" name="Retângulo: Cantos Arredondados 3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65F5E0D9-D79C-4885-BA93-9FEFA5FF8858}"/>
            </a:ext>
          </a:extLst>
        </xdr:cNvPr>
        <xdr:cNvSpPr/>
      </xdr:nvSpPr>
      <xdr:spPr>
        <a:xfrm>
          <a:off x="8577819" y="3011623"/>
          <a:ext cx="1926999" cy="568272"/>
        </a:xfrm>
        <a:prstGeom prst="round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50" b="0">
              <a:solidFill>
                <a:sysClr val="windowText" lastClr="000000"/>
              </a:solidFill>
              <a:latin typeface="Arial" panose="020B0604020202020204" pitchFamily="34" charset="0"/>
              <a:cs typeface="Arial" panose="020B0604020202020204" pitchFamily="34" charset="0"/>
            </a:rPr>
            <a:t>ROIC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119062</xdr:colOff>
      <xdr:row>8</xdr:row>
      <xdr:rowOff>140533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920FC27-DC48-BBC8-D851-2959443D53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730750" cy="141053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59055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4D359F-9D89-40B5-8539-75D5409A7E94}"/>
            </a:ext>
          </a:extLst>
        </xdr:cNvPr>
        <xdr:cNvSpPr/>
      </xdr:nvSpPr>
      <xdr:spPr>
        <a:xfrm>
          <a:off x="238125" y="200025"/>
          <a:ext cx="1457325" cy="259080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59055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7F7FEEF-A73B-4C75-8CBB-469FFDEBF91A}"/>
            </a:ext>
          </a:extLst>
        </xdr:cNvPr>
        <xdr:cNvSpPr/>
      </xdr:nvSpPr>
      <xdr:spPr>
        <a:xfrm>
          <a:off x="243840" y="9144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47625</xdr:colOff>
      <xdr:row>2</xdr:row>
      <xdr:rowOff>74295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4C93DCE-5DD7-4D68-826C-2B74B0FA5533}"/>
            </a:ext>
          </a:extLst>
        </xdr:cNvPr>
        <xdr:cNvSpPr/>
      </xdr:nvSpPr>
      <xdr:spPr>
        <a:xfrm>
          <a:off x="177800" y="82550"/>
          <a:ext cx="2740025" cy="27114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104775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E0828A-50E9-4279-8DC8-36D19D9E0AFF}"/>
            </a:ext>
          </a:extLst>
        </xdr:cNvPr>
        <xdr:cNvSpPr/>
      </xdr:nvSpPr>
      <xdr:spPr>
        <a:xfrm>
          <a:off x="238125" y="200025"/>
          <a:ext cx="1457325" cy="304800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74295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DCEC167-1311-49A5-92A2-99080B0E6683}"/>
            </a:ext>
          </a:extLst>
        </xdr:cNvPr>
        <xdr:cNvSpPr/>
      </xdr:nvSpPr>
      <xdr:spPr>
        <a:xfrm>
          <a:off x="243840" y="8382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74295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2235918-A3EA-40E8-A7EB-F566BF744699}"/>
            </a:ext>
          </a:extLst>
        </xdr:cNvPr>
        <xdr:cNvSpPr/>
      </xdr:nvSpPr>
      <xdr:spPr>
        <a:xfrm>
          <a:off x="243840" y="19812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104775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A1C236-2D40-4257-B03A-B5D353C39E22}"/>
            </a:ext>
          </a:extLst>
        </xdr:cNvPr>
        <xdr:cNvSpPr/>
      </xdr:nvSpPr>
      <xdr:spPr>
        <a:xfrm>
          <a:off x="243840" y="7620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2</xdr:col>
      <xdr:colOff>1457325</xdr:colOff>
      <xdr:row>2</xdr:row>
      <xdr:rowOff>104775</xdr:rowOff>
    </xdr:to>
    <xdr:sp macro="" textlink="">
      <xdr:nvSpPr>
        <xdr:cNvPr id="6" name="Retângulo: Cantos Arredondados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60D3D2-A680-4502-BD64-1312482C9C0F}"/>
            </a:ext>
          </a:extLst>
        </xdr:cNvPr>
        <xdr:cNvSpPr/>
      </xdr:nvSpPr>
      <xdr:spPr>
        <a:xfrm>
          <a:off x="247650" y="161925"/>
          <a:ext cx="1457325" cy="266700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204610</xdr:rowOff>
    </xdr:from>
    <xdr:to>
      <xdr:col>1</xdr:col>
      <xdr:colOff>1538112</xdr:colOff>
      <xdr:row>2</xdr:row>
      <xdr:rowOff>91721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832A7C-8F77-4268-AC7F-69B283EFC9B7}"/>
            </a:ext>
          </a:extLst>
        </xdr:cNvPr>
        <xdr:cNvSpPr/>
      </xdr:nvSpPr>
      <xdr:spPr>
        <a:xfrm>
          <a:off x="246944" y="204610"/>
          <a:ext cx="1538112" cy="296333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59055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2C8856-18B3-4ADA-B464-7DBE5334695D}"/>
            </a:ext>
          </a:extLst>
        </xdr:cNvPr>
        <xdr:cNvSpPr/>
      </xdr:nvSpPr>
      <xdr:spPr>
        <a:xfrm>
          <a:off x="243840" y="9144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104775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D3AFAE-D7EF-4D95-9567-6237C37DD76B}"/>
            </a:ext>
          </a:extLst>
        </xdr:cNvPr>
        <xdr:cNvSpPr/>
      </xdr:nvSpPr>
      <xdr:spPr>
        <a:xfrm>
          <a:off x="238125" y="76200"/>
          <a:ext cx="1457325" cy="266700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1</xdr:row>
      <xdr:rowOff>0</xdr:rowOff>
    </xdr:from>
    <xdr:to>
      <xdr:col>1</xdr:col>
      <xdr:colOff>1369393</xdr:colOff>
      <xdr:row>2</xdr:row>
      <xdr:rowOff>71782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2D31C54-E216-456F-BD1B-64F8AE8ED3BF}"/>
            </a:ext>
          </a:extLst>
        </xdr:cNvPr>
        <xdr:cNvSpPr/>
      </xdr:nvSpPr>
      <xdr:spPr>
        <a:xfrm>
          <a:off x="248479" y="204304"/>
          <a:ext cx="1369392" cy="276087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  <xdr:oneCellAnchor>
    <xdr:from>
      <xdr:col>1</xdr:col>
      <xdr:colOff>1524000</xdr:colOff>
      <xdr:row>0</xdr:row>
      <xdr:rowOff>125540</xdr:rowOff>
    </xdr:from>
    <xdr:ext cx="8439150" cy="564001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37D4D7F-E3E8-A9F8-7A9C-F00B6074ABA8}"/>
            </a:ext>
          </a:extLst>
        </xdr:cNvPr>
        <xdr:cNvSpPr txBox="1"/>
      </xdr:nvSpPr>
      <xdr:spPr>
        <a:xfrm>
          <a:off x="1762125" y="125540"/>
          <a:ext cx="8439150" cy="564001"/>
        </a:xfrm>
        <a:prstGeom prst="rect">
          <a:avLst/>
        </a:prstGeom>
        <a:noFill/>
        <a:ln>
          <a:solidFill>
            <a:schemeClr val="bg1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pt-BR" sz="800" b="1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Note:</a:t>
          </a:r>
          <a:r>
            <a:rPr lang="pt-BR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The present breakdown of the portfolio is based on a risk perspective. Stages drags the whole receivabe of an individual to the worst due range.</a:t>
          </a:r>
        </a:p>
        <a:p>
          <a:r>
            <a:rPr lang="pt-BR" sz="800" b="1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Stage 1.</a:t>
          </a:r>
          <a:r>
            <a:rPr lang="pt-BR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Operations up to date and up to 30 days late: loss expected for the next 6 months;</a:t>
          </a:r>
        </a:p>
        <a:p>
          <a:r>
            <a:rPr lang="pt-BR" sz="800" b="1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Stage 2.</a:t>
          </a:r>
          <a:r>
            <a:rPr lang="pt-BR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Delay of 31 to 89 days or renegotiation in good standing or use of overlimit for the My Card product, projected for 12 months;</a:t>
          </a:r>
        </a:p>
        <a:p>
          <a:r>
            <a:rPr lang="pt-BR" sz="800" b="1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Stage 3.</a:t>
          </a:r>
          <a:r>
            <a:rPr lang="pt-BR" sz="800" b="0" i="0" u="none" strike="noStrike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Delay of 90 days or renegotiation in bad standing: loss measurement considering only the effective loss, given the default.</a:t>
          </a: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112395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77517E-673A-43EE-B863-D88649A31B91}"/>
            </a:ext>
          </a:extLst>
        </xdr:cNvPr>
        <xdr:cNvSpPr/>
      </xdr:nvSpPr>
      <xdr:spPr>
        <a:xfrm>
          <a:off x="247650" y="200025"/>
          <a:ext cx="1457325" cy="312420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74295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DD7682C-3326-4248-A000-44DED9AC48CA}"/>
            </a:ext>
          </a:extLst>
        </xdr:cNvPr>
        <xdr:cNvSpPr/>
      </xdr:nvSpPr>
      <xdr:spPr>
        <a:xfrm>
          <a:off x="449580" y="9144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59055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3D7896-3FEF-44F1-87AF-5C18A0BAF7D9}"/>
            </a:ext>
          </a:extLst>
        </xdr:cNvPr>
        <xdr:cNvSpPr/>
      </xdr:nvSpPr>
      <xdr:spPr>
        <a:xfrm>
          <a:off x="243840" y="91440"/>
          <a:ext cx="1457325" cy="272415"/>
        </a:xfrm>
        <a:prstGeom prst="roundRect">
          <a:avLst/>
        </a:prstGeom>
        <a:solidFill>
          <a:srgbClr val="BE54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0">
              <a:solidFill>
                <a:schemeClr val="bg1"/>
              </a:solidFill>
              <a:latin typeface="Poppins" panose="00000500000000000000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Martinbianco Toller" refreshedDate="46251.392473958331" createdVersion="8" refreshedVersion="8" minRefreshableVersion="3" recordCount="818" xr:uid="{CC6B15F9-CBDB-4184-93EC-8C0233DF3387}">
  <cacheSource type="worksheet">
    <worksheetSource name="TabListaLojas"/>
  </cacheSource>
  <cacheFields count="17">
    <cacheField name="#" numFmtId="0">
      <sharedItems containsSemiMixedTypes="0" containsString="0" containsNumber="1" containsInteger="1" minValue="0" maxValue="1"/>
    </cacheField>
    <cacheField name="Code" numFmtId="0">
      <sharedItems/>
    </cacheField>
    <cacheField name="Business" numFmtId="0">
      <sharedItems count="4">
        <s v="Renner"/>
        <s v="Camicado"/>
        <s v="Youcom"/>
        <s v="Ashua"/>
      </sharedItems>
    </cacheField>
    <cacheField name="Status" numFmtId="14">
      <sharedItems/>
    </cacheField>
    <cacheField name="Opening date" numFmtId="14">
      <sharedItems containsSemiMixedTypes="0" containsNonDate="0" containsDate="1" containsString="0" minDate="1967-06-01T00:00:00" maxDate="2026-07-24T00:00:00" count="677">
        <d v="2026-07-23T00:00:00"/>
        <d v="2026-07-09T00:00:00"/>
        <d v="2026-07-01T00:00:00"/>
        <d v="2026-06-25T00:00:00"/>
        <d v="2026-06-16T00:00:00"/>
        <d v="2026-06-10T00:00:00"/>
        <d v="2026-05-30T00:00:00"/>
        <d v="2026-05-29T00:00:00"/>
        <d v="2026-05-28T00:00:00"/>
        <d v="2026-05-13T00:00:00"/>
        <d v="2026-05-07T00:00:00"/>
        <d v="2026-05-06T00:00:00"/>
        <d v="2026-04-30T00:00:00"/>
        <d v="2026-04-27T00:00:00"/>
        <d v="2026-04-24T00:00:00"/>
        <d v="2026-04-01T00:00:00"/>
        <d v="2026-03-18T00:00:00"/>
        <d v="2026-01-30T00:00:00"/>
        <d v="2025-12-24T00:00:00"/>
        <d v="2025-12-16T00:00:00"/>
        <d v="2025-12-10T00:00:00"/>
        <d v="2025-12-04T00:00:00"/>
        <d v="2025-12-11T00:00:00"/>
        <d v="2025-12-02T00:00:00"/>
        <d v="2025-11-29T00:00:00"/>
        <d v="2025-11-28T00:00:00"/>
        <d v="2025-11-27T00:00:00"/>
        <d v="2025-11-25T00:00:00"/>
        <d v="2025-11-21T00:00:00"/>
        <d v="2025-11-19T00:00:00"/>
        <d v="2025-11-01T00:00:00"/>
        <d v="2025-10-30T00:00:00"/>
        <d v="2025-10-24T00:00:00"/>
        <d v="2025-10-18T00:00:00"/>
        <d v="2025-10-03T00:00:00"/>
        <d v="2025-09-26T00:00:00"/>
        <d v="2025-09-18T00:00:00"/>
        <d v="2025-08-01T00:00:00"/>
        <d v="2025-07-18T00:00:00"/>
        <d v="2025-06-10T00:00:00"/>
        <d v="2025-06-07T00:00:00"/>
        <d v="2025-06-05T00:00:00"/>
        <d v="2025-05-30T00:00:00"/>
        <d v="2025-05-16T00:00:00"/>
        <d v="2025-03-12T00:00:00"/>
        <d v="2024-12-04T00:00:00"/>
        <d v="2024-12-03T00:00:00"/>
        <d v="2024-11-30T00:00:00"/>
        <d v="2024-11-29T00:00:00"/>
        <d v="2024-11-28T00:00:00"/>
        <d v="2024-11-27T00:00:00"/>
        <d v="2024-11-12T00:00:00"/>
        <d v="2024-10-31T00:00:00"/>
        <d v="2024-10-25T00:00:00"/>
        <d v="2024-10-23T00:00:00"/>
        <d v="2024-10-08T00:00:00"/>
        <d v="2024-10-02T00:00:00"/>
        <d v="2024-10-01T00:00:00"/>
        <d v="2024-09-19T00:00:00"/>
        <d v="2024-08-22T00:00:00"/>
        <d v="2024-08-08T00:00:00"/>
        <d v="2024-08-02T00:00:00"/>
        <d v="2024-06-28T00:00:00"/>
        <d v="2024-06-01T00:00:00"/>
        <d v="2024-05-10T00:00:00"/>
        <d v="2024-05-07T00:00:00"/>
        <d v="2024-04-30T00:00:00"/>
        <d v="2024-04-19T00:00:00"/>
        <d v="2023-12-21T00:00:00"/>
        <d v="2023-11-30T00:00:00"/>
        <d v="2023-11-23T00:00:00"/>
        <d v="2023-11-22T00:00:00"/>
        <d v="2023-11-18T00:00:00"/>
        <d v="2023-11-17T00:00:00"/>
        <d v="2023-11-09T00:00:00"/>
        <d v="2023-10-27T00:00:00"/>
        <d v="2023-10-17T00:00:00"/>
        <d v="2023-10-11T00:00:00"/>
        <d v="2023-09-20T00:00:00"/>
        <d v="2023-09-15T00:00:00"/>
        <d v="2023-09-09T00:00:00"/>
        <d v="2023-09-01T00:00:00"/>
        <d v="2023-08-31T00:00:00"/>
        <d v="2023-08-09T00:00:00"/>
        <d v="2023-08-03T00:00:00"/>
        <d v="2023-08-02T00:00:00"/>
        <d v="2023-08-01T00:00:00"/>
        <d v="2023-07-25T00:00:00"/>
        <d v="2023-07-18T00:00:00"/>
        <d v="2023-06-30T00:00:00"/>
        <d v="2023-06-07T00:00:00"/>
        <d v="2023-05-31T00:00:00"/>
        <d v="2023-05-20T00:00:00"/>
        <d v="2023-05-09T00:00:00"/>
        <d v="2023-04-27T00:00:00"/>
        <d v="2023-04-18T00:00:00"/>
        <d v="2022-12-21T00:00:00"/>
        <d v="2022-12-08T00:00:00"/>
        <d v="2022-12-03T00:00:00"/>
        <d v="2022-11-30T00:00:00"/>
        <d v="2022-11-29T00:00:00"/>
        <d v="2022-11-04T00:00:00"/>
        <d v="2022-10-14T00:00:00"/>
        <d v="2022-09-29T00:00:00"/>
        <d v="2022-09-23T00:00:00"/>
        <d v="2022-09-14T00:00:00"/>
        <d v="2022-09-13T00:00:00"/>
        <d v="2022-09-08T00:00:00"/>
        <d v="2022-08-26T00:00:00"/>
        <d v="2022-08-23T00:00:00"/>
        <d v="2022-08-19T00:00:00"/>
        <d v="2022-08-05T00:00:00"/>
        <d v="2022-08-04T00:00:00"/>
        <d v="2022-07-21T00:00:00"/>
        <d v="2022-07-07T00:00:00"/>
        <d v="2022-06-22T00:00:00"/>
        <d v="2022-06-21T00:00:00"/>
        <d v="2022-06-10T00:00:00"/>
        <d v="2022-06-07T00:00:00"/>
        <d v="2022-05-31T00:00:00"/>
        <d v="2022-05-28T00:00:00"/>
        <d v="2022-05-13T00:00:00"/>
        <d v="2022-05-06T00:00:00"/>
        <d v="2022-05-03T00:00:00"/>
        <d v="2022-04-30T00:00:00"/>
        <d v="2022-04-29T00:00:00"/>
        <d v="2022-04-28T00:00:00"/>
        <d v="2022-04-27T00:00:00"/>
        <d v="2022-04-14T00:00:00"/>
        <d v="2022-04-01T00:00:00"/>
        <d v="2022-03-29T00:00:00"/>
        <d v="2022-03-27T00:00:00"/>
        <d v="2021-11-30T00:00:00"/>
        <d v="2021-10-23T00:00:00"/>
        <d v="2021-08-06T00:00:00"/>
        <d v="2021-07-07T00:00:00"/>
        <d v="2021-06-23T00:00:00"/>
        <d v="2021-06-08T00:00:00"/>
        <d v="2021-06-05T00:00:00"/>
        <d v="2021-06-04T00:00:00"/>
        <d v="2021-05-31T00:00:00"/>
        <d v="2021-05-29T00:00:00"/>
        <d v="2021-05-25T00:00:00"/>
        <d v="2021-05-05T00:00:00"/>
        <d v="2021-05-04T00:00:00"/>
        <d v="2021-05-03T00:00:00"/>
        <d v="2021-04-30T00:00:00"/>
        <d v="2021-04-29T00:00:00"/>
        <d v="2021-04-28T00:00:00"/>
        <d v="2021-04-27T00:00:00"/>
        <d v="2021-04-26T00:00:00"/>
        <d v="2021-04-20T00:00:00"/>
        <d v="2021-04-18T00:00:00"/>
        <d v="2021-04-15T00:00:00"/>
        <d v="2021-04-13T00:00:00"/>
        <d v="2021-04-10T00:00:00"/>
        <d v="2021-04-05T00:00:00"/>
        <d v="2021-03-03T00:00:00"/>
        <d v="2020-11-17T00:00:00"/>
        <d v="2020-10-20T00:00:00"/>
        <d v="2020-09-29T00:00:00"/>
        <d v="2020-09-22T00:00:00"/>
        <d v="2020-08-27T00:00:00"/>
        <d v="2020-08-20T00:00:00"/>
        <d v="2020-08-11T00:00:00"/>
        <d v="2020-08-08T00:00:00"/>
        <d v="2020-08-04T00:00:00"/>
        <d v="2020-08-01T00:00:00"/>
        <d v="2020-03-17T00:00:00"/>
        <d v="2019-12-18T00:00:00"/>
        <d v="2019-12-17T00:00:00"/>
        <d v="2019-12-14T00:00:00"/>
        <d v="2019-12-13T00:00:00"/>
        <d v="2019-12-12T00:00:00"/>
        <d v="2019-12-11T00:00:00"/>
        <d v="2019-12-10T00:00:00"/>
        <d v="2019-12-03T00:00:00"/>
        <d v="2019-11-29T00:00:00"/>
        <d v="2019-11-28T00:00:00"/>
        <d v="2019-11-26T00:00:00"/>
        <d v="2019-11-21T00:00:00"/>
        <d v="2019-11-14T00:00:00"/>
        <d v="2019-11-05T00:00:00"/>
        <d v="2019-11-01T00:00:00"/>
        <d v="2019-10-31T00:00:00"/>
        <d v="2019-10-24T00:00:00"/>
        <d v="2019-10-17T00:00:00"/>
        <d v="2019-10-10T00:00:00"/>
        <d v="2019-10-08T00:00:00"/>
        <d v="2019-09-19T00:00:00"/>
        <d v="2019-08-29T00:00:00"/>
        <d v="2019-08-21T00:00:00"/>
        <d v="2019-08-15T00:00:00"/>
        <d v="2019-08-01T00:00:00"/>
        <d v="2019-07-31T00:00:00"/>
        <d v="2019-07-25T00:00:00"/>
        <d v="2019-06-05T00:00:00"/>
        <d v="2019-06-04T00:00:00"/>
        <d v="2019-05-31T00:00:00"/>
        <d v="2019-05-30T00:00:00"/>
        <d v="2019-05-07T00:00:00"/>
        <d v="2019-05-03T00:00:00"/>
        <d v="2019-05-02T00:00:00"/>
        <d v="2019-04-25T00:00:00"/>
        <d v="2019-04-18T00:00:00"/>
        <d v="2019-04-16T00:00:00"/>
        <d v="2019-04-11T00:00:00"/>
        <d v="2019-03-27T00:00:00"/>
        <d v="2019-03-21T00:00:00"/>
        <d v="2019-02-28T00:00:00"/>
        <d v="2019-02-27T00:00:00"/>
        <d v="2018-12-18T00:00:00"/>
        <d v="2018-12-14T00:00:00"/>
        <d v="2018-12-13T00:00:00"/>
        <d v="2018-12-07T00:00:00"/>
        <d v="2018-12-06T00:00:00"/>
        <d v="2018-12-05T00:00:00"/>
        <d v="2018-11-23T00:00:00"/>
        <d v="2018-11-19T00:00:00"/>
        <d v="2018-11-13T00:00:00"/>
        <d v="2018-11-08T00:00:00"/>
        <d v="2018-10-30T00:00:00"/>
        <d v="2018-10-23T00:00:00"/>
        <d v="2018-10-18T00:00:00"/>
        <d v="2018-10-05T00:00:00"/>
        <d v="2018-10-04T00:00:00"/>
        <d v="2018-09-27T00:00:00"/>
        <d v="2018-09-14T00:00:00"/>
        <d v="2018-09-13T00:00:00"/>
        <d v="2018-09-05T00:00:00"/>
        <d v="2018-09-04T00:00:00"/>
        <d v="2018-08-21T00:00:00"/>
        <d v="2018-08-16T00:00:00"/>
        <d v="2018-08-13T00:00:00"/>
        <d v="2018-08-09T00:00:00"/>
        <d v="2018-07-31T00:00:00"/>
        <d v="2018-07-12T00:00:00"/>
        <d v="2018-07-05T00:00:00"/>
        <d v="2018-06-08T00:00:00"/>
        <d v="2018-06-07T00:00:00"/>
        <d v="2018-05-10T00:00:00"/>
        <d v="2018-05-08T00:00:00"/>
        <d v="2018-05-07T00:00:00"/>
        <d v="2018-05-05T00:00:00"/>
        <d v="2018-05-03T00:00:00"/>
        <d v="2018-05-02T00:00:00"/>
        <d v="2018-04-26T00:00:00"/>
        <d v="2018-04-25T00:00:00"/>
        <d v="2018-04-20T00:00:00"/>
        <d v="2018-04-19T00:00:00"/>
        <d v="2018-04-12T00:00:00"/>
        <d v="2018-03-29T00:00:00"/>
        <d v="2018-03-22T00:00:00"/>
        <d v="2018-03-15T00:00:00"/>
        <d v="2018-03-08T00:00:00"/>
        <d v="2017-12-14T00:00:00"/>
        <d v="2017-12-08T00:00:00"/>
        <d v="2017-12-01T00:00:00"/>
        <d v="2017-11-29T00:00:00"/>
        <d v="2017-11-24T00:00:00"/>
        <d v="2017-11-23T00:00:00"/>
        <d v="2017-11-17T00:00:00"/>
        <d v="2017-11-16T00:00:00"/>
        <d v="2017-11-15T00:00:00"/>
        <d v="2017-11-07T00:00:00"/>
        <d v="2017-10-26T00:00:00"/>
        <d v="2017-10-19T00:00:00"/>
        <d v="2017-10-06T00:00:00"/>
        <d v="2017-10-05T00:00:00"/>
        <d v="2017-10-04T00:00:00"/>
        <d v="2017-09-29T00:00:00"/>
        <d v="2017-09-28T00:00:00"/>
        <d v="2017-09-27T00:00:00"/>
        <d v="2017-09-20T00:00:00"/>
        <d v="2017-09-07T00:00:00"/>
        <d v="2017-09-06T00:00:00"/>
        <d v="2017-09-01T00:00:00"/>
        <d v="2017-08-31T00:00:00"/>
        <d v="2017-08-29T00:00:00"/>
        <d v="2017-08-25T00:00:00"/>
        <d v="2017-08-24T00:00:00"/>
        <d v="2017-08-03T00:00:00"/>
        <d v="2017-07-27T00:00:00"/>
        <d v="2017-07-14T00:00:00"/>
        <d v="2017-07-05T00:00:00"/>
        <d v="2017-06-29T00:00:00"/>
        <d v="2017-06-22T00:00:00"/>
        <d v="2017-06-21T00:00:00"/>
        <d v="2017-06-16T00:00:00"/>
        <d v="2017-06-09T00:00:00"/>
        <d v="2017-06-08T00:00:00"/>
        <d v="2017-06-06T00:00:00"/>
        <d v="2017-06-02T00:00:00"/>
        <d v="2017-05-25T00:00:00"/>
        <d v="2017-05-18T00:00:00"/>
        <d v="2017-05-05T00:00:00"/>
        <d v="2017-05-04T00:00:00"/>
        <d v="2017-04-27T00:00:00"/>
        <d v="2017-04-25T00:00:00"/>
        <d v="2017-04-20T00:00:00"/>
        <d v="2017-04-12T00:00:00"/>
        <d v="2017-04-06T00:00:00"/>
        <d v="2017-03-30T00:00:00"/>
        <d v="2017-03-29T00:00:00"/>
        <d v="2017-03-23T00:00:00"/>
        <d v="2017-03-16T00:00:00"/>
        <d v="2017-03-09T00:00:00"/>
        <d v="2017-03-03T00:00:00"/>
        <d v="2016-12-13T00:00:00"/>
        <d v="2016-12-08T00:00:00"/>
        <d v="2016-11-28T00:00:00"/>
        <d v="2016-11-24T00:00:00"/>
        <d v="2016-11-22T00:00:00"/>
        <d v="2016-11-16T00:00:00"/>
        <d v="2016-11-10T00:00:00"/>
        <d v="2016-11-07T00:00:00"/>
        <d v="2016-10-31T00:00:00"/>
        <d v="2016-10-27T00:00:00"/>
        <d v="2016-10-26T00:00:00"/>
        <d v="2016-10-20T00:00:00"/>
        <d v="2016-10-18T00:00:00"/>
        <d v="2016-10-13T00:00:00"/>
        <d v="2016-10-11T00:00:00"/>
        <d v="2016-10-10T00:00:00"/>
        <d v="2016-10-07T00:00:00"/>
        <d v="2016-10-04T00:00:00"/>
        <d v="2016-10-01T00:00:00"/>
        <d v="2016-09-30T00:00:00"/>
        <d v="2016-09-29T00:00:00"/>
        <d v="2016-09-08T00:00:00"/>
        <d v="2016-09-06T00:00:00"/>
        <d v="2016-08-13T00:00:00"/>
        <d v="2016-08-10T00:00:00"/>
        <d v="2016-08-04T00:00:00"/>
        <d v="2016-07-29T00:00:00"/>
        <d v="2016-07-12T00:00:00"/>
        <d v="2016-07-07T00:00:00"/>
        <d v="2016-06-10T00:00:00"/>
        <d v="2016-06-02T00:00:00"/>
        <d v="2016-05-25T00:00:00"/>
        <d v="2016-05-19T00:00:00"/>
        <d v="2016-05-18T00:00:00"/>
        <d v="2016-05-05T00:00:00"/>
        <d v="2016-05-04T00:00:00"/>
        <d v="2016-04-28T00:00:00"/>
        <d v="2016-04-27T00:00:00"/>
        <d v="2016-04-26T00:00:00"/>
        <d v="2016-04-20T00:00:00"/>
        <d v="2016-04-16T00:00:00"/>
        <d v="2016-04-12T00:00:00"/>
        <d v="2016-04-07T00:00:00"/>
        <d v="2016-03-30T00:00:00"/>
        <d v="2016-03-24T00:00:00"/>
        <d v="2016-03-23T00:00:00"/>
        <d v="2016-03-22T00:00:00"/>
        <d v="2016-03-16T00:00:00"/>
        <d v="2016-03-10T00:00:00"/>
        <d v="2015-12-10T00:00:00"/>
        <d v="2015-12-03T00:00:00"/>
        <d v="2015-11-27T00:00:00"/>
        <d v="2015-11-26T00:00:00"/>
        <d v="2015-11-18T00:00:00"/>
        <d v="2015-11-17T00:00:00"/>
        <d v="2015-11-14T00:00:00"/>
        <d v="2015-11-13T00:00:00"/>
        <d v="2015-11-12T00:00:00"/>
        <d v="2015-11-11T00:00:00"/>
        <d v="2015-11-06T00:00:00"/>
        <d v="2015-11-05T00:00:00"/>
        <d v="2015-10-30T00:00:00"/>
        <d v="2015-10-15T00:00:00"/>
        <d v="2015-10-08T00:00:00"/>
        <d v="2015-09-29T00:00:00"/>
        <d v="2015-09-24T00:00:00"/>
        <d v="2015-08-27T00:00:00"/>
        <d v="2015-08-19T00:00:00"/>
        <d v="2015-08-07T00:00:00"/>
        <d v="2015-07-14T00:00:00"/>
        <d v="2015-06-30T00:00:00"/>
        <d v="2015-06-09T00:00:00"/>
        <d v="2015-06-03T00:00:00"/>
        <d v="2015-05-20T00:00:00"/>
        <d v="2015-05-07T00:00:00"/>
        <d v="2015-05-05T00:00:00"/>
        <d v="2015-04-30T00:00:00"/>
        <d v="2015-04-29T00:00:00"/>
        <d v="2015-04-23T00:00:00"/>
        <d v="2015-04-18T00:00:00"/>
        <d v="2015-04-16T00:00:00"/>
        <d v="2015-04-02T00:00:00"/>
        <d v="2015-02-26T00:00:00"/>
        <d v="2014-12-11T00:00:00"/>
        <d v="2014-12-05T00:00:00"/>
        <d v="2014-12-02T00:00:00"/>
        <d v="2014-11-30T00:00:00"/>
        <d v="2014-11-28T00:00:00"/>
        <d v="2014-11-27T00:00:00"/>
        <d v="2014-11-26T00:00:00"/>
        <d v="2014-11-25T00:00:00"/>
        <d v="2014-11-20T00:00:00"/>
        <d v="2014-11-19T00:00:00"/>
        <d v="2014-11-11T00:00:00"/>
        <d v="2014-11-04T00:00:00"/>
        <d v="2014-10-29T00:00:00"/>
        <d v="2014-10-16T00:00:00"/>
        <d v="2014-09-26T00:00:00"/>
        <d v="2014-09-24T00:00:00"/>
        <d v="2014-09-10T00:00:00"/>
        <d v="2014-08-29T00:00:00"/>
        <d v="2014-08-25T00:00:00"/>
        <d v="2014-07-26T00:00:00"/>
        <d v="2014-07-17T00:00:00"/>
        <d v="2014-07-04T00:00:00"/>
        <d v="2014-07-03T00:00:00"/>
        <d v="2014-06-26T00:00:00"/>
        <d v="2014-06-24T00:00:00"/>
        <d v="2014-06-20T00:00:00"/>
        <d v="2014-05-29T00:00:00"/>
        <d v="2014-05-17T00:00:00"/>
        <d v="2014-05-10T00:00:00"/>
        <d v="2014-05-09T00:00:00"/>
        <d v="2014-05-08T00:00:00"/>
        <d v="2014-05-06T00:00:00"/>
        <d v="2014-04-29T00:00:00"/>
        <d v="2014-04-26T00:00:00"/>
        <d v="2014-04-25T00:00:00"/>
        <d v="2014-04-19T00:00:00"/>
        <d v="2014-04-17T00:00:00"/>
        <d v="2014-04-10T00:00:00"/>
        <d v="2014-03-28T00:00:00"/>
        <d v="2014-03-08T00:00:00"/>
        <d v="2014-03-07T00:00:00"/>
        <d v="2013-12-18T00:00:00"/>
        <d v="2013-12-10T00:00:00"/>
        <d v="2013-12-06T00:00:00"/>
        <d v="2013-12-05T00:00:00"/>
        <d v="2013-12-04T00:00:00"/>
        <d v="2013-11-30T00:00:00"/>
        <d v="2013-11-28T00:00:00"/>
        <d v="2013-11-27T00:00:00"/>
        <d v="2013-11-26T00:00:00"/>
        <d v="2013-11-25T00:00:00"/>
        <d v="2013-11-22T00:00:00"/>
        <d v="2013-11-21T00:00:00"/>
        <d v="2013-11-16T00:00:00"/>
        <d v="2013-11-14T00:00:00"/>
        <d v="2013-11-12T00:00:00"/>
        <d v="2013-11-07T00:00:00"/>
        <d v="2013-10-31T00:00:00"/>
        <d v="2013-10-30T00:00:00"/>
        <d v="2013-10-22T00:00:00"/>
        <d v="2013-10-17T00:00:00"/>
        <d v="2013-10-03T00:00:00"/>
        <d v="2013-09-27T00:00:00"/>
        <d v="2013-09-25T00:00:00"/>
        <d v="2013-09-13T00:00:00"/>
        <d v="2013-09-12T00:00:00"/>
        <d v="2013-09-05T00:00:00"/>
        <d v="2013-08-29T00:00:00"/>
        <d v="2013-08-22T00:00:00"/>
        <d v="2013-08-15T00:00:00"/>
        <d v="2013-08-08T00:00:00"/>
        <d v="2013-08-01T00:00:00"/>
        <d v="2013-07-31T00:00:00"/>
        <d v="2013-07-30T00:00:00"/>
        <d v="2013-07-23T00:00:00"/>
        <d v="2013-06-06T00:00:00"/>
        <d v="2013-05-07T00:00:00"/>
        <d v="2013-05-03T00:00:00"/>
        <d v="2013-04-18T00:00:00"/>
        <d v="2013-03-19T00:00:00"/>
        <d v="2013-01-10T00:00:00"/>
        <d v="2012-12-15T00:00:00"/>
        <d v="2012-12-13T00:00:00"/>
        <d v="2012-12-06T00:00:00"/>
        <d v="2012-11-29T00:00:00"/>
        <d v="2012-11-28T00:00:00"/>
        <d v="2012-11-14T00:00:00"/>
        <d v="2012-11-13T00:00:00"/>
        <d v="2012-10-31T00:00:00"/>
        <d v="2012-10-30T00:00:00"/>
        <d v="2012-10-27T00:00:00"/>
        <d v="2012-10-25T00:00:00"/>
        <d v="2012-10-23T00:00:00"/>
        <d v="2012-10-18T00:00:00"/>
        <d v="2012-10-09T00:00:00"/>
        <d v="2012-08-17T00:00:00"/>
        <d v="2012-08-03T00:00:00"/>
        <d v="2012-07-13T00:00:00"/>
        <d v="2012-06-20T00:00:00"/>
        <d v="2012-06-04T00:00:00"/>
        <d v="2012-05-31T00:00:00"/>
        <d v="2012-05-30T00:00:00"/>
        <d v="2012-05-23T00:00:00"/>
        <d v="2012-04-26T00:00:00"/>
        <d v="2012-03-28T00:00:00"/>
        <d v="2012-03-26T00:00:00"/>
        <d v="2012-02-23T00:00:00"/>
        <d v="2011-12-20T00:00:00"/>
        <d v="2011-12-16T00:00:00"/>
        <d v="2011-12-15T00:00:00"/>
        <d v="2011-12-14T00:00:00"/>
        <d v="2011-12-13T00:00:00"/>
        <d v="2011-12-07T00:00:00"/>
        <d v="2011-12-06T00:00:00"/>
        <d v="2011-12-01T00:00:00"/>
        <d v="2011-11-30T00:00:00"/>
        <d v="2011-11-29T00:00:00"/>
        <d v="2011-11-10T00:00:00"/>
        <d v="2011-11-09T00:00:00"/>
        <d v="2011-11-08T00:00:00"/>
        <d v="2011-11-04T00:00:00"/>
        <d v="2011-10-19T00:00:00"/>
        <d v="2011-10-13T00:00:00"/>
        <d v="2011-10-05T00:00:00"/>
        <d v="2011-10-04T00:00:00"/>
        <d v="2011-09-16T00:00:00"/>
        <d v="2011-06-29T00:00:00"/>
        <d v="2011-06-17T00:00:00"/>
        <d v="2011-06-16T00:00:00"/>
        <d v="2011-05-31T00:00:00"/>
        <d v="2011-05-28T00:00:00"/>
        <d v="2011-05-25T00:00:00"/>
        <d v="2011-04-28T00:00:00"/>
        <d v="2010-12-15T00:00:00"/>
        <d v="2010-12-09T00:00:00"/>
        <d v="2010-12-03T00:00:00"/>
        <d v="2010-11-24T00:00:00"/>
        <d v="2010-11-09T00:00:00"/>
        <d v="2010-11-05T00:00:00"/>
        <d v="2010-10-26T00:00:00"/>
        <d v="2010-08-17T00:00:00"/>
        <d v="2010-06-30T00:00:00"/>
        <d v="2010-06-01T00:00:00"/>
        <d v="2010-05-05T00:00:00"/>
        <d v="2010-04-24T00:00:00"/>
        <d v="2010-03-31T00:00:00"/>
        <d v="2009-11-26T00:00:00"/>
        <d v="2009-11-25T00:00:00"/>
        <d v="2009-11-17T00:00:00"/>
        <d v="2009-10-28T00:00:00"/>
        <d v="2009-10-17T00:00:00"/>
        <d v="2009-10-08T00:00:00"/>
        <d v="2009-10-01T00:00:00"/>
        <d v="2009-09-17T00:00:00"/>
        <d v="2009-06-25T00:00:00"/>
        <d v="2009-06-06T00:00:00"/>
        <d v="2009-04-30T00:00:00"/>
        <d v="2009-04-25T00:00:00"/>
        <d v="2009-04-07T00:00:00"/>
        <d v="2008-11-25T00:00:00"/>
        <d v="2008-11-20T00:00:00"/>
        <d v="2008-11-18T00:00:00"/>
        <d v="2008-11-12T00:00:00"/>
        <d v="2008-11-11T00:00:00"/>
        <d v="2008-10-30T00:00:00"/>
        <d v="2008-10-29T00:00:00"/>
        <d v="2008-10-09T00:00:00"/>
        <d v="2008-09-26T00:00:00"/>
        <d v="2008-08-27T00:00:00"/>
        <d v="2008-05-09T00:00:00"/>
        <d v="2008-05-06T00:00:00"/>
        <d v="2008-04-24T00:00:00"/>
        <d v="2008-04-23T00:00:00"/>
        <d v="2008-04-22T00:00:00"/>
        <d v="2008-03-28T00:00:00"/>
        <d v="2007-12-15T00:00:00"/>
        <d v="2007-12-12T00:00:00"/>
        <d v="2007-11-30T00:00:00"/>
        <d v="2007-11-28T00:00:00"/>
        <d v="2007-10-27T00:00:00"/>
        <d v="2007-10-25T00:00:00"/>
        <d v="2007-10-23T00:00:00"/>
        <d v="2007-09-27T00:00:00"/>
        <d v="2007-07-07T00:00:00"/>
        <d v="2007-05-22T00:00:00"/>
        <d v="2007-05-10T00:00:00"/>
        <d v="2007-05-03T00:00:00"/>
        <d v="2007-04-27T00:00:00"/>
        <d v="2007-04-24T00:00:00"/>
        <d v="2007-04-17T00:00:00"/>
        <d v="2006-12-18T00:00:00"/>
        <d v="2006-12-07T00:00:00"/>
        <d v="2006-12-06T00:00:00"/>
        <d v="2006-12-05T00:00:00"/>
        <d v="2006-11-24T00:00:00"/>
        <d v="2006-11-09T00:00:00"/>
        <d v="2006-10-26T00:00:00"/>
        <d v="2006-09-28T00:00:00"/>
        <d v="2006-09-26T00:00:00"/>
        <d v="2006-09-14T00:00:00"/>
        <d v="2006-05-29T00:00:00"/>
        <d v="2006-05-12T00:00:00"/>
        <d v="2006-05-09T00:00:00"/>
        <d v="2006-05-05T00:00:00"/>
        <d v="2006-04-13T00:00:00"/>
        <d v="2006-03-29T00:00:00"/>
        <d v="2006-03-25T00:00:00"/>
        <d v="2005-11-03T00:00:00"/>
        <d v="2005-10-27T00:00:00"/>
        <d v="2005-04-28T00:00:00"/>
        <d v="2005-04-20T00:00:00"/>
        <d v="2005-04-09T00:00:00"/>
        <d v="2004-11-30T00:00:00"/>
        <d v="2004-11-20T00:00:00"/>
        <d v="2004-10-16T00:00:00"/>
        <d v="2004-09-02T00:00:00"/>
        <d v="2004-06-03T00:00:00"/>
        <d v="2004-03-18T00:00:00"/>
        <d v="2003-11-13T00:00:00"/>
        <d v="2003-11-06T00:00:00"/>
        <d v="2003-06-28T00:00:00"/>
        <d v="2003-05-08T00:00:00"/>
        <d v="2003-04-12T00:00:00"/>
        <d v="2001-11-30T00:00:00"/>
        <d v="2001-09-27T00:00:00"/>
        <d v="2001-05-08T00:00:00"/>
        <d v="2001-05-03T00:00:00"/>
        <d v="2001-03-29T00:00:00"/>
        <d v="2000-11-16T00:00:00"/>
        <d v="2000-10-27T00:00:00"/>
        <d v="2000-09-28T00:00:00"/>
        <d v="2000-09-14T00:00:00"/>
        <d v="2000-07-12T00:00:00"/>
        <d v="2000-05-11T00:00:00"/>
        <d v="2000-05-10T00:00:00"/>
        <d v="2000-05-04T00:00:00"/>
        <d v="2000-04-28T00:00:00"/>
        <d v="2000-04-27T00:00:00"/>
        <d v="2000-04-25T00:00:00"/>
        <d v="2000-04-18T00:00:00"/>
        <d v="2000-04-11T00:00:00"/>
        <d v="2000-04-06T00:00:00"/>
        <d v="2000-03-30T00:00:00"/>
        <d v="2000-03-16T00:00:00"/>
        <d v="2000-03-09T00:00:00"/>
        <d v="1999-12-15T00:00:00"/>
        <d v="1999-12-07T00:00:00"/>
        <d v="1999-12-03T00:00:00"/>
        <d v="1999-11-30T00:00:00"/>
        <d v="1999-11-26T00:00:00"/>
        <d v="1999-11-25T00:00:00"/>
        <d v="1999-11-22T00:00:00"/>
        <d v="1999-11-10T00:00:00"/>
        <d v="1999-11-05T00:00:00"/>
        <d v="1999-11-04T00:00:00"/>
        <d v="1999-10-14T00:00:00"/>
        <d v="1999-09-30T00:00:00"/>
        <d v="1999-05-05T00:00:00"/>
        <d v="1999-04-29T00:00:00"/>
        <d v="1999-03-31T00:00:00"/>
        <d v="1999-02-19T00:00:00"/>
        <d v="1998-11-12T00:00:00"/>
        <d v="1998-10-20T00:00:00"/>
        <d v="1998-09-24T00:00:00"/>
        <d v="1998-05-05T00:00:00"/>
        <d v="1998-04-29T00:00:00"/>
        <d v="1998-03-19T00:00:00"/>
        <d v="1997-05-06T00:00:00"/>
        <d v="1997-04-29T00:00:00"/>
        <d v="1997-04-01T00:00:00"/>
        <d v="1996-11-19T00:00:00"/>
        <d v="1996-09-25T00:00:00"/>
        <d v="1996-04-17T00:00:00"/>
        <d v="1995-09-29T00:00:00"/>
        <d v="1994-11-17T00:00:00"/>
        <d v="1993-05-04T00:00:00"/>
        <d v="1991-10-23T00:00:00"/>
        <d v="1987-06-12T00:00:00"/>
        <d v="1987-02-17T00:00:00"/>
        <d v="1985-09-07T00:00:00"/>
        <d v="1983-04-13T00:00:00"/>
        <d v="1980-09-01T00:00:00"/>
        <d v="1977-11-01T00:00:00"/>
        <d v="1976-04-10T00:00:00"/>
        <d v="1970-12-04T00:00:00"/>
        <d v="1967-06-01T00:00:00"/>
      </sharedItems>
      <fieldGroup par="16"/>
    </cacheField>
    <cacheField name="Closing date" numFmtId="0">
      <sharedItems containsNonDate="0" containsDate="1" containsString="0" containsBlank="1" minDate="2015-01-01T00:00:00" maxDate="2026-07-13T00:00:00"/>
    </cacheField>
    <cacheField name="Country" numFmtId="0">
      <sharedItems/>
    </cacheField>
    <cacheField name="Region" numFmtId="0">
      <sharedItems/>
    </cacheField>
    <cacheField name="UF" numFmtId="0">
      <sharedItems/>
    </cacheField>
    <cacheField name="State" numFmtId="0">
      <sharedItems/>
    </cacheField>
    <cacheField name="City" numFmtId="0">
      <sharedItems/>
    </cacheField>
    <cacheField name="Location" numFmtId="0">
      <sharedItems/>
    </cacheField>
    <cacheField name="Shopping Mall / Street" numFmtId="0">
      <sharedItems count="2">
        <s v="Street"/>
        <s v="Shopping Mall"/>
      </sharedItems>
    </cacheField>
    <cacheField name="Total Area (m2)" numFmtId="181">
      <sharedItems containsSemiMixedTypes="0" containsString="0" containsNumber="1" minValue="0" maxValue="10815.45"/>
    </cacheField>
    <cacheField name="Meses (Opening date)" numFmtId="0" databaseField="0">
      <fieldGroup base="4">
        <rangePr groupBy="months" startDate="1967-06-01T00:00:00" endDate="2026-07-24T00:00:00"/>
        <groupItems count="14">
          <s v="&lt;01/06/1967"/>
          <s v="jan"/>
          <s v="fev"/>
          <s v="mar"/>
          <s v="abr"/>
          <s v="mai"/>
          <s v="jun"/>
          <s v="jul"/>
          <s v="ago"/>
          <s v="set"/>
          <s v="out"/>
          <s v="nov"/>
          <s v="dez"/>
          <s v="&gt;24/07/2026"/>
        </groupItems>
      </fieldGroup>
    </cacheField>
    <cacheField name="Trimestres (Opening date)" numFmtId="0" databaseField="0">
      <fieldGroup base="4">
        <rangePr groupBy="quarters" startDate="1967-06-01T00:00:00" endDate="2026-07-24T00:00:00"/>
        <groupItems count="6">
          <s v="&lt;01/06/1967"/>
          <s v="Trim1"/>
          <s v="Trim2"/>
          <s v="Trim3"/>
          <s v="Trim4"/>
          <s v="&gt;24/07/2026"/>
        </groupItems>
      </fieldGroup>
    </cacheField>
    <cacheField name="Anos (Opening date)" numFmtId="0" databaseField="0">
      <fieldGroup base="4">
        <rangePr groupBy="years" startDate="1967-06-01T00:00:00" endDate="2026-07-24T00:00:00"/>
        <groupItems count="62">
          <s v="&lt;01/06/1967"/>
          <s v="1967"/>
          <s v="1968"/>
          <s v="1969"/>
          <s v="1970"/>
          <s v="1971"/>
          <s v="1972"/>
          <s v="1973"/>
          <s v="1974"/>
          <s v="1975"/>
          <s v="1976"/>
          <s v="1977"/>
          <s v="1978"/>
          <s v="1979"/>
          <s v="1980"/>
          <s v="1981"/>
          <s v="1982"/>
          <s v="1983"/>
          <s v="1984"/>
          <s v="1985"/>
          <s v="1986"/>
          <s v="1987"/>
          <s v="1988"/>
          <s v="1989"/>
          <s v="1990"/>
          <s v="1991"/>
          <s v="1992"/>
          <s v="1993"/>
          <s v="1994"/>
          <s v="1995"/>
          <s v="1996"/>
          <s v="1997"/>
          <s v="1998"/>
          <s v="1999"/>
          <s v="2000"/>
          <s v="2001"/>
          <s v="2002"/>
          <s v="2003"/>
          <s v="2004"/>
          <s v="2005"/>
          <s v="2006"/>
          <s v="2007"/>
          <s v="2008"/>
          <s v="2009"/>
          <s v="2010"/>
          <s v="2011"/>
          <s v="2012"/>
          <s v="2013"/>
          <s v="2014"/>
          <s v="2015"/>
          <s v="2016"/>
          <s v="2017"/>
          <s v="2018"/>
          <s v="2019"/>
          <s v="2020"/>
          <s v="2021"/>
          <s v="2022"/>
          <s v="2023"/>
          <s v="2024"/>
          <s v="2025"/>
          <s v="2026"/>
          <s v="&gt;24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18">
  <r>
    <n v="1"/>
    <s v="RNR-606"/>
    <x v="0"/>
    <s v="Open"/>
    <x v="0"/>
    <m/>
    <s v="Brazil"/>
    <s v="Midwest"/>
    <s v="MT"/>
    <s v="Mato Grosso"/>
    <s v="Barra do Garças"/>
    <s v="Loja Barra do Garças"/>
    <x v="0"/>
    <n v="1600"/>
  </r>
  <r>
    <n v="1"/>
    <s v="RNR-621"/>
    <x v="0"/>
    <s v="Open"/>
    <x v="1"/>
    <m/>
    <s v="Brazil"/>
    <s v="Northest"/>
    <s v="SE"/>
    <s v="Sergipe"/>
    <s v="Nossa Senhora do Socorro"/>
    <s v="Shopping Prêmio"/>
    <x v="1"/>
    <n v="1048"/>
  </r>
  <r>
    <n v="1"/>
    <s v="CMC-155"/>
    <x v="1"/>
    <s v="Open"/>
    <x v="2"/>
    <m/>
    <s v="Brazil"/>
    <s v="Southest"/>
    <s v="SP"/>
    <s v="São Paulo"/>
    <s v="Ribeirão Preto"/>
    <s v="Shopping Iguatemi Ribeirão Preto"/>
    <x v="1"/>
    <n v="384"/>
  </r>
  <r>
    <n v="1"/>
    <s v="YCM-188"/>
    <x v="2"/>
    <s v="Open"/>
    <x v="3"/>
    <m/>
    <s v="Brazil"/>
    <s v="Southest"/>
    <s v="ES"/>
    <s v="Espírito Santo"/>
    <s v="Serra"/>
    <s v="Shopping Mestre Alvaro"/>
    <x v="1"/>
    <n v="240"/>
  </r>
  <r>
    <n v="1"/>
    <s v="YCM-187"/>
    <x v="2"/>
    <s v="Open"/>
    <x v="4"/>
    <m/>
    <s v="Brazil"/>
    <s v="Southest"/>
    <s v="RJ"/>
    <s v="Rio de Janeiro"/>
    <s v="Nova Iguaçu"/>
    <s v="Shopping Nova Iguaçu"/>
    <x v="1"/>
    <n v="203"/>
  </r>
  <r>
    <n v="1"/>
    <s v="YCM-190"/>
    <x v="2"/>
    <s v="Open"/>
    <x v="5"/>
    <m/>
    <s v="Brazil"/>
    <s v="Southest"/>
    <s v="SP"/>
    <s v="São Paulo"/>
    <s v="Caraguatatuba"/>
    <s v="Shopping Serramar"/>
    <x v="1"/>
    <n v="184"/>
  </r>
  <r>
    <n v="1"/>
    <s v="YCM-189"/>
    <x v="2"/>
    <s v="Open"/>
    <x v="5"/>
    <m/>
    <s v="Brazil"/>
    <s v="Southest"/>
    <s v="SP"/>
    <s v="São Paulo"/>
    <s v="São Paulo"/>
    <s v="Shopping Morumbi"/>
    <x v="1"/>
    <n v="255"/>
  </r>
  <r>
    <n v="1"/>
    <s v="YCM-184"/>
    <x v="2"/>
    <s v="Open"/>
    <x v="6"/>
    <m/>
    <s v="Brazil"/>
    <s v="Northest"/>
    <s v="BA"/>
    <s v="Bahia"/>
    <s v="Feira de Santana"/>
    <s v="Shopping Boulevard Feira de Santana"/>
    <x v="1"/>
    <n v="227"/>
  </r>
  <r>
    <n v="1"/>
    <s v="YCM-185"/>
    <x v="2"/>
    <s v="Open"/>
    <x v="7"/>
    <m/>
    <s v="Brazil"/>
    <s v="Southest"/>
    <s v="RJ"/>
    <s v="Rio de Janeiro"/>
    <s v="Rio de Janeiro"/>
    <s v="Shopping Park Jacarepagua"/>
    <x v="1"/>
    <n v="201"/>
  </r>
  <r>
    <n v="1"/>
    <s v="YCM-183"/>
    <x v="2"/>
    <s v="Open"/>
    <x v="8"/>
    <m/>
    <s v="Brazil"/>
    <s v="Southest"/>
    <s v="MG"/>
    <s v="Minas Gerais"/>
    <s v="Contagem"/>
    <s v="Outlet Só Marcas "/>
    <x v="1"/>
    <n v="316"/>
  </r>
  <r>
    <n v="1"/>
    <s v="RNR-616"/>
    <x v="0"/>
    <s v="Open"/>
    <x v="9"/>
    <m/>
    <s v="Brazil"/>
    <s v="Southest"/>
    <s v="SP"/>
    <s v="São Paulo"/>
    <s v="Paulínia"/>
    <s v="Shopping Paulínia"/>
    <x v="1"/>
    <n v="1182"/>
  </r>
  <r>
    <n v="1"/>
    <s v="YCM-186"/>
    <x v="2"/>
    <s v="Open"/>
    <x v="10"/>
    <m/>
    <s v="Brazil"/>
    <s v="Southest"/>
    <s v="SP"/>
    <s v="São Paulo"/>
    <s v="São Paulo"/>
    <s v="Shopping Top Center"/>
    <x v="1"/>
    <n v="186"/>
  </r>
  <r>
    <n v="1"/>
    <s v="YCM-180"/>
    <x v="2"/>
    <s v="Open"/>
    <x v="11"/>
    <m/>
    <s v="Brazil"/>
    <s v="Southest"/>
    <s v="MG"/>
    <s v="Minas Gerais"/>
    <s v="Belo Horizonte"/>
    <s v="Shopping Estação BH"/>
    <x v="1"/>
    <n v="212"/>
  </r>
  <r>
    <n v="1"/>
    <s v="CMC-152"/>
    <x v="1"/>
    <s v="Open"/>
    <x v="12"/>
    <m/>
    <s v="Brazil"/>
    <s v="Midwest"/>
    <s v="DF"/>
    <s v="Distrito Federal"/>
    <s v="Brasilia"/>
    <s v="Shopping Terraço"/>
    <x v="1"/>
    <n v="458"/>
  </r>
  <r>
    <n v="1"/>
    <s v="CMC-154"/>
    <x v="1"/>
    <s v="Open"/>
    <x v="13"/>
    <m/>
    <s v="Brazil"/>
    <s v="Southest"/>
    <s v="SP"/>
    <s v="São Paulo"/>
    <s v="São Paulo"/>
    <s v="Shopping Continental"/>
    <x v="1"/>
    <n v="392"/>
  </r>
  <r>
    <n v="1"/>
    <s v="CMC-153"/>
    <x v="1"/>
    <s v="Open"/>
    <x v="14"/>
    <m/>
    <s v="Brazil"/>
    <s v="Southest"/>
    <s v="MG"/>
    <s v="Minas Gerais"/>
    <s v="Uberlandia"/>
    <s v="Shopping Uberlandia"/>
    <x v="1"/>
    <n v="397"/>
  </r>
  <r>
    <n v="1"/>
    <s v="RNR-613"/>
    <x v="0"/>
    <s v="Open"/>
    <x v="15"/>
    <m/>
    <s v="Brazil"/>
    <s v="Northest"/>
    <s v="SE"/>
    <s v="Sergipe"/>
    <s v="Aracaju"/>
    <s v="Shopping Praia Sul"/>
    <x v="1"/>
    <n v="1153"/>
  </r>
  <r>
    <n v="1"/>
    <s v="RNR-618"/>
    <x v="0"/>
    <s v="Open"/>
    <x v="16"/>
    <m/>
    <s v="Brazil"/>
    <s v="Southest"/>
    <s v="SP"/>
    <s v="São Paulo"/>
    <s v="Fernandópolis"/>
    <s v="Fernandópolis"/>
    <x v="1"/>
    <n v="1001"/>
  </r>
  <r>
    <n v="1"/>
    <s v="YCM-181"/>
    <x v="2"/>
    <s v="Open"/>
    <x v="17"/>
    <m/>
    <s v="Brazil"/>
    <s v="Northest"/>
    <s v="BA"/>
    <s v="Bahia"/>
    <s v="Camaçari"/>
    <s v="Shopping Outlet Premium Salvador"/>
    <x v="1"/>
    <n v="330"/>
  </r>
  <r>
    <n v="1"/>
    <s v="RNR-612"/>
    <x v="0"/>
    <s v="Open"/>
    <x v="18"/>
    <m/>
    <s v="Brazil"/>
    <s v="Southest"/>
    <s v="MG"/>
    <s v="Minas Gerais"/>
    <s v="Teófilo Otoni"/>
    <s v="Shopping Teófilo Otoni"/>
    <x v="1"/>
    <n v="1196"/>
  </r>
  <r>
    <n v="1"/>
    <s v="RNR-579"/>
    <x v="0"/>
    <s v="Open"/>
    <x v="19"/>
    <m/>
    <s v="Brazil"/>
    <s v="Southest"/>
    <s v="SP"/>
    <s v="São Paulo"/>
    <s v="Boituva"/>
    <s v="Shopping Boituva"/>
    <x v="1"/>
    <n v="1135"/>
  </r>
  <r>
    <n v="1"/>
    <s v="RNR-611"/>
    <x v="0"/>
    <s v="Open"/>
    <x v="20"/>
    <m/>
    <s v="Brazil"/>
    <s v="Midwest"/>
    <s v="MT"/>
    <s v="Mato Grosso"/>
    <s v="Lucas do Rio Verde"/>
    <s v="Shopping Lucas do Rio Verde"/>
    <x v="1"/>
    <n v="1406"/>
  </r>
  <r>
    <n v="1"/>
    <s v="RNR-617"/>
    <x v="0"/>
    <s v="Open"/>
    <x v="21"/>
    <m/>
    <s v="Brazil"/>
    <s v="Southest"/>
    <s v="MG"/>
    <s v="Minas Gerais"/>
    <s v="Pará de Minas"/>
    <s v="Shopping Fabrika Mall"/>
    <x v="1"/>
    <n v="1460"/>
  </r>
  <r>
    <n v="1"/>
    <s v="RNR-600"/>
    <x v="0"/>
    <s v="Open"/>
    <x v="22"/>
    <m/>
    <s v="Brazil"/>
    <s v="South"/>
    <s v="PR"/>
    <s v="Paraná"/>
    <s v="Ponta Grossa"/>
    <s v="Shopping Campos Gerais"/>
    <x v="1"/>
    <n v="1400"/>
  </r>
  <r>
    <n v="1"/>
    <s v="RNR-615"/>
    <x v="0"/>
    <s v="Open"/>
    <x v="23"/>
    <m/>
    <s v="Brazil"/>
    <s v="Northest"/>
    <s v="SE"/>
    <s v="Sergipe"/>
    <s v="Itabaiana"/>
    <s v="Shopping Peixoto"/>
    <x v="1"/>
    <n v="1337"/>
  </r>
  <r>
    <n v="1"/>
    <s v="YCM-178"/>
    <x v="2"/>
    <s v="Open"/>
    <x v="24"/>
    <m/>
    <s v="Brazil"/>
    <s v="South"/>
    <s v="SC"/>
    <s v="Santa Catarina"/>
    <s v="Tijucas"/>
    <s v="Shopping IFashion Outlet SC"/>
    <x v="1"/>
    <n v="410.9"/>
  </r>
  <r>
    <n v="1"/>
    <s v="YCM-177"/>
    <x v="2"/>
    <s v="Open"/>
    <x v="25"/>
    <m/>
    <s v="Brazil"/>
    <s v="Southest"/>
    <s v="RJ"/>
    <s v="Rio de Janeiro"/>
    <s v="Rio de Janeiro"/>
    <s v="Shopping Park Campo Grande"/>
    <x v="1"/>
    <n v="230.5"/>
  </r>
  <r>
    <n v="1"/>
    <s v="YCM-176"/>
    <x v="2"/>
    <s v="Open"/>
    <x v="25"/>
    <m/>
    <s v="Brazil"/>
    <s v="Northest"/>
    <s v="RN"/>
    <s v="Rio Grande do Norte"/>
    <s v="Natal"/>
    <s v="Shopping Natal"/>
    <x v="1"/>
    <n v="293"/>
  </r>
  <r>
    <n v="1"/>
    <s v="RNR-597"/>
    <x v="0"/>
    <s v="Open"/>
    <x v="25"/>
    <m/>
    <s v="Brazil"/>
    <s v="Midwest"/>
    <s v="GO"/>
    <s v="Goiás"/>
    <s v="Aparecida de Goiânia"/>
    <s v="Shopping Aparecida"/>
    <x v="1"/>
    <n v="1348.5"/>
  </r>
  <r>
    <n v="1"/>
    <s v="RNR-572"/>
    <x v="0"/>
    <s v="Open"/>
    <x v="25"/>
    <m/>
    <s v="Brazil"/>
    <s v="Southest"/>
    <s v="MG"/>
    <s v="Minas Gerais"/>
    <s v="Lavras"/>
    <s v="Shopping Lavras"/>
    <x v="1"/>
    <n v="1450"/>
  </r>
  <r>
    <n v="1"/>
    <s v="CMC-151"/>
    <x v="1"/>
    <s v="Open"/>
    <x v="25"/>
    <m/>
    <s v="Brazil"/>
    <s v="South"/>
    <s v="PR"/>
    <s v="Paraná"/>
    <s v="Londrina"/>
    <s v="Shopping Aurora"/>
    <x v="1"/>
    <n v="498.9"/>
  </r>
  <r>
    <n v="1"/>
    <s v="YCM-179"/>
    <x v="2"/>
    <s v="Open"/>
    <x v="26"/>
    <m/>
    <s v="Brazil"/>
    <s v="South"/>
    <s v="PR"/>
    <s v="Paraná"/>
    <s v="Campo Largo"/>
    <s v="Shopping City Center Outlet"/>
    <x v="1"/>
    <n v="254.4"/>
  </r>
  <r>
    <n v="1"/>
    <s v="RNR-620"/>
    <x v="0"/>
    <s v="Open"/>
    <x v="27"/>
    <m/>
    <s v="Brazil"/>
    <s v="Southest"/>
    <s v="MG"/>
    <s v="Minas Gerais"/>
    <s v="Patos de Minas"/>
    <s v="Shopping Patio Central"/>
    <x v="1"/>
    <n v="1488"/>
  </r>
  <r>
    <n v="1"/>
    <s v="YCM-175"/>
    <x v="2"/>
    <s v="Open"/>
    <x v="28"/>
    <m/>
    <s v="Brazil"/>
    <s v="Southest"/>
    <s v="SP"/>
    <s v="São Paulo"/>
    <s v="Araraquara"/>
    <s v="Shopping Jaragua Araraquara"/>
    <x v="1"/>
    <n v="208"/>
  </r>
  <r>
    <n v="1"/>
    <s v="RNR-610"/>
    <x v="0"/>
    <s v="Open"/>
    <x v="29"/>
    <m/>
    <s v="Brazil"/>
    <s v="South"/>
    <s v="PR"/>
    <s v="Paraná"/>
    <s v="Apucarana"/>
    <s v="Shopping Centro Norte Apucarana"/>
    <x v="1"/>
    <n v="1276"/>
  </r>
  <r>
    <n v="1"/>
    <s v="YCM-171"/>
    <x v="2"/>
    <s v="Open"/>
    <x v="30"/>
    <m/>
    <s v="Brazil"/>
    <s v="Midwest"/>
    <s v="DF"/>
    <s v="Distrito Federal"/>
    <s v="Brasília"/>
    <s v="Shopping Manhattan"/>
    <x v="1"/>
    <n v="265.7"/>
  </r>
  <r>
    <n v="1"/>
    <s v="CMC-149"/>
    <x v="1"/>
    <s v="Open"/>
    <x v="30"/>
    <m/>
    <s v="Brazil"/>
    <s v="Midwest"/>
    <s v="DF"/>
    <s v="Distrito Federal"/>
    <s v="Brasília"/>
    <s v="Shopping Manhattan"/>
    <x v="1"/>
    <n v="340.25"/>
  </r>
  <r>
    <n v="1"/>
    <s v="RNR-585"/>
    <x v="0"/>
    <s v="Open"/>
    <x v="31"/>
    <m/>
    <s v="Brazil"/>
    <s v="Southest"/>
    <s v="SP"/>
    <s v="São Paulo"/>
    <s v="Americana"/>
    <s v="Shopping Americana"/>
    <x v="1"/>
    <n v="1805.3"/>
  </r>
  <r>
    <n v="1"/>
    <s v="YCM-155"/>
    <x v="2"/>
    <s v="Open"/>
    <x v="31"/>
    <m/>
    <s v="Brazil"/>
    <s v="Southest"/>
    <s v="SP"/>
    <s v="São Paulo"/>
    <s v="Americana"/>
    <s v="Shopping Americana"/>
    <x v="1"/>
    <n v="215"/>
  </r>
  <r>
    <n v="1"/>
    <s v="YCM-174"/>
    <x v="2"/>
    <s v="Open"/>
    <x v="32"/>
    <m/>
    <s v="Brazil"/>
    <s v="Midwest"/>
    <s v="DF"/>
    <s v="Distrito Federal"/>
    <s v="Brasília"/>
    <s v="Shopping Terraço"/>
    <x v="1"/>
    <n v="222"/>
  </r>
  <r>
    <n v="1"/>
    <s v="YCM-173"/>
    <x v="2"/>
    <s v="Open"/>
    <x v="33"/>
    <m/>
    <s v="Brazil"/>
    <s v="Southest"/>
    <s v="SP"/>
    <s v="São Paulo"/>
    <s v="Jundiai"/>
    <s v="Shopping Maxi Jundiai"/>
    <x v="1"/>
    <n v="406"/>
  </r>
  <r>
    <n v="1"/>
    <s v="YCM-172"/>
    <x v="2"/>
    <s v="Open"/>
    <x v="34"/>
    <m/>
    <s v="Brazil"/>
    <s v="Southest"/>
    <s v="RJ"/>
    <s v="Rio de Janeiro"/>
    <s v="Rio de Janeiro"/>
    <s v="Shopping Metropolitano Barra"/>
    <x v="1"/>
    <n v="301"/>
  </r>
  <r>
    <n v="1"/>
    <s v="YCM-169"/>
    <x v="2"/>
    <s v="Open"/>
    <x v="35"/>
    <m/>
    <s v="Brazil"/>
    <s v="Southest"/>
    <s v="SP"/>
    <s v="São Paulo"/>
    <s v="Osasco"/>
    <s v="Shopping Super Osasco"/>
    <x v="1"/>
    <n v="209"/>
  </r>
  <r>
    <n v="1"/>
    <s v="RNR-607"/>
    <x v="0"/>
    <s v="Open"/>
    <x v="36"/>
    <m/>
    <s v="Brazil"/>
    <s v="Southest"/>
    <s v="MG"/>
    <s v="Minas Gerais"/>
    <s v="Passos"/>
    <s v="Loja Passos"/>
    <x v="0"/>
    <n v="1785"/>
  </r>
  <r>
    <n v="1"/>
    <s v="YCM-168"/>
    <x v="2"/>
    <s v="Open"/>
    <x v="37"/>
    <m/>
    <s v="Brazil"/>
    <s v="Southest"/>
    <s v="SP"/>
    <s v="São Paulo"/>
    <s v="São Paulo"/>
    <s v="Shopping Leste Aricanduva"/>
    <x v="1"/>
    <n v="255"/>
  </r>
  <r>
    <n v="1"/>
    <s v="CMC-150"/>
    <x v="1"/>
    <s v="Open"/>
    <x v="37"/>
    <m/>
    <s v="Brazil"/>
    <s v="Southest"/>
    <s v="SP"/>
    <s v="São Paulo"/>
    <s v="Campinas"/>
    <s v="Shopping Galleria"/>
    <x v="1"/>
    <n v="801"/>
  </r>
  <r>
    <n v="1"/>
    <s v="YCM-166"/>
    <x v="2"/>
    <s v="Open"/>
    <x v="38"/>
    <m/>
    <s v="Brazil"/>
    <s v="South"/>
    <s v="SC"/>
    <s v="Santa Catarina"/>
    <s v="Balneário Camboriú"/>
    <s v="Loja Balneário Camboriú"/>
    <x v="0"/>
    <n v="342.02"/>
  </r>
  <r>
    <n v="1"/>
    <s v="YCM-170"/>
    <x v="2"/>
    <s v="Open"/>
    <x v="39"/>
    <m/>
    <s v="Brazil"/>
    <s v="Southest"/>
    <s v="SP"/>
    <s v="São Paulo"/>
    <s v="Araçatuba"/>
    <s v="Shopping Praça Nova Araçatuba"/>
    <x v="1"/>
    <n v="260"/>
  </r>
  <r>
    <n v="1"/>
    <s v="YCM-143"/>
    <x v="2"/>
    <s v="Open"/>
    <x v="40"/>
    <m/>
    <s v="Brazil"/>
    <s v="South"/>
    <s v="PR"/>
    <s v="Paraná"/>
    <s v="Cascavel"/>
    <s v="Shopping Catuai Cascavel"/>
    <x v="1"/>
    <n v="223"/>
  </r>
  <r>
    <n v="1"/>
    <s v="YCM-154"/>
    <x v="2"/>
    <s v="Open"/>
    <x v="41"/>
    <m/>
    <s v="Brazil"/>
    <s v="Southest"/>
    <s v="RJ"/>
    <s v="Rio de Janeiro"/>
    <s v="Volta Redonda"/>
    <s v="Shopping Sider"/>
    <x v="1"/>
    <n v="240"/>
  </r>
  <r>
    <n v="1"/>
    <s v="YCM-167"/>
    <x v="2"/>
    <s v="Open"/>
    <x v="42"/>
    <m/>
    <s v="Brazil"/>
    <s v="Southest"/>
    <s v="SP"/>
    <s v="São Paulo"/>
    <s v="Franca"/>
    <s v="Shopping Franca"/>
    <x v="1"/>
    <n v="211"/>
  </r>
  <r>
    <n v="1"/>
    <s v="RNR-603"/>
    <x v="0"/>
    <s v="Open"/>
    <x v="43"/>
    <m/>
    <s v="Brazil"/>
    <s v="Midwest"/>
    <s v="GO"/>
    <s v="Goiás"/>
    <s v="Caldas Novas"/>
    <s v="Shopping Singapura City"/>
    <x v="1"/>
    <n v="1439"/>
  </r>
  <r>
    <n v="1"/>
    <s v="RNR-560"/>
    <x v="0"/>
    <s v="Open"/>
    <x v="44"/>
    <m/>
    <s v="Brazil"/>
    <s v="North"/>
    <s v="RO"/>
    <s v="Rondônia"/>
    <s v="Vilhena"/>
    <s v="Shopping Jardins de Vilhena"/>
    <x v="1"/>
    <n v="1770"/>
  </r>
  <r>
    <n v="1"/>
    <s v="RNR-550"/>
    <x v="0"/>
    <s v="Open"/>
    <x v="45"/>
    <m/>
    <s v="Brazil"/>
    <s v="South"/>
    <s v="PR"/>
    <s v="Paraná"/>
    <s v="Toledo"/>
    <s v="Loja Toledo"/>
    <x v="0"/>
    <n v="1759"/>
  </r>
  <r>
    <n v="1"/>
    <s v="YCM-163"/>
    <x v="2"/>
    <s v="Open"/>
    <x v="46"/>
    <m/>
    <s v="Brazil"/>
    <s v="South"/>
    <s v="PR"/>
    <s v="Paraná"/>
    <s v="Foz do Iguaçu"/>
    <s v="Shopping Cataratas JL"/>
    <x v="1"/>
    <n v="200"/>
  </r>
  <r>
    <n v="1"/>
    <s v="YCM-164"/>
    <x v="2"/>
    <s v="Open"/>
    <x v="47"/>
    <m/>
    <s v="Brazil"/>
    <s v="Southest"/>
    <s v="SP"/>
    <s v="São Paulo"/>
    <s v="São Paulo"/>
    <s v="Shopping Patio Paulista"/>
    <x v="1"/>
    <n v="196"/>
  </r>
  <r>
    <n v="1"/>
    <s v="YCM-165"/>
    <x v="2"/>
    <s v="Open"/>
    <x v="48"/>
    <m/>
    <s v="Brazil"/>
    <s v="Southest"/>
    <s v="RJ"/>
    <s v="Rio de Janeiro"/>
    <s v="Rio de Janeiro"/>
    <s v="Shopping Américas"/>
    <x v="1"/>
    <n v="192"/>
  </r>
  <r>
    <n v="1"/>
    <s v="YCM-152"/>
    <x v="2"/>
    <s v="Open"/>
    <x v="49"/>
    <m/>
    <s v="Brazil"/>
    <s v="Northest"/>
    <s v="BA"/>
    <s v="Bahia"/>
    <s v="Salvador"/>
    <s v="Shopping da Bahia"/>
    <x v="1"/>
    <n v="250"/>
  </r>
  <r>
    <n v="1"/>
    <s v="RNR-578"/>
    <x v="0"/>
    <s v="Open"/>
    <x v="50"/>
    <m/>
    <s v="Brazil"/>
    <s v="Southest"/>
    <s v="MG"/>
    <s v="Minas Gerais"/>
    <s v="Conselheiro Lafaiete"/>
    <s v="Loja Conselheiro Lafaiete"/>
    <x v="0"/>
    <n v="1509"/>
  </r>
  <r>
    <n v="1"/>
    <s v="RNR-580"/>
    <x v="0"/>
    <s v="Open"/>
    <x v="51"/>
    <m/>
    <s v="Brazil"/>
    <s v="South"/>
    <s v="PR"/>
    <s v="Paraná"/>
    <s v="Cascavel"/>
    <s v="Shopping Catuai Cascavel"/>
    <x v="1"/>
    <n v="1820"/>
  </r>
  <r>
    <n v="1"/>
    <s v="YCM-162"/>
    <x v="2"/>
    <s v="Open"/>
    <x v="52"/>
    <m/>
    <s v="Brazil"/>
    <s v="North"/>
    <s v="AM"/>
    <s v="Amazonas"/>
    <s v="Manaus"/>
    <s v="Shopping Amazonas"/>
    <x v="1"/>
    <n v="235.92"/>
  </r>
  <r>
    <n v="1"/>
    <s v="RNR-558"/>
    <x v="0"/>
    <s v="Open"/>
    <x v="53"/>
    <m/>
    <s v="Brazil"/>
    <s v="North"/>
    <s v="TO"/>
    <s v="Tocantins"/>
    <s v="Araguaína"/>
    <s v="Shopping Lago Center Araguaína"/>
    <x v="1"/>
    <n v="1402.57"/>
  </r>
  <r>
    <n v="1"/>
    <s v="RNR-588"/>
    <x v="0"/>
    <s v="Open"/>
    <x v="54"/>
    <m/>
    <s v="Brazil"/>
    <s v="South"/>
    <s v="PR"/>
    <s v="Paraná"/>
    <s v="Colombo"/>
    <s v="Shopping Colombo Park"/>
    <x v="1"/>
    <n v="1367.07"/>
  </r>
  <r>
    <n v="1"/>
    <s v="YCM-150"/>
    <x v="2"/>
    <s v="Open"/>
    <x v="55"/>
    <m/>
    <s v="Brazil"/>
    <s v="North"/>
    <s v="TO"/>
    <s v="Tocantins"/>
    <s v="Palmas"/>
    <s v="Shopping Capim Dourado"/>
    <x v="1"/>
    <n v="235.13"/>
  </r>
  <r>
    <n v="1"/>
    <s v="RNR-570"/>
    <x v="0"/>
    <s v="Open"/>
    <x v="56"/>
    <m/>
    <s v="Brazil"/>
    <s v="Midwest"/>
    <s v="MT"/>
    <s v="Mato Grosso"/>
    <s v="Cuiabá"/>
    <s v="Shopping Três Américas"/>
    <x v="1"/>
    <n v="1660.59"/>
  </r>
  <r>
    <n v="1"/>
    <s v="RNR-556"/>
    <x v="0"/>
    <s v="Open"/>
    <x v="57"/>
    <m/>
    <s v="Brazil"/>
    <s v="Southest"/>
    <s v="RJ"/>
    <s v="Rio de Janeiro"/>
    <s v="Cabo Frio"/>
    <s v="Shopping Park Lagos"/>
    <x v="1"/>
    <n v="2136.16"/>
  </r>
  <r>
    <n v="1"/>
    <s v="RNR-591"/>
    <x v="0"/>
    <s v="Open"/>
    <x v="58"/>
    <m/>
    <s v="Brazil"/>
    <s v="South"/>
    <s v="RS"/>
    <s v="Rio Grande do Sul"/>
    <s v="Santana do Livramento"/>
    <s v="Loja Santana do Livramento"/>
    <x v="0"/>
    <n v="1513.21"/>
  </r>
  <r>
    <n v="1"/>
    <s v="RNR-587"/>
    <x v="0"/>
    <s v="Open"/>
    <x v="59"/>
    <m/>
    <s v="Brazil"/>
    <s v="Southest"/>
    <s v="SP"/>
    <s v="São Paulo"/>
    <s v="Campos do Jordão"/>
    <s v="Loja Campos do Jordão"/>
    <x v="0"/>
    <n v="1927.28"/>
  </r>
  <r>
    <n v="1"/>
    <s v="YCM-161"/>
    <x v="2"/>
    <s v="Open"/>
    <x v="60"/>
    <m/>
    <s v="Brazil"/>
    <s v="Northest"/>
    <s v="PI"/>
    <s v="Piauí"/>
    <s v="Teresina"/>
    <s v="Shopping Teresina"/>
    <x v="1"/>
    <n v="279.64999999999998"/>
  </r>
  <r>
    <n v="1"/>
    <s v="RNR-593"/>
    <x v="0"/>
    <s v="Open"/>
    <x v="61"/>
    <m/>
    <s v="Brazil"/>
    <s v="Midwest"/>
    <s v="GO"/>
    <s v="Goiás"/>
    <s v="Luziânia"/>
    <s v="Shopping Luziânia"/>
    <x v="1"/>
    <n v="1510.25"/>
  </r>
  <r>
    <n v="1"/>
    <s v="ASH-724"/>
    <x v="3"/>
    <s v="Open"/>
    <x v="62"/>
    <m/>
    <s v="Brazil"/>
    <s v="South"/>
    <s v="SC"/>
    <s v="Santa Catarina"/>
    <s v="Florianópolis"/>
    <s v="Shopping Villa Romana"/>
    <x v="1"/>
    <n v="166.54"/>
  </r>
  <r>
    <n v="1"/>
    <s v="YCM-158"/>
    <x v="2"/>
    <s v="Open"/>
    <x v="63"/>
    <m/>
    <s v="Brazil"/>
    <s v="South"/>
    <s v="PR"/>
    <s v="Paraná"/>
    <s v="Cascavel"/>
    <s v="Shopping JL Cascavel"/>
    <x v="1"/>
    <n v="289.69"/>
  </r>
  <r>
    <n v="1"/>
    <s v="YCM-160"/>
    <x v="2"/>
    <s v="Open"/>
    <x v="64"/>
    <m/>
    <s v="Brazil"/>
    <s v="South"/>
    <s v="PR"/>
    <s v="Paraná"/>
    <s v="Curitiba"/>
    <s v="Shopping Barigui"/>
    <x v="1"/>
    <n v="558.98"/>
  </r>
  <r>
    <n v="1"/>
    <s v="YCM-156"/>
    <x v="2"/>
    <s v="Open"/>
    <x v="65"/>
    <m/>
    <s v="Brazil"/>
    <s v="Southest"/>
    <s v="MG"/>
    <s v="Minas Gerais"/>
    <s v="Uberaba"/>
    <s v="Shopping Uberaba"/>
    <x v="1"/>
    <n v="241.6"/>
  </r>
  <r>
    <n v="1"/>
    <s v="RNR-569"/>
    <x v="0"/>
    <s v="Open"/>
    <x v="66"/>
    <m/>
    <s v="Brazil"/>
    <s v="South"/>
    <s v="SC"/>
    <s v="Santa Catarina"/>
    <s v="Araranguá"/>
    <s v="Shopping Araranguá"/>
    <x v="1"/>
    <n v="2178"/>
  </r>
  <r>
    <n v="1"/>
    <s v="RNR-566"/>
    <x v="0"/>
    <s v="Open"/>
    <x v="66"/>
    <m/>
    <s v="Brazil"/>
    <s v="Southest"/>
    <s v="RJ"/>
    <s v="Rio de Janeiro"/>
    <s v="Rio das Ostras"/>
    <s v="Shopping Plaza Rio das Ostras"/>
    <x v="1"/>
    <n v="1706.29"/>
  </r>
  <r>
    <n v="1"/>
    <s v="YCM-157"/>
    <x v="2"/>
    <s v="Open"/>
    <x v="67"/>
    <m/>
    <s v="Brazil"/>
    <s v="Southest"/>
    <s v="SP"/>
    <s v="São Paulo"/>
    <s v="Santa Barbara d'Oeste"/>
    <s v="Shopping Tivoli"/>
    <x v="1"/>
    <n v="266.58"/>
  </r>
  <r>
    <n v="1"/>
    <s v="RNR-11013"/>
    <x v="0"/>
    <s v="Open"/>
    <x v="68"/>
    <m/>
    <s v="Uruguay"/>
    <s v="Uruguay"/>
    <s v="UY"/>
    <s v="Uruguay"/>
    <s v="Maldonado"/>
    <s v="Shopping Atlantico Punta"/>
    <x v="1"/>
    <n v="1660.7399999999998"/>
  </r>
  <r>
    <n v="1"/>
    <s v="RNR-583"/>
    <x v="0"/>
    <s v="Open"/>
    <x v="69"/>
    <m/>
    <s v="Brazil"/>
    <s v="Southest"/>
    <s v="ES"/>
    <s v="Espírito Santo"/>
    <s v="Aracruz"/>
    <s v="Shopping Orundi"/>
    <x v="1"/>
    <n v="1632"/>
  </r>
  <r>
    <n v="1"/>
    <s v="YCM-151"/>
    <x v="2"/>
    <s v="Open"/>
    <x v="69"/>
    <m/>
    <s v="Brazil"/>
    <s v="Northest"/>
    <s v="BA"/>
    <s v="Bahia"/>
    <s v="Salvador"/>
    <s v="Shopping Barra Salvador"/>
    <x v="1"/>
    <n v="250.88000000000002"/>
  </r>
  <r>
    <n v="1"/>
    <s v="YCM-149"/>
    <x v="2"/>
    <s v="Open"/>
    <x v="69"/>
    <m/>
    <s v="Brazil"/>
    <s v="Northest"/>
    <s v="BA"/>
    <s v="Bahia"/>
    <s v="Lauro de Freitas"/>
    <s v="Parque Shopping da Bahia"/>
    <x v="1"/>
    <n v="260.64"/>
  </r>
  <r>
    <n v="1"/>
    <s v="YCM-148"/>
    <x v="2"/>
    <s v="Open"/>
    <x v="70"/>
    <m/>
    <s v="Brazil"/>
    <s v="Southest"/>
    <s v="SP"/>
    <s v="São Paulo"/>
    <s v="São Paulo"/>
    <s v="Shopping Cidade São Paulo"/>
    <x v="1"/>
    <n v="278.07"/>
  </r>
  <r>
    <n v="1"/>
    <s v="RNR-552"/>
    <x v="0"/>
    <s v="Open"/>
    <x v="71"/>
    <m/>
    <s v="Brazil"/>
    <s v="Southest"/>
    <s v="SP"/>
    <s v="São Paulo"/>
    <s v="São Paulo"/>
    <s v="Shopping Villa Lobos (troca de ponto)"/>
    <x v="1"/>
    <n v="1415.03"/>
  </r>
  <r>
    <n v="1"/>
    <s v="ASH-722"/>
    <x v="3"/>
    <s v="Open"/>
    <x v="72"/>
    <m/>
    <s v="Brazil"/>
    <s v="Southest"/>
    <s v="SP"/>
    <s v="São Paulo"/>
    <s v="Santos"/>
    <s v="Shopping Praiamar"/>
    <x v="1"/>
    <n v="199"/>
  </r>
  <r>
    <n v="1"/>
    <s v="YCM-142"/>
    <x v="2"/>
    <s v="Open"/>
    <x v="72"/>
    <m/>
    <s v="Brazil"/>
    <s v="Southest"/>
    <s v="SP"/>
    <s v="São Paulo"/>
    <s v="Santos"/>
    <s v="Shopping Praiamar"/>
    <x v="1"/>
    <n v="329.37"/>
  </r>
  <r>
    <n v="1"/>
    <s v="YCM-153"/>
    <x v="2"/>
    <s v="Open"/>
    <x v="73"/>
    <m/>
    <s v="Brazil"/>
    <s v="South"/>
    <s v="RS"/>
    <s v="Rio Grande do Sul"/>
    <s v="Porto Alegre"/>
    <s v="Shopping Praia de Belas"/>
    <x v="1"/>
    <n v="270.88"/>
  </r>
  <r>
    <n v="1"/>
    <s v="RNR-557"/>
    <x v="0"/>
    <s v="Open"/>
    <x v="74"/>
    <m/>
    <s v="Brazil"/>
    <s v="Southest"/>
    <s v="SP"/>
    <s v="São Paulo"/>
    <s v="São Paulo"/>
    <s v="Shopping Campo Limpo"/>
    <x v="1"/>
    <n v="1926.01"/>
  </r>
  <r>
    <n v="1"/>
    <s v="RNR-542"/>
    <x v="0"/>
    <s v="Open"/>
    <x v="75"/>
    <m/>
    <s v="Brazil"/>
    <s v="South"/>
    <s v="RS"/>
    <s v="Rio Grande do Sul"/>
    <s v="Montenegro"/>
    <s v="Loja Montenegro"/>
    <x v="0"/>
    <n v="1735.67"/>
  </r>
  <r>
    <n v="1"/>
    <s v="YCM-147"/>
    <x v="2"/>
    <s v="Open"/>
    <x v="75"/>
    <m/>
    <s v="Brazil"/>
    <s v="Midwest"/>
    <s v="DF"/>
    <s v="Distrito Federal"/>
    <s v="Brasília"/>
    <s v="Shopping JK DF"/>
    <x v="1"/>
    <n v="330.33"/>
  </r>
  <r>
    <n v="1"/>
    <s v="RNR-575"/>
    <x v="0"/>
    <s v="Open"/>
    <x v="76"/>
    <m/>
    <s v="Brazil"/>
    <s v="Southest"/>
    <s v="MG"/>
    <s v="Minas Gerais"/>
    <s v="Ituiutaba"/>
    <s v="Shopping Ituiutaba"/>
    <x v="1"/>
    <n v="1525.49"/>
  </r>
  <r>
    <n v="1"/>
    <s v="RNR-576"/>
    <x v="0"/>
    <s v="Open"/>
    <x v="77"/>
    <m/>
    <s v="Brazil"/>
    <s v="South"/>
    <s v="SC"/>
    <s v="Santa Catarina"/>
    <s v="Videira"/>
    <s v="Shopping Videira"/>
    <x v="1"/>
    <n v="1466.92"/>
  </r>
  <r>
    <n v="1"/>
    <s v="ASH-723"/>
    <x v="3"/>
    <s v="Open"/>
    <x v="78"/>
    <m/>
    <s v="Brazil"/>
    <s v="Southest"/>
    <s v="ES"/>
    <s v="Espírito Santo"/>
    <s v="Vitória"/>
    <s v="Shopping Vitória"/>
    <x v="1"/>
    <n v="158.07"/>
  </r>
  <r>
    <n v="1"/>
    <s v="YCM-145"/>
    <x v="2"/>
    <s v="Open"/>
    <x v="79"/>
    <m/>
    <s v="Brazil"/>
    <s v="Northest"/>
    <s v="PB"/>
    <s v="Paraíba"/>
    <s v="João Pessoa"/>
    <s v="Shopping Manaíra"/>
    <x v="1"/>
    <n v="256.18"/>
  </r>
  <r>
    <n v="1"/>
    <s v="YCM-144"/>
    <x v="2"/>
    <s v="Open"/>
    <x v="80"/>
    <m/>
    <s v="Brazil"/>
    <s v="Midwest"/>
    <s v="GO"/>
    <s v="Goiás"/>
    <s v="Goiânia"/>
    <s v="Shopping Passeio da Águas"/>
    <x v="1"/>
    <n v="267.63"/>
  </r>
  <r>
    <n v="1"/>
    <s v="YCM-137"/>
    <x v="2"/>
    <s v="Open"/>
    <x v="81"/>
    <m/>
    <s v="Brazil"/>
    <s v="Southest"/>
    <s v="SP"/>
    <s v="São Paulo"/>
    <s v="São Paulo"/>
    <s v="Shopping Villa Lobos"/>
    <x v="1"/>
    <n v="273.3"/>
  </r>
  <r>
    <n v="1"/>
    <s v="RNR-553"/>
    <x v="0"/>
    <s v="Open"/>
    <x v="82"/>
    <m/>
    <s v="Brazil"/>
    <s v="South"/>
    <s v="RS"/>
    <s v="Rio Grande do Sul"/>
    <s v="Taquara"/>
    <s v="Loja Taquara"/>
    <x v="0"/>
    <n v="1334.9"/>
  </r>
  <r>
    <n v="1"/>
    <s v="RNR-573"/>
    <x v="0"/>
    <s v="Open"/>
    <x v="83"/>
    <m/>
    <s v="Brazil"/>
    <s v="Southest"/>
    <s v="SP"/>
    <s v="São Paulo"/>
    <s v="Cajamar"/>
    <s v="Shopping Anhanguera"/>
    <x v="1"/>
    <n v="1874.44"/>
  </r>
  <r>
    <n v="1"/>
    <s v="RNR-544"/>
    <x v="0"/>
    <s v="Open"/>
    <x v="84"/>
    <m/>
    <s v="Brazil"/>
    <s v="South"/>
    <s v="RS"/>
    <s v="Rio Grande do Sul"/>
    <s v="Canela"/>
    <s v="Loja Canela"/>
    <x v="0"/>
    <n v="1607.59"/>
  </r>
  <r>
    <n v="1"/>
    <s v="RNR-547"/>
    <x v="0"/>
    <s v="Open"/>
    <x v="85"/>
    <m/>
    <s v="Brazil"/>
    <s v="Southest"/>
    <s v="MG"/>
    <s v="Minas Gerais"/>
    <s v="Alfenas"/>
    <s v="Loja Alfenas"/>
    <x v="0"/>
    <n v="1133.78"/>
  </r>
  <r>
    <n v="1"/>
    <s v="RNR-568"/>
    <x v="0"/>
    <s v="Open"/>
    <x v="86"/>
    <m/>
    <s v="Brazil"/>
    <s v="Southest"/>
    <s v="MG"/>
    <s v="Minas Gerais"/>
    <s v="Muriaé"/>
    <s v="Shopping Muriaé"/>
    <x v="1"/>
    <n v="1757.44"/>
  </r>
  <r>
    <n v="1"/>
    <s v="ASH-720"/>
    <x v="3"/>
    <s v="Open"/>
    <x v="87"/>
    <m/>
    <s v="Brazil"/>
    <s v="South"/>
    <s v="PR"/>
    <s v="Paraná"/>
    <s v="Curitiba"/>
    <s v="Shopping Palladium"/>
    <x v="1"/>
    <n v="263"/>
  </r>
  <r>
    <n v="1"/>
    <s v="RNR-567"/>
    <x v="0"/>
    <s v="Open"/>
    <x v="88"/>
    <m/>
    <s v="Brazil"/>
    <s v="Northest"/>
    <s v="CE"/>
    <s v="Ceará"/>
    <s v="Eusébio"/>
    <s v="Shopping Terrazo"/>
    <x v="1"/>
    <n v="1741.47"/>
  </r>
  <r>
    <n v="1"/>
    <s v="YCM-139"/>
    <x v="2"/>
    <s v="Open"/>
    <x v="89"/>
    <m/>
    <s v="Brazil"/>
    <s v="North"/>
    <s v="AC"/>
    <s v="Acre"/>
    <s v="Rio Branco"/>
    <s v="Shopping Via Verde"/>
    <x v="1"/>
    <n v="246.7"/>
  </r>
  <r>
    <n v="1"/>
    <s v="YCM-138"/>
    <x v="2"/>
    <s v="Open"/>
    <x v="90"/>
    <m/>
    <s v="Brazil"/>
    <s v="Northest"/>
    <s v="PI"/>
    <s v="Piauí"/>
    <s v="Teresina"/>
    <s v="Shopping Rio Poty"/>
    <x v="1"/>
    <n v="284.29000000000002"/>
  </r>
  <r>
    <n v="1"/>
    <s v="ASH-721"/>
    <x v="3"/>
    <s v="Open"/>
    <x v="91"/>
    <m/>
    <s v="Brazil"/>
    <s v="Southest"/>
    <s v="RJ"/>
    <s v="Rio de Janeiro"/>
    <s v="Niterói"/>
    <s v="Shopping Plaza Niteroi"/>
    <x v="1"/>
    <n v="150"/>
  </r>
  <r>
    <n v="1"/>
    <s v="RNR-555"/>
    <x v="0"/>
    <s v="Open"/>
    <x v="91"/>
    <m/>
    <s v="Brazil"/>
    <s v="Southest"/>
    <s v="SP"/>
    <s v="São Paulo"/>
    <s v="Mogi Mirim"/>
    <s v="Shopping Park Mogi Mirim"/>
    <x v="1"/>
    <n v="1247.68"/>
  </r>
  <r>
    <n v="1"/>
    <s v="RNR-571"/>
    <x v="0"/>
    <s v="Open"/>
    <x v="91"/>
    <m/>
    <s v="Brazil"/>
    <s v="Southest"/>
    <s v="SP"/>
    <s v="São Paulo"/>
    <s v="Penápolis"/>
    <s v="Shopping Penápolis Garden"/>
    <x v="1"/>
    <n v="749.76"/>
  </r>
  <r>
    <n v="1"/>
    <s v="YCM-141"/>
    <x v="2"/>
    <s v="Open"/>
    <x v="91"/>
    <m/>
    <s v="Brazil"/>
    <s v="Southest"/>
    <s v="RJ"/>
    <s v="Rio de Janeiro"/>
    <s v="Niterói"/>
    <s v="Shopping Plaza Niterói"/>
    <x v="1"/>
    <n v="250.25"/>
  </r>
  <r>
    <n v="1"/>
    <s v="YCM-136"/>
    <x v="2"/>
    <s v="Open"/>
    <x v="92"/>
    <m/>
    <s v="Brazil"/>
    <s v="Southest"/>
    <s v="SP"/>
    <s v="São Paulo"/>
    <s v="Bauru"/>
    <s v="Shopping Boulevard Bauru"/>
    <x v="1"/>
    <n v="268.77"/>
  </r>
  <r>
    <n v="1"/>
    <s v="ASH-719"/>
    <x v="3"/>
    <s v="Open"/>
    <x v="93"/>
    <m/>
    <s v="Brazil"/>
    <s v="Southest"/>
    <s v="SP"/>
    <s v="São Paulo"/>
    <s v="Sorocaba"/>
    <s v="Shopping Iguatemi Esplanada "/>
    <x v="1"/>
    <n v="199"/>
  </r>
  <r>
    <n v="1"/>
    <s v="RNR-561"/>
    <x v="0"/>
    <s v="Open"/>
    <x v="94"/>
    <m/>
    <s v="Brazil"/>
    <s v="Southest"/>
    <s v="SP"/>
    <s v="São Paulo"/>
    <s v="Catanduva"/>
    <s v="Shopping Garden Catanduva"/>
    <x v="1"/>
    <n v="1592.6"/>
  </r>
  <r>
    <n v="1"/>
    <s v="RNR-543"/>
    <x v="0"/>
    <s v="Open"/>
    <x v="95"/>
    <m/>
    <s v="Brazil"/>
    <s v="Southest"/>
    <s v="SP"/>
    <s v="São Paulo"/>
    <s v="Mogi das Cruzes"/>
    <s v="Shopping Patteo Urupema"/>
    <x v="1"/>
    <n v="2299.1799999999998"/>
  </r>
  <r>
    <n v="0"/>
    <s v="RNR-11012"/>
    <x v="0"/>
    <s v="Closed"/>
    <x v="96"/>
    <d v="2024-10-21T00:00:00"/>
    <s v="Uruguay"/>
    <s v="Uruguay"/>
    <s v="UY"/>
    <s v="Uruguay"/>
    <s v="Maldonado"/>
    <s v="Shopping Paseo del Este"/>
    <x v="1"/>
    <n v="0"/>
  </r>
  <r>
    <n v="1"/>
    <s v="ASH-717"/>
    <x v="3"/>
    <s v="Open"/>
    <x v="97"/>
    <m/>
    <s v="Brazil"/>
    <s v="Southest"/>
    <s v="SP"/>
    <s v="São Paulo"/>
    <s v="Campinas"/>
    <s v="Shopping Dom Pedro"/>
    <x v="1"/>
    <n v="193"/>
  </r>
  <r>
    <n v="1"/>
    <s v="ASH-716"/>
    <x v="3"/>
    <s v="Open"/>
    <x v="97"/>
    <m/>
    <s v="Brazil"/>
    <s v="Northest"/>
    <s v="BA"/>
    <s v="Bahia"/>
    <s v="Salvador"/>
    <s v="Shopping Salvador"/>
    <x v="1"/>
    <n v="135"/>
  </r>
  <r>
    <n v="1"/>
    <s v="RNR-549"/>
    <x v="0"/>
    <s v="Open"/>
    <x v="98"/>
    <m/>
    <s v="Brazil"/>
    <s v="Southest"/>
    <s v="RJ"/>
    <s v="Rio de Janeiro"/>
    <s v="Petrópolis"/>
    <s v="Shopping Pátio Petrópolis"/>
    <x v="1"/>
    <n v="1319.04"/>
  </r>
  <r>
    <n v="1"/>
    <s v="RNR-551"/>
    <x v="0"/>
    <s v="Open"/>
    <x v="99"/>
    <m/>
    <s v="Brazil"/>
    <s v="Southest"/>
    <s v="SP"/>
    <s v="São Paulo"/>
    <s v="São Vicente"/>
    <s v="Loja São Vicente"/>
    <x v="0"/>
    <n v="1939.66"/>
  </r>
  <r>
    <n v="1"/>
    <s v="YCM-135"/>
    <x v="2"/>
    <s v="Open"/>
    <x v="99"/>
    <m/>
    <s v="Brazil"/>
    <s v="Southest"/>
    <s v="SP"/>
    <s v="São Paulo"/>
    <s v="São José do Rio Preto"/>
    <s v="Shopping Rio Preto"/>
    <x v="1"/>
    <n v="345.29"/>
  </r>
  <r>
    <n v="1"/>
    <s v="RNR-535"/>
    <x v="0"/>
    <s v="Open"/>
    <x v="100"/>
    <m/>
    <s v="Brazil"/>
    <s v="South"/>
    <s v="PR"/>
    <s v="Paraná"/>
    <s v="Londrina"/>
    <s v="Shopping Londrina Norte"/>
    <x v="1"/>
    <n v="1884.28"/>
  </r>
  <r>
    <n v="1"/>
    <s v="RNR-559"/>
    <x v="0"/>
    <s v="Open"/>
    <x v="100"/>
    <m/>
    <s v="Brazil"/>
    <s v="Northest"/>
    <s v="BA"/>
    <s v="Bahia"/>
    <s v="Teixeira de Freitas"/>
    <s v="Shopping Pátio Mix Teixeira de Freitas"/>
    <x v="1"/>
    <n v="1523.23"/>
  </r>
  <r>
    <n v="1"/>
    <s v="YCM-134"/>
    <x v="2"/>
    <s v="Open"/>
    <x v="101"/>
    <m/>
    <s v="Brazil"/>
    <s v="South"/>
    <s v="RS"/>
    <s v="Rio Grande do Sul"/>
    <s v="Passo Fundo"/>
    <s v="Shopping Passo Fundo"/>
    <x v="1"/>
    <n v="251.07"/>
  </r>
  <r>
    <n v="1"/>
    <s v="RNR-503"/>
    <x v="0"/>
    <s v="Open"/>
    <x v="102"/>
    <m/>
    <s v="Brazil"/>
    <s v="South"/>
    <s v="RS"/>
    <s v="Rio Grande do Sul"/>
    <s v="Cachoeira do Sul"/>
    <s v="Loja Cachoeira do Sul"/>
    <x v="0"/>
    <n v="1751.9"/>
  </r>
  <r>
    <n v="1"/>
    <s v="ASH-715"/>
    <x v="3"/>
    <s v="Open"/>
    <x v="103"/>
    <m/>
    <s v="Brazil"/>
    <s v="Southest"/>
    <s v="MG"/>
    <s v="Minas Gerais"/>
    <s v="Belo Horizonte"/>
    <s v="Shopping Boulevard BH"/>
    <x v="1"/>
    <n v="149"/>
  </r>
  <r>
    <n v="1"/>
    <s v="YCM-125"/>
    <x v="2"/>
    <s v="Open"/>
    <x v="104"/>
    <m/>
    <s v="Brazil"/>
    <s v="Northest"/>
    <s v="CE"/>
    <s v="Ceará"/>
    <s v="Fortaleza"/>
    <s v="Shopping Iguatemi Fortaleza"/>
    <x v="1"/>
    <n v="262"/>
  </r>
  <r>
    <n v="1"/>
    <s v="CMC-148"/>
    <x v="1"/>
    <s v="Open"/>
    <x v="105"/>
    <m/>
    <s v="Brazil"/>
    <s v="South"/>
    <s v="SC"/>
    <s v="Santa Catarina"/>
    <s v="Chapecó"/>
    <s v="Shopping Pátio Chapecó"/>
    <x v="1"/>
    <n v="615.92999999999995"/>
  </r>
  <r>
    <n v="1"/>
    <s v="RNR-541"/>
    <x v="0"/>
    <s v="Open"/>
    <x v="106"/>
    <m/>
    <s v="Brazil"/>
    <s v="South"/>
    <s v="RS"/>
    <s v="Rio Grande do Sul"/>
    <s v="Alegrete"/>
    <s v="Loja Alegrete"/>
    <x v="0"/>
    <n v="1626.88"/>
  </r>
  <r>
    <n v="1"/>
    <s v="RNR-525"/>
    <x v="0"/>
    <s v="Open"/>
    <x v="107"/>
    <m/>
    <s v="Brazil"/>
    <s v="South"/>
    <s v="RS"/>
    <s v="Rio Grande do Sul"/>
    <s v="Carazinho"/>
    <s v="Loja Carazinho"/>
    <x v="0"/>
    <n v="1654.62"/>
  </r>
  <r>
    <n v="1"/>
    <s v="RNR-11011"/>
    <x v="0"/>
    <s v="Open"/>
    <x v="108"/>
    <m/>
    <s v="Uruguay"/>
    <s v="Uruguay"/>
    <s v="UY"/>
    <s v="Uruguay"/>
    <s v="Montevidéu"/>
    <s v="Shopping Montevideo"/>
    <x v="1"/>
    <n v="2464.6499999999996"/>
  </r>
  <r>
    <n v="1"/>
    <s v="RNR-524"/>
    <x v="0"/>
    <s v="Open"/>
    <x v="109"/>
    <m/>
    <s v="Brazil"/>
    <s v="South"/>
    <s v="RS"/>
    <s v="Rio Grande do Sul"/>
    <s v="Esteio"/>
    <s v="Loja Esteio"/>
    <x v="0"/>
    <n v="1748.29"/>
  </r>
  <r>
    <n v="1"/>
    <s v="RNR-517"/>
    <x v="0"/>
    <s v="Open"/>
    <x v="110"/>
    <m/>
    <s v="Brazil"/>
    <s v="South"/>
    <s v="SC"/>
    <s v="Santa Catarina"/>
    <s v="São Bento"/>
    <s v="Loja São Bento"/>
    <x v="0"/>
    <n v="1787.95"/>
  </r>
  <r>
    <n v="1"/>
    <s v="RNR-539"/>
    <x v="0"/>
    <s v="Open"/>
    <x v="111"/>
    <m/>
    <s v="Brazil"/>
    <s v="South"/>
    <s v="RS"/>
    <s v="Rio Grande do Sul"/>
    <s v="Santa Rosa"/>
    <s v="Loja Santa Rosa"/>
    <x v="0"/>
    <n v="1816.14"/>
  </r>
  <r>
    <n v="1"/>
    <s v="CMC-147"/>
    <x v="1"/>
    <s v="Open"/>
    <x v="112"/>
    <m/>
    <s v="Brazil"/>
    <s v="South"/>
    <s v="SC"/>
    <s v="Santa Catarina"/>
    <s v="Criciúma"/>
    <s v="Shopping Mall"/>
    <x v="1"/>
    <n v="645.1"/>
  </r>
  <r>
    <n v="1"/>
    <s v="CMC-146"/>
    <x v="1"/>
    <s v="Open"/>
    <x v="113"/>
    <m/>
    <s v="Brazil"/>
    <s v="Southest"/>
    <s v="SP"/>
    <s v="São Paulo"/>
    <s v="Baurú"/>
    <s v="Shopping Boulevard Baurú"/>
    <x v="1"/>
    <n v="604.24"/>
  </r>
  <r>
    <n v="1"/>
    <s v="RNR-496"/>
    <x v="0"/>
    <s v="Open"/>
    <x v="114"/>
    <m/>
    <s v="Brazil"/>
    <s v="South"/>
    <s v="RS"/>
    <s v="Rio Grande do Sul"/>
    <s v="Ijuí"/>
    <s v="Loja Ijuí"/>
    <x v="0"/>
    <n v="1983.38"/>
  </r>
  <r>
    <n v="1"/>
    <s v="RNR-533"/>
    <x v="0"/>
    <s v="Open"/>
    <x v="115"/>
    <m/>
    <s v="Brazil"/>
    <s v="South"/>
    <s v="PR"/>
    <s v="Paraná"/>
    <s v="Campo Mourão"/>
    <s v="Loja Campo Mourão"/>
    <x v="0"/>
    <n v="1603.25"/>
  </r>
  <r>
    <n v="1"/>
    <s v="ASH-714"/>
    <x v="3"/>
    <s v="Open"/>
    <x v="116"/>
    <m/>
    <s v="Brazil"/>
    <s v="Northest"/>
    <s v="PE"/>
    <s v="Pernambuco"/>
    <s v="Recife"/>
    <s v="Shopping Riomar Recife"/>
    <x v="1"/>
    <n v="212.6"/>
  </r>
  <r>
    <n v="1"/>
    <s v="YCM-132"/>
    <x v="2"/>
    <s v="Open"/>
    <x v="117"/>
    <m/>
    <s v="Brazil"/>
    <s v="Northest"/>
    <s v="RN"/>
    <s v="Rio Grande do Norte"/>
    <s v="Natal"/>
    <s v="Shopping Midway Mall"/>
    <x v="1"/>
    <n v="307.29000000000002"/>
  </r>
  <r>
    <n v="1"/>
    <s v="YCM-133"/>
    <x v="2"/>
    <s v="Open"/>
    <x v="118"/>
    <m/>
    <s v="Brazil"/>
    <s v="Northest"/>
    <s v="AL"/>
    <s v="Alagoas"/>
    <s v="Maceió"/>
    <s v="Shopping Park Maceió"/>
    <x v="1"/>
    <n v="409.22999999999996"/>
  </r>
  <r>
    <n v="0"/>
    <s v="RNR-552"/>
    <x v="0"/>
    <s v="Closed"/>
    <x v="119"/>
    <d v="2023-11-22T00:00:00"/>
    <s v="Brazil"/>
    <s v="Southest"/>
    <s v="SP"/>
    <s v="São Paulo"/>
    <s v="São Paulo"/>
    <s v="Shopping Villa Lobos"/>
    <x v="1"/>
    <n v="0"/>
  </r>
  <r>
    <n v="1"/>
    <s v="YCM-131"/>
    <x v="2"/>
    <s v="Open"/>
    <x v="120"/>
    <m/>
    <s v="Brazil"/>
    <s v="Northest"/>
    <s v="MA"/>
    <s v="Maranhão"/>
    <s v="São Luís"/>
    <s v="Shopping da Ilha"/>
    <x v="1"/>
    <n v="254.51"/>
  </r>
  <r>
    <n v="1"/>
    <s v="YCM-130"/>
    <x v="2"/>
    <s v="Open"/>
    <x v="121"/>
    <m/>
    <s v="Brazil"/>
    <s v="Northest"/>
    <s v="SE"/>
    <s v="Sergipe"/>
    <s v="Aracajú"/>
    <s v="Shopping Riomar Aracajú"/>
    <x v="1"/>
    <n v="223"/>
  </r>
  <r>
    <n v="1"/>
    <s v="YCM-126"/>
    <x v="2"/>
    <s v="Open"/>
    <x v="122"/>
    <m/>
    <s v="Brazil"/>
    <s v="Northest"/>
    <s v="CE"/>
    <s v="Ceará"/>
    <s v="Fortaleza"/>
    <s v="Shopping Riomar Fortaleza"/>
    <x v="1"/>
    <n v="268.56"/>
  </r>
  <r>
    <n v="1"/>
    <s v="RNR-531"/>
    <x v="0"/>
    <s v="Open"/>
    <x v="123"/>
    <m/>
    <s v="Brazil"/>
    <s v="Southest"/>
    <s v="SP"/>
    <s v="São Paulo"/>
    <s v="Assis"/>
    <s v="Loja Assis"/>
    <x v="0"/>
    <n v="2323.77"/>
  </r>
  <r>
    <n v="1"/>
    <s v="YCM-129"/>
    <x v="2"/>
    <s v="Open"/>
    <x v="124"/>
    <m/>
    <s v="Brazil"/>
    <s v="Southest"/>
    <s v="ES"/>
    <s v="Espírito Santo"/>
    <s v="Vila Velha"/>
    <s v="Shopping Vila Velha"/>
    <x v="1"/>
    <n v="194.84"/>
  </r>
  <r>
    <n v="1"/>
    <s v="RNR-506"/>
    <x v="0"/>
    <s v="Open"/>
    <x v="125"/>
    <m/>
    <s v="Brazil"/>
    <s v="South"/>
    <s v="RS"/>
    <s v="Rio Grande do Sul"/>
    <s v="Bento Gonçalves"/>
    <s v="Shopping Piazza Salton"/>
    <x v="1"/>
    <n v="2000.87"/>
  </r>
  <r>
    <n v="1"/>
    <s v="RNR-548"/>
    <x v="0"/>
    <s v="Open"/>
    <x v="125"/>
    <m/>
    <s v="Brazil"/>
    <s v="South"/>
    <s v="RS"/>
    <s v="Rio Grande do Sul"/>
    <s v="Porto Alegre"/>
    <s v="Shopping Bourbon Teresópolis"/>
    <x v="1"/>
    <n v="1808.23"/>
  </r>
  <r>
    <n v="1"/>
    <s v="RNR-487"/>
    <x v="0"/>
    <s v="Open"/>
    <x v="126"/>
    <m/>
    <s v="Brazil"/>
    <s v="South"/>
    <s v="PR"/>
    <s v="Paraná"/>
    <s v="Pato Branco"/>
    <s v="Pato Branco"/>
    <x v="1"/>
    <n v="1952.23"/>
  </r>
  <r>
    <n v="1"/>
    <s v="RNR-532"/>
    <x v="0"/>
    <s v="Open"/>
    <x v="127"/>
    <m/>
    <s v="Brazil"/>
    <s v="South"/>
    <s v="RS"/>
    <s v="Rio Grande do Sul"/>
    <s v="Sapucaia do Sul"/>
    <s v="Loja Sapucaia do Sul"/>
    <x v="0"/>
    <n v="2019.38"/>
  </r>
  <r>
    <n v="1"/>
    <s v="YCM-128"/>
    <x v="2"/>
    <s v="Open"/>
    <x v="128"/>
    <m/>
    <s v="Brazil"/>
    <s v="Southest"/>
    <s v="ES"/>
    <s v="Espírito Santo"/>
    <s v="Vitória"/>
    <s v="Shopping Vitória"/>
    <x v="1"/>
    <n v="344.17"/>
  </r>
  <r>
    <n v="1"/>
    <s v="YCM-127"/>
    <x v="2"/>
    <s v="Open"/>
    <x v="129"/>
    <m/>
    <s v="Brazil"/>
    <s v="Southest"/>
    <s v="RJ"/>
    <s v="Rio de Janeiro"/>
    <s v="Rio de janeiro"/>
    <s v="Norte Shopping"/>
    <x v="1"/>
    <n v="193"/>
  </r>
  <r>
    <n v="1"/>
    <s v="RNR-491"/>
    <x v="0"/>
    <s v="Open"/>
    <x v="130"/>
    <m/>
    <s v="Brazil"/>
    <s v="Southest"/>
    <s v="RJ"/>
    <s v="Rio de Janeiro"/>
    <s v="Jacarepaguá"/>
    <s v="Shopping Jacarepaguá"/>
    <x v="1"/>
    <n v="2577.25"/>
  </r>
  <r>
    <n v="1"/>
    <s v="CMC-145"/>
    <x v="1"/>
    <s v="Open"/>
    <x v="131"/>
    <m/>
    <s v="Brazil"/>
    <s v="South"/>
    <s v="RS"/>
    <s v="Rio Grande do Sul"/>
    <s v="Pelotas"/>
    <s v="Shopping Pelotas"/>
    <x v="1"/>
    <n v="639.44000000000005"/>
  </r>
  <r>
    <n v="1"/>
    <s v="RNR-394"/>
    <x v="0"/>
    <s v="Open"/>
    <x v="132"/>
    <m/>
    <s v="Brazil"/>
    <s v="Midwest"/>
    <s v="MT"/>
    <s v="Mato Grosso"/>
    <s v="Sinop"/>
    <s v="Shopping Sinop"/>
    <x v="1"/>
    <n v="2210.6999999999998"/>
  </r>
  <r>
    <n v="1"/>
    <s v="RNR-511"/>
    <x v="0"/>
    <s v="Open"/>
    <x v="133"/>
    <m/>
    <s v="Brazil"/>
    <s v="South"/>
    <s v="RS"/>
    <s v="Rio Grande do Sul"/>
    <s v="Torres"/>
    <s v="Shopping Vesta"/>
    <x v="1"/>
    <n v="2019.2799999999997"/>
  </r>
  <r>
    <n v="0"/>
    <s v="YCM-124"/>
    <x v="2"/>
    <s v="Closed"/>
    <x v="134"/>
    <d v="2026-02-02T00:00:00"/>
    <s v="Brazil"/>
    <s v="Southest"/>
    <s v="SP"/>
    <s v="São Paulo"/>
    <s v="São Paulo"/>
    <s v="Shopping Interlagos"/>
    <x v="1"/>
    <n v="0"/>
  </r>
  <r>
    <n v="1"/>
    <s v="RNR-515"/>
    <x v="0"/>
    <s v="Open"/>
    <x v="135"/>
    <m/>
    <s v="Brazil"/>
    <s v="Northest"/>
    <s v="PE"/>
    <s v="Pernambuco"/>
    <s v="Recife"/>
    <s v="Shopping Plaza Casa Forte"/>
    <x v="1"/>
    <n v="1136.9099999999999"/>
  </r>
  <r>
    <n v="1"/>
    <s v="RNR-521"/>
    <x v="0"/>
    <s v="Open"/>
    <x v="136"/>
    <m/>
    <s v="Brazil"/>
    <s v="Midwest"/>
    <s v="GO"/>
    <s v="Goiás"/>
    <s v="Catalão"/>
    <s v="Shopping Catalão"/>
    <x v="1"/>
    <n v="1663.71"/>
  </r>
  <r>
    <n v="0"/>
    <s v="RNR-507"/>
    <x v="0"/>
    <s v="Closed"/>
    <x v="137"/>
    <d v="2024-02-21T00:00:00"/>
    <s v="Brazil"/>
    <s v="Northest"/>
    <s v="RN"/>
    <s v="Rio Grande do Norte"/>
    <s v="Natal"/>
    <s v="Shopping Natal Norte"/>
    <x v="1"/>
    <n v="0"/>
  </r>
  <r>
    <n v="1"/>
    <s v="CMC-140"/>
    <x v="1"/>
    <s v="Open"/>
    <x v="138"/>
    <m/>
    <s v="Brazil"/>
    <s v="South"/>
    <s v="SC"/>
    <s v="Santa Catarina"/>
    <s v="Florianópolis"/>
    <s v="Shopping Villa Romana"/>
    <x v="1"/>
    <n v="786.24"/>
  </r>
  <r>
    <n v="1"/>
    <s v="RNR-393"/>
    <x v="0"/>
    <s v="Open"/>
    <x v="139"/>
    <m/>
    <s v="Brazil"/>
    <s v="South"/>
    <s v="PR"/>
    <s v="Paraná"/>
    <s v="Umuarama"/>
    <s v="Shopping Palladium Uruamama"/>
    <x v="1"/>
    <n v="1818.8"/>
  </r>
  <r>
    <n v="1"/>
    <s v="RNR-413"/>
    <x v="0"/>
    <s v="Open"/>
    <x v="140"/>
    <m/>
    <s v="Brazil"/>
    <s v="Southest"/>
    <s v="RJ"/>
    <s v="Rio de Janeiro"/>
    <s v="Macaé"/>
    <s v="Shopping Plaza Macaé"/>
    <x v="1"/>
    <n v="1786.44"/>
  </r>
  <r>
    <n v="1"/>
    <s v="RNR-523"/>
    <x v="0"/>
    <s v="Open"/>
    <x v="140"/>
    <m/>
    <s v="Brazil"/>
    <s v="Southest"/>
    <s v="SP"/>
    <s v="São Paulo"/>
    <s v="Araras"/>
    <s v="Loja Araras"/>
    <x v="0"/>
    <n v="2089.92"/>
  </r>
  <r>
    <n v="1"/>
    <s v="YCM-121"/>
    <x v="2"/>
    <s v="Open"/>
    <x v="141"/>
    <m/>
    <s v="Brazil"/>
    <s v="Midwest"/>
    <s v="MS"/>
    <s v="Mato Grosso do Sul"/>
    <s v="Campo Grande"/>
    <s v="Shopping Campo Grande"/>
    <x v="1"/>
    <n v="233.15"/>
  </r>
  <r>
    <n v="0"/>
    <s v="RNR-518"/>
    <x v="0"/>
    <s v="Closed"/>
    <x v="142"/>
    <d v="2023-04-18T00:00:00"/>
    <s v="Brazil"/>
    <s v="Southest"/>
    <s v="RJ"/>
    <s v="Rio de Janeiro"/>
    <s v="Rio de janeiro"/>
    <s v="Loja Quitanda"/>
    <x v="0"/>
    <n v="0"/>
  </r>
  <r>
    <n v="1"/>
    <s v="RNR-510"/>
    <x v="0"/>
    <s v="Open"/>
    <x v="143"/>
    <m/>
    <s v="Brazil"/>
    <s v="Southest"/>
    <s v="SP"/>
    <s v="São Paulo"/>
    <s v="Mogi Guaçu"/>
    <s v="Shopping Buriti Mogi Guaçu"/>
    <x v="1"/>
    <n v="1882.6899999999998"/>
  </r>
  <r>
    <n v="1"/>
    <s v="RNR-512"/>
    <x v="0"/>
    <s v="Open"/>
    <x v="143"/>
    <m/>
    <s v="Brazil"/>
    <s v="South"/>
    <s v="RS"/>
    <s v="Rio Grande do Sul"/>
    <s v="Farroupilha"/>
    <s v="Loja Farroupilha"/>
    <x v="0"/>
    <n v="1693.5"/>
  </r>
  <r>
    <n v="1"/>
    <s v="RNR-538"/>
    <x v="0"/>
    <s v="Open"/>
    <x v="144"/>
    <m/>
    <s v="Brazil"/>
    <s v="Southest"/>
    <s v="RJ"/>
    <s v="Rio de Janeiro"/>
    <s v="Maricá"/>
    <s v="Boulevard Maricá"/>
    <x v="1"/>
    <n v="1510.69"/>
  </r>
  <r>
    <n v="1"/>
    <s v="CMC-139"/>
    <x v="1"/>
    <s v="Open"/>
    <x v="145"/>
    <m/>
    <s v="Brazil"/>
    <s v="North"/>
    <s v="PA"/>
    <s v="Pará"/>
    <s v="Belém"/>
    <s v="Shopping Bosque Grão Pará"/>
    <x v="1"/>
    <n v="639.07000000000005"/>
  </r>
  <r>
    <n v="0"/>
    <s v="RNR-508"/>
    <x v="0"/>
    <s v="Closed"/>
    <x v="146"/>
    <d v="2023-12-22T00:00:00"/>
    <s v="Brazil"/>
    <s v="South"/>
    <s v="SC"/>
    <s v="Santa Catarina"/>
    <s v="Rio do Sul"/>
    <s v="Loja Rio do Sul "/>
    <x v="0"/>
    <n v="0"/>
  </r>
  <r>
    <n v="1"/>
    <s v="RNR-514"/>
    <x v="0"/>
    <s v="Open"/>
    <x v="147"/>
    <m/>
    <s v="Brazil"/>
    <s v="South"/>
    <s v="RS"/>
    <s v="Rio Grande do Sul"/>
    <s v="Bagé"/>
    <s v="Loja Bagé"/>
    <x v="0"/>
    <n v="1804.75"/>
  </r>
  <r>
    <n v="1"/>
    <s v="RNR-528"/>
    <x v="0"/>
    <s v="Open"/>
    <x v="147"/>
    <m/>
    <s v="Brazil"/>
    <s v="North"/>
    <s v="AP"/>
    <s v="Amapá"/>
    <s v="Macapá"/>
    <s v="Macapá Shopping"/>
    <x v="1"/>
    <n v="1871.67"/>
  </r>
  <r>
    <n v="1"/>
    <s v="RNR-513"/>
    <x v="0"/>
    <s v="Open"/>
    <x v="148"/>
    <m/>
    <s v="Brazil"/>
    <s v="Southest"/>
    <s v="SP"/>
    <s v="São Paulo"/>
    <s v="Caraguatatuba"/>
    <s v="Serramar Shopping"/>
    <x v="1"/>
    <n v="1494.9299999999998"/>
  </r>
  <r>
    <n v="1"/>
    <s v="CMC-138"/>
    <x v="1"/>
    <s v="Open"/>
    <x v="149"/>
    <m/>
    <s v="Brazil"/>
    <s v="Southest"/>
    <s v="SP"/>
    <s v="São Paulo"/>
    <s v="São Paulo"/>
    <s v="Shopping Rio Sul"/>
    <x v="1"/>
    <n v="709.14"/>
  </r>
  <r>
    <n v="1"/>
    <s v="YCM-119"/>
    <x v="2"/>
    <s v="Open"/>
    <x v="149"/>
    <m/>
    <s v="Brazil"/>
    <s v="South"/>
    <s v="PR"/>
    <s v="Paraná"/>
    <s v="Curitiba"/>
    <s v="Shopping Muller"/>
    <x v="1"/>
    <n v="294.64999999999998"/>
  </r>
  <r>
    <n v="1"/>
    <s v="YCM-122"/>
    <x v="2"/>
    <s v="Open"/>
    <x v="149"/>
    <m/>
    <s v="Brazil"/>
    <s v="Southest"/>
    <s v="RJ"/>
    <s v="Rio de Janeiro"/>
    <s v="Rio de Janeiro"/>
    <s v="Shopping Rio Sul"/>
    <x v="1"/>
    <n v="247.32"/>
  </r>
  <r>
    <n v="1"/>
    <s v="ASH-712"/>
    <x v="3"/>
    <s v="Open"/>
    <x v="150"/>
    <m/>
    <s v="Brazil"/>
    <s v="Southest"/>
    <s v="SP"/>
    <s v="São Paulo"/>
    <s v="São Paulo"/>
    <s v="Shopping Ibirapuera"/>
    <x v="1"/>
    <n v="198"/>
  </r>
  <r>
    <n v="0"/>
    <s v="CMC-142"/>
    <x v="1"/>
    <s v="Closed"/>
    <x v="151"/>
    <d v="2024-12-31T00:00:00"/>
    <s v="Brazil"/>
    <s v="Southest"/>
    <s v="SP"/>
    <s v="São Paulo"/>
    <s v="São Paulo"/>
    <s v="Shopping Santa Cruz"/>
    <x v="1"/>
    <n v="0"/>
  </r>
  <r>
    <n v="1"/>
    <s v="CMC-134"/>
    <x v="1"/>
    <s v="Open"/>
    <x v="152"/>
    <m/>
    <s v="Brazil"/>
    <s v="Southest"/>
    <s v="SP"/>
    <s v="São Paulo"/>
    <s v="São Paulo"/>
    <s v="Shopping Villa Lobos"/>
    <x v="1"/>
    <n v="373"/>
  </r>
  <r>
    <n v="1"/>
    <s v="YCM-123"/>
    <x v="2"/>
    <s v="Open"/>
    <x v="152"/>
    <m/>
    <s v="Brazil"/>
    <s v="Southest"/>
    <s v="SP"/>
    <s v="São Paulo"/>
    <s v="São Paulo"/>
    <s v="Shopping Eldorado"/>
    <x v="1"/>
    <n v="333.28000000000003"/>
  </r>
  <r>
    <n v="0"/>
    <s v="RNR-530"/>
    <x v="0"/>
    <s v="Closed"/>
    <x v="153"/>
    <d v="2023-12-28T00:00:00"/>
    <s v="Brazil"/>
    <s v="South"/>
    <s v="RS"/>
    <s v="Rio Grande do Sul"/>
    <s v="Garibaldi"/>
    <s v="Shopping Garibaldi "/>
    <x v="1"/>
    <n v="0"/>
  </r>
  <r>
    <n v="1"/>
    <s v="RNR-498"/>
    <x v="0"/>
    <s v="Open"/>
    <x v="154"/>
    <m/>
    <s v="Brazil"/>
    <s v="Northest"/>
    <s v="CE"/>
    <s v="Ceará"/>
    <s v="Juazeiro do Norte"/>
    <s v="Shopping Cariri Garden"/>
    <x v="1"/>
    <n v="2455.77"/>
  </r>
  <r>
    <n v="1"/>
    <s v="CMC-141"/>
    <x v="1"/>
    <s v="Open"/>
    <x v="155"/>
    <m/>
    <s v="Brazil"/>
    <s v="Southest"/>
    <s v="RJ"/>
    <s v="Rio de Janeiro"/>
    <s v="Rio de Janeiro"/>
    <s v="Shopping Rio Design Leblon"/>
    <x v="1"/>
    <n v="417"/>
  </r>
  <r>
    <n v="1"/>
    <s v="RNR-516"/>
    <x v="0"/>
    <s v="Open"/>
    <x v="156"/>
    <m/>
    <s v="Brazil"/>
    <s v="North"/>
    <s v="RO"/>
    <s v="Rondônia"/>
    <s v="Cacoal"/>
    <s v="Shopping Cacoal"/>
    <x v="1"/>
    <n v="1683.9099999999999"/>
  </r>
  <r>
    <n v="1"/>
    <s v="RNR-480"/>
    <x v="0"/>
    <s v="Open"/>
    <x v="157"/>
    <m/>
    <s v="Brazil"/>
    <s v="Southest"/>
    <s v="SP"/>
    <s v="São Paulo"/>
    <s v="Ribeirão Preto"/>
    <s v="Shopping Iguatemi Ribeirão Preto"/>
    <x v="1"/>
    <n v="2619.29"/>
  </r>
  <r>
    <n v="1"/>
    <s v="RNR-537"/>
    <x v="0"/>
    <s v="Open"/>
    <x v="158"/>
    <m/>
    <s v="Brazil"/>
    <s v="Southest"/>
    <s v="SP"/>
    <s v="São Paulo"/>
    <s v="São Paulo"/>
    <s v="Shopping Ibirapuera"/>
    <x v="1"/>
    <n v="3810.07"/>
  </r>
  <r>
    <n v="1"/>
    <s v="RNR-522"/>
    <x v="0"/>
    <s v="Open"/>
    <x v="159"/>
    <m/>
    <s v="Brazil"/>
    <s v="Southest"/>
    <s v="RJ"/>
    <s v="Rio de Janeiro"/>
    <s v="Rio de Janeiro"/>
    <s v="Village Mall"/>
    <x v="1"/>
    <n v="1150.96"/>
  </r>
  <r>
    <n v="1"/>
    <s v="RNR-527"/>
    <x v="0"/>
    <s v="Open"/>
    <x v="160"/>
    <m/>
    <s v="Brazil"/>
    <s v="Southest"/>
    <s v="SP"/>
    <s v="São Paulo"/>
    <s v="Guarulhos"/>
    <s v="Aeroporto de Guarulhos"/>
    <x v="1"/>
    <n v="747.91"/>
  </r>
  <r>
    <n v="1"/>
    <s v="RNR-509"/>
    <x v="0"/>
    <s v="Open"/>
    <x v="161"/>
    <m/>
    <s v="Brazil"/>
    <s v="Midwest"/>
    <s v="MT"/>
    <s v="Mato Grosso"/>
    <s v="Sorriso"/>
    <s v="Shopping Sorriso"/>
    <x v="1"/>
    <n v="1710.44"/>
  </r>
  <r>
    <n v="1"/>
    <s v="YCM-117"/>
    <x v="2"/>
    <s v="Open"/>
    <x v="162"/>
    <m/>
    <s v="Brazil"/>
    <s v="Southest"/>
    <s v="RJ"/>
    <s v="Rio de Janeiro"/>
    <s v="Rio de Janeiro"/>
    <s v="Shopping Barra Rio"/>
    <x v="1"/>
    <n v="256.82"/>
  </r>
  <r>
    <n v="1"/>
    <s v="YCM-116"/>
    <x v="2"/>
    <s v="Open"/>
    <x v="163"/>
    <m/>
    <s v="Brazil"/>
    <s v="Northest"/>
    <s v="PE"/>
    <s v="Pernambuco"/>
    <s v="Recife"/>
    <s v="Shopping Recife"/>
    <x v="1"/>
    <n v="219.12"/>
  </r>
  <r>
    <n v="1"/>
    <s v="RNR-502"/>
    <x v="0"/>
    <s v="Open"/>
    <x v="164"/>
    <m/>
    <s v="Brazil"/>
    <s v="Midwest"/>
    <s v="MT"/>
    <s v="Mato Grosso"/>
    <s v="Tangará da Serra"/>
    <s v="Tangará Shopping"/>
    <x v="1"/>
    <n v="1465.73"/>
  </r>
  <r>
    <n v="1"/>
    <s v="CMC-133"/>
    <x v="1"/>
    <s v="Open"/>
    <x v="165"/>
    <m/>
    <s v="Brazil"/>
    <s v="Southest"/>
    <s v="SP"/>
    <s v="São Paulo"/>
    <s v="Piracicaba"/>
    <s v="Shopping Piracicaba"/>
    <x v="1"/>
    <n v="490"/>
  </r>
  <r>
    <n v="1"/>
    <s v="RNR-454"/>
    <x v="0"/>
    <s v="Open"/>
    <x v="166"/>
    <m/>
    <s v="Brazil"/>
    <s v="Midwest"/>
    <s v="GO"/>
    <s v="Goiás"/>
    <s v="Jataí"/>
    <s v="Jatahy Shopping"/>
    <x v="1"/>
    <n v="1916.01"/>
  </r>
  <r>
    <n v="1"/>
    <s v="RNR-489"/>
    <x v="0"/>
    <s v="Open"/>
    <x v="167"/>
    <m/>
    <s v="Brazil"/>
    <s v="Northest"/>
    <s v="BA"/>
    <s v="Bahia"/>
    <s v="Lauro de Freitas"/>
    <s v="Parque Shopping Bahia"/>
    <x v="1"/>
    <n v="2759.32"/>
  </r>
  <r>
    <n v="1"/>
    <s v="CMC-132"/>
    <x v="1"/>
    <s v="Open"/>
    <x v="168"/>
    <m/>
    <s v="Brazil"/>
    <s v="Northest"/>
    <s v="BA"/>
    <s v="Bahia"/>
    <s v="Lauro de Freitas"/>
    <s v="Parque Shopping da Bahia"/>
    <x v="1"/>
    <n v="478.58"/>
  </r>
  <r>
    <n v="1"/>
    <s v="RNR-13003"/>
    <x v="0"/>
    <s v="Open"/>
    <x v="169"/>
    <m/>
    <s v="Argentina"/>
    <s v="Argentina"/>
    <s v="AR"/>
    <s v="Argentina"/>
    <s v="Buenos Aires"/>
    <s v="Calle Florida"/>
    <x v="0"/>
    <n v="4853"/>
  </r>
  <r>
    <n v="1"/>
    <s v="RNR-13004"/>
    <x v="0"/>
    <s v="Open"/>
    <x v="170"/>
    <m/>
    <s v="Argentina"/>
    <s v="Argentina"/>
    <s v="AR"/>
    <s v="Argentina"/>
    <s v="Buenos Aires"/>
    <s v="Calle Santa Fé"/>
    <x v="0"/>
    <n v="2867.99"/>
  </r>
  <r>
    <n v="1"/>
    <s v="RNR-13001"/>
    <x v="0"/>
    <s v="Open"/>
    <x v="171"/>
    <m/>
    <s v="Argentina"/>
    <s v="Argentina"/>
    <s v="AR"/>
    <s v="Argentina"/>
    <s v="Córdoba"/>
    <s v="Paseo del Jockey"/>
    <x v="1"/>
    <n v="3739.1"/>
  </r>
  <r>
    <n v="1"/>
    <s v="RNR-488"/>
    <x v="0"/>
    <s v="Open"/>
    <x v="172"/>
    <m/>
    <s v="Brazil"/>
    <s v="Midwest"/>
    <s v="MS"/>
    <s v="Mato Grosso do Sul"/>
    <s v="Três Lagoas"/>
    <s v="Shopping Três Lagoas"/>
    <x v="1"/>
    <n v="1972.09"/>
  </r>
  <r>
    <n v="1"/>
    <s v="RNR-490"/>
    <x v="0"/>
    <s v="Open"/>
    <x v="172"/>
    <m/>
    <s v="Brazil"/>
    <s v="Southest"/>
    <s v="MG"/>
    <s v="Minas Gerais"/>
    <s v="Belo Horizonte"/>
    <s v="Shopping Diamond"/>
    <x v="1"/>
    <n v="1316.3"/>
  </r>
  <r>
    <n v="1"/>
    <s v="RNR-11010"/>
    <x v="0"/>
    <s v="Open"/>
    <x v="173"/>
    <m/>
    <s v="Uruguay"/>
    <s v="Uruguay"/>
    <s v="UY"/>
    <s v="Uruguay"/>
    <s v="Montevidéu"/>
    <s v="Shopping Tres Cruces"/>
    <x v="1"/>
    <n v="2403.17"/>
  </r>
  <r>
    <n v="1"/>
    <s v="RNR-13002"/>
    <x v="0"/>
    <s v="Open"/>
    <x v="173"/>
    <m/>
    <s v="Argentina"/>
    <s v="Argentina"/>
    <s v="AR"/>
    <s v="Argentina"/>
    <s v="Córdoba"/>
    <s v="Shopping Patio Olmos"/>
    <x v="1"/>
    <n v="2288.67"/>
  </r>
  <r>
    <n v="1"/>
    <s v="RNR-505"/>
    <x v="0"/>
    <s v="Open"/>
    <x v="173"/>
    <m/>
    <s v="Brazil"/>
    <s v="South"/>
    <s v="RS"/>
    <s v="Rio Grande do Sul"/>
    <s v="Porto Alegre"/>
    <s v="Aeroporto Salgado Filho"/>
    <x v="1"/>
    <n v="773.26"/>
  </r>
  <r>
    <n v="1"/>
    <s v="ASH-709"/>
    <x v="3"/>
    <s v="Open"/>
    <x v="174"/>
    <m/>
    <s v="Brazil"/>
    <s v="Southest"/>
    <s v="SP"/>
    <s v="São Paulo"/>
    <s v="Santo Ándré"/>
    <s v="Shopping ABC"/>
    <x v="1"/>
    <n v="274"/>
  </r>
  <r>
    <n v="1"/>
    <s v="RNR-11008"/>
    <x v="0"/>
    <s v="Open"/>
    <x v="174"/>
    <m/>
    <s v="Uruguay"/>
    <s v="Uruguay"/>
    <s v="UY"/>
    <s v="Uruguay"/>
    <s v="Montevidéu"/>
    <s v="Shopping Nuevo Centro"/>
    <x v="1"/>
    <n v="2356.33"/>
  </r>
  <r>
    <n v="1"/>
    <s v="RNR-485"/>
    <x v="0"/>
    <s v="Open"/>
    <x v="175"/>
    <m/>
    <s v="Brazil"/>
    <s v="South"/>
    <s v="RS"/>
    <s v="Rio Grande do Sul"/>
    <s v="Santo Ângelo"/>
    <s v="Loja de Santo Ângelo"/>
    <x v="0"/>
    <n v="1709.41"/>
  </r>
  <r>
    <n v="1"/>
    <s v="RNR-501"/>
    <x v="0"/>
    <s v="Open"/>
    <x v="176"/>
    <m/>
    <s v="Brazil"/>
    <s v="Southest"/>
    <s v="SP"/>
    <s v="São Paulo"/>
    <s v="São Paulo"/>
    <s v="Shopping D"/>
    <x v="1"/>
    <n v="1535.34"/>
  </r>
  <r>
    <n v="1"/>
    <s v="RNR-479"/>
    <x v="0"/>
    <s v="Open"/>
    <x v="177"/>
    <m/>
    <s v="Brazil"/>
    <s v="South"/>
    <s v="RS"/>
    <s v="Rio Grande do Sul"/>
    <s v="Tramandaí"/>
    <s v="Loja de Tramandaí"/>
    <x v="0"/>
    <n v="2028.91"/>
  </r>
  <r>
    <n v="1"/>
    <s v="YCM-115"/>
    <x v="2"/>
    <s v="Open"/>
    <x v="177"/>
    <m/>
    <s v="Brazil"/>
    <s v="Northest"/>
    <s v="PE"/>
    <s v="Pernambuco"/>
    <s v="Recife"/>
    <s v="Shopping Riomar Recife"/>
    <x v="1"/>
    <n v="334.76"/>
  </r>
  <r>
    <n v="1"/>
    <s v="YCM-112"/>
    <x v="2"/>
    <s v="Open"/>
    <x v="178"/>
    <m/>
    <s v="Brazil"/>
    <s v="Midwest"/>
    <s v="DF"/>
    <s v="Distrito Federal"/>
    <s v="Brasília"/>
    <s v="Park Shopping Brasília "/>
    <x v="1"/>
    <n v="252.34"/>
  </r>
  <r>
    <n v="1"/>
    <s v="RNR-466"/>
    <x v="0"/>
    <s v="Open"/>
    <x v="179"/>
    <m/>
    <s v="Brazil"/>
    <s v="Southest"/>
    <s v="RJ"/>
    <s v="Rio de Janeiro"/>
    <s v="Nova Friburgo"/>
    <s v="Cadima Shopping"/>
    <x v="1"/>
    <n v="1818.26"/>
  </r>
  <r>
    <n v="1"/>
    <s v="RNR-500"/>
    <x v="0"/>
    <s v="Open"/>
    <x v="180"/>
    <m/>
    <s v="Brazil"/>
    <s v="Southest"/>
    <s v="SP"/>
    <s v="São Paulo"/>
    <s v="São Paulo"/>
    <s v="Shopping Boa Vista"/>
    <x v="1"/>
    <n v="1937.67"/>
  </r>
  <r>
    <n v="1"/>
    <s v="YCM-020"/>
    <x v="2"/>
    <s v="Open"/>
    <x v="180"/>
    <m/>
    <s v="Brazil"/>
    <s v="South"/>
    <s v="RS"/>
    <s v="Rio Grande do Sul"/>
    <s v="Porto Alegre"/>
    <s v="Barra Shopping Sul"/>
    <x v="1"/>
    <n v="245.69"/>
  </r>
  <r>
    <n v="1"/>
    <s v="RNR-377"/>
    <x v="0"/>
    <s v="Open"/>
    <x v="181"/>
    <m/>
    <s v="Brazil"/>
    <s v="Southest"/>
    <s v="SP"/>
    <s v="São Paulo"/>
    <s v="Sumaré"/>
    <s v="Shopping Park City Sumaré"/>
    <x v="1"/>
    <n v="1741.56"/>
  </r>
  <r>
    <n v="1"/>
    <s v="RNR-452"/>
    <x v="0"/>
    <s v="Open"/>
    <x v="182"/>
    <m/>
    <s v="Brazil"/>
    <s v="Southest"/>
    <s v="MG"/>
    <s v="Minas Gerais"/>
    <s v="Sete Lagoas"/>
    <s v="Shopping Sete Lagoas"/>
    <x v="1"/>
    <n v="1599.1"/>
  </r>
  <r>
    <n v="1"/>
    <s v="RNR-408"/>
    <x v="0"/>
    <s v="Open"/>
    <x v="183"/>
    <m/>
    <s v="Brazil"/>
    <s v="Southest"/>
    <s v="RJ"/>
    <s v="Rio de Janeiro"/>
    <s v="Volta Redonda"/>
    <s v="Shopping Park Sul"/>
    <x v="1"/>
    <n v="2425.8900000000003"/>
  </r>
  <r>
    <n v="1"/>
    <s v="YCM-113"/>
    <x v="2"/>
    <s v="Open"/>
    <x v="184"/>
    <m/>
    <s v="Brazil"/>
    <s v="South"/>
    <s v="SC"/>
    <s v="Santa Catarina"/>
    <s v="Florianópolis"/>
    <s v="BeiraMar Shopping"/>
    <x v="1"/>
    <n v="272.73"/>
  </r>
  <r>
    <n v="0"/>
    <s v="ASH-706"/>
    <x v="3"/>
    <s v="Closed"/>
    <x v="185"/>
    <d v="2026-06-30T00:00:00"/>
    <s v="Brazil"/>
    <s v="Southest"/>
    <s v="RJ"/>
    <s v="Rio de Janeiro"/>
    <s v="Rio de Janeiro"/>
    <s v="Shopping Barra Rio"/>
    <x v="1"/>
    <n v="0"/>
  </r>
  <r>
    <n v="0"/>
    <s v="ASH-707"/>
    <x v="3"/>
    <s v="Closed"/>
    <x v="186"/>
    <d v="2026-01-18T00:00:00"/>
    <s v="Brazil"/>
    <s v="South"/>
    <s v="RS"/>
    <s v="Rio Grande do Sul"/>
    <s v="Porto Alegre"/>
    <s v="Shopping Iguatemi POA"/>
    <x v="1"/>
    <n v="0"/>
  </r>
  <r>
    <n v="1"/>
    <s v="YCM-111"/>
    <x v="2"/>
    <s v="Open"/>
    <x v="186"/>
    <m/>
    <s v="Brazil"/>
    <s v="Midwest"/>
    <s v="MT"/>
    <s v="Mato Grosso"/>
    <s v="Cuiabá"/>
    <s v="Pantanal Shopping"/>
    <x v="1"/>
    <n v="229.12"/>
  </r>
  <r>
    <n v="1"/>
    <s v="YCM-108"/>
    <x v="2"/>
    <s v="Open"/>
    <x v="187"/>
    <m/>
    <s v="Brazil"/>
    <s v="South"/>
    <s v="PR"/>
    <s v="Paraná"/>
    <s v="Curitiba"/>
    <s v="Shopping Jockey Plaza"/>
    <x v="1"/>
    <n v="227.52"/>
  </r>
  <r>
    <n v="0"/>
    <s v="CMC-131"/>
    <x v="1"/>
    <s v="Closed"/>
    <x v="188"/>
    <d v="2026-06-01T00:00:00"/>
    <s v="Brazil"/>
    <s v="Southest"/>
    <s v="SP"/>
    <s v="São Paulo"/>
    <s v="São Paulo"/>
    <s v="Shopping Frei Caneca"/>
    <x v="1"/>
    <n v="0"/>
  </r>
  <r>
    <n v="0"/>
    <s v="RNR-446"/>
    <x v="0"/>
    <s v="Closed"/>
    <x v="189"/>
    <d v="2023-01-02T00:00:00"/>
    <s v="Brazil"/>
    <s v="Northest"/>
    <s v="SE"/>
    <s v="Sergipe"/>
    <s v="Aracaju"/>
    <s v="Aracaju Parque Shopping "/>
    <x v="1"/>
    <n v="0"/>
  </r>
  <r>
    <n v="1"/>
    <s v="RNR-495"/>
    <x v="0"/>
    <s v="Open"/>
    <x v="190"/>
    <m/>
    <s v="Brazil"/>
    <s v="Southest"/>
    <s v="ES"/>
    <s v="Espírito Santo"/>
    <s v="Cachoeiro De Itapemirim"/>
    <s v="Shopping Sul"/>
    <x v="1"/>
    <n v="2044.54"/>
  </r>
  <r>
    <n v="1"/>
    <s v="RNR-494"/>
    <x v="0"/>
    <s v="Open"/>
    <x v="191"/>
    <m/>
    <s v="Brazil"/>
    <s v="Northest"/>
    <s v="MA"/>
    <s v="Maranhão"/>
    <s v="São José De Ribamar"/>
    <s v="Shopping Pátio Norte"/>
    <x v="1"/>
    <n v="1732.6399999999999"/>
  </r>
  <r>
    <n v="1"/>
    <s v="ASH-705"/>
    <x v="3"/>
    <s v="Open"/>
    <x v="192"/>
    <m/>
    <s v="Brazil"/>
    <s v="Southest"/>
    <s v="SP"/>
    <s v="São Paulo"/>
    <s v="São Paulo"/>
    <s v="Shopping SP Market"/>
    <x v="1"/>
    <n v="160"/>
  </r>
  <r>
    <n v="1"/>
    <s v="ASH-704"/>
    <x v="3"/>
    <s v="Open"/>
    <x v="193"/>
    <m/>
    <s v="Brazil"/>
    <s v="South"/>
    <s v="RS"/>
    <s v="Rio Grande do Sul"/>
    <s v="Caxias do Sul"/>
    <s v="Shopping Iguatemi Caxias"/>
    <x v="1"/>
    <n v="223"/>
  </r>
  <r>
    <n v="1"/>
    <s v="RNR-481"/>
    <x v="0"/>
    <s v="Open"/>
    <x v="193"/>
    <m/>
    <s v="Brazil"/>
    <s v="Southest"/>
    <s v="SP"/>
    <s v="São Paulo"/>
    <s v="São Paulo"/>
    <s v="Loja Rua Oscar Freire"/>
    <x v="0"/>
    <n v="1840.5300000000002"/>
  </r>
  <r>
    <n v="1"/>
    <s v="RNR-468"/>
    <x v="0"/>
    <s v="Open"/>
    <x v="194"/>
    <m/>
    <s v="Brazil"/>
    <s v="Southest"/>
    <s v="SP"/>
    <s v="São Paulo"/>
    <s v="Ourinhos"/>
    <s v="Shopping Center Ourinhos"/>
    <x v="1"/>
    <n v="2017.97"/>
  </r>
  <r>
    <n v="1"/>
    <s v="RNR-470"/>
    <x v="0"/>
    <s v="Open"/>
    <x v="195"/>
    <m/>
    <s v="Brazil"/>
    <s v="South"/>
    <s v="RS"/>
    <s v="Rio Grande do Sul"/>
    <s v="Cruz Alta"/>
    <s v="Loja de Cruz Alta"/>
    <x v="0"/>
    <n v="1920.8"/>
  </r>
  <r>
    <n v="1"/>
    <s v="RNR-427"/>
    <x v="0"/>
    <s v="Open"/>
    <x v="196"/>
    <m/>
    <s v="Brazil"/>
    <s v="South"/>
    <s v="PR"/>
    <s v="Paraná"/>
    <s v="Curitiba"/>
    <s v="Shopping Jockey Plaza"/>
    <x v="1"/>
    <n v="3299.91"/>
  </r>
  <r>
    <n v="1"/>
    <s v="RNR-476"/>
    <x v="0"/>
    <s v="Open"/>
    <x v="196"/>
    <m/>
    <s v="Brazil"/>
    <s v="South"/>
    <s v="PR"/>
    <s v="Paraná"/>
    <s v="Maringá"/>
    <s v="Shopping Catuaí Maringá"/>
    <x v="1"/>
    <n v="1941"/>
  </r>
  <r>
    <n v="1"/>
    <s v="RNR-467"/>
    <x v="0"/>
    <s v="Open"/>
    <x v="197"/>
    <m/>
    <s v="Brazil"/>
    <s v="Northest"/>
    <s v="CE"/>
    <s v="Ceará"/>
    <s v="Sobral"/>
    <s v="North Shopping Sobral"/>
    <x v="1"/>
    <n v="1677.92"/>
  </r>
  <r>
    <n v="1"/>
    <s v="YCM-109"/>
    <x v="2"/>
    <s v="Open"/>
    <x v="198"/>
    <m/>
    <s v="Brazil"/>
    <s v="Midwest"/>
    <s v="GO"/>
    <s v="Goiás"/>
    <s v="Goiânia"/>
    <s v="Shopping Flamboyant"/>
    <x v="1"/>
    <n v="264.02999999999997"/>
  </r>
  <r>
    <n v="1"/>
    <s v="RNR-442"/>
    <x v="0"/>
    <s v="Open"/>
    <x v="199"/>
    <m/>
    <s v="Brazil"/>
    <s v="Southest"/>
    <s v="SP"/>
    <s v="São Paulo"/>
    <s v="São Paulo"/>
    <s v="Shopping Penha"/>
    <x v="1"/>
    <n v="1450.79"/>
  </r>
  <r>
    <n v="1"/>
    <s v="RNR-486"/>
    <x v="0"/>
    <s v="Open"/>
    <x v="199"/>
    <m/>
    <s v="Brazil"/>
    <s v="Southest"/>
    <s v="RJ"/>
    <s v="Rio de Janeiro"/>
    <s v="Rio de Janeiro"/>
    <s v="Bangu Shopping"/>
    <x v="1"/>
    <n v="1322.85"/>
  </r>
  <r>
    <n v="1"/>
    <s v="YCM-110"/>
    <x v="2"/>
    <s v="Open"/>
    <x v="199"/>
    <m/>
    <s v="Brazil"/>
    <s v="Southest"/>
    <s v="SP"/>
    <s v="São Paulo"/>
    <s v="Ribeirão Preto"/>
    <s v="Ribeirão Shopping "/>
    <x v="1"/>
    <n v="262.5"/>
  </r>
  <r>
    <n v="1"/>
    <s v="CMC-128"/>
    <x v="1"/>
    <s v="Open"/>
    <x v="200"/>
    <m/>
    <s v="Brazil"/>
    <s v="North"/>
    <s v="TO"/>
    <s v="Tocantins"/>
    <s v="Palmas"/>
    <s v="Shopping Capim Dourado"/>
    <x v="1"/>
    <n v="493.25"/>
  </r>
  <r>
    <n v="1"/>
    <s v="CMC-124"/>
    <x v="1"/>
    <s v="Closed"/>
    <x v="201"/>
    <d v="2026-03-16T00:00:00"/>
    <s v="Brazil"/>
    <s v="Southest"/>
    <s v="SP"/>
    <s v="São Paulo"/>
    <s v="São Paulo"/>
    <s v="Shopping Cidade Jardim"/>
    <x v="1"/>
    <n v="375.68"/>
  </r>
  <r>
    <n v="1"/>
    <s v="CMC-127"/>
    <x v="1"/>
    <s v="Open"/>
    <x v="202"/>
    <m/>
    <s v="Brazil"/>
    <s v="Southest"/>
    <s v="SP"/>
    <s v="São Paulo"/>
    <s v="São Paulo"/>
    <s v="Shopping SP Market"/>
    <x v="1"/>
    <n v="544.19000000000005"/>
  </r>
  <r>
    <n v="1"/>
    <s v="RNR-483"/>
    <x v="0"/>
    <s v="Open"/>
    <x v="203"/>
    <m/>
    <s v="Brazil"/>
    <s v="Southest"/>
    <s v="SP"/>
    <s v="São Paulo"/>
    <s v="Jaú"/>
    <s v="Jaú Shopping"/>
    <x v="1"/>
    <n v="1647.42"/>
  </r>
  <r>
    <n v="1"/>
    <s v="YCM-106"/>
    <x v="2"/>
    <s v="Open"/>
    <x v="204"/>
    <m/>
    <s v="Brazil"/>
    <s v="North"/>
    <s v="RO"/>
    <s v="Rondônia"/>
    <s v="Porto Velho"/>
    <s v="Porto Velho Shopping"/>
    <x v="1"/>
    <n v="211.12"/>
  </r>
  <r>
    <n v="1"/>
    <s v="CMC-129"/>
    <x v="1"/>
    <s v="Open"/>
    <x v="205"/>
    <m/>
    <s v="Brazil"/>
    <s v="Southest"/>
    <s v="SP"/>
    <s v="São Paulo"/>
    <s v="Praia Grande"/>
    <s v="Litoral Plaza Shopping"/>
    <x v="1"/>
    <n v="627.08000000000004"/>
  </r>
  <r>
    <n v="1"/>
    <s v="YCM-107"/>
    <x v="2"/>
    <s v="Open"/>
    <x v="206"/>
    <m/>
    <s v="Brazil"/>
    <s v="Midwest"/>
    <s v="DF"/>
    <s v="Distrito Federal"/>
    <s v="Brasília"/>
    <s v="Brasília Shopping"/>
    <x v="1"/>
    <n v="258.29000000000002"/>
  </r>
  <r>
    <n v="1"/>
    <s v="CMC-126"/>
    <x v="1"/>
    <s v="Open"/>
    <x v="207"/>
    <m/>
    <s v="Brazil"/>
    <s v="Southest"/>
    <s v="ES"/>
    <s v="Espírito Santo"/>
    <s v="Vila Velha"/>
    <s v="Shopping Praia da Costa"/>
    <x v="1"/>
    <n v="454.58"/>
  </r>
  <r>
    <n v="1"/>
    <s v="CMC-125"/>
    <x v="1"/>
    <s v="Open"/>
    <x v="208"/>
    <m/>
    <s v="Brazil"/>
    <s v="South"/>
    <s v="RS"/>
    <s v="Rio Grande do Sul"/>
    <s v="Passo Fundo"/>
    <s v="Passo Fundo Shopping"/>
    <x v="1"/>
    <n v="491.65"/>
  </r>
  <r>
    <n v="0"/>
    <s v="CMC-116"/>
    <x v="1"/>
    <s v="Closed"/>
    <x v="209"/>
    <d v="2023-08-31T00:00:00"/>
    <s v="Brazil"/>
    <s v="Northest"/>
    <s v="PE"/>
    <s v="Pernambuco"/>
    <s v="Recife"/>
    <s v="Shopping Tacaruna "/>
    <x v="1"/>
    <n v="0"/>
  </r>
  <r>
    <n v="0"/>
    <s v="CMC-121"/>
    <x v="1"/>
    <s v="Closed"/>
    <x v="210"/>
    <d v="2024-02-26T00:00:00"/>
    <s v="Brazil"/>
    <s v="North"/>
    <s v="PA"/>
    <s v="Pará"/>
    <s v="Belém"/>
    <s v="Shopping Pátio Belém"/>
    <x v="1"/>
    <n v="0"/>
  </r>
  <r>
    <n v="1"/>
    <s v="RNR-11007"/>
    <x v="0"/>
    <s v="Open"/>
    <x v="211"/>
    <m/>
    <s v="Uruguay"/>
    <s v="Uruguay"/>
    <s v="UY"/>
    <s v="Uruguay"/>
    <s v="Montevidéu"/>
    <s v="Shopping Las Piedras"/>
    <x v="1"/>
    <n v="1574.37"/>
  </r>
  <r>
    <n v="1"/>
    <s v="RNR-463"/>
    <x v="0"/>
    <s v="Open"/>
    <x v="212"/>
    <m/>
    <s v="Brazil"/>
    <s v="North"/>
    <s v="PA"/>
    <s v="Pará"/>
    <s v="Santarém"/>
    <s v="Rio Tapajós Shopping"/>
    <x v="1"/>
    <n v="1574"/>
  </r>
  <r>
    <n v="1"/>
    <s v="RNR-458"/>
    <x v="0"/>
    <s v="Open"/>
    <x v="213"/>
    <m/>
    <s v="Brazil"/>
    <s v="South"/>
    <s v="SC"/>
    <s v="Santa Catarina"/>
    <s v="Florianópolis"/>
    <s v="Loja Centro de Floripa"/>
    <x v="0"/>
    <n v="2198.11"/>
  </r>
  <r>
    <n v="1"/>
    <s v="RNR-453"/>
    <x v="0"/>
    <s v="Open"/>
    <x v="214"/>
    <m/>
    <s v="Brazil"/>
    <s v="Midwest"/>
    <s v="DF"/>
    <s v="Distrito Federal"/>
    <s v="Brasília"/>
    <s v="Shopping Conjunto Nacional"/>
    <x v="1"/>
    <n v="1965.82"/>
  </r>
  <r>
    <n v="1"/>
    <s v="RNR-484"/>
    <x v="0"/>
    <s v="Open"/>
    <x v="214"/>
    <m/>
    <s v="Brazil"/>
    <s v="Southest"/>
    <s v="MG"/>
    <s v="Minas Gerais"/>
    <s v="Poços de Caldas"/>
    <s v="Shopping Poços de Caldas"/>
    <x v="1"/>
    <n v="2240.46"/>
  </r>
  <r>
    <n v="1"/>
    <s v="RNR-482"/>
    <x v="0"/>
    <s v="Open"/>
    <x v="215"/>
    <m/>
    <s v="Brazil"/>
    <s v="Southest"/>
    <s v="MG"/>
    <s v="Minas Gerais"/>
    <s v="Barbacena"/>
    <s v="Parque Barbacena Shopping"/>
    <x v="1"/>
    <n v="1568.67"/>
  </r>
  <r>
    <n v="1"/>
    <s v="RNR-430"/>
    <x v="0"/>
    <s v="Open"/>
    <x v="216"/>
    <m/>
    <s v="Brazil"/>
    <s v="Midwest"/>
    <s v="MT"/>
    <s v="Mato Grosso"/>
    <s v="Rondonópolis"/>
    <s v="Rondon Plaza Shopping"/>
    <x v="1"/>
    <n v="2062.9499999999998"/>
  </r>
  <r>
    <n v="1"/>
    <s v="RNR-11006"/>
    <x v="0"/>
    <s v="Open"/>
    <x v="217"/>
    <m/>
    <s v="Uruguay"/>
    <s v="Uruguay"/>
    <s v="UY"/>
    <s v="Uruguay"/>
    <s v="Punta del Este"/>
    <s v="Loja Punta del Este"/>
    <x v="1"/>
    <n v="2282.9499999999998"/>
  </r>
  <r>
    <n v="1"/>
    <s v="RNR-404"/>
    <x v="0"/>
    <s v="Open"/>
    <x v="218"/>
    <m/>
    <s v="Brazil"/>
    <s v="Southest"/>
    <s v="SP"/>
    <s v="São Paulo"/>
    <s v="Praia Grande"/>
    <s v="Litoral Plaza Shopping"/>
    <x v="1"/>
    <n v="2759.24"/>
  </r>
  <r>
    <n v="1"/>
    <s v="YCM-093"/>
    <x v="2"/>
    <s v="Open"/>
    <x v="218"/>
    <m/>
    <s v="Brazil"/>
    <s v="Southest"/>
    <s v="SP"/>
    <s v="São Paulo"/>
    <s v="Praia Grande"/>
    <s v="Shopping Litoral Plaza"/>
    <x v="1"/>
    <n v="206.36"/>
  </r>
  <r>
    <n v="1"/>
    <s v="RNR-478"/>
    <x v="0"/>
    <s v="Open"/>
    <x v="219"/>
    <m/>
    <s v="Brazil"/>
    <s v="South"/>
    <s v="PR"/>
    <s v="Paraná"/>
    <s v="Paranavaí"/>
    <s v="Shopping Cidade Paranavaí"/>
    <x v="1"/>
    <n v="1607.69"/>
  </r>
  <r>
    <n v="1"/>
    <s v="RNR-417"/>
    <x v="0"/>
    <s v="Open"/>
    <x v="220"/>
    <m/>
    <s v="Brazil"/>
    <s v="South"/>
    <s v="RS"/>
    <s v="Rio Grande do Sul"/>
    <s v="Passo Fundo"/>
    <s v="Passo Fundo Shopping"/>
    <x v="1"/>
    <n v="2840"/>
  </r>
  <r>
    <n v="1"/>
    <s v="RNR-473"/>
    <x v="0"/>
    <s v="Open"/>
    <x v="221"/>
    <m/>
    <s v="Brazil"/>
    <s v="Southest"/>
    <s v="SP"/>
    <s v="São Paulo"/>
    <s v="Itu"/>
    <s v="Plaza Shopping Itu"/>
    <x v="1"/>
    <n v="1734.69"/>
  </r>
  <r>
    <n v="1"/>
    <s v="CMC-119"/>
    <x v="1"/>
    <s v="Open"/>
    <x v="222"/>
    <m/>
    <s v="Brazil"/>
    <s v="Midwest"/>
    <s v="MT"/>
    <s v="Mato Grosso"/>
    <s v="Cuiabá"/>
    <s v="Shopping Estação Cuiabá"/>
    <x v="1"/>
    <n v="532.37"/>
  </r>
  <r>
    <n v="1"/>
    <s v="RNR-360"/>
    <x v="0"/>
    <s v="Open"/>
    <x v="222"/>
    <m/>
    <s v="Brazil"/>
    <s v="Midwest"/>
    <s v="MT"/>
    <s v="Mato Grosso"/>
    <s v="Cuiabá"/>
    <s v="Shopping Estação Cuiabá"/>
    <x v="1"/>
    <n v="2921.21"/>
  </r>
  <r>
    <n v="1"/>
    <s v="YCM-091"/>
    <x v="2"/>
    <s v="Open"/>
    <x v="222"/>
    <m/>
    <s v="Brazil"/>
    <s v="Midwest"/>
    <s v="MT"/>
    <s v="Mato Grosso"/>
    <s v="Cuiabá"/>
    <s v="Shopping Estação Cuiabá"/>
    <x v="1"/>
    <n v="192.78"/>
  </r>
  <r>
    <n v="1"/>
    <s v="YCM-105"/>
    <x v="2"/>
    <s v="Open"/>
    <x v="223"/>
    <m/>
    <s v="Brazil"/>
    <s v="South"/>
    <s v="PR"/>
    <s v="Paraná"/>
    <s v="Ponta Grossa"/>
    <s v="Palladium Ponta Grossa"/>
    <x v="1"/>
    <n v="216.81"/>
  </r>
  <r>
    <n v="1"/>
    <s v="YCM-098"/>
    <x v="2"/>
    <s v="Open"/>
    <x v="224"/>
    <m/>
    <s v="Brazil"/>
    <s v="North"/>
    <s v="AM"/>
    <s v="Amazonas"/>
    <s v="Manaus"/>
    <s v="Shopping Manauara"/>
    <x v="1"/>
    <n v="372.79"/>
  </r>
  <r>
    <n v="1"/>
    <s v="RNR-474"/>
    <x v="0"/>
    <s v="Open"/>
    <x v="225"/>
    <m/>
    <s v="Brazil"/>
    <s v="Southest"/>
    <s v="SP"/>
    <s v="São Paulo"/>
    <s v="Itapetininga"/>
    <s v="Itapê Shopping"/>
    <x v="1"/>
    <n v="1755.6599999999999"/>
  </r>
  <r>
    <n v="1"/>
    <s v="ASH-703"/>
    <x v="3"/>
    <s v="Closed"/>
    <x v="226"/>
    <d v="2026-07-12T00:00:00"/>
    <s v="Brazil"/>
    <s v="Southest"/>
    <s v="SP"/>
    <s v="São Paulo"/>
    <s v="São Paulo"/>
    <s v="Shopping Metrô Tucuruvi"/>
    <x v="1"/>
    <n v="172.81"/>
  </r>
  <r>
    <n v="1"/>
    <s v="CMC-123"/>
    <x v="1"/>
    <s v="Open"/>
    <x v="227"/>
    <m/>
    <s v="Brazil"/>
    <s v="Southest"/>
    <s v="MG"/>
    <s v="Minas Gerais"/>
    <s v="Uberaba"/>
    <s v="Uberaba Shopping Center"/>
    <x v="1"/>
    <n v="566.14"/>
  </r>
  <r>
    <n v="1"/>
    <s v="ASH-702"/>
    <x v="3"/>
    <s v="Open"/>
    <x v="228"/>
    <m/>
    <s v="Brazil"/>
    <s v="Southest"/>
    <s v="SP"/>
    <s v="São Paulo"/>
    <s v="São Paulo"/>
    <s v="Shopping Anália Franco"/>
    <x v="1"/>
    <n v="198.1"/>
  </r>
  <r>
    <n v="1"/>
    <s v="RNR-472"/>
    <x v="0"/>
    <s v="Open"/>
    <x v="228"/>
    <m/>
    <s v="Brazil"/>
    <s v="Northest"/>
    <s v="MA"/>
    <s v="Maranhão"/>
    <s v="Imperatriz"/>
    <s v="Shopping Imperial"/>
    <x v="1"/>
    <n v="1788.12"/>
  </r>
  <r>
    <n v="1"/>
    <s v="RNR-373"/>
    <x v="0"/>
    <s v="Open"/>
    <x v="229"/>
    <m/>
    <s v="Brazil"/>
    <s v="Southest"/>
    <s v="RJ"/>
    <s v="Rio de Janeiro"/>
    <s v="Rio de Janeiro"/>
    <s v="Recreio Shopping Center"/>
    <x v="1"/>
    <n v="1861.48"/>
  </r>
  <r>
    <n v="0"/>
    <s v="ASH-701"/>
    <x v="3"/>
    <s v="Closed"/>
    <x v="230"/>
    <d v="2025-09-30T00:00:00"/>
    <s v="Brazil"/>
    <s v="South"/>
    <s v="RS"/>
    <s v="Rio Grande do Sul"/>
    <s v="Porto Alegre"/>
    <s v="Shopping Praia de Belas"/>
    <x v="1"/>
    <n v="0"/>
  </r>
  <r>
    <n v="1"/>
    <s v="RNR-475"/>
    <x v="0"/>
    <s v="Open"/>
    <x v="231"/>
    <m/>
    <s v="Brazil"/>
    <s v="Southest"/>
    <s v="MG"/>
    <s v="Minas Gerais"/>
    <s v="Divinópolis"/>
    <s v="Shopping Pátio Divinópolis"/>
    <x v="1"/>
    <n v="1469.29"/>
  </r>
  <r>
    <n v="0"/>
    <s v="CMC-118"/>
    <x v="1"/>
    <s v="Closed"/>
    <x v="232"/>
    <d v="2024-01-08T00:00:00"/>
    <s v="Brazil"/>
    <s v="Northest"/>
    <s v="PB"/>
    <s v="Paraíba"/>
    <s v="Campina Grande"/>
    <s v="Partage Campina Grande "/>
    <x v="1"/>
    <n v="0"/>
  </r>
  <r>
    <n v="1"/>
    <s v="YCM-101"/>
    <x v="2"/>
    <s v="Open"/>
    <x v="232"/>
    <m/>
    <s v="Brazil"/>
    <s v="South"/>
    <s v="SC"/>
    <s v="Santa Catarina"/>
    <s v="Blumenau"/>
    <s v="Shopping Neumarkt"/>
    <x v="1"/>
    <n v="155.19999999999999"/>
  </r>
  <r>
    <n v="1"/>
    <s v="CMC-112"/>
    <x v="1"/>
    <s v="Open"/>
    <x v="233"/>
    <m/>
    <s v="Brazil"/>
    <s v="Northest"/>
    <s v="SE"/>
    <s v="Sergipe"/>
    <s v="Aracaju"/>
    <s v="Shopping Riomar Aracaju"/>
    <x v="1"/>
    <n v="689.06"/>
  </r>
  <r>
    <n v="1"/>
    <s v="CMC-114"/>
    <x v="1"/>
    <s v="Open"/>
    <x v="234"/>
    <m/>
    <s v="Brazil"/>
    <s v="Southest"/>
    <s v="MG"/>
    <s v="Minas Gerais"/>
    <s v="Belo Horizonte"/>
    <s v="Shopping Del Rey"/>
    <x v="1"/>
    <n v="485.37"/>
  </r>
  <r>
    <n v="1"/>
    <s v="CMC-120"/>
    <x v="1"/>
    <s v="Open"/>
    <x v="235"/>
    <m/>
    <s v="Brazil"/>
    <s v="North"/>
    <s v="AM"/>
    <s v="Amazonas"/>
    <s v="Manaus"/>
    <s v="Shopping Manauara"/>
    <x v="1"/>
    <n v="1054.71"/>
  </r>
  <r>
    <n v="0"/>
    <s v="CMC-122"/>
    <x v="1"/>
    <s v="Closed"/>
    <x v="236"/>
    <d v="2025-08-04T00:00:00"/>
    <s v="Brazil"/>
    <s v="South"/>
    <s v="SC"/>
    <s v="Santa Catarina"/>
    <s v="Joinville"/>
    <s v="Shopping Joinville Garten"/>
    <x v="1"/>
    <n v="0"/>
  </r>
  <r>
    <n v="1"/>
    <s v="YCM-099"/>
    <x v="2"/>
    <s v="Open"/>
    <x v="237"/>
    <m/>
    <s v="Brazil"/>
    <s v="Midwest"/>
    <s v="DF"/>
    <s v="Distrito Federal"/>
    <s v="Brasília"/>
    <s v="Conjunto Nacional"/>
    <x v="1"/>
    <n v="174.8"/>
  </r>
  <r>
    <n v="1"/>
    <s v="YCM-100"/>
    <x v="2"/>
    <s v="Open"/>
    <x v="238"/>
    <m/>
    <s v="Brazil"/>
    <s v="Southest"/>
    <s v="SP"/>
    <s v="São Paulo"/>
    <s v="São Paulo"/>
    <s v="Shopping Metrô Itaquera"/>
    <x v="1"/>
    <n v="275.17"/>
  </r>
  <r>
    <n v="1"/>
    <s v="YCM-097"/>
    <x v="2"/>
    <s v="Open"/>
    <x v="239"/>
    <m/>
    <s v="Brazil"/>
    <s v="Southest"/>
    <s v="SP"/>
    <s v="São Paulo"/>
    <s v="Suzano"/>
    <s v="Suzano Shopping"/>
    <x v="1"/>
    <n v="224.84"/>
  </r>
  <r>
    <n v="0"/>
    <s v="CMC-115"/>
    <x v="1"/>
    <s v="Closed"/>
    <x v="240"/>
    <d v="2026-01-05T00:00:00"/>
    <s v="Brazil"/>
    <s v="North"/>
    <s v="AM"/>
    <s v="Amazonas"/>
    <s v="Manaus"/>
    <s v="Shopping Amazonas"/>
    <x v="1"/>
    <n v="0"/>
  </r>
  <r>
    <n v="1"/>
    <s v="RNR-402"/>
    <x v="0"/>
    <s v="Open"/>
    <x v="241"/>
    <m/>
    <s v="Brazil"/>
    <s v="Northest"/>
    <s v="PE"/>
    <s v="Pernambuco"/>
    <s v="Olinda"/>
    <s v="Shopping Patteo Olinda"/>
    <x v="1"/>
    <n v="3156.28"/>
  </r>
  <r>
    <n v="1"/>
    <s v="RNR-11005"/>
    <x v="0"/>
    <s v="Open"/>
    <x v="242"/>
    <m/>
    <s v="Uruguay"/>
    <s v="Uruguay"/>
    <s v="UY"/>
    <s v="Uruguay"/>
    <s v="Montevidéu"/>
    <s v="Portones Shopping"/>
    <x v="1"/>
    <n v="1942.0099999999998"/>
  </r>
  <r>
    <n v="0"/>
    <s v="RNR-11004"/>
    <x v="0"/>
    <s v="Closed"/>
    <x v="243"/>
    <d v="2020-10-06T00:00:00"/>
    <s v="Uruguay"/>
    <s v="Uruguay"/>
    <s v="UY"/>
    <s v="Uruguay"/>
    <s v="Rivera"/>
    <s v="Shopping Melancia "/>
    <x v="1"/>
    <n v="0"/>
  </r>
  <r>
    <n v="1"/>
    <s v="RNR-455"/>
    <x v="0"/>
    <s v="Open"/>
    <x v="244"/>
    <m/>
    <s v="Brazil"/>
    <s v="Midwest"/>
    <s v="MS"/>
    <s v="Mato Grosso do Sul"/>
    <s v="Dourados"/>
    <s v="Avenida Shopping Dourados"/>
    <x v="1"/>
    <n v="1558"/>
  </r>
  <r>
    <n v="1"/>
    <s v="RNR-457"/>
    <x v="0"/>
    <s v="Open"/>
    <x v="244"/>
    <m/>
    <s v="Brazil"/>
    <s v="Southest"/>
    <s v="SP"/>
    <s v="São Paulo"/>
    <s v="Valinhos"/>
    <s v="Shopping Valinhos"/>
    <x v="1"/>
    <n v="2180.2600000000002"/>
  </r>
  <r>
    <n v="1"/>
    <s v="RNR-416"/>
    <x v="0"/>
    <s v="Open"/>
    <x v="245"/>
    <m/>
    <s v="Brazil"/>
    <s v="Northest"/>
    <s v="PE"/>
    <s v="Pernambuco"/>
    <s v="Camaragibe"/>
    <s v="Camará Shopping Center"/>
    <x v="1"/>
    <n v="2407.0699999999997"/>
  </r>
  <r>
    <n v="1"/>
    <s v="CMC-113"/>
    <x v="1"/>
    <s v="Open"/>
    <x v="246"/>
    <m/>
    <s v="Brazil"/>
    <s v="North"/>
    <s v="RO"/>
    <s v="Rondônia"/>
    <s v="Porto Velho"/>
    <s v="Porto Velho Shopping"/>
    <x v="1"/>
    <n v="812.2"/>
  </r>
  <r>
    <n v="1"/>
    <s v="RNR-448"/>
    <x v="0"/>
    <s v="Open"/>
    <x v="246"/>
    <m/>
    <s v="Brazil"/>
    <s v="South"/>
    <s v="PR"/>
    <s v="Paraná"/>
    <s v="Guarapuava"/>
    <s v="Shopping Cidade dos Lagos"/>
    <x v="1"/>
    <n v="2004.0500000000002"/>
  </r>
  <r>
    <n v="1"/>
    <s v="RNR-450"/>
    <x v="0"/>
    <s v="Open"/>
    <x v="246"/>
    <m/>
    <s v="Brazil"/>
    <s v="Northest"/>
    <s v="BA"/>
    <s v="Bahia"/>
    <s v="Vitória da Conquista"/>
    <s v="Shopping Boulevard Vitória da Conquista"/>
    <x v="1"/>
    <n v="1565.2"/>
  </r>
  <r>
    <n v="1"/>
    <s v="YCM-071"/>
    <x v="2"/>
    <s v="Open"/>
    <x v="246"/>
    <m/>
    <s v="Brazil"/>
    <s v="Midwest"/>
    <s v="DF"/>
    <s v="Distrito Federal"/>
    <s v="Brasília"/>
    <s v="Shopping Boulevard Brasília"/>
    <x v="1"/>
    <n v="145.44"/>
  </r>
  <r>
    <n v="1"/>
    <s v="YCM-028"/>
    <x v="2"/>
    <s v="Open"/>
    <x v="247"/>
    <m/>
    <s v="Brazil"/>
    <s v="Southest"/>
    <s v="SP"/>
    <s v="São Paulo"/>
    <s v="São Caetano"/>
    <s v="ParkShopping São Caetano"/>
    <x v="1"/>
    <n v="266.77"/>
  </r>
  <r>
    <n v="1"/>
    <s v="CMC-117"/>
    <x v="1"/>
    <s v="Open"/>
    <x v="248"/>
    <m/>
    <s v="Brazil"/>
    <s v="Southest"/>
    <s v="RJ"/>
    <s v="Rio de Janeiro"/>
    <s v="Rio de Janeiro"/>
    <s v="Shopping Tijuca"/>
    <x v="1"/>
    <n v="559.85"/>
  </r>
  <r>
    <n v="1"/>
    <s v="YCM-096"/>
    <x v="2"/>
    <s v="Open"/>
    <x v="249"/>
    <m/>
    <s v="Brazil"/>
    <s v="South"/>
    <s v="SC"/>
    <s v="Santa Catarina"/>
    <s v="Florianópolis"/>
    <s v="Shopping Villa Romana"/>
    <x v="1"/>
    <n v="236.49"/>
  </r>
  <r>
    <n v="1"/>
    <s v="YCM-094"/>
    <x v="2"/>
    <s v="Open"/>
    <x v="250"/>
    <m/>
    <s v="Brazil"/>
    <s v="Midwest"/>
    <s v="GO"/>
    <s v="Goiás"/>
    <s v="Goiânia"/>
    <s v="Shopping Buriti"/>
    <x v="1"/>
    <n v="227"/>
  </r>
  <r>
    <n v="1"/>
    <s v="YCM-095"/>
    <x v="2"/>
    <s v="Open"/>
    <x v="250"/>
    <m/>
    <s v="Brazil"/>
    <s v="Northest"/>
    <s v="BA"/>
    <s v="Bahia"/>
    <s v="Salvador"/>
    <s v="Salvador Shopping"/>
    <x v="1"/>
    <n v="232.01999999999998"/>
  </r>
  <r>
    <n v="1"/>
    <s v="RNR-447"/>
    <x v="0"/>
    <s v="Open"/>
    <x v="251"/>
    <m/>
    <s v="Brazil"/>
    <s v="Northest"/>
    <s v="PI"/>
    <s v="Piauí"/>
    <s v="Parnaíba"/>
    <s v="Parnaíba Shopping"/>
    <x v="1"/>
    <n v="1906.46"/>
  </r>
  <r>
    <n v="1"/>
    <s v="YCM-092"/>
    <x v="2"/>
    <s v="Open"/>
    <x v="252"/>
    <m/>
    <s v="Brazil"/>
    <s v="Midwest"/>
    <s v="GO"/>
    <s v="Goiás"/>
    <s v="Goiânia"/>
    <s v="Shopping Goiânia"/>
    <x v="1"/>
    <n v="288.58999999999997"/>
  </r>
  <r>
    <n v="1"/>
    <s v="YCM-090"/>
    <x v="2"/>
    <s v="Open"/>
    <x v="253"/>
    <m/>
    <s v="Brazil"/>
    <s v="Southest"/>
    <s v="MG"/>
    <s v="Minas Gerais"/>
    <s v="Varginha"/>
    <s v="Via Café Shopping"/>
    <x v="1"/>
    <n v="169.21"/>
  </r>
  <r>
    <n v="1"/>
    <s v="YCM-082"/>
    <x v="2"/>
    <s v="Open"/>
    <x v="254"/>
    <m/>
    <s v="Brazil"/>
    <s v="South"/>
    <s v="SC"/>
    <s v="Santa Catarina"/>
    <s v="Chapecó"/>
    <s v="Shopping Pátio Chapecó"/>
    <x v="1"/>
    <n v="284.42"/>
  </r>
  <r>
    <n v="1"/>
    <s v="RNR-405"/>
    <x v="0"/>
    <s v="Open"/>
    <x v="255"/>
    <m/>
    <s v="Brazil"/>
    <s v="North"/>
    <s v="PA"/>
    <s v="Pará"/>
    <s v="Ananindeua"/>
    <s v="Shopping Metrópole Ananindeua"/>
    <x v="1"/>
    <n v="2896.65"/>
  </r>
  <r>
    <n v="1"/>
    <s v="RNR-11003"/>
    <x v="0"/>
    <s v="Open"/>
    <x v="256"/>
    <m/>
    <s v="Uruguay"/>
    <s v="Uruguay"/>
    <s v="UY"/>
    <s v="Uruguay"/>
    <s v="Montevidéu"/>
    <s v="Shopping Costa Urbana"/>
    <x v="1"/>
    <n v="2004"/>
  </r>
  <r>
    <n v="1"/>
    <s v="YCM-089"/>
    <x v="2"/>
    <s v="Open"/>
    <x v="257"/>
    <m/>
    <s v="Brazil"/>
    <s v="South"/>
    <s v="PR"/>
    <s v="Paraná"/>
    <s v="Curitiba"/>
    <s v="Shopping Estação Curitiba"/>
    <x v="1"/>
    <n v="253.88"/>
  </r>
  <r>
    <n v="1"/>
    <s v="RNR-385"/>
    <x v="0"/>
    <s v="Open"/>
    <x v="258"/>
    <m/>
    <s v="Brazil"/>
    <s v="Midwest"/>
    <s v="DF"/>
    <s v="Distrito Federal"/>
    <s v="Brasília"/>
    <s v="Shopping DF Plaza"/>
    <x v="1"/>
    <n v="1769.66"/>
  </r>
  <r>
    <n v="1"/>
    <s v="CMC-111"/>
    <x v="1"/>
    <s v="Open"/>
    <x v="259"/>
    <m/>
    <s v="Brazil"/>
    <s v="South"/>
    <s v="RS"/>
    <s v="Rio Grande do Sul"/>
    <s v="Canoas"/>
    <s v="ParkShopping Canoas"/>
    <x v="1"/>
    <n v="454.18"/>
  </r>
  <r>
    <n v="1"/>
    <s v="RNR-11002"/>
    <x v="0"/>
    <s v="Open"/>
    <x v="259"/>
    <m/>
    <s v="Uruguay"/>
    <s v="Uruguay"/>
    <s v="UY"/>
    <s v="Uruguay"/>
    <s v="Montevidéu"/>
    <s v="Punta Carretas Shopping"/>
    <x v="1"/>
    <n v="2021"/>
  </r>
  <r>
    <n v="1"/>
    <s v="RNR-395"/>
    <x v="0"/>
    <s v="Open"/>
    <x v="259"/>
    <m/>
    <s v="Brazil"/>
    <s v="South"/>
    <s v="RS"/>
    <s v="Rio Grande do Sul"/>
    <s v="Canoas"/>
    <s v="ParkShopping Canoas"/>
    <x v="1"/>
    <n v="3874"/>
  </r>
  <r>
    <n v="1"/>
    <s v="YCM-079"/>
    <x v="2"/>
    <s v="Open"/>
    <x v="259"/>
    <m/>
    <s v="Brazil"/>
    <s v="South"/>
    <s v="RS"/>
    <s v="Rio Grande do Sul"/>
    <s v="Canoas"/>
    <s v="ParkShopping Canoas"/>
    <x v="1"/>
    <n v="204.09"/>
  </r>
  <r>
    <n v="1"/>
    <s v="YCM-086"/>
    <x v="2"/>
    <s v="Open"/>
    <x v="259"/>
    <m/>
    <s v="Brazil"/>
    <s v="Southest"/>
    <s v="SP"/>
    <s v="São Paulo"/>
    <s v="Guarujá"/>
    <s v="Shopping La Plage"/>
    <x v="1"/>
    <n v="254.85"/>
  </r>
  <r>
    <n v="1"/>
    <s v="RNR-439"/>
    <x v="0"/>
    <s v="Open"/>
    <x v="260"/>
    <m/>
    <s v="Brazil"/>
    <s v="Southest"/>
    <s v="SP"/>
    <s v="São Paulo"/>
    <s v="São Paulo"/>
    <s v="Shopping Jardim Pamplona"/>
    <x v="1"/>
    <n v="1222.23"/>
  </r>
  <r>
    <n v="1"/>
    <s v="YCM-088"/>
    <x v="2"/>
    <s v="Open"/>
    <x v="260"/>
    <m/>
    <s v="Brazil"/>
    <s v="Southest"/>
    <s v="SP"/>
    <s v="São Paulo"/>
    <s v="Guarulhos"/>
    <s v="Shopping Internacional Guarulhos"/>
    <x v="1"/>
    <n v="237.64"/>
  </r>
  <r>
    <n v="1"/>
    <s v="YCM-087"/>
    <x v="2"/>
    <s v="Open"/>
    <x v="261"/>
    <m/>
    <s v="Brazil"/>
    <s v="Southest"/>
    <s v="SP"/>
    <s v="São Paulo"/>
    <s v="Taubaté"/>
    <s v="Taubaté Shopping"/>
    <x v="1"/>
    <n v="194"/>
  </r>
  <r>
    <n v="1"/>
    <s v="RNR-443"/>
    <x v="0"/>
    <s v="Open"/>
    <x v="262"/>
    <m/>
    <s v="Brazil"/>
    <s v="Southest"/>
    <s v="SP"/>
    <s v="São Paulo"/>
    <s v="São Paulo"/>
    <s v="Shopping Iguatemi JK"/>
    <x v="1"/>
    <n v="1958.02"/>
  </r>
  <r>
    <n v="1"/>
    <s v="RNR-451"/>
    <x v="0"/>
    <s v="Open"/>
    <x v="263"/>
    <m/>
    <s v="Brazil"/>
    <s v="North"/>
    <s v="PA"/>
    <s v="Pará"/>
    <s v="Belém"/>
    <s v="Shopping Castanheira"/>
    <x v="1"/>
    <n v="2853.03"/>
  </r>
  <r>
    <n v="1"/>
    <s v="RNR-449"/>
    <x v="0"/>
    <s v="Open"/>
    <x v="264"/>
    <m/>
    <s v="Brazil"/>
    <s v="South"/>
    <s v="RS"/>
    <s v="Rio Grande do Sul"/>
    <s v="Porto Alegre"/>
    <s v="Shopping Porto Alegre CenterLar"/>
    <x v="1"/>
    <n v="1670.68"/>
  </r>
  <r>
    <n v="1"/>
    <s v="RNR-291"/>
    <x v="0"/>
    <s v="Open"/>
    <x v="265"/>
    <m/>
    <s v="Brazil"/>
    <s v="Southest"/>
    <s v="SP"/>
    <s v="São Paulo"/>
    <s v="São Paulo"/>
    <s v="Shopping Metrô Itaquera"/>
    <x v="1"/>
    <n v="3427.09"/>
  </r>
  <r>
    <n v="1"/>
    <s v="RNR-426"/>
    <x v="0"/>
    <s v="Open"/>
    <x v="266"/>
    <m/>
    <s v="Brazil"/>
    <s v="Southest"/>
    <s v="MG"/>
    <s v="Minas Gerais"/>
    <s v="Belo Horizonte"/>
    <s v="Pátio Savassi"/>
    <x v="1"/>
    <n v="1216"/>
  </r>
  <r>
    <n v="1"/>
    <s v="YCM-080"/>
    <x v="2"/>
    <s v="Open"/>
    <x v="266"/>
    <m/>
    <s v="Brazil"/>
    <s v="South"/>
    <s v="PR"/>
    <s v="Paraná"/>
    <s v="Maringá"/>
    <s v="Shopping Catuaí Maringá"/>
    <x v="1"/>
    <n v="222.23"/>
  </r>
  <r>
    <n v="1"/>
    <s v="CMC-110"/>
    <x v="1"/>
    <s v="Open"/>
    <x v="267"/>
    <m/>
    <s v="Brazil"/>
    <s v="Southest"/>
    <s v="MG"/>
    <s v="Minas Gerais"/>
    <s v="Belo Horizonte"/>
    <s v="Shopping Diamond"/>
    <x v="1"/>
    <n v="489.77"/>
  </r>
  <r>
    <n v="1"/>
    <s v="YCM-081"/>
    <x v="2"/>
    <s v="Open"/>
    <x v="267"/>
    <m/>
    <s v="Brazil"/>
    <s v="Southest"/>
    <s v="SP"/>
    <s v="São Paulo"/>
    <s v="Indaiatuba"/>
    <s v="Polo Shopping Indaiatuba"/>
    <x v="1"/>
    <n v="238.85"/>
  </r>
  <r>
    <n v="1"/>
    <s v="YCM-076"/>
    <x v="2"/>
    <s v="Open"/>
    <x v="268"/>
    <m/>
    <s v="Brazil"/>
    <s v="South"/>
    <s v="SC"/>
    <s v="Santa Catarina"/>
    <s v="Itajaí"/>
    <s v="Itajaí Shopping"/>
    <x v="1"/>
    <n v="181.76"/>
  </r>
  <r>
    <n v="1"/>
    <s v="RNR-444"/>
    <x v="0"/>
    <s v="Open"/>
    <x v="269"/>
    <m/>
    <s v="Brazil"/>
    <s v="Northest"/>
    <s v="CE"/>
    <s v="Ceará"/>
    <s v="Fortaleza"/>
    <s v="Shopping Via Sul"/>
    <x v="1"/>
    <n v="1561.1399999999999"/>
  </r>
  <r>
    <n v="1"/>
    <s v="YCM-084"/>
    <x v="2"/>
    <s v="Open"/>
    <x v="270"/>
    <m/>
    <s v="Brazil"/>
    <s v="Southest"/>
    <s v="SP"/>
    <s v="São Paulo"/>
    <s v="São Paulo"/>
    <s v="Shopping Metrô Santa Cruz"/>
    <x v="1"/>
    <n v="234.41"/>
  </r>
  <r>
    <n v="1"/>
    <s v="RNR-321"/>
    <x v="0"/>
    <s v="Open"/>
    <x v="271"/>
    <m/>
    <s v="Brazil"/>
    <s v="Northest"/>
    <s v="MA"/>
    <s v="Maranhão"/>
    <s v="São Luís"/>
    <s v="Shopping Golden Calhau"/>
    <x v="1"/>
    <n v="1689.23"/>
  </r>
  <r>
    <n v="1"/>
    <s v="RNR-371"/>
    <x v="0"/>
    <s v="Open"/>
    <x v="271"/>
    <m/>
    <s v="Brazil"/>
    <s v="Southest"/>
    <s v="MG"/>
    <s v="Minas Gerais"/>
    <s v="Belo Horizonte"/>
    <s v="Via Barreiro Shopping"/>
    <x v="1"/>
    <n v="2338.12"/>
  </r>
  <r>
    <n v="1"/>
    <s v="YCM-085"/>
    <x v="2"/>
    <s v="Open"/>
    <x v="271"/>
    <m/>
    <s v="Brazil"/>
    <s v="South"/>
    <s v="RS"/>
    <s v="Rio Grande do Sul"/>
    <s v="Santa Maria"/>
    <s v="Shopping Praça Nova Santa Maria"/>
    <x v="1"/>
    <n v="168.6"/>
  </r>
  <r>
    <n v="1"/>
    <s v="YCM-083"/>
    <x v="2"/>
    <s v="Open"/>
    <x v="272"/>
    <m/>
    <s v="Brazil"/>
    <s v="Southest"/>
    <s v="SP"/>
    <s v="São Paulo"/>
    <s v="São Paulo"/>
    <s v="Shopping Metrô Tatuapé"/>
    <x v="1"/>
    <n v="247.11"/>
  </r>
  <r>
    <n v="1"/>
    <s v="RNR-432"/>
    <x v="0"/>
    <s v="Open"/>
    <x v="273"/>
    <m/>
    <s v="Brazil"/>
    <s v="South"/>
    <s v="RS"/>
    <s v="Rio Grande do Sul"/>
    <s v="Gramado"/>
    <s v="Loja de Gramado"/>
    <x v="0"/>
    <n v="1789"/>
  </r>
  <r>
    <n v="1"/>
    <s v="RNR-11001"/>
    <x v="0"/>
    <s v="Open"/>
    <x v="274"/>
    <m/>
    <s v="Uruguay"/>
    <s v="Uruguay"/>
    <s v="UY"/>
    <s v="Uruguay"/>
    <s v="Montevidéu"/>
    <s v="Loja 18 de Julio"/>
    <x v="0"/>
    <n v="3806"/>
  </r>
  <r>
    <n v="1"/>
    <s v="YCM-078"/>
    <x v="2"/>
    <s v="Open"/>
    <x v="275"/>
    <m/>
    <s v="Brazil"/>
    <s v="South"/>
    <s v="PR"/>
    <s v="Paraná"/>
    <s v="Londrina"/>
    <s v="Shopping Catuaí Londrina"/>
    <x v="1"/>
    <n v="211.93"/>
  </r>
  <r>
    <n v="1"/>
    <s v="RNR-361"/>
    <x v="0"/>
    <s v="Open"/>
    <x v="276"/>
    <m/>
    <s v="Brazil"/>
    <s v="South"/>
    <s v="RS"/>
    <s v="Rio Grande do Sul"/>
    <s v="Santa Maria"/>
    <s v="Praça Nova Santa Maria"/>
    <x v="1"/>
    <n v="2391.54"/>
  </r>
  <r>
    <n v="1"/>
    <s v="YCM-077"/>
    <x v="2"/>
    <s v="Open"/>
    <x v="277"/>
    <m/>
    <s v="Brazil"/>
    <s v="South"/>
    <s v="RS"/>
    <s v="Rio Grande do Sul"/>
    <s v="São Leopoldo"/>
    <s v="Bourbon São Leopoldo"/>
    <x v="1"/>
    <n v="174.33"/>
  </r>
  <r>
    <n v="1"/>
    <s v="RNR-366"/>
    <x v="0"/>
    <s v="Open"/>
    <x v="278"/>
    <m/>
    <s v="Brazil"/>
    <s v="Southest"/>
    <s v="SP"/>
    <s v="São Paulo"/>
    <s v="São Paulo"/>
    <s v="Loja Domingos de Moraes"/>
    <x v="0"/>
    <n v="4182.22"/>
  </r>
  <r>
    <n v="1"/>
    <s v="CMC-109"/>
    <x v="1"/>
    <s v="Open"/>
    <x v="279"/>
    <m/>
    <s v="Brazil"/>
    <s v="Southest"/>
    <s v="RJ"/>
    <s v="Rio de Janeiro"/>
    <s v="Rio de Janeiro"/>
    <s v="Shopping Rio Design Barra "/>
    <x v="1"/>
    <n v="558.96"/>
  </r>
  <r>
    <n v="1"/>
    <s v="YCM-075"/>
    <x v="2"/>
    <s v="Open"/>
    <x v="280"/>
    <m/>
    <s v="Brazil"/>
    <s v="Southest"/>
    <s v="SP"/>
    <s v="São Paulo"/>
    <s v="Santos"/>
    <s v="Shopping Miramar"/>
    <x v="1"/>
    <n v="292.39"/>
  </r>
  <r>
    <n v="1"/>
    <s v="RNR-351"/>
    <x v="0"/>
    <s v="Open"/>
    <x v="281"/>
    <m/>
    <s v="Brazil"/>
    <s v="North"/>
    <s v="PA"/>
    <s v="Pará"/>
    <s v="Belém"/>
    <s v="Shopping Pátio Belém"/>
    <x v="1"/>
    <n v="2530.85"/>
  </r>
  <r>
    <n v="1"/>
    <s v="CMC-094"/>
    <x v="1"/>
    <s v="Open"/>
    <x v="282"/>
    <m/>
    <s v="Brazil"/>
    <s v="Southest"/>
    <s v="SP"/>
    <s v="São Paulo"/>
    <s v="São Paulo"/>
    <s v="Jardim Pamplona Shopping"/>
    <x v="1"/>
    <n v="394.82"/>
  </r>
  <r>
    <n v="1"/>
    <s v="RNR-433"/>
    <x v="0"/>
    <s v="Open"/>
    <x v="283"/>
    <m/>
    <s v="Brazil"/>
    <s v="South"/>
    <s v="RS"/>
    <s v="Rio Grande do Sul"/>
    <s v="Santa Cruz do Sul"/>
    <s v="Loja Santa Cruz do Sul"/>
    <x v="0"/>
    <n v="1585"/>
  </r>
  <r>
    <n v="0"/>
    <s v="CMC-104"/>
    <x v="1"/>
    <s v="Closed"/>
    <x v="284"/>
    <d v="2026-06-01T00:00:00"/>
    <s v="Brazil"/>
    <s v="Northest"/>
    <s v="AL"/>
    <s v="Alagoas"/>
    <s v="Maceió"/>
    <s v="Maceió Shopping"/>
    <x v="1"/>
    <n v="0"/>
  </r>
  <r>
    <n v="0"/>
    <s v="RNR-421"/>
    <x v="0"/>
    <s v="Closed"/>
    <x v="285"/>
    <d v="2024-03-08T00:00:00"/>
    <s v="Brazil"/>
    <s v="Northest"/>
    <s v="PI"/>
    <s v="Piauí"/>
    <s v="Teresina"/>
    <s v="Loja Centro de Teresina"/>
    <x v="0"/>
    <n v="0"/>
  </r>
  <r>
    <n v="1"/>
    <s v="RNR-434"/>
    <x v="0"/>
    <s v="Open"/>
    <x v="285"/>
    <m/>
    <s v="Brazil"/>
    <s v="Southest"/>
    <s v="SP"/>
    <s v="São Paulo"/>
    <s v="São Paulo"/>
    <s v="Shopping Butantã"/>
    <x v="1"/>
    <n v="1713.15"/>
  </r>
  <r>
    <n v="1"/>
    <s v="YCM-073"/>
    <x v="2"/>
    <s v="Open"/>
    <x v="286"/>
    <m/>
    <s v="Brazil"/>
    <s v="Southest"/>
    <s v="MG"/>
    <s v="Minas Gerais"/>
    <s v="Belo Horizonte"/>
    <s v="BH Shopping"/>
    <x v="1"/>
    <n v="236.91"/>
  </r>
  <r>
    <n v="1"/>
    <s v="CMC-108"/>
    <x v="1"/>
    <s v="Open"/>
    <x v="287"/>
    <m/>
    <s v="Brazil"/>
    <s v="Northest"/>
    <s v="RN"/>
    <s v="Rio Grande do Norte"/>
    <s v="Natal"/>
    <s v="Midway Mall Natal"/>
    <x v="1"/>
    <n v="786.24"/>
  </r>
  <r>
    <n v="1"/>
    <s v="RNR-374"/>
    <x v="0"/>
    <s v="Open"/>
    <x v="288"/>
    <m/>
    <s v="Brazil"/>
    <s v="Northest"/>
    <s v="BA"/>
    <s v="Bahia"/>
    <s v="Itabuna"/>
    <s v="Shopping Jequitibá Itabuna"/>
    <x v="1"/>
    <n v="2412.0500000000002"/>
  </r>
  <r>
    <n v="1"/>
    <s v="RNR-440"/>
    <x v="0"/>
    <s v="Open"/>
    <x v="289"/>
    <m/>
    <s v="Brazil"/>
    <s v="South"/>
    <s v="RS"/>
    <s v="Rio Grande do Sul"/>
    <s v="Guaíba"/>
    <s v="Loja de Guaíba"/>
    <x v="0"/>
    <n v="1881"/>
  </r>
  <r>
    <n v="1"/>
    <s v="YCM-074"/>
    <x v="2"/>
    <s v="Open"/>
    <x v="289"/>
    <m/>
    <s v="Brazil"/>
    <s v="South"/>
    <s v="RS"/>
    <s v="Rio Grande do Sul"/>
    <s v="Porto Alegre"/>
    <s v="Shopping Total"/>
    <x v="1"/>
    <n v="231"/>
  </r>
  <r>
    <n v="0"/>
    <s v="CMC-101"/>
    <x v="1"/>
    <s v="Closed"/>
    <x v="290"/>
    <d v="2023-02-27T00:00:00"/>
    <s v="Brazil"/>
    <s v="Northest"/>
    <s v="SE"/>
    <s v="Sergipe"/>
    <s v="Aracaju"/>
    <s v="Shopping Jardins Aracaju "/>
    <x v="1"/>
    <n v="0"/>
  </r>
  <r>
    <n v="1"/>
    <s v="YCM-069"/>
    <x v="2"/>
    <s v="Open"/>
    <x v="290"/>
    <m/>
    <s v="Brazil"/>
    <s v="Southest"/>
    <s v="MG"/>
    <s v="Minas Gerais"/>
    <s v="Juiz de Fora"/>
    <s v="Shopping Independência"/>
    <x v="1"/>
    <n v="172.93"/>
  </r>
  <r>
    <n v="1"/>
    <s v="CMC-105"/>
    <x v="1"/>
    <s v="Open"/>
    <x v="291"/>
    <m/>
    <s v="Brazil"/>
    <s v="Southest"/>
    <s v="MG"/>
    <s v="Minas Gerais"/>
    <s v="Juiz de Fora"/>
    <s v="Independência Shopping"/>
    <x v="1"/>
    <n v="519"/>
  </r>
  <r>
    <n v="0"/>
    <s v="CMC-096"/>
    <x v="1"/>
    <s v="Closed"/>
    <x v="292"/>
    <d v="2026-06-01T00:00:00"/>
    <s v="Brazil"/>
    <s v="Southest"/>
    <s v="RJ"/>
    <s v="Rio de Janeiro"/>
    <s v="Rio de Janeiro"/>
    <s v="Casa &amp; Gourmet Shopping"/>
    <x v="1"/>
    <n v="0"/>
  </r>
  <r>
    <n v="1"/>
    <s v="YCM-072"/>
    <x v="2"/>
    <s v="Open"/>
    <x v="293"/>
    <m/>
    <s v="Brazil"/>
    <s v="South"/>
    <s v="SC"/>
    <s v="Santa Catarina"/>
    <s v="Jaraguá do Sul"/>
    <s v="Jaraguá do Sul Park Shopping"/>
    <x v="1"/>
    <n v="222.45"/>
  </r>
  <r>
    <n v="1"/>
    <s v="CMC-106"/>
    <x v="1"/>
    <s v="Open"/>
    <x v="294"/>
    <m/>
    <s v="Brazil"/>
    <s v="South"/>
    <s v="PR"/>
    <s v="Paraná"/>
    <s v="Curitiba"/>
    <s v="Pátio Batel"/>
    <x v="1"/>
    <n v="451.45"/>
  </r>
  <r>
    <n v="1"/>
    <s v="RNR-345"/>
    <x v="0"/>
    <s v="Open"/>
    <x v="295"/>
    <m/>
    <s v="Brazil"/>
    <s v="Southest"/>
    <s v="RJ"/>
    <s v="Rio de Janeiro"/>
    <s v="Nova Iguaçu"/>
    <s v="Top Shopping"/>
    <x v="1"/>
    <n v="1617.49"/>
  </r>
  <r>
    <n v="1"/>
    <s v="CMC-107"/>
    <x v="1"/>
    <s v="Open"/>
    <x v="296"/>
    <m/>
    <s v="Brazil"/>
    <s v="Northest"/>
    <s v="BA"/>
    <s v="Bahia"/>
    <s v="Salvador"/>
    <s v="Shopping Barra Salvador"/>
    <x v="1"/>
    <n v="370.39"/>
  </r>
  <r>
    <n v="1"/>
    <s v="CMC-084"/>
    <x v="1"/>
    <s v="Open"/>
    <x v="297"/>
    <m/>
    <s v="Brazil"/>
    <s v="Northest"/>
    <s v="BA"/>
    <s v="Bahia"/>
    <s v="Salvador"/>
    <s v="Shopping Paralela"/>
    <x v="1"/>
    <n v="574.36"/>
  </r>
  <r>
    <n v="0"/>
    <s v="YCM-070"/>
    <x v="2"/>
    <s v="Closed"/>
    <x v="297"/>
    <d v="2022-10-01T00:00:00"/>
    <s v="Brazil"/>
    <s v="South"/>
    <s v="RS"/>
    <s v="Rio Grande do Sul"/>
    <s v="Passo Fundo "/>
    <s v="Shopping Bella Città "/>
    <x v="1"/>
    <n v="0"/>
  </r>
  <r>
    <n v="1"/>
    <s v="RNR-396"/>
    <x v="0"/>
    <s v="Open"/>
    <x v="298"/>
    <m/>
    <s v="Brazil"/>
    <s v="Southest"/>
    <s v="SP"/>
    <s v="São Paulo"/>
    <s v="Itaquaquecetuba"/>
    <s v="Itaquá Garden"/>
    <x v="1"/>
    <n v="1899.92"/>
  </r>
  <r>
    <n v="0"/>
    <s v="CMC-088"/>
    <x v="1"/>
    <s v="Closed"/>
    <x v="299"/>
    <d v="2023-03-20T00:00:00"/>
    <s v="Brazil"/>
    <s v="Northest"/>
    <s v="PI"/>
    <s v="Piauí"/>
    <s v="Teresina"/>
    <s v="Teresina Shopping "/>
    <x v="1"/>
    <n v="0"/>
  </r>
  <r>
    <n v="1"/>
    <s v="CMC-103"/>
    <x v="1"/>
    <s v="Open"/>
    <x v="300"/>
    <m/>
    <s v="Brazil"/>
    <s v="Southest"/>
    <s v="SP"/>
    <s v="São Paulo"/>
    <s v="Barueri"/>
    <s v="Shopping Iguatemi Alphaville"/>
    <x v="1"/>
    <n v="431.43"/>
  </r>
  <r>
    <n v="1"/>
    <s v="RNR-441"/>
    <x v="0"/>
    <s v="Open"/>
    <x v="301"/>
    <m/>
    <s v="Brazil"/>
    <s v="Southest"/>
    <s v="SP"/>
    <s v="São Paulo"/>
    <s v="Barueri"/>
    <s v="Iguatemi Alphaville"/>
    <x v="1"/>
    <n v="1755.75"/>
  </r>
  <r>
    <n v="1"/>
    <s v="YCM-068"/>
    <x v="2"/>
    <s v="Open"/>
    <x v="301"/>
    <m/>
    <s v="Brazil"/>
    <s v="Southest"/>
    <s v="MG"/>
    <s v="Minas Gerais"/>
    <s v="Uberlândia"/>
    <s v="Center Shopping Uberlândia"/>
    <x v="1"/>
    <n v="179.06"/>
  </r>
  <r>
    <n v="1"/>
    <s v="CMC-102"/>
    <x v="1"/>
    <s v="Open"/>
    <x v="302"/>
    <m/>
    <s v="Brazil"/>
    <s v="South"/>
    <s v="RS"/>
    <s v="Rio Grande do Sul"/>
    <s v="Caxias do Sul"/>
    <s v="Shopping Iguatemi Caxias "/>
    <x v="1"/>
    <n v="448.51"/>
  </r>
  <r>
    <n v="1"/>
    <s v="YCM-064"/>
    <x v="2"/>
    <s v="Open"/>
    <x v="302"/>
    <m/>
    <s v="Brazil"/>
    <s v="South"/>
    <s v="SC"/>
    <s v="Santa Catarina"/>
    <s v="São José"/>
    <s v="Continente Park Shopping"/>
    <x v="1"/>
    <n v="195.75"/>
  </r>
  <r>
    <n v="1"/>
    <s v="RNR-431"/>
    <x v="0"/>
    <s v="Open"/>
    <x v="303"/>
    <m/>
    <s v="Brazil"/>
    <s v="Southest"/>
    <s v="ES"/>
    <s v="Espírito Santo"/>
    <s v="Linhares"/>
    <s v="Pátio Mix Linhares"/>
    <x v="1"/>
    <n v="1477"/>
  </r>
  <r>
    <n v="1"/>
    <s v="RNR-437"/>
    <x v="0"/>
    <s v="Open"/>
    <x v="304"/>
    <m/>
    <s v="Brazil"/>
    <s v="Southest"/>
    <s v="MG"/>
    <s v="Minas Gerais"/>
    <s v="Governador Valadares"/>
    <s v="GV Shopping"/>
    <x v="1"/>
    <n v="2057.5500000000002"/>
  </r>
  <r>
    <n v="1"/>
    <s v="RNR-438"/>
    <x v="0"/>
    <s v="Open"/>
    <x v="304"/>
    <m/>
    <s v="Brazil"/>
    <s v="North"/>
    <s v="PA"/>
    <s v="Pará"/>
    <s v="Parauapebas"/>
    <s v="Partage Shopping Parauapebas"/>
    <x v="1"/>
    <n v="1678.43"/>
  </r>
  <r>
    <n v="0"/>
    <s v="YCM-066"/>
    <x v="2"/>
    <s v="Closed"/>
    <x v="305"/>
    <d v="2020-01-12T00:00:00"/>
    <s v="Brazil"/>
    <s v="Southest"/>
    <s v="SP"/>
    <s v="São Paulo"/>
    <s v="São Paulo"/>
    <s v="Shopping Center Penha "/>
    <x v="1"/>
    <n v="0"/>
  </r>
  <r>
    <n v="1"/>
    <s v="YCM-065"/>
    <x v="2"/>
    <s v="Open"/>
    <x v="305"/>
    <m/>
    <s v="Brazil"/>
    <s v="South"/>
    <s v="SC"/>
    <s v="Santa Catarina"/>
    <s v="Joinville"/>
    <s v="Joinville Garten Shopping"/>
    <x v="1"/>
    <n v="207"/>
  </r>
  <r>
    <n v="1"/>
    <s v="YCM-063"/>
    <x v="2"/>
    <s v="Open"/>
    <x v="306"/>
    <m/>
    <s v="Brazil"/>
    <s v="South"/>
    <s v="SC"/>
    <s v="Santa Catarina"/>
    <s v="Criciúma"/>
    <s v="Shopping Nações Criciúma"/>
    <x v="1"/>
    <n v="230"/>
  </r>
  <r>
    <n v="1"/>
    <s v="YCM-060"/>
    <x v="2"/>
    <s v="Open"/>
    <x v="307"/>
    <m/>
    <s v="Brazil"/>
    <s v="Southest"/>
    <s v="SP"/>
    <s v="São Paulo"/>
    <s v="São Bernardo do Campo"/>
    <s v="Shopping Metrópole"/>
    <x v="1"/>
    <n v="168.6"/>
  </r>
  <r>
    <n v="1"/>
    <s v="CMC-075"/>
    <x v="1"/>
    <s v="Open"/>
    <x v="308"/>
    <m/>
    <s v="Brazil"/>
    <s v="Northest"/>
    <s v="PB"/>
    <s v="Paraíba"/>
    <s v="João Pessoa"/>
    <s v="Shopping Manaíra"/>
    <x v="1"/>
    <n v="632.38"/>
  </r>
  <r>
    <n v="1"/>
    <s v="YCM-067"/>
    <x v="2"/>
    <s v="Open"/>
    <x v="309"/>
    <m/>
    <s v="Brazil"/>
    <s v="Southest"/>
    <s v="SP"/>
    <s v="São Paulo"/>
    <s v="Campinas"/>
    <s v="Parque Dom Pedro"/>
    <x v="1"/>
    <n v="263.27"/>
  </r>
  <r>
    <n v="1"/>
    <s v="RNR-436"/>
    <x v="0"/>
    <s v="Open"/>
    <x v="310"/>
    <m/>
    <s v="Brazil"/>
    <s v="Northest"/>
    <s v="CE"/>
    <s v="Ceará"/>
    <s v="Fortaleza"/>
    <s v="Grand Shopping Messejana"/>
    <x v="1"/>
    <n v="1995.23"/>
  </r>
  <r>
    <n v="1"/>
    <s v="CMC-095"/>
    <x v="1"/>
    <s v="Open"/>
    <x v="311"/>
    <m/>
    <s v="Brazil"/>
    <s v="South"/>
    <s v="PR"/>
    <s v="Paraná"/>
    <s v="Maringá"/>
    <s v="Shopping Maringá Park"/>
    <x v="1"/>
    <n v="567.80999999999995"/>
  </r>
  <r>
    <n v="1"/>
    <s v="YCM-057"/>
    <x v="2"/>
    <s v="Open"/>
    <x v="311"/>
    <m/>
    <s v="Brazil"/>
    <s v="South"/>
    <s v="PR"/>
    <s v="Paraná"/>
    <s v="São José dos Pinhais"/>
    <s v="Shopping São José"/>
    <x v="1"/>
    <n v="258.98"/>
  </r>
  <r>
    <n v="1"/>
    <s v="CMC-086"/>
    <x v="1"/>
    <s v="Open"/>
    <x v="312"/>
    <m/>
    <s v="Brazil"/>
    <s v="Midwest"/>
    <s v="GO"/>
    <s v="Goiás"/>
    <s v="Goiânia"/>
    <s v="Shopping Flamboyant"/>
    <x v="1"/>
    <n v="481.43"/>
  </r>
  <r>
    <n v="1"/>
    <s v="RNR-383"/>
    <x v="0"/>
    <s v="Open"/>
    <x v="312"/>
    <m/>
    <s v="Brazil"/>
    <s v="Southest"/>
    <s v="SP"/>
    <s v="São Paulo"/>
    <s v="Bragança Paulista"/>
    <s v="Bragança Garden Shopping"/>
    <x v="1"/>
    <n v="2430.7199999999998"/>
  </r>
  <r>
    <n v="1"/>
    <s v="YCM-058"/>
    <x v="2"/>
    <s v="Open"/>
    <x v="313"/>
    <m/>
    <s v="Brazil"/>
    <s v="Midwest"/>
    <s v="DF"/>
    <s v="Distrito Federal"/>
    <s v="Brasília"/>
    <s v="Shopping Pátio Brasil"/>
    <x v="1"/>
    <n v="165"/>
  </r>
  <r>
    <n v="1"/>
    <s v="YCM-059"/>
    <x v="2"/>
    <s v="Open"/>
    <x v="313"/>
    <m/>
    <s v="Brazil"/>
    <s v="Southest"/>
    <s v="MG"/>
    <s v="Minas Gerais"/>
    <s v="Belo Horizonte"/>
    <s v="Shopping Del Rey"/>
    <x v="1"/>
    <n v="187.01"/>
  </r>
  <r>
    <n v="0"/>
    <s v="CMC-085"/>
    <x v="1"/>
    <s v="Closed"/>
    <x v="314"/>
    <d v="2023-05-31T00:00:00"/>
    <s v="Brazil"/>
    <s v="Northest"/>
    <s v="PE"/>
    <s v="Pernambuco"/>
    <s v="Recife"/>
    <s v="Shopping Plaza Casa Forte "/>
    <x v="1"/>
    <n v="0"/>
  </r>
  <r>
    <n v="1"/>
    <s v="RNR-249"/>
    <x v="0"/>
    <s v="Open"/>
    <x v="315"/>
    <m/>
    <s v="Brazil"/>
    <s v="Southest"/>
    <s v="SP"/>
    <s v="São Paulo"/>
    <s v="São Paulo"/>
    <s v="Shopping Pátio Paulista"/>
    <x v="1"/>
    <n v="2274.7600000000002"/>
  </r>
  <r>
    <n v="1"/>
    <s v="RNR-382"/>
    <x v="0"/>
    <s v="Open"/>
    <x v="316"/>
    <m/>
    <s v="Brazil"/>
    <s v="Southest"/>
    <s v="RJ"/>
    <s v="Rio de Janeiro"/>
    <s v="Teresópolis"/>
    <s v="Teresópolis Shopping Center"/>
    <x v="1"/>
    <n v="1428.89"/>
  </r>
  <r>
    <n v="0"/>
    <s v="RNR-343"/>
    <x v="0"/>
    <s v="Closed"/>
    <x v="317"/>
    <d v="2023-05-16T00:00:00"/>
    <s v="Brazil"/>
    <s v="Southest"/>
    <s v="SP"/>
    <s v="São Paulo"/>
    <s v="Carapicuíba"/>
    <s v="Plaza Shopping Carapicuíba"/>
    <x v="1"/>
    <n v="0"/>
  </r>
  <r>
    <n v="1"/>
    <s v="RNR-390"/>
    <x v="0"/>
    <s v="Open"/>
    <x v="318"/>
    <m/>
    <s v="Brazil"/>
    <s v="Northest"/>
    <s v="CE"/>
    <s v="Ceará"/>
    <s v="Fortaleza"/>
    <s v="Riomar Presidente Kennedy"/>
    <x v="1"/>
    <n v="3020.34"/>
  </r>
  <r>
    <n v="1"/>
    <s v="CMC-087"/>
    <x v="1"/>
    <s v="Open"/>
    <x v="319"/>
    <m/>
    <s v="Brazil"/>
    <s v="North"/>
    <s v="PA"/>
    <s v="Pará"/>
    <s v="Belém"/>
    <s v="Boulevard Belém"/>
    <x v="1"/>
    <n v="609.4"/>
  </r>
  <r>
    <n v="1"/>
    <s v="YCM-062"/>
    <x v="2"/>
    <s v="Open"/>
    <x v="319"/>
    <m/>
    <s v="Brazil"/>
    <s v="Southest"/>
    <s v="MG"/>
    <s v="Minas Gerais"/>
    <s v="Belo Horizonte"/>
    <s v="Minas Shopping"/>
    <x v="1"/>
    <n v="185"/>
  </r>
  <r>
    <n v="1"/>
    <s v="RNR-388"/>
    <x v="0"/>
    <s v="Open"/>
    <x v="320"/>
    <m/>
    <s v="Brazil"/>
    <s v="Southest"/>
    <s v="RJ"/>
    <s v="Rio de Janeiro"/>
    <s v="Rio de Janeiro"/>
    <s v="Center Shopping Rio"/>
    <x v="1"/>
    <n v="1304.49"/>
  </r>
  <r>
    <n v="1"/>
    <s v="CMC-093"/>
    <x v="1"/>
    <s v="Open"/>
    <x v="321"/>
    <m/>
    <s v="Brazil"/>
    <s v="South"/>
    <s v="SC"/>
    <s v="Santa Catarina"/>
    <s v="Balneário Camboriú"/>
    <s v="Balneário Shopping"/>
    <x v="1"/>
    <n v="527.4"/>
  </r>
  <r>
    <n v="1"/>
    <s v="CMC-079"/>
    <x v="1"/>
    <s v="Open"/>
    <x v="322"/>
    <m/>
    <s v="Brazil"/>
    <s v="Northest"/>
    <s v="BA"/>
    <s v="Bahia"/>
    <s v="Salvador"/>
    <s v="Shopping da Bahia"/>
    <x v="1"/>
    <n v="569.03"/>
  </r>
  <r>
    <n v="1"/>
    <s v="RNR-389"/>
    <x v="0"/>
    <s v="Open"/>
    <x v="322"/>
    <m/>
    <s v="Brazil"/>
    <s v="Southest"/>
    <s v="SP"/>
    <s v="São Paulo"/>
    <s v="São Paulo"/>
    <s v="Shopping Morumbi Town"/>
    <x v="1"/>
    <n v="2096.5"/>
  </r>
  <r>
    <n v="1"/>
    <s v="YCM-056"/>
    <x v="2"/>
    <s v="Open"/>
    <x v="322"/>
    <m/>
    <s v="Brazil"/>
    <s v="Southest"/>
    <s v="SP"/>
    <s v="São Paulo"/>
    <s v="São Paulo"/>
    <s v="Shopping Morumbi Town"/>
    <x v="1"/>
    <n v="179"/>
  </r>
  <r>
    <n v="1"/>
    <s v="CMC-091"/>
    <x v="1"/>
    <s v="Open"/>
    <x v="323"/>
    <m/>
    <s v="Brazil"/>
    <s v="Midwest"/>
    <s v="DF"/>
    <s v="Distrito Federal"/>
    <s v="Brasília"/>
    <s v="Shopping Taguatinga"/>
    <x v="1"/>
    <n v="557.79"/>
  </r>
  <r>
    <n v="1"/>
    <s v="YCM-061"/>
    <x v="2"/>
    <s v="Open"/>
    <x v="323"/>
    <m/>
    <s v="Brazil"/>
    <s v="Midwest"/>
    <s v="DF"/>
    <s v="Distrito Federal"/>
    <s v="Brasília"/>
    <s v="Taguatinga Shopping"/>
    <x v="1"/>
    <n v="221"/>
  </r>
  <r>
    <n v="1"/>
    <s v="RNR-356"/>
    <x v="0"/>
    <s v="Open"/>
    <x v="324"/>
    <m/>
    <s v="Brazil"/>
    <s v="Northest"/>
    <s v="PB"/>
    <s v="Paraíba"/>
    <s v="Campina Grande"/>
    <s v="Partage Shopping Campina Grande"/>
    <x v="1"/>
    <n v="2680.92"/>
  </r>
  <r>
    <n v="1"/>
    <s v="RNR-428"/>
    <x v="0"/>
    <s v="Open"/>
    <x v="325"/>
    <m/>
    <s v="Brazil"/>
    <s v="Southest"/>
    <s v="SP"/>
    <s v="São Paulo"/>
    <s v="Campinas"/>
    <s v="Galleria Shopping"/>
    <x v="1"/>
    <n v="1388"/>
  </r>
  <r>
    <n v="0"/>
    <s v="CMC-089"/>
    <x v="1"/>
    <s v="Closed"/>
    <x v="326"/>
    <d v="2023-02-20T00:00:00"/>
    <s v="Brazil"/>
    <s v="Southest"/>
    <s v="SP"/>
    <s v="São Paulo"/>
    <s v="São Bernardo do Campo"/>
    <s v="Shopping Metrópole "/>
    <x v="1"/>
    <n v="0"/>
  </r>
  <r>
    <n v="1"/>
    <s v="RNR-419"/>
    <x v="0"/>
    <s v="Open"/>
    <x v="327"/>
    <m/>
    <s v="Brazil"/>
    <s v="South"/>
    <s v="RS"/>
    <s v="Rio Grande do Sul"/>
    <s v="Capão da Canoa"/>
    <s v="Loja em Capão da Canoa"/>
    <x v="0"/>
    <n v="1959"/>
  </r>
  <r>
    <n v="0"/>
    <s v="RNR-435"/>
    <x v="0"/>
    <s v="Closed"/>
    <x v="328"/>
    <d v="2023-06-29T00:00:00"/>
    <s v="Brazil"/>
    <s v="Southest"/>
    <s v="SP"/>
    <s v="São Paulo"/>
    <s v="Santo André"/>
    <s v="Atrium Shopping "/>
    <x v="1"/>
    <n v="0"/>
  </r>
  <r>
    <n v="0"/>
    <s v="RNR-418"/>
    <x v="0"/>
    <s v="Closed"/>
    <x v="329"/>
    <d v="2022-04-09T00:00:00"/>
    <s v="Brazil"/>
    <s v="South"/>
    <s v="RS"/>
    <s v="Rio Grande do Sul"/>
    <s v="Bento Gonçalves"/>
    <s v="Loja Centro de Bento Gonçalves "/>
    <x v="0"/>
    <n v="0"/>
  </r>
  <r>
    <n v="1"/>
    <s v="RNR-342"/>
    <x v="0"/>
    <s v="Open"/>
    <x v="330"/>
    <m/>
    <s v="Brazil"/>
    <s v="Southest"/>
    <s v="ES"/>
    <s v="Espírito Santo"/>
    <s v="Vila Velha"/>
    <s v="Boulevard Vila Velha"/>
    <x v="1"/>
    <n v="2373.08"/>
  </r>
  <r>
    <n v="1"/>
    <s v="CMC-076"/>
    <x v="1"/>
    <s v="Open"/>
    <x v="331"/>
    <m/>
    <s v="Brazil"/>
    <s v="Southest"/>
    <s v="SP"/>
    <s v="São Paulo"/>
    <s v="São Paulo"/>
    <s v="Shopping Jardim Sul"/>
    <x v="1"/>
    <n v="291.75"/>
  </r>
  <r>
    <n v="1"/>
    <s v="CMC-072"/>
    <x v="1"/>
    <s v="Open"/>
    <x v="332"/>
    <m/>
    <s v="Brazil"/>
    <s v="Northest"/>
    <s v="MA"/>
    <s v="Maranhão"/>
    <s v="São Luís"/>
    <s v="Shopping da Ilha"/>
    <x v="1"/>
    <n v="611.66999999999996"/>
  </r>
  <r>
    <n v="1"/>
    <s v="CMC-090"/>
    <x v="1"/>
    <s v="Closed"/>
    <x v="333"/>
    <d v="2026-05-11T00:00:00"/>
    <s v="Brazil"/>
    <s v="Southest"/>
    <s v="RJ"/>
    <s v="Rio de Janeiro"/>
    <s v="Rio de Janeiro"/>
    <s v="Shopping Recreio"/>
    <x v="1"/>
    <n v="451.47"/>
  </r>
  <r>
    <n v="0"/>
    <s v="RNR-425"/>
    <x v="0"/>
    <s v="Closed"/>
    <x v="334"/>
    <d v="2020-01-01T00:00:00"/>
    <s v="Brazil"/>
    <s v="Southest"/>
    <s v="RJ"/>
    <s v="Rio de Janeiro"/>
    <s v="Rio de Janeiro"/>
    <s v="Loja Visconde de Pirajá "/>
    <x v="0"/>
    <n v="0"/>
  </r>
  <r>
    <n v="1"/>
    <s v="RNR-332"/>
    <x v="0"/>
    <s v="Open"/>
    <x v="335"/>
    <m/>
    <s v="Brazil"/>
    <s v="Southest"/>
    <s v="MG"/>
    <s v="Minas Gerais"/>
    <s v="Juiz de Fora"/>
    <s v="Shopping Jardim Norte Juiz de Fora"/>
    <x v="1"/>
    <n v="2595.66"/>
  </r>
  <r>
    <n v="0"/>
    <s v="CMC-078"/>
    <x v="1"/>
    <s v="Closed"/>
    <x v="336"/>
    <d v="2023-01-16T00:00:00"/>
    <s v="Brazil"/>
    <s v="Northest"/>
    <s v="RN"/>
    <s v="Rio Grande do Norte"/>
    <s v="Natal"/>
    <s v="Shopping Natal "/>
    <x v="1"/>
    <n v="0"/>
  </r>
  <r>
    <n v="1"/>
    <s v="RNR-398"/>
    <x v="0"/>
    <s v="Open"/>
    <x v="337"/>
    <m/>
    <s v="Brazil"/>
    <s v="South"/>
    <s v="PR"/>
    <s v="Paraná"/>
    <s v="Foz do Iguaçu"/>
    <s v="Palladium Foz do Iguaçú"/>
    <x v="1"/>
    <n v="2374.1999999999998"/>
  </r>
  <r>
    <n v="1"/>
    <s v="YCM-054"/>
    <x v="2"/>
    <s v="Open"/>
    <x v="338"/>
    <m/>
    <s v="Brazil"/>
    <s v="Southest"/>
    <s v="SP"/>
    <s v="São Paulo"/>
    <s v="Sorocaba"/>
    <s v="Patio Cianê Shopping"/>
    <x v="1"/>
    <n v="166"/>
  </r>
  <r>
    <n v="1"/>
    <s v="YCM-055"/>
    <x v="2"/>
    <s v="Open"/>
    <x v="338"/>
    <m/>
    <s v="Brazil"/>
    <s v="Southest"/>
    <s v="SP"/>
    <s v="São Paulo"/>
    <s v="Itu"/>
    <s v="Plaza Shopping Itu"/>
    <x v="1"/>
    <n v="120"/>
  </r>
  <r>
    <n v="1"/>
    <s v="YCM-051"/>
    <x v="2"/>
    <s v="Open"/>
    <x v="339"/>
    <m/>
    <s v="Brazil"/>
    <s v="South"/>
    <s v="PR"/>
    <s v="Paraná"/>
    <s v="Curitiba"/>
    <s v="Shopping Palladium "/>
    <x v="1"/>
    <n v="175"/>
  </r>
  <r>
    <n v="1"/>
    <s v="YCM-052"/>
    <x v="2"/>
    <s v="Open"/>
    <x v="339"/>
    <m/>
    <s v="Brazil"/>
    <s v="Southest"/>
    <s v="SP"/>
    <s v="São Paulo"/>
    <s v="Osasco"/>
    <s v="Shopping União Osasco"/>
    <x v="1"/>
    <n v="180"/>
  </r>
  <r>
    <n v="0"/>
    <s v="YCM-048"/>
    <x v="2"/>
    <s v="Closed"/>
    <x v="340"/>
    <d v="2019-06-23T00:00:00"/>
    <s v="Brazil"/>
    <s v="Southest"/>
    <s v="SP"/>
    <s v="São Paulo"/>
    <s v="Campinas"/>
    <s v="Campinas Shopping "/>
    <x v="1"/>
    <n v="0"/>
  </r>
  <r>
    <n v="1"/>
    <s v="YCM-053"/>
    <x v="2"/>
    <s v="Open"/>
    <x v="340"/>
    <m/>
    <s v="Brazil"/>
    <s v="Southest"/>
    <s v="MG"/>
    <s v="Minas Gerais"/>
    <s v="Contagem"/>
    <s v="Itaú Power Shopping"/>
    <x v="1"/>
    <n v="256"/>
  </r>
  <r>
    <n v="1"/>
    <s v="CMC-080"/>
    <x v="1"/>
    <s v="Open"/>
    <x v="341"/>
    <m/>
    <s v="Brazil"/>
    <s v="Southest"/>
    <s v="SP"/>
    <s v="São Paulo"/>
    <s v="Campinas"/>
    <s v="Shopping Dom Pedro"/>
    <x v="1"/>
    <n v="645.58000000000004"/>
  </r>
  <r>
    <n v="0"/>
    <s v="YCM-049"/>
    <x v="2"/>
    <s v="Closed"/>
    <x v="342"/>
    <d v="2021-02-28T00:00:00"/>
    <s v="Brazil"/>
    <s v="Southest"/>
    <s v="MG"/>
    <s v="Minas Gerais"/>
    <s v="Belo Horizonte"/>
    <s v="Estação BH "/>
    <x v="1"/>
    <n v="0"/>
  </r>
  <r>
    <n v="0"/>
    <s v="YCM-050"/>
    <x v="2"/>
    <s v="Closed"/>
    <x v="342"/>
    <d v="2020-01-12T00:00:00"/>
    <s v="Brazil"/>
    <s v="South"/>
    <s v="RS"/>
    <s v="Rio Grande do Sul"/>
    <s v="Canoas"/>
    <s v="Canoas Shopping "/>
    <x v="1"/>
    <n v="0"/>
  </r>
  <r>
    <n v="1"/>
    <s v="CMC-077"/>
    <x v="1"/>
    <s v="Open"/>
    <x v="343"/>
    <m/>
    <s v="Brazil"/>
    <s v="Northest"/>
    <s v="AL"/>
    <s v="Alagoas"/>
    <s v="Maceió"/>
    <s v="Parque Shopping Maceió"/>
    <x v="1"/>
    <n v="511.48"/>
  </r>
  <r>
    <n v="1"/>
    <s v="CMC-082"/>
    <x v="1"/>
    <s v="Open"/>
    <x v="344"/>
    <m/>
    <s v="Brazil"/>
    <s v="Southest"/>
    <s v="RJ"/>
    <s v="Rio de Janeiro"/>
    <s v="Nova Iguaçu"/>
    <s v="Shopping Nova Iguaçu"/>
    <x v="1"/>
    <n v="453.52"/>
  </r>
  <r>
    <n v="1"/>
    <s v="RNR-384"/>
    <x v="0"/>
    <s v="Open"/>
    <x v="344"/>
    <m/>
    <s v="Brazil"/>
    <s v="Southest"/>
    <s v="SP"/>
    <s v="São Paulo"/>
    <s v="São Paulo"/>
    <s v="Cantareira Norte Shopping"/>
    <x v="1"/>
    <n v="1871.5400000000002"/>
  </r>
  <r>
    <n v="1"/>
    <s v="RNR-338"/>
    <x v="0"/>
    <s v="Open"/>
    <x v="345"/>
    <m/>
    <s v="Brazil"/>
    <s v="Southest"/>
    <s v="RJ"/>
    <s v="Rio de Janeiro"/>
    <s v="Nova Iguaçu"/>
    <s v="Shopping Nova Iguaçu"/>
    <x v="1"/>
    <n v="3245.28"/>
  </r>
  <r>
    <n v="1"/>
    <s v="YCM-046"/>
    <x v="2"/>
    <s v="Open"/>
    <x v="345"/>
    <m/>
    <s v="Brazil"/>
    <s v="South"/>
    <s v="RS"/>
    <s v="Rio Grande do Sul"/>
    <s v="Porto Alegre"/>
    <s v="Iguatemi Porto Alegre"/>
    <x v="1"/>
    <n v="231.84"/>
  </r>
  <r>
    <n v="1"/>
    <s v="RNR-334"/>
    <x v="0"/>
    <s v="Open"/>
    <x v="346"/>
    <m/>
    <s v="Brazil"/>
    <s v="Midwest"/>
    <s v="GO"/>
    <s v="Goiás"/>
    <s v="Goiânia"/>
    <s v="Shopping Cerrado"/>
    <x v="1"/>
    <n v="1739.93"/>
  </r>
  <r>
    <n v="1"/>
    <s v="RNR-339"/>
    <x v="0"/>
    <s v="Open"/>
    <x v="346"/>
    <m/>
    <s v="Brazil"/>
    <s v="Northest"/>
    <s v="PE"/>
    <s v="Pernambuco"/>
    <s v="Paulista"/>
    <s v="Paulista North Way Shopping"/>
    <x v="1"/>
    <n v="2414.8000000000002"/>
  </r>
  <r>
    <n v="1"/>
    <s v="YCM-047"/>
    <x v="2"/>
    <s v="Open"/>
    <x v="347"/>
    <m/>
    <s v="Brazil"/>
    <s v="Southest"/>
    <s v="SP"/>
    <s v="São Paulo"/>
    <s v="São Paulo"/>
    <s v="Santana Parque Shopping"/>
    <x v="1"/>
    <n v="137"/>
  </r>
  <r>
    <n v="1"/>
    <s v="RNR-354"/>
    <x v="0"/>
    <s v="Open"/>
    <x v="348"/>
    <m/>
    <s v="Brazil"/>
    <s v="South"/>
    <s v="SC"/>
    <s v="Santa Catarina"/>
    <s v="Criciúma"/>
    <s v="Shopping Nações Criciúma"/>
    <x v="1"/>
    <n v="2697.8"/>
  </r>
  <r>
    <n v="1"/>
    <s v="RNR-380"/>
    <x v="0"/>
    <s v="Open"/>
    <x v="349"/>
    <m/>
    <s v="Brazil"/>
    <s v="Southest"/>
    <s v="MG"/>
    <s v="Minas Gerais"/>
    <s v="Varginha"/>
    <s v="Via Café Garden Shopping"/>
    <x v="1"/>
    <n v="1946.48"/>
  </r>
  <r>
    <n v="1"/>
    <s v="YCM-045"/>
    <x v="2"/>
    <s v="Open"/>
    <x v="350"/>
    <m/>
    <s v="Brazil"/>
    <s v="Southest"/>
    <s v="SP"/>
    <s v="São Paulo"/>
    <s v="Piracicaba"/>
    <s v="Shopping Piracicaba"/>
    <x v="1"/>
    <n v="190.63"/>
  </r>
  <r>
    <n v="1"/>
    <s v="YCM-043"/>
    <x v="2"/>
    <s v="Open"/>
    <x v="351"/>
    <m/>
    <s v="Brazil"/>
    <s v="Southest"/>
    <s v="SP"/>
    <s v="São Paulo"/>
    <s v="Mogi das Cruzes"/>
    <s v="Mogi Shopping"/>
    <x v="1"/>
    <n v="150"/>
  </r>
  <r>
    <n v="1"/>
    <s v="YCM-044"/>
    <x v="2"/>
    <s v="Open"/>
    <x v="351"/>
    <m/>
    <s v="Brazil"/>
    <s v="Southest"/>
    <s v="SP"/>
    <s v="São Paulo"/>
    <s v="São Paulo"/>
    <s v="SP Market"/>
    <x v="1"/>
    <n v="361.27000000000004"/>
  </r>
  <r>
    <n v="1"/>
    <s v="YCM-042"/>
    <x v="2"/>
    <s v="Open"/>
    <x v="352"/>
    <m/>
    <s v="Brazil"/>
    <s v="Southest"/>
    <s v="SP"/>
    <s v="São Paulo"/>
    <s v="São Paulo"/>
    <s v="Shopping Light"/>
    <x v="1"/>
    <n v="236"/>
  </r>
  <r>
    <n v="0"/>
    <s v="CMC-083"/>
    <x v="1"/>
    <s v="Closed"/>
    <x v="353"/>
    <d v="2023-01-23T00:00:00"/>
    <s v="Brazil"/>
    <s v="Northest"/>
    <s v="MA"/>
    <s v="Maranhão"/>
    <s v="São Luís"/>
    <s v="Shopping São Luís "/>
    <x v="1"/>
    <n v="0"/>
  </r>
  <r>
    <n v="1"/>
    <s v="RNR-387"/>
    <x v="0"/>
    <s v="Open"/>
    <x v="354"/>
    <m/>
    <s v="Brazil"/>
    <s v="Northest"/>
    <s v="BA"/>
    <s v="Bahia"/>
    <s v="Juazeiro"/>
    <s v="Juá Garden Shopping"/>
    <x v="1"/>
    <n v="2076.8000000000002"/>
  </r>
  <r>
    <n v="0"/>
    <s v="RNR-364"/>
    <x v="0"/>
    <s v="Closed"/>
    <x v="355"/>
    <d v="2023-05-16T00:00:00"/>
    <s v="Brazil"/>
    <s v="Southest"/>
    <s v="MG"/>
    <s v="Minas Gerais"/>
    <s v="Belo Horizonte"/>
    <s v="Anchieta Garden Shopping "/>
    <x v="1"/>
    <n v="0"/>
  </r>
  <r>
    <n v="1"/>
    <s v="YCM-041"/>
    <x v="2"/>
    <s v="Open"/>
    <x v="356"/>
    <m/>
    <s v="Brazil"/>
    <s v="South"/>
    <s v="SC"/>
    <s v="Santa Catarina"/>
    <s v="Florianópolis"/>
    <s v="Floripa Shopping"/>
    <x v="1"/>
    <n v="154"/>
  </r>
  <r>
    <n v="1"/>
    <s v="RNR-376"/>
    <x v="0"/>
    <s v="Open"/>
    <x v="357"/>
    <m/>
    <s v="Brazil"/>
    <s v="South"/>
    <s v="RS"/>
    <s v="Rio Grande do Sul"/>
    <s v="Uruguaiana"/>
    <s v="Loja de Uruguaiana"/>
    <x v="0"/>
    <n v="1584"/>
  </r>
  <r>
    <n v="1"/>
    <s v="YCM-040"/>
    <x v="2"/>
    <s v="Open"/>
    <x v="357"/>
    <m/>
    <s v="Brazil"/>
    <s v="South"/>
    <s v="SC"/>
    <s v="Santa Catarina"/>
    <s v="Joinville"/>
    <s v="Mueller Shopping Joinville"/>
    <x v="1"/>
    <n v="123.83"/>
  </r>
  <r>
    <n v="0"/>
    <s v="YCM-039"/>
    <x v="2"/>
    <s v="Closed"/>
    <x v="358"/>
    <d v="2020-02-01T00:00:00"/>
    <s v="Brazil"/>
    <s v="Southest"/>
    <s v="SP"/>
    <s v="São Paulo"/>
    <s v="Jundiaí"/>
    <s v="Maxi Shopping Jundiaí "/>
    <x v="1"/>
    <n v="0"/>
  </r>
  <r>
    <n v="1"/>
    <s v="RNR-327"/>
    <x v="0"/>
    <s v="Open"/>
    <x v="359"/>
    <m/>
    <s v="Brazil"/>
    <s v="Midwest"/>
    <s v="GO"/>
    <s v="Goiás"/>
    <s v="Valparaíso de Goiás"/>
    <s v="Shopping Sul"/>
    <x v="1"/>
    <n v="2047"/>
  </r>
  <r>
    <n v="1"/>
    <s v="RNR-386"/>
    <x v="0"/>
    <s v="Open"/>
    <x v="359"/>
    <m/>
    <s v="Brazil"/>
    <s v="Southest"/>
    <s v="SP"/>
    <s v="São Paulo"/>
    <s v="Barretos"/>
    <s v="North Shopping Barretos"/>
    <x v="1"/>
    <n v="1863.04"/>
  </r>
  <r>
    <n v="1"/>
    <s v="RNR-243"/>
    <x v="0"/>
    <s v="Open"/>
    <x v="360"/>
    <m/>
    <s v="Brazil"/>
    <s v="Northest"/>
    <s v="PE"/>
    <s v="Pernambuco"/>
    <s v="Recife"/>
    <s v="Tacaruna Shopping"/>
    <x v="1"/>
    <n v="2258.0500000000002"/>
  </r>
  <r>
    <n v="1"/>
    <s v="RNR-353"/>
    <x v="0"/>
    <s v="Open"/>
    <x v="360"/>
    <m/>
    <s v="Brazil"/>
    <s v="Southest"/>
    <s v="SP"/>
    <s v="São Paulo"/>
    <s v="Guaratinguetá"/>
    <s v="Buriti Shopping Guará"/>
    <x v="1"/>
    <n v="2014.74"/>
  </r>
  <r>
    <n v="1"/>
    <s v="RNR-381"/>
    <x v="0"/>
    <s v="Open"/>
    <x v="360"/>
    <m/>
    <s v="Brazil"/>
    <s v="Southest"/>
    <s v="RJ"/>
    <s v="Rio de Janeiro"/>
    <s v="Angra dos Reis"/>
    <s v="Shopping Piratas Mall"/>
    <x v="1"/>
    <n v="1473.4"/>
  </r>
  <r>
    <n v="1"/>
    <s v="RNR-409"/>
    <x v="0"/>
    <s v="Open"/>
    <x v="360"/>
    <m/>
    <s v="Brazil"/>
    <s v="Northest"/>
    <s v="BA"/>
    <s v="Bahia"/>
    <s v="Camaçari"/>
    <s v="Boulevard Shopping Camaçari"/>
    <x v="1"/>
    <n v="2085.1799999999998"/>
  </r>
  <r>
    <n v="1"/>
    <s v="CMC-073"/>
    <x v="1"/>
    <s v="Open"/>
    <x v="361"/>
    <m/>
    <s v="Brazil"/>
    <s v="Northest"/>
    <s v="PI"/>
    <s v="Piauí"/>
    <s v="Teresina"/>
    <s v="Shopping Rio Poty"/>
    <x v="1"/>
    <n v="618.96"/>
  </r>
  <r>
    <n v="1"/>
    <s v="RNR-329"/>
    <x v="0"/>
    <s v="Open"/>
    <x v="362"/>
    <m/>
    <s v="Brazil"/>
    <s v="Midwest"/>
    <s v="MT"/>
    <s v="Mato Grosso"/>
    <s v="Várzea Grande"/>
    <s v="Várzea Grande Shopping"/>
    <x v="1"/>
    <n v="2213.9700000000003"/>
  </r>
  <r>
    <n v="1"/>
    <s v="CMC-081"/>
    <x v="1"/>
    <s v="Open"/>
    <x v="363"/>
    <m/>
    <s v="Brazil"/>
    <s v="Southest"/>
    <s v="SP"/>
    <s v="São Paulo"/>
    <s v="São Paulo"/>
    <s v="Bourbon São Paulo"/>
    <x v="1"/>
    <n v="398.79"/>
  </r>
  <r>
    <n v="1"/>
    <s v="RNR-369"/>
    <x v="0"/>
    <s v="Open"/>
    <x v="363"/>
    <m/>
    <s v="Brazil"/>
    <s v="Southest"/>
    <s v="SP"/>
    <s v="São Paulo"/>
    <s v="Lorena"/>
    <s v="Eco Valle Shopping"/>
    <x v="1"/>
    <n v="1625.96"/>
  </r>
  <r>
    <n v="0"/>
    <s v="YCM-038"/>
    <x v="2"/>
    <s v="Closed"/>
    <x v="364"/>
    <d v="2018-08-31T00:00:00"/>
    <s v="Brazil"/>
    <s v="Southest"/>
    <s v="SP"/>
    <s v="São Paulo"/>
    <s v="Taboão da Serra"/>
    <s v="Shopping Taboão "/>
    <x v="1"/>
    <n v="0"/>
  </r>
  <r>
    <n v="1"/>
    <s v="YCM-037"/>
    <x v="2"/>
    <s v="Open"/>
    <x v="365"/>
    <m/>
    <s v="Brazil"/>
    <s v="Southest"/>
    <s v="SP"/>
    <s v="São Paulo"/>
    <s v="São José dos Campos"/>
    <s v="Vale Sul Shopping"/>
    <x v="1"/>
    <n v="181"/>
  </r>
  <r>
    <n v="0"/>
    <s v="RNR-320"/>
    <x v="0"/>
    <s v="Closed"/>
    <x v="366"/>
    <d v="2022-06-13T00:00:00"/>
    <s v="Brazil"/>
    <s v="Southest"/>
    <s v="SP"/>
    <s v="São Paulo"/>
    <s v="São Paulo"/>
    <s v="Loja Av. Ibirapuera "/>
    <x v="0"/>
    <n v="0"/>
  </r>
  <r>
    <n v="1"/>
    <s v="CMC-070"/>
    <x v="1"/>
    <s v="Open"/>
    <x v="367"/>
    <m/>
    <s v="Brazil"/>
    <s v="Northest"/>
    <s v="BA"/>
    <s v="Bahia"/>
    <s v="Salvador"/>
    <s v="Salvador Shopping"/>
    <x v="1"/>
    <n v="640.21"/>
  </r>
  <r>
    <n v="1"/>
    <s v="YCM-036"/>
    <x v="2"/>
    <s v="Open"/>
    <x v="367"/>
    <m/>
    <s v="Brazil"/>
    <s v="Southest"/>
    <s v="SP"/>
    <s v="São Paulo"/>
    <s v="São Bernardo do Campo"/>
    <s v="São Bernardo Plaza Shopping"/>
    <x v="1"/>
    <n v="386"/>
  </r>
  <r>
    <n v="1"/>
    <s v="CMC-074"/>
    <x v="1"/>
    <s v="Open"/>
    <x v="368"/>
    <m/>
    <s v="Brazil"/>
    <s v="Northest"/>
    <s v="PE"/>
    <s v="Pernambuco"/>
    <s v="Recife"/>
    <s v="Shopping Recife"/>
    <x v="1"/>
    <n v="529.91"/>
  </r>
  <r>
    <n v="1"/>
    <s v="RNR-298"/>
    <x v="0"/>
    <s v="Open"/>
    <x v="368"/>
    <m/>
    <s v="Brazil"/>
    <s v="South"/>
    <s v="RS"/>
    <s v="Rio Grande do Sul"/>
    <s v="Rio Grande"/>
    <s v="Partage Shopping Rio Grande"/>
    <x v="1"/>
    <n v="2309"/>
  </r>
  <r>
    <n v="0"/>
    <s v="YCM-035"/>
    <x v="2"/>
    <s v="Closed"/>
    <x v="368"/>
    <d v="2018-08-31T00:00:00"/>
    <s v="Brazil"/>
    <s v="Southest"/>
    <s v="SP"/>
    <s v="São Paulo"/>
    <s v="São Paulo"/>
    <s v="West Plaza Shopping Center "/>
    <x v="1"/>
    <n v="0"/>
  </r>
  <r>
    <n v="1"/>
    <s v="YCM-034"/>
    <x v="2"/>
    <s v="Open"/>
    <x v="369"/>
    <m/>
    <s v="Brazil"/>
    <s v="South"/>
    <s v="SC"/>
    <s v="Santa Catarina"/>
    <s v="São José"/>
    <s v="Shopping Center Itaguaçu"/>
    <x v="1"/>
    <n v="128"/>
  </r>
  <r>
    <n v="1"/>
    <s v="YCM-032"/>
    <x v="2"/>
    <s v="Open"/>
    <x v="370"/>
    <m/>
    <s v="Brazil"/>
    <s v="South"/>
    <s v="SC"/>
    <s v="Santa Catarina"/>
    <s v="Balneário Camboriú"/>
    <s v="Balneário Shopping Camboriú"/>
    <x v="1"/>
    <n v="254.89000000000001"/>
  </r>
  <r>
    <n v="1"/>
    <s v="YCM-033"/>
    <x v="2"/>
    <s v="Open"/>
    <x v="371"/>
    <m/>
    <s v="Brazil"/>
    <s v="Southest"/>
    <s v="SP"/>
    <s v="São Paulo"/>
    <s v="São Paulo"/>
    <s v="Shopping Metro Tucuruvi"/>
    <x v="1"/>
    <n v="380"/>
  </r>
  <r>
    <n v="1"/>
    <s v="RNR-328"/>
    <x v="0"/>
    <s v="Open"/>
    <x v="372"/>
    <m/>
    <s v="Brazil"/>
    <s v="Northest"/>
    <s v="PI"/>
    <s v="Piauí"/>
    <s v="Teresina"/>
    <s v="Shopping Rio Poty"/>
    <x v="1"/>
    <n v="2311.9700000000003"/>
  </r>
  <r>
    <n v="1"/>
    <s v="RNR-303"/>
    <x v="0"/>
    <s v="Open"/>
    <x v="373"/>
    <m/>
    <s v="Brazil"/>
    <s v="Southest"/>
    <s v="MG"/>
    <s v="Minas Gerais"/>
    <s v="Ipatinga"/>
    <s v="Shopping Vale do Aço"/>
    <x v="1"/>
    <n v="2385.5"/>
  </r>
  <r>
    <n v="1"/>
    <s v="RNR-326"/>
    <x v="0"/>
    <s v="Open"/>
    <x v="374"/>
    <m/>
    <s v="Brazil"/>
    <s v="North"/>
    <s v="PA"/>
    <s v="Pará"/>
    <s v="Belém"/>
    <s v="Shopping Bosque Grão Pará"/>
    <x v="1"/>
    <n v="2839.9500000000003"/>
  </r>
  <r>
    <n v="0"/>
    <s v="RNR-375"/>
    <x v="0"/>
    <s v="Closed"/>
    <x v="375"/>
    <d v="2018-02-28T00:00:00"/>
    <s v="Brazil"/>
    <s v="Southest"/>
    <s v="MG"/>
    <s v="Minas Gerais"/>
    <s v="Uberaba"/>
    <s v="Praça Uberaba Shopping Center "/>
    <x v="1"/>
    <n v="0"/>
  </r>
  <r>
    <n v="1"/>
    <s v="CMC-071"/>
    <x v="1"/>
    <s v="Open"/>
    <x v="376"/>
    <m/>
    <s v="Brazil"/>
    <s v="Midwest"/>
    <s v="MT"/>
    <s v="Mato Grosso"/>
    <s v="Cuiabá"/>
    <s v="Shopping Pantanal"/>
    <x v="1"/>
    <n v="516.36"/>
  </r>
  <r>
    <n v="0"/>
    <s v="RNR-272"/>
    <x v="0"/>
    <s v="Closed"/>
    <x v="377"/>
    <d v="2023-05-29T00:00:00"/>
    <s v="Brazil"/>
    <s v="Northest"/>
    <s v="CE"/>
    <s v="Ceará"/>
    <s v="Fortaleza"/>
    <s v="Loja na Rua Barão do Rio Branco "/>
    <x v="0"/>
    <n v="0"/>
  </r>
  <r>
    <n v="1"/>
    <s v="RNR-317"/>
    <x v="0"/>
    <s v="Open"/>
    <x v="378"/>
    <m/>
    <s v="Brazil"/>
    <s v="Southest"/>
    <s v="SP"/>
    <s v="São Paulo"/>
    <s v="Araraquara"/>
    <s v="Shopping Jaraguá Araraquara"/>
    <x v="1"/>
    <n v="1999.13"/>
  </r>
  <r>
    <n v="1"/>
    <s v="YCM-030"/>
    <x v="2"/>
    <s v="Open"/>
    <x v="379"/>
    <m/>
    <s v="Brazil"/>
    <s v="Southest"/>
    <s v="SP"/>
    <s v="São Paulo"/>
    <s v="Santo André"/>
    <s v="Grand Plaza Shopping"/>
    <x v="1"/>
    <n v="231"/>
  </r>
  <r>
    <n v="1"/>
    <s v="CMC-068"/>
    <x v="1"/>
    <s v="Open"/>
    <x v="380"/>
    <m/>
    <s v="Brazil"/>
    <s v="Northest"/>
    <s v="PE"/>
    <s v="Pernambuco"/>
    <s v="Recife"/>
    <s v="Shopping Riomar Recife"/>
    <x v="1"/>
    <n v="649.41999999999996"/>
  </r>
  <r>
    <n v="1"/>
    <s v="YCM-031"/>
    <x v="2"/>
    <s v="Open"/>
    <x v="380"/>
    <m/>
    <s v="Brazil"/>
    <s v="South"/>
    <s v="RS"/>
    <s v="Rio Grande do Sul"/>
    <s v="Novo Hamburgo"/>
    <s v="Bourbon Shopping Novo Hamburgo"/>
    <x v="1"/>
    <n v="264.94"/>
  </r>
  <r>
    <n v="1"/>
    <s v="CMC-069"/>
    <x v="1"/>
    <s v="Open"/>
    <x v="381"/>
    <m/>
    <s v="Brazil"/>
    <s v="Southest"/>
    <s v="RJ"/>
    <s v="Rio de Janeiro"/>
    <s v="Rio de Janeiro"/>
    <s v="Américas Shopping"/>
    <x v="1"/>
    <n v="367"/>
  </r>
  <r>
    <n v="1"/>
    <s v="YCM-029"/>
    <x v="2"/>
    <s v="Open"/>
    <x v="382"/>
    <m/>
    <s v="Brazil"/>
    <s v="Southest"/>
    <s v="SP"/>
    <s v="São Paulo"/>
    <s v="Santo André"/>
    <s v="Shopping ABC"/>
    <x v="1"/>
    <n v="203.88"/>
  </r>
  <r>
    <n v="1"/>
    <s v="RNR-363"/>
    <x v="0"/>
    <s v="Open"/>
    <x v="383"/>
    <m/>
    <s v="Brazil"/>
    <s v="South"/>
    <s v="SC"/>
    <s v="Santa Catarina"/>
    <s v="Palhoça"/>
    <s v="Shopping Via Catarina"/>
    <x v="1"/>
    <n v="2050"/>
  </r>
  <r>
    <n v="1"/>
    <s v="RNR-333"/>
    <x v="0"/>
    <s v="Open"/>
    <x v="384"/>
    <m/>
    <s v="Brazil"/>
    <s v="Southest"/>
    <s v="SP"/>
    <s v="São Paulo"/>
    <s v="São José do Rio Preto"/>
    <s v="Plaza Shopping Avenida"/>
    <x v="1"/>
    <n v="1520"/>
  </r>
  <r>
    <n v="0"/>
    <s v="RNR-365"/>
    <x v="0"/>
    <s v="Closed"/>
    <x v="385"/>
    <d v="2022-04-30T00:00:00"/>
    <s v="Brazil"/>
    <s v="Southest"/>
    <s v="RJ"/>
    <s v="Rio de Janeiro"/>
    <s v="Rio de Janeiro"/>
    <s v="Shopping Jardim Guadalupe  "/>
    <x v="1"/>
    <n v="0"/>
  </r>
  <r>
    <n v="0"/>
    <s v="RNR-367"/>
    <x v="0"/>
    <s v="Closed"/>
    <x v="385"/>
    <d v="2021-12-31T00:00:00"/>
    <s v="Brazil"/>
    <s v="Southest"/>
    <s v="SP"/>
    <s v="São Paulo"/>
    <s v="Taubaté"/>
    <s v="Via Vale Shopping "/>
    <x v="1"/>
    <n v="0"/>
  </r>
  <r>
    <n v="1"/>
    <s v="RNR-293"/>
    <x v="0"/>
    <s v="Open"/>
    <x v="385"/>
    <m/>
    <s v="Brazil"/>
    <s v="Southest"/>
    <s v="RJ"/>
    <s v="Rio de Janeiro"/>
    <s v="Rio de Janeiro"/>
    <s v="Carioca Shopping"/>
    <x v="1"/>
    <n v="2237.25"/>
  </r>
  <r>
    <n v="1"/>
    <s v="RNR-362"/>
    <x v="0"/>
    <s v="Open"/>
    <x v="385"/>
    <m/>
    <s v="Brazil"/>
    <s v="Southest"/>
    <s v="SP"/>
    <s v="São Paulo"/>
    <s v="Santa Bárbara D'Oeste"/>
    <s v="Tivoli Shopping Center"/>
    <x v="1"/>
    <n v="2192.0100000000002"/>
  </r>
  <r>
    <n v="0"/>
    <s v="RNR-368"/>
    <x v="0"/>
    <s v="Closed"/>
    <x v="386"/>
    <d v="2024-02-21T00:00:00"/>
    <s v="Brazil"/>
    <s v="South"/>
    <s v="RS"/>
    <s v="Rio Grande do Sul"/>
    <s v="Porto Alegre"/>
    <s v="Loja Rua Padre Chagas"/>
    <x v="0"/>
    <n v="0"/>
  </r>
  <r>
    <n v="1"/>
    <s v="CMC-066"/>
    <x v="1"/>
    <s v="Open"/>
    <x v="387"/>
    <m/>
    <s v="Brazil"/>
    <s v="Southest"/>
    <s v="RJ"/>
    <s v="Rio de Janeiro"/>
    <s v="Niterói"/>
    <s v="Plaza Shopping Niterói"/>
    <x v="1"/>
    <n v="317"/>
  </r>
  <r>
    <n v="0"/>
    <s v="CMC-062"/>
    <x v="1"/>
    <s v="Closed"/>
    <x v="388"/>
    <d v="2023-03-13T00:00:00"/>
    <s v="Brazil"/>
    <s v="Southest"/>
    <s v="SP"/>
    <s v="São Paulo"/>
    <s v="Guarulhos"/>
    <s v="Parque Shopping Maia "/>
    <x v="1"/>
    <n v="0"/>
  </r>
  <r>
    <n v="1"/>
    <s v="RNR-313"/>
    <x v="0"/>
    <s v="Open"/>
    <x v="388"/>
    <m/>
    <s v="Brazil"/>
    <s v="Southest"/>
    <s v="SP"/>
    <s v="São Paulo"/>
    <s v="Guarulhos"/>
    <s v="Parque Shopping Maia"/>
    <x v="1"/>
    <n v="2385"/>
  </r>
  <r>
    <n v="1"/>
    <s v="RNR-401"/>
    <x v="0"/>
    <s v="Open"/>
    <x v="388"/>
    <m/>
    <s v="Brazil"/>
    <s v="South"/>
    <s v="SC"/>
    <s v="Santa Catarina"/>
    <s v="Jaraguá do Sul"/>
    <s v="Jaraguá do Sul Park Shopping"/>
    <x v="1"/>
    <n v="2380.2799999999997"/>
  </r>
  <r>
    <n v="1"/>
    <s v="CMC-064"/>
    <x v="1"/>
    <s v="Open"/>
    <x v="389"/>
    <m/>
    <s v="Brazil"/>
    <s v="Northest"/>
    <s v="CE"/>
    <s v="Ceará"/>
    <s v="Fortaleza"/>
    <s v="Iguatemi Fortaleza"/>
    <x v="1"/>
    <n v="614.28"/>
  </r>
  <r>
    <n v="1"/>
    <s v="RNR-289"/>
    <x v="0"/>
    <s v="Open"/>
    <x v="390"/>
    <m/>
    <s v="Brazil"/>
    <s v="Southest"/>
    <s v="RJ"/>
    <s v="Rio de Janeiro"/>
    <s v="Itaboraí"/>
    <s v="Itaboraí Plaza"/>
    <x v="1"/>
    <n v="1886.85"/>
  </r>
  <r>
    <n v="1"/>
    <s v="RNR-235"/>
    <x v="0"/>
    <s v="Open"/>
    <x v="391"/>
    <m/>
    <s v="Brazil"/>
    <s v="North"/>
    <s v="AM"/>
    <s v="Amazonas"/>
    <s v="Manaus"/>
    <s v="Loja Manaus Centro"/>
    <x v="0"/>
    <n v="2503.89"/>
  </r>
  <r>
    <n v="1"/>
    <s v="RNR-358"/>
    <x v="0"/>
    <s v="Open"/>
    <x v="392"/>
    <m/>
    <s v="Brazil"/>
    <s v="Northest"/>
    <s v="AL"/>
    <s v="Alagoas"/>
    <s v="Arapiraca"/>
    <s v="Pátio Arapiraca Garden"/>
    <x v="1"/>
    <n v="1891.08"/>
  </r>
  <r>
    <n v="0"/>
    <s v="RNR-341"/>
    <x v="0"/>
    <s v="Closed"/>
    <x v="393"/>
    <d v="2024-02-21T00:00:00"/>
    <s v="Brazil"/>
    <s v="North"/>
    <s v="RR"/>
    <s v="Roraima"/>
    <s v="Boa Vista"/>
    <s v="Roraima Garden Shopping"/>
    <x v="1"/>
    <n v="0"/>
  </r>
  <r>
    <n v="1"/>
    <s v="RNR-287"/>
    <x v="0"/>
    <s v="Open"/>
    <x v="394"/>
    <m/>
    <s v="Brazil"/>
    <s v="Northest"/>
    <s v="PB"/>
    <s v="Paraíba"/>
    <s v="João Pessoa"/>
    <s v="Mangabeira Shopping"/>
    <x v="1"/>
    <n v="2698.37"/>
  </r>
  <r>
    <n v="0"/>
    <s v="RNR-319"/>
    <x v="0"/>
    <s v="Closed"/>
    <x v="395"/>
    <d v="2024-05-28T00:00:00"/>
    <s v="Brazil"/>
    <s v="North"/>
    <s v="AM"/>
    <s v="Amazonas"/>
    <s v="Manaus"/>
    <s v="Shopping Manaus Via Norte"/>
    <x v="1"/>
    <n v="0"/>
  </r>
  <r>
    <n v="1"/>
    <s v="RNR-323"/>
    <x v="0"/>
    <s v="Open"/>
    <x v="395"/>
    <m/>
    <s v="Brazil"/>
    <s v="Southest"/>
    <s v="RJ"/>
    <s v="Rio de Janeiro"/>
    <s v="Rio de Janeiro"/>
    <s v="Loja Largo do Machado"/>
    <x v="0"/>
    <n v="2680.24"/>
  </r>
  <r>
    <n v="1"/>
    <s v="RNR-355"/>
    <x v="0"/>
    <s v="Open"/>
    <x v="395"/>
    <m/>
    <s v="Brazil"/>
    <s v="Southest"/>
    <s v="SP"/>
    <s v="São Paulo"/>
    <s v="São José dos Campos"/>
    <s v="Colinas Shopping"/>
    <x v="1"/>
    <n v="2131.19"/>
  </r>
  <r>
    <n v="1"/>
    <s v="RNR-400"/>
    <x v="0"/>
    <s v="Open"/>
    <x v="396"/>
    <m/>
    <s v="Brazil"/>
    <s v="North"/>
    <s v="AM"/>
    <s v="Amazonas"/>
    <s v="Manaus"/>
    <s v="Sumaúma Park Shopping"/>
    <x v="1"/>
    <n v="2119.37"/>
  </r>
  <r>
    <n v="1"/>
    <s v="YCM-026"/>
    <x v="2"/>
    <s v="Open"/>
    <x v="396"/>
    <m/>
    <s v="Brazil"/>
    <s v="Southest"/>
    <s v="SP"/>
    <s v="São Paulo"/>
    <s v="São Paulo"/>
    <s v="Tietê Plaza Shopping"/>
    <x v="1"/>
    <n v="262.26"/>
  </r>
  <r>
    <n v="1"/>
    <s v="RNR-322"/>
    <x v="0"/>
    <s v="Open"/>
    <x v="397"/>
    <m/>
    <s v="Brazil"/>
    <s v="Midwest"/>
    <s v="DF"/>
    <s v="Distrito Federal"/>
    <s v="Brasília"/>
    <s v="Terraço Shopping"/>
    <x v="1"/>
    <n v="1986.8"/>
  </r>
  <r>
    <n v="1"/>
    <s v="RNR-315"/>
    <x v="0"/>
    <s v="Open"/>
    <x v="398"/>
    <m/>
    <s v="Brazil"/>
    <s v="North"/>
    <s v="RR"/>
    <s v="Roraima"/>
    <s v="Boa Vista"/>
    <s v="Pátio Roraima"/>
    <x v="1"/>
    <n v="2453.6800000000003"/>
  </r>
  <r>
    <n v="1"/>
    <s v="RNR-299"/>
    <x v="0"/>
    <s v="Open"/>
    <x v="399"/>
    <m/>
    <s v="Brazil"/>
    <s v="South"/>
    <s v="SC"/>
    <s v="Santa Catarina"/>
    <s v="Lages"/>
    <s v="Lages Garden Shopping"/>
    <x v="1"/>
    <n v="2085.64"/>
  </r>
  <r>
    <n v="1"/>
    <s v="RNR-306"/>
    <x v="0"/>
    <s v="Open"/>
    <x v="399"/>
    <m/>
    <s v="Brazil"/>
    <s v="Midwest"/>
    <s v="GO"/>
    <s v="Goiás"/>
    <s v="Rio Verde"/>
    <s v="Buriti Shopping Rio Verde"/>
    <x v="1"/>
    <n v="2198.25"/>
  </r>
  <r>
    <n v="1"/>
    <s v="YCM-027"/>
    <x v="2"/>
    <s v="Open"/>
    <x v="400"/>
    <m/>
    <s v="Brazil"/>
    <s v="Southest"/>
    <s v="SP"/>
    <s v="São Paulo"/>
    <s v="São Paulo"/>
    <s v="Shopping Plaza Sul"/>
    <x v="1"/>
    <n v="136.27000000000001"/>
  </r>
  <r>
    <n v="1"/>
    <s v="RNR-305"/>
    <x v="0"/>
    <s v="Open"/>
    <x v="401"/>
    <m/>
    <s v="Brazil"/>
    <s v="Southest"/>
    <s v="SP"/>
    <s v="São Paulo"/>
    <s v="Araçatuba"/>
    <s v="Praça Nova Araçatuba"/>
    <x v="1"/>
    <n v="1991.32"/>
  </r>
  <r>
    <n v="1"/>
    <s v="RNR-340"/>
    <x v="0"/>
    <s v="Open"/>
    <x v="402"/>
    <m/>
    <s v="Brazil"/>
    <s v="Southest"/>
    <s v="MG"/>
    <s v="Minas Gerais"/>
    <s v="Belo Horizonte"/>
    <s v="Shopping Cidade "/>
    <x v="1"/>
    <n v="1282.6599999999999"/>
  </r>
  <r>
    <n v="1"/>
    <s v="CMC-065"/>
    <x v="1"/>
    <s v="Open"/>
    <x v="403"/>
    <m/>
    <s v="Brazil"/>
    <s v="Northest"/>
    <s v="CE"/>
    <s v="Ceará"/>
    <s v="Fortaleza"/>
    <s v="Shopping Riomar Fortaleza"/>
    <x v="1"/>
    <n v="525.05999999999995"/>
  </r>
  <r>
    <n v="1"/>
    <s v="RNR-330"/>
    <x v="0"/>
    <s v="Open"/>
    <x v="403"/>
    <m/>
    <s v="Brazil"/>
    <s v="Northest"/>
    <s v="CE"/>
    <s v="Ceará"/>
    <s v="Fortaleza"/>
    <s v="Riomar Shopping Fortaleza"/>
    <x v="1"/>
    <n v="4069.67"/>
  </r>
  <r>
    <n v="1"/>
    <s v="RNR-318"/>
    <x v="0"/>
    <s v="Open"/>
    <x v="404"/>
    <m/>
    <s v="Brazil"/>
    <s v="Southest"/>
    <s v="SP"/>
    <s v="São Paulo"/>
    <s v="Rio Claro"/>
    <s v="Shopping Center Rio Claro"/>
    <x v="1"/>
    <n v="2028.37"/>
  </r>
  <r>
    <n v="1"/>
    <s v="CMC-063"/>
    <x v="1"/>
    <s v="Open"/>
    <x v="405"/>
    <m/>
    <s v="Brazil"/>
    <s v="South"/>
    <s v="SC"/>
    <s v="Santa Catarina"/>
    <s v="Florianópolis"/>
    <s v="Beiramar Shopping"/>
    <x v="1"/>
    <n v="597.98"/>
  </r>
  <r>
    <n v="1"/>
    <s v="YCM-025"/>
    <x v="2"/>
    <s v="Open"/>
    <x v="406"/>
    <m/>
    <s v="Brazil"/>
    <s v="Southest"/>
    <s v="MG"/>
    <s v="Minas Gerais"/>
    <s v="Belo Horizonte"/>
    <s v="Boulevard Shopping Belo Horizonte"/>
    <x v="1"/>
    <n v="315"/>
  </r>
  <r>
    <n v="1"/>
    <s v="RNR-292"/>
    <x v="0"/>
    <s v="Open"/>
    <x v="407"/>
    <m/>
    <s v="Brazil"/>
    <s v="South"/>
    <s v="SC"/>
    <s v="Santa Catarina"/>
    <s v="Itajaí"/>
    <s v="Itajaí Shopping"/>
    <x v="1"/>
    <n v="1802.06"/>
  </r>
  <r>
    <n v="1"/>
    <s v="RNR-297"/>
    <x v="0"/>
    <s v="Open"/>
    <x v="408"/>
    <m/>
    <s v="Brazil"/>
    <s v="South"/>
    <s v="RS"/>
    <s v="Rio Grande do Sul"/>
    <s v="Lajeado"/>
    <s v="Shopping Lajeado"/>
    <x v="1"/>
    <n v="2505.1"/>
  </r>
  <r>
    <n v="1"/>
    <s v="CMC-061"/>
    <x v="1"/>
    <s v="Open"/>
    <x v="409"/>
    <m/>
    <s v="Brazil"/>
    <s v="Southest"/>
    <s v="ES"/>
    <s v="Espírito Santo"/>
    <s v="Vila Velha"/>
    <s v="Shopping Vila Velha"/>
    <x v="1"/>
    <n v="439.01"/>
  </r>
  <r>
    <n v="1"/>
    <s v="RNR-312"/>
    <x v="0"/>
    <s v="Open"/>
    <x v="409"/>
    <m/>
    <s v="Brazil"/>
    <s v="Southest"/>
    <s v="ES"/>
    <s v="Espírito Santo"/>
    <s v="Vila Velha"/>
    <s v="Shopping Vila Velha"/>
    <x v="1"/>
    <n v="2211.64"/>
  </r>
  <r>
    <n v="0"/>
    <s v="CMC-059"/>
    <x v="1"/>
    <s v="Closed"/>
    <x v="410"/>
    <d v="2025-01-31T00:00:00"/>
    <s v="Brazil"/>
    <s v="Midwest"/>
    <s v="DF"/>
    <s v="Distrito Federal"/>
    <s v="Brasília"/>
    <s v="Pátio Brasil"/>
    <x v="1"/>
    <n v="0"/>
  </r>
  <r>
    <n v="1"/>
    <s v="YCM-022"/>
    <x v="2"/>
    <s v="Open"/>
    <x v="411"/>
    <m/>
    <s v="Brazil"/>
    <s v="South"/>
    <s v="RS"/>
    <s v="Rio Grande do Sul"/>
    <s v="Pelotas"/>
    <s v="Shopping Pelotas"/>
    <x v="1"/>
    <n v="130.78"/>
  </r>
  <r>
    <n v="1"/>
    <s v="YCM-021"/>
    <x v="2"/>
    <s v="Open"/>
    <x v="412"/>
    <m/>
    <s v="Brazil"/>
    <s v="Southest"/>
    <s v="SP"/>
    <s v="São Paulo"/>
    <s v="São Paulo"/>
    <s v="Mooca Plaza Shopping"/>
    <x v="1"/>
    <n v="249.63"/>
  </r>
  <r>
    <n v="1"/>
    <s v="RNR-276"/>
    <x v="0"/>
    <s v="Open"/>
    <x v="413"/>
    <m/>
    <s v="Brazil"/>
    <s v="Southest"/>
    <s v="SP"/>
    <s v="São Paulo"/>
    <s v="São Carlos"/>
    <s v="Iguatemi São Carlos"/>
    <x v="1"/>
    <n v="1792.69"/>
  </r>
  <r>
    <n v="1"/>
    <s v="RNR-270"/>
    <x v="0"/>
    <s v="Open"/>
    <x v="414"/>
    <m/>
    <s v="Brazil"/>
    <s v="Southest"/>
    <s v="SP"/>
    <s v="São Paulo"/>
    <s v="Mogi das Cruzes"/>
    <s v="Mogi Shopping Center"/>
    <x v="1"/>
    <n v="1976.3899999999999"/>
  </r>
  <r>
    <n v="1"/>
    <s v="RNR-316"/>
    <x v="0"/>
    <s v="Open"/>
    <x v="414"/>
    <m/>
    <s v="Brazil"/>
    <s v="Southest"/>
    <s v="RJ"/>
    <s v="Rio de Janeiro"/>
    <s v="Rio de Janeiro"/>
    <s v="Loja Sete de Setembro"/>
    <x v="0"/>
    <n v="1981.59"/>
  </r>
  <r>
    <n v="1"/>
    <s v="YCM-024"/>
    <x v="2"/>
    <s v="Open"/>
    <x v="414"/>
    <m/>
    <s v="Brazil"/>
    <s v="South"/>
    <s v="RS"/>
    <s v="Rio Grande do Sul"/>
    <s v="Caxias do Sul"/>
    <s v="Shopping Iguatemi Caxias"/>
    <x v="1"/>
    <n v="226.15"/>
  </r>
  <r>
    <n v="1"/>
    <s v="RNR-258"/>
    <x v="0"/>
    <s v="Open"/>
    <x v="415"/>
    <m/>
    <s v="Brazil"/>
    <s v="South"/>
    <s v="SC"/>
    <s v="Santa Catarina"/>
    <s v="Florianópolis"/>
    <s v="Floripa Shopping"/>
    <x v="1"/>
    <n v="2014.14"/>
  </r>
  <r>
    <n v="1"/>
    <s v="YCM-023"/>
    <x v="2"/>
    <s v="Open"/>
    <x v="416"/>
    <m/>
    <s v="Brazil"/>
    <s v="Southest"/>
    <s v="SP"/>
    <s v="São Paulo"/>
    <s v="São Paulo"/>
    <s v="Shopping Anália Franco"/>
    <x v="1"/>
    <n v="315.56"/>
  </r>
  <r>
    <n v="1"/>
    <s v="RNR-261"/>
    <x v="0"/>
    <s v="Open"/>
    <x v="417"/>
    <m/>
    <s v="Brazil"/>
    <s v="Southest"/>
    <s v="SP"/>
    <s v="São Paulo"/>
    <s v="Botucatu"/>
    <s v="Shopping Patio Botucatu"/>
    <x v="1"/>
    <n v="1876.6399999999999"/>
  </r>
  <r>
    <n v="1"/>
    <s v="CMC-056"/>
    <x v="1"/>
    <s v="Open"/>
    <x v="418"/>
    <m/>
    <s v="Brazil"/>
    <s v="Midwest"/>
    <s v="MS"/>
    <s v="Mato Grosso do Sul"/>
    <s v="Campo Grande"/>
    <s v="Shopping Campo Grande"/>
    <x v="1"/>
    <n v="416.28"/>
  </r>
  <r>
    <n v="1"/>
    <s v="CMC-060"/>
    <x v="1"/>
    <s v="Open"/>
    <x v="419"/>
    <m/>
    <s v="Brazil"/>
    <s v="Southest"/>
    <s v="MG"/>
    <s v="Minas Gerais"/>
    <s v="Belo Horizonte"/>
    <s v="BH Shopping"/>
    <x v="1"/>
    <n v="560.41999999999996"/>
  </r>
  <r>
    <n v="0"/>
    <s v="CMC-058"/>
    <x v="1"/>
    <s v="Closed"/>
    <x v="420"/>
    <d v="2019-05-19T00:00:00"/>
    <s v="Brazil"/>
    <s v="Midwest"/>
    <s v="GO"/>
    <s v="Goiás"/>
    <s v="Goiânia"/>
    <s v="Passeio das Águas Shopping "/>
    <x v="1"/>
    <n v="0"/>
  </r>
  <r>
    <n v="0"/>
    <s v="YCM-020"/>
    <x v="2"/>
    <s v="Closed"/>
    <x v="421"/>
    <d v="2019-11-21T00:00:00"/>
    <s v="Brazil"/>
    <s v="South"/>
    <s v="RS"/>
    <s v="Rio Grande do Sul"/>
    <s v="Porto Alegre"/>
    <s v="Barra Shopping Sul "/>
    <x v="1"/>
    <n v="0"/>
  </r>
  <r>
    <n v="1"/>
    <s v="RNR-307"/>
    <x v="0"/>
    <s v="Open"/>
    <x v="422"/>
    <m/>
    <s v="Brazil"/>
    <s v="Northest"/>
    <s v="MA"/>
    <s v="Maranhão"/>
    <s v="São Luís"/>
    <s v="São Luis Shopping"/>
    <x v="1"/>
    <n v="2650.48"/>
  </r>
  <r>
    <n v="1"/>
    <s v="RNR-308"/>
    <x v="0"/>
    <s v="Open"/>
    <x v="422"/>
    <m/>
    <s v="Brazil"/>
    <s v="Southest"/>
    <s v="ES"/>
    <s v="Espírito Santo"/>
    <s v="Cariacica"/>
    <s v="Moxuara Shopping "/>
    <x v="1"/>
    <n v="1977.77"/>
  </r>
  <r>
    <n v="1"/>
    <s v="RNR-295"/>
    <x v="0"/>
    <s v="Open"/>
    <x v="423"/>
    <m/>
    <s v="Brazil"/>
    <s v="Southest"/>
    <s v="RJ"/>
    <s v="Rio de Janeiro"/>
    <s v="Rio de Janeiro"/>
    <s v="Américas Shopping"/>
    <x v="1"/>
    <n v="2453.14"/>
  </r>
  <r>
    <n v="0"/>
    <s v="YCM-017"/>
    <x v="2"/>
    <s v="Closed"/>
    <x v="423"/>
    <d v="2018-01-31T00:00:00"/>
    <s v="Brazil"/>
    <s v="Southest"/>
    <s v="SP"/>
    <s v="São Paulo"/>
    <s v="Ribeirão Preto"/>
    <s v="Ribeirão Shopping "/>
    <x v="1"/>
    <n v="0"/>
  </r>
  <r>
    <n v="1"/>
    <s v="CMC-057"/>
    <x v="1"/>
    <s v="Open"/>
    <x v="424"/>
    <m/>
    <s v="Brazil"/>
    <s v="Southest"/>
    <s v="SP"/>
    <s v="São Paulo"/>
    <s v="São José do Rio Preto"/>
    <s v="Iguatemi São José do Rio Preto"/>
    <x v="1"/>
    <n v="596"/>
  </r>
  <r>
    <n v="1"/>
    <s v="RNR-403"/>
    <x v="0"/>
    <s v="Open"/>
    <x v="424"/>
    <m/>
    <s v="Brazil"/>
    <s v="Southest"/>
    <s v="SP"/>
    <s v="São Paulo"/>
    <s v="São José do Rio Preto"/>
    <s v="Rio Preto Shopping Iguatemi "/>
    <x v="1"/>
    <n v="2868.87"/>
  </r>
  <r>
    <n v="0"/>
    <s v="YCM-019"/>
    <x v="2"/>
    <s v="Closed"/>
    <x v="424"/>
    <d v="2018-08-05T00:00:00"/>
    <s v="Brazil"/>
    <s v="Southest"/>
    <s v="SP"/>
    <s v="São Paulo"/>
    <s v="São José do Rio Preto"/>
    <s v="Iguatemi São José do Rio Preto "/>
    <x v="1"/>
    <n v="0"/>
  </r>
  <r>
    <n v="0"/>
    <s v="CMC-050"/>
    <x v="1"/>
    <s v="Closed"/>
    <x v="425"/>
    <d v="2019-03-03T00:00:00"/>
    <s v="Brazil"/>
    <s v="Southest"/>
    <s v="SP"/>
    <s v="São Paulo"/>
    <s v="São Paulo"/>
    <s v="Tietê Plaza Shopping "/>
    <x v="1"/>
    <n v="0"/>
  </r>
  <r>
    <n v="0"/>
    <s v="CMC-055"/>
    <x v="1"/>
    <s v="Closed"/>
    <x v="426"/>
    <d v="2020-02-16T00:00:00"/>
    <s v="Brazil"/>
    <s v="Southest"/>
    <s v="MG"/>
    <s v="Minas Gerais"/>
    <s v="Contagem"/>
    <s v="Shopping Contagem "/>
    <x v="1"/>
    <n v="0"/>
  </r>
  <r>
    <n v="1"/>
    <s v="CMC-054"/>
    <x v="1"/>
    <s v="Open"/>
    <x v="426"/>
    <m/>
    <s v="Brazil"/>
    <s v="Southest"/>
    <s v="SP"/>
    <s v="São Paulo"/>
    <s v="Santo André"/>
    <s v="Shopping ABC"/>
    <x v="1"/>
    <n v="564"/>
  </r>
  <r>
    <n v="1"/>
    <s v="RNR-309"/>
    <x v="0"/>
    <s v="Open"/>
    <x v="427"/>
    <m/>
    <s v="Brazil"/>
    <s v="Northest"/>
    <s v="RN"/>
    <s v="Rio Grande do Norte"/>
    <s v="Mossoró"/>
    <s v="West Shopping Mossoró"/>
    <x v="1"/>
    <n v="2599.3199999999997"/>
  </r>
  <r>
    <n v="0"/>
    <s v="RNR-302"/>
    <x v="0"/>
    <s v="Closed"/>
    <x v="428"/>
    <d v="2018-02-28T00:00:00"/>
    <s v="Brazil"/>
    <s v="Southest"/>
    <s v="MG"/>
    <s v="Minas Gerais"/>
    <s v="Betim"/>
    <s v="Monte Carmo Shopping Betim "/>
    <x v="1"/>
    <n v="0"/>
  </r>
  <r>
    <n v="1"/>
    <s v="RNR-301"/>
    <x v="0"/>
    <s v="Open"/>
    <x v="429"/>
    <m/>
    <s v="Brazil"/>
    <s v="Southest"/>
    <s v="ES"/>
    <s v="Espírito Santo"/>
    <s v="Serra"/>
    <s v="Shopping Montserrat"/>
    <x v="1"/>
    <n v="1511.3"/>
  </r>
  <r>
    <n v="1"/>
    <s v="CMC-053"/>
    <x v="1"/>
    <s v="Open"/>
    <x v="430"/>
    <m/>
    <s v="Brazil"/>
    <s v="Southest"/>
    <s v="SP"/>
    <s v="São Paulo"/>
    <s v="São Paulo"/>
    <s v="Mooca Shopping "/>
    <x v="1"/>
    <n v="415.82"/>
  </r>
  <r>
    <n v="1"/>
    <s v="CMC-052"/>
    <x v="1"/>
    <s v="Open"/>
    <x v="431"/>
    <m/>
    <s v="Brazil"/>
    <s v="Southest"/>
    <s v="RJ"/>
    <s v="Rio de Janeiro"/>
    <s v="Rio de Janeiro"/>
    <s v="Shopping Metropolitano Barra"/>
    <x v="1"/>
    <n v="400.68"/>
  </r>
  <r>
    <n v="1"/>
    <s v="RNR-262"/>
    <x v="0"/>
    <s v="Open"/>
    <x v="432"/>
    <m/>
    <s v="Brazil"/>
    <s v="Southest"/>
    <s v="SP"/>
    <s v="São Paulo"/>
    <s v="São Paulo"/>
    <s v="Tietê Plaza Shopping"/>
    <x v="1"/>
    <n v="2577.9299999999998"/>
  </r>
  <r>
    <n v="0"/>
    <s v="CMC-051"/>
    <x v="1"/>
    <s v="Closed"/>
    <x v="433"/>
    <d v="2023-02-06T00:00:00"/>
    <s v="Brazil"/>
    <s v="South"/>
    <s v="PR"/>
    <s v="Paraná"/>
    <s v="Curitiba"/>
    <s v="Palladium Curitiba "/>
    <x v="1"/>
    <n v="0"/>
  </r>
  <r>
    <n v="1"/>
    <s v="YCM-015"/>
    <x v="2"/>
    <s v="Open"/>
    <x v="434"/>
    <m/>
    <s v="Brazil"/>
    <s v="Southest"/>
    <s v="SP"/>
    <s v="São Paulo"/>
    <s v="Sorocaba"/>
    <s v="Shopping Iguatemi Esplanada"/>
    <x v="1"/>
    <n v="198.57000000000002"/>
  </r>
  <r>
    <n v="1"/>
    <s v="RNR-256"/>
    <x v="0"/>
    <s v="Open"/>
    <x v="435"/>
    <m/>
    <s v="Brazil"/>
    <s v="Southest"/>
    <s v="RJ"/>
    <s v="Rio de Janeiro"/>
    <s v="Rio de Janeiro"/>
    <s v="Shopping Metropolitano Barra"/>
    <x v="1"/>
    <n v="3313.9399999999996"/>
  </r>
  <r>
    <n v="1"/>
    <s v="CMC-049"/>
    <x v="1"/>
    <s v="Open"/>
    <x v="436"/>
    <m/>
    <s v="Brazil"/>
    <s v="Southest"/>
    <s v="SP"/>
    <s v="São Paulo"/>
    <s v="Ribeirão Preto"/>
    <s v="Ribeirão Shopping"/>
    <x v="1"/>
    <n v="349.39"/>
  </r>
  <r>
    <n v="1"/>
    <s v="RNR-268"/>
    <x v="0"/>
    <s v="Open"/>
    <x v="437"/>
    <m/>
    <s v="Brazil"/>
    <s v="Southest"/>
    <s v="SP"/>
    <s v="São Paulo"/>
    <s v="Pindamonhangaba"/>
    <s v="Shopping Pátio Pinda"/>
    <x v="1"/>
    <n v="1919.15"/>
  </r>
  <r>
    <n v="1"/>
    <s v="RNR-283"/>
    <x v="0"/>
    <s v="Open"/>
    <x v="438"/>
    <m/>
    <s v="Brazil"/>
    <s v="Southest"/>
    <s v="RJ"/>
    <s v="Rio de Janeiro"/>
    <s v="Rio de Janeiro"/>
    <s v="Parque Shopping Sulacap"/>
    <x v="1"/>
    <n v="1895.13"/>
  </r>
  <r>
    <n v="1"/>
    <s v="RNR-290"/>
    <x v="0"/>
    <s v="Open"/>
    <x v="438"/>
    <m/>
    <s v="Brazil"/>
    <s v="Southest"/>
    <s v="SP"/>
    <s v="São Paulo"/>
    <s v="São Bernardo do Campo"/>
    <s v="Golden Square Shopping"/>
    <x v="1"/>
    <n v="2050.36"/>
  </r>
  <r>
    <n v="1"/>
    <s v="RNR-300"/>
    <x v="0"/>
    <s v="Open"/>
    <x v="439"/>
    <m/>
    <s v="Brazil"/>
    <s v="Northest"/>
    <s v="RN"/>
    <s v="Rio Grande do Norte"/>
    <s v="Natal"/>
    <s v="Natal Shopping"/>
    <x v="1"/>
    <n v="2377.8900000000003"/>
  </r>
  <r>
    <n v="1"/>
    <s v="RNR-273"/>
    <x v="0"/>
    <s v="Open"/>
    <x v="440"/>
    <m/>
    <s v="Brazil"/>
    <s v="Northest"/>
    <s v="CE"/>
    <s v="Ceará"/>
    <s v="Fortaleza"/>
    <s v="Shopping Parangaba"/>
    <x v="1"/>
    <n v="2557.79"/>
  </r>
  <r>
    <n v="1"/>
    <s v="RNR-281"/>
    <x v="0"/>
    <s v="Open"/>
    <x v="440"/>
    <m/>
    <s v="Brazil"/>
    <s v="Southest"/>
    <s v="MG"/>
    <s v="Minas Gerais"/>
    <s v="Contagem"/>
    <s v="Shopping Contagem"/>
    <x v="1"/>
    <n v="2554.6400000000003"/>
  </r>
  <r>
    <n v="1"/>
    <s v="RNR-288"/>
    <x v="0"/>
    <s v="Open"/>
    <x v="440"/>
    <m/>
    <s v="Brazil"/>
    <s v="Northest"/>
    <s v="AL"/>
    <s v="Alagoas"/>
    <s v="Maceió"/>
    <s v="Pátio Shopping Maceió"/>
    <x v="1"/>
    <n v="2811.39"/>
  </r>
  <r>
    <n v="0"/>
    <s v="YCM-018"/>
    <x v="2"/>
    <s v="Closed"/>
    <x v="440"/>
    <d v="2018-01-31T00:00:00"/>
    <s v="Brazil"/>
    <s v="Southest"/>
    <s v="MG"/>
    <s v="Minas Gerais"/>
    <s v="Contagem"/>
    <s v="Shopping Contagem "/>
    <x v="1"/>
    <n v="0"/>
  </r>
  <r>
    <n v="0"/>
    <s v="YCM-016"/>
    <x v="2"/>
    <s v="Closed"/>
    <x v="441"/>
    <d v="2019-07-31T00:00:00"/>
    <s v="Brazil"/>
    <s v="South"/>
    <s v="RS"/>
    <s v="Rio Grande do Sul"/>
    <s v="Porto Alegre"/>
    <s v="Praia de Belas Shopping "/>
    <x v="1"/>
    <n v="0"/>
  </r>
  <r>
    <n v="1"/>
    <s v="RNR-279"/>
    <x v="0"/>
    <s v="Open"/>
    <x v="442"/>
    <m/>
    <s v="Brazil"/>
    <s v="South"/>
    <s v="RS"/>
    <s v="Rio Grande do Sul"/>
    <s v="Gravataí"/>
    <s v="Shopping Gravataí"/>
    <x v="1"/>
    <n v="2742.55"/>
  </r>
  <r>
    <n v="1"/>
    <s v="RNR-275"/>
    <x v="0"/>
    <s v="Open"/>
    <x v="443"/>
    <m/>
    <s v="Brazil"/>
    <s v="Southest"/>
    <s v="SP"/>
    <s v="São Paulo"/>
    <s v="Sorocaba"/>
    <s v="Shopping Pátio Cianê"/>
    <x v="1"/>
    <n v="3258.8100000000004"/>
  </r>
  <r>
    <n v="1"/>
    <s v="RNR-285"/>
    <x v="0"/>
    <s v="Open"/>
    <x v="444"/>
    <m/>
    <s v="Brazil"/>
    <s v="Midwest"/>
    <s v="DF"/>
    <s v="Distrito Federal"/>
    <s v="Brasília"/>
    <s v="JK Shopping &amp; Tower"/>
    <x v="1"/>
    <n v="2845.98"/>
  </r>
  <r>
    <n v="1"/>
    <s v="CMC-046"/>
    <x v="1"/>
    <s v="Open"/>
    <x v="445"/>
    <m/>
    <s v="Brazil"/>
    <s v="Southest"/>
    <s v="SP"/>
    <s v="São Paulo"/>
    <s v="Sorocaba"/>
    <s v="Iguatemi Esplanada"/>
    <x v="1"/>
    <n v="508"/>
  </r>
  <r>
    <n v="0"/>
    <s v="YCM-012"/>
    <x v="2"/>
    <s v="Closed"/>
    <x v="445"/>
    <d v="2023-02-04T00:00:00"/>
    <s v="Brazil"/>
    <s v="Southest"/>
    <s v="SP"/>
    <s v="São Paulo"/>
    <s v="São Bernardo do Campo"/>
    <s v="Golden Square Shopping "/>
    <x v="1"/>
    <n v="0"/>
  </r>
  <r>
    <n v="1"/>
    <s v="RNR-282"/>
    <x v="0"/>
    <s v="Open"/>
    <x v="446"/>
    <m/>
    <s v="Brazil"/>
    <s v="Northest"/>
    <s v="CE"/>
    <s v="Ceará"/>
    <s v="Fortaleza"/>
    <s v="North Shopping Jóquei"/>
    <x v="1"/>
    <n v="2110.84"/>
  </r>
  <r>
    <n v="1"/>
    <s v="RNR-278"/>
    <x v="0"/>
    <s v="Open"/>
    <x v="447"/>
    <m/>
    <s v="Brazil"/>
    <s v="Northest"/>
    <s v="AL"/>
    <s v="Alagoas"/>
    <s v="Maceió"/>
    <s v="Parque Shopping Maceió"/>
    <x v="1"/>
    <n v="2882.6"/>
  </r>
  <r>
    <n v="1"/>
    <s v="RNR-286"/>
    <x v="0"/>
    <s v="Open"/>
    <x v="448"/>
    <m/>
    <s v="Brazil"/>
    <s v="Northest"/>
    <s v="MA"/>
    <s v="Maranhão"/>
    <s v="São Luís"/>
    <s v="Rio Anil Shopping"/>
    <x v="1"/>
    <n v="2628.91"/>
  </r>
  <r>
    <n v="1"/>
    <s v="YCM-013"/>
    <x v="2"/>
    <s v="Open"/>
    <x v="448"/>
    <m/>
    <s v="Brazil"/>
    <s v="Southest"/>
    <s v="SP"/>
    <s v="São Paulo"/>
    <s v="São Paulo"/>
    <s v="Shopping Frei Caneca"/>
    <x v="1"/>
    <n v="273.25"/>
  </r>
  <r>
    <n v="1"/>
    <s v="RNR-277"/>
    <x v="0"/>
    <s v="Open"/>
    <x v="449"/>
    <m/>
    <s v="Brazil"/>
    <s v="Midwest"/>
    <s v="GO"/>
    <s v="Goiás"/>
    <s v="Goiânia"/>
    <s v="Passeio das Águas Shopping"/>
    <x v="1"/>
    <n v="2876.11"/>
  </r>
  <r>
    <n v="0"/>
    <s v="CMC-048"/>
    <x v="1"/>
    <s v="Closed"/>
    <x v="450"/>
    <d v="2023-01-16T00:00:00"/>
    <s v="Brazil"/>
    <s v="Southest"/>
    <s v="SP"/>
    <s v="São Paulo"/>
    <s v="São Bernardo do Campo"/>
    <s v="Golden Square "/>
    <x v="1"/>
    <n v="0"/>
  </r>
  <r>
    <n v="1"/>
    <s v="YCM-014"/>
    <x v="2"/>
    <s v="Open"/>
    <x v="451"/>
    <m/>
    <s v="Brazil"/>
    <s v="Southest"/>
    <s v="SP"/>
    <s v="São Paulo"/>
    <s v="São José dos Campos"/>
    <s v="Centervale Shopping"/>
    <x v="1"/>
    <n v="204.6"/>
  </r>
  <r>
    <n v="1"/>
    <s v="RNR-259"/>
    <x v="0"/>
    <s v="Open"/>
    <x v="452"/>
    <m/>
    <s v="Brazil"/>
    <s v="South"/>
    <s v="RS"/>
    <s v="Rio Grande do Sul"/>
    <s v="Pelotas"/>
    <s v="Shopping Pelotas"/>
    <x v="1"/>
    <n v="2753.9100000000003"/>
  </r>
  <r>
    <n v="1"/>
    <s v="RNR-266"/>
    <x v="0"/>
    <s v="Open"/>
    <x v="453"/>
    <m/>
    <s v="Brazil"/>
    <s v="Southest"/>
    <s v="SP"/>
    <s v="São Paulo"/>
    <s v="Sorocaba"/>
    <s v="Shopping Cidade Sorocaba"/>
    <x v="1"/>
    <n v="2206.96"/>
  </r>
  <r>
    <n v="0"/>
    <s v="YCM-004"/>
    <x v="2"/>
    <s v="Closed"/>
    <x v="454"/>
    <d v="2023-02-10T00:00:00"/>
    <s v="Brazil"/>
    <s v="Southest"/>
    <s v="MG"/>
    <s v="Minas Gerais"/>
    <s v="Belo Horizonte"/>
    <s v="Shopping Cidade "/>
    <x v="1"/>
    <n v="0"/>
  </r>
  <r>
    <n v="0"/>
    <s v="YCM-005"/>
    <x v="2"/>
    <s v="Closed"/>
    <x v="455"/>
    <d v="2023-02-04T00:00:00"/>
    <s v="Brazil"/>
    <s v="South"/>
    <s v="RS"/>
    <s v="Rio Grande do Sul"/>
    <s v="Porto Alegre"/>
    <s v="Bourbon Ipiranga "/>
    <x v="1"/>
    <n v="0"/>
  </r>
  <r>
    <n v="0"/>
    <s v="YCM-007"/>
    <x v="2"/>
    <s v="Closed"/>
    <x v="456"/>
    <d v="2018-08-05T00:00:00"/>
    <s v="Brazil"/>
    <s v="South"/>
    <s v="RS"/>
    <s v="Rio Grande do Sul"/>
    <s v="Porto Alegre"/>
    <s v="Bourbon Wallig "/>
    <x v="1"/>
    <n v="0"/>
  </r>
  <r>
    <n v="1"/>
    <s v="YCM-003"/>
    <x v="2"/>
    <s v="Open"/>
    <x v="457"/>
    <m/>
    <s v="Brazil"/>
    <s v="Southest"/>
    <s v="SP"/>
    <s v="São Paulo"/>
    <s v="São Paulo"/>
    <s v="Metrô Boulevard Tatuapé"/>
    <x v="1"/>
    <n v="56.04"/>
  </r>
  <r>
    <n v="1"/>
    <s v="YCM-011"/>
    <x v="2"/>
    <s v="Open"/>
    <x v="458"/>
    <m/>
    <s v="Brazil"/>
    <s v="Southest"/>
    <s v="SP"/>
    <s v="São Paulo"/>
    <s v="São Paulo"/>
    <s v="Shopping Center Norte "/>
    <x v="1"/>
    <n v="257.13"/>
  </r>
  <r>
    <n v="1"/>
    <s v="YCM-010"/>
    <x v="2"/>
    <s v="Open"/>
    <x v="459"/>
    <m/>
    <s v="Brazil"/>
    <s v="Southest"/>
    <s v="SP"/>
    <s v="São Paulo"/>
    <s v="São Paulo"/>
    <s v="Shopping Ibirapuera"/>
    <x v="1"/>
    <n v="279.69"/>
  </r>
  <r>
    <n v="0"/>
    <s v="RNR-264"/>
    <x v="0"/>
    <s v="Closed"/>
    <x v="460"/>
    <d v="2023-12-28T00:00:00"/>
    <s v="Brazil"/>
    <s v="Midwest"/>
    <s v="MS"/>
    <s v="Mato Grosso do Sul"/>
    <s v="Campo Grande"/>
    <s v="Shopping Bosque dos Ipês "/>
    <x v="1"/>
    <n v="0"/>
  </r>
  <r>
    <n v="1"/>
    <s v="YCM-009"/>
    <x v="2"/>
    <s v="Open"/>
    <x v="460"/>
    <m/>
    <s v="Brazil"/>
    <s v="Southest"/>
    <s v="SP"/>
    <s v="São Paulo"/>
    <s v="Barueri"/>
    <s v="Shopping Tamboré"/>
    <x v="1"/>
    <n v="179.17"/>
  </r>
  <r>
    <n v="1"/>
    <s v="RNR-252"/>
    <x v="0"/>
    <s v="Open"/>
    <x v="461"/>
    <m/>
    <s v="Brazil"/>
    <s v="North"/>
    <s v="AM"/>
    <s v="Amazonas"/>
    <s v="Manaus"/>
    <s v="Ponta Negra Shopping"/>
    <x v="1"/>
    <n v="2206.2600000000002"/>
  </r>
  <r>
    <n v="1"/>
    <s v="YCM-008"/>
    <x v="2"/>
    <s v="Open"/>
    <x v="461"/>
    <m/>
    <s v="Brazil"/>
    <s v="Southest"/>
    <s v="SP"/>
    <s v="São Paulo"/>
    <s v="Campinas"/>
    <s v="Shopping Iguatemi Campinas"/>
    <x v="1"/>
    <n v="289.33"/>
  </r>
  <r>
    <n v="1"/>
    <s v="CMC-047"/>
    <x v="1"/>
    <s v="Open"/>
    <x v="462"/>
    <m/>
    <s v="Brazil"/>
    <s v="Midwest"/>
    <s v="DF"/>
    <s v="Distrito Federal"/>
    <s v="Brasília"/>
    <s v="Iguatemi Brasília"/>
    <x v="1"/>
    <n v="572.94000000000005"/>
  </r>
  <r>
    <n v="1"/>
    <s v="YCM-006"/>
    <x v="2"/>
    <s v="Open"/>
    <x v="463"/>
    <m/>
    <s v="Brazil"/>
    <s v="Southest"/>
    <s v="SP"/>
    <s v="São Paulo"/>
    <s v="São Paulo"/>
    <s v="Bourbon São Paulo"/>
    <x v="1"/>
    <n v="218.07999999999998"/>
  </r>
  <r>
    <n v="0"/>
    <s v="RNR-242"/>
    <x v="0"/>
    <s v="Closed"/>
    <x v="464"/>
    <d v="2023-06-29T00:00:00"/>
    <s v="Brazil"/>
    <s v="North"/>
    <s v="AP"/>
    <s v="Amapá"/>
    <s v="Macapá"/>
    <s v="Amapá Garden Shopping"/>
    <x v="1"/>
    <n v="0"/>
  </r>
  <r>
    <n v="1"/>
    <s v="RNR-260"/>
    <x v="0"/>
    <s v="Open"/>
    <x v="465"/>
    <m/>
    <s v="Brazil"/>
    <s v="Southest"/>
    <s v="MG"/>
    <s v="Minas Gerais"/>
    <s v="Betim"/>
    <s v="Metropolitan Shopping Betim"/>
    <x v="1"/>
    <n v="2733.56"/>
  </r>
  <r>
    <n v="1"/>
    <s v="RNR-257"/>
    <x v="0"/>
    <s v="Open"/>
    <x v="466"/>
    <m/>
    <s v="Brazil"/>
    <s v="Southest"/>
    <s v="SP"/>
    <s v="São Paulo"/>
    <s v="Presidente Prudente"/>
    <s v="Prudenshopping"/>
    <x v="1"/>
    <n v="2103.4700000000003"/>
  </r>
  <r>
    <n v="1"/>
    <s v="RNR-271"/>
    <x v="0"/>
    <s v="Open"/>
    <x v="466"/>
    <m/>
    <s v="Brazil"/>
    <s v="Northest"/>
    <s v="PI"/>
    <s v="Piauí"/>
    <s v="Teresina"/>
    <s v="Shopping Teresina"/>
    <x v="1"/>
    <n v="3051.3"/>
  </r>
  <r>
    <n v="1"/>
    <s v="RNR-269"/>
    <x v="0"/>
    <s v="Open"/>
    <x v="467"/>
    <m/>
    <s v="Brazil"/>
    <s v="North"/>
    <s v="PA"/>
    <s v="Pará"/>
    <s v="Marabá"/>
    <s v="Shopping Pátio Marabá"/>
    <x v="1"/>
    <n v="2349.16"/>
  </r>
  <r>
    <n v="1"/>
    <s v="RNR-267"/>
    <x v="0"/>
    <s v="Open"/>
    <x v="468"/>
    <m/>
    <s v="Brazil"/>
    <s v="South"/>
    <s v="PR"/>
    <s v="Paraná"/>
    <s v="Londrina"/>
    <s v="Boulevard Londrina Shopping"/>
    <x v="1"/>
    <n v="2586.63"/>
  </r>
  <r>
    <n v="1"/>
    <s v="RNR-280"/>
    <x v="0"/>
    <s v="Open"/>
    <x v="468"/>
    <m/>
    <s v="Brazil"/>
    <s v="Southest"/>
    <s v="MG"/>
    <s v="Minas Gerais"/>
    <s v="Pouso Alegre"/>
    <s v="Shopping Serrasul"/>
    <x v="1"/>
    <n v="1988.1599999999999"/>
  </r>
  <r>
    <n v="1"/>
    <s v="RNR-133"/>
    <x v="0"/>
    <s v="Open"/>
    <x v="469"/>
    <m/>
    <s v="Brazil"/>
    <s v="Southest"/>
    <s v="SP"/>
    <s v="São Paulo"/>
    <s v="São Paulo"/>
    <s v="Shopping Metro Tucuruvi"/>
    <x v="1"/>
    <n v="2674.6"/>
  </r>
  <r>
    <n v="1"/>
    <s v="RNR-251"/>
    <x v="0"/>
    <s v="Open"/>
    <x v="470"/>
    <m/>
    <s v="Brazil"/>
    <s v="South"/>
    <s v="RS"/>
    <s v="Rio Grande do Sul"/>
    <s v="Porto Alegre"/>
    <s v="Shopping Total"/>
    <x v="1"/>
    <n v="2002.92"/>
  </r>
  <r>
    <n v="1"/>
    <s v="CMC-044"/>
    <x v="1"/>
    <s v="Open"/>
    <x v="471"/>
    <m/>
    <s v="Brazil"/>
    <s v="Southest"/>
    <s v="SP"/>
    <s v="São Paulo"/>
    <s v="Santos"/>
    <s v="Praiamar Shopping"/>
    <x v="1"/>
    <n v="446.67"/>
  </r>
  <r>
    <n v="1"/>
    <s v="RNR-190"/>
    <x v="0"/>
    <s v="Open"/>
    <x v="472"/>
    <m/>
    <s v="Brazil"/>
    <s v="Southest"/>
    <s v="SP"/>
    <s v="São Paulo"/>
    <s v="Bauru"/>
    <s v="Boulevard Shopping Nações Bauru"/>
    <x v="1"/>
    <n v="2245.9300000000003"/>
  </r>
  <r>
    <n v="1"/>
    <s v="RNR-241"/>
    <x v="0"/>
    <s v="Open"/>
    <x v="473"/>
    <m/>
    <s v="Brazil"/>
    <s v="Southest"/>
    <s v="SP"/>
    <s v="São Paulo"/>
    <s v="Mauá"/>
    <s v="Mauá Plaza Shopping"/>
    <x v="1"/>
    <n v="2418.21"/>
  </r>
  <r>
    <n v="0"/>
    <s v="RNR-238"/>
    <x v="0"/>
    <s v="Closed"/>
    <x v="474"/>
    <d v="2023-02-28T00:00:00"/>
    <s v="Brazil"/>
    <s v="Southest"/>
    <s v="ES"/>
    <s v="Espírito Santo"/>
    <s v="Vitória"/>
    <s v="Loja Centro Vitória "/>
    <x v="0"/>
    <n v="0"/>
  </r>
  <r>
    <n v="0"/>
    <s v="RNR-232"/>
    <x v="0"/>
    <s v="Closed"/>
    <x v="475"/>
    <d v="2023-01-02T00:00:00"/>
    <s v="Brazil"/>
    <s v="Midwest"/>
    <s v="MT"/>
    <s v="Mato Grosso"/>
    <s v="Cuiabá"/>
    <s v="Goiabeiras Shopping "/>
    <x v="1"/>
    <n v="0"/>
  </r>
  <r>
    <n v="1"/>
    <s v="RNR-245"/>
    <x v="0"/>
    <s v="Open"/>
    <x v="475"/>
    <m/>
    <s v="Brazil"/>
    <s v="Southest"/>
    <s v="RJ"/>
    <s v="Rio de Janeiro"/>
    <s v="Rio de Janeiro"/>
    <s v="Park Shopping Campo Grande"/>
    <x v="1"/>
    <n v="3572.75"/>
  </r>
  <r>
    <n v="0"/>
    <s v="CMC-037"/>
    <x v="1"/>
    <s v="Closed"/>
    <x v="476"/>
    <d v="2023-02-06T00:00:00"/>
    <s v="Brazil"/>
    <s v="Southest"/>
    <s v="RJ"/>
    <s v="Rio de Janeiro"/>
    <s v="Rio de Janeiro"/>
    <s v="Park Shopping Campo Grande "/>
    <x v="1"/>
    <n v="0"/>
  </r>
  <r>
    <n v="1"/>
    <s v="RNR-239"/>
    <x v="0"/>
    <s v="Open"/>
    <x v="476"/>
    <m/>
    <s v="Brazil"/>
    <s v="Southest"/>
    <s v="SP"/>
    <s v="São Paulo"/>
    <s v="Campinas"/>
    <s v="Parque das Bandeiras Shopping"/>
    <x v="1"/>
    <n v="2660.81"/>
  </r>
  <r>
    <n v="0"/>
    <s v="RNR-247"/>
    <x v="0"/>
    <s v="Closed"/>
    <x v="477"/>
    <d v="2018-02-14T00:00:00"/>
    <s v="Brazil"/>
    <s v="Midwest"/>
    <s v="GO"/>
    <s v="Goiás"/>
    <s v="Goiânia"/>
    <s v="Portal Shopping "/>
    <x v="1"/>
    <n v="0"/>
  </r>
  <r>
    <n v="1"/>
    <s v="RNR-188"/>
    <x v="0"/>
    <s v="Open"/>
    <x v="477"/>
    <m/>
    <s v="Brazil"/>
    <s v="South"/>
    <s v="PR"/>
    <s v="Paraná"/>
    <s v="Curitiba"/>
    <s v="Shopping Jardim das Américas "/>
    <x v="1"/>
    <n v="1336.97"/>
  </r>
  <r>
    <n v="1"/>
    <s v="RNR-250"/>
    <x v="0"/>
    <s v="Open"/>
    <x v="478"/>
    <m/>
    <s v="Brazil"/>
    <s v="Southest"/>
    <s v="SP"/>
    <s v="São Paulo"/>
    <s v="São Bernardo do Campo"/>
    <s v="São Bernardo Plaza Shopping"/>
    <x v="1"/>
    <n v="2793.71"/>
  </r>
  <r>
    <n v="1"/>
    <s v="CMC-039"/>
    <x v="1"/>
    <s v="Open"/>
    <x v="479"/>
    <m/>
    <s v="Brazil"/>
    <s v="Southest"/>
    <s v="SP"/>
    <s v="São Paulo"/>
    <s v="São José dos Campos"/>
    <s v="CenterVale Shopping"/>
    <x v="1"/>
    <n v="447.77"/>
  </r>
  <r>
    <n v="1"/>
    <s v="RNR-176"/>
    <x v="0"/>
    <s v="Open"/>
    <x v="480"/>
    <m/>
    <s v="Brazil"/>
    <s v="Southest"/>
    <s v="RJ"/>
    <s v="Rio de Janeiro"/>
    <s v="Rio de Janeiro"/>
    <s v="Shopping Nova América"/>
    <x v="1"/>
    <n v="3768.7599999999998"/>
  </r>
  <r>
    <n v="1"/>
    <s v="RNR-234"/>
    <x v="0"/>
    <s v="Open"/>
    <x v="480"/>
    <m/>
    <s v="Brazil"/>
    <s v="Northest"/>
    <s v="PE"/>
    <s v="Pernambuco"/>
    <s v="Recife"/>
    <s v="Shopping Riomar Recife"/>
    <x v="1"/>
    <n v="4327.68"/>
  </r>
  <r>
    <n v="1"/>
    <s v="RNR-233"/>
    <x v="0"/>
    <s v="Open"/>
    <x v="481"/>
    <m/>
    <s v="Brazil"/>
    <s v="South"/>
    <s v="SC"/>
    <s v="Santa Catarina"/>
    <s v="São José"/>
    <s v="Continente Park Shopping"/>
    <x v="1"/>
    <n v="2960.7700000000004"/>
  </r>
  <r>
    <n v="1"/>
    <s v="RNR-244"/>
    <x v="0"/>
    <s v="Open"/>
    <x v="482"/>
    <m/>
    <s v="Brazil"/>
    <s v="Southest"/>
    <s v="SP"/>
    <s v="São Paulo"/>
    <s v="Santo André"/>
    <s v="Grand Plaza Shopping"/>
    <x v="1"/>
    <n v="3313.56"/>
  </r>
  <r>
    <n v="1"/>
    <s v="CMC-043"/>
    <x v="1"/>
    <s v="Open"/>
    <x v="483"/>
    <m/>
    <s v="Brazil"/>
    <s v="Southest"/>
    <s v="MG"/>
    <s v="Minas Gerais"/>
    <s v="Uberlândia"/>
    <s v="Center Shopping"/>
    <x v="1"/>
    <n v="488.17"/>
  </r>
  <r>
    <n v="0"/>
    <s v="CMC-041"/>
    <x v="1"/>
    <s v="Closed"/>
    <x v="484"/>
    <d v="2019-01-20T00:00:00"/>
    <s v="Brazil"/>
    <s v="Southest"/>
    <s v="SP"/>
    <s v="São Paulo"/>
    <s v="Osasco"/>
    <s v="Super Shopping Osasco "/>
    <x v="1"/>
    <n v="0"/>
  </r>
  <r>
    <n v="1"/>
    <s v="CMC-036"/>
    <x v="1"/>
    <s v="Open"/>
    <x v="484"/>
    <m/>
    <s v="Brazil"/>
    <s v="Southest"/>
    <s v="SP"/>
    <s v="São Paulo"/>
    <s v="Jundiaí"/>
    <s v="Jundiaí Shopping"/>
    <x v="1"/>
    <n v="458.87"/>
  </r>
  <r>
    <n v="1"/>
    <s v="RNR-237"/>
    <x v="0"/>
    <s v="Open"/>
    <x v="484"/>
    <m/>
    <s v="Brazil"/>
    <s v="Southest"/>
    <s v="SP"/>
    <s v="São Paulo"/>
    <s v="Jundiaí"/>
    <s v="Jundiaí Shopping"/>
    <x v="1"/>
    <n v="2131.91"/>
  </r>
  <r>
    <n v="1"/>
    <s v="RNR-186"/>
    <x v="0"/>
    <s v="Open"/>
    <x v="485"/>
    <m/>
    <s v="Brazil"/>
    <s v="Northest"/>
    <s v="PE"/>
    <s v="Pernambuco"/>
    <s v="Caruaru"/>
    <s v="North Shopping Caruaru"/>
    <x v="1"/>
    <n v="2431.02"/>
  </r>
  <r>
    <n v="0"/>
    <s v="CMC-035"/>
    <x v="1"/>
    <s v="Closed"/>
    <x v="486"/>
    <d v="2023-01-09T00:00:00"/>
    <s v="Brazil"/>
    <s v="Southest"/>
    <s v="SP"/>
    <s v="São Paulo"/>
    <s v="Ribeirão Preto"/>
    <s v="Shopping Santa Úrsula "/>
    <x v="1"/>
    <n v="0"/>
  </r>
  <r>
    <n v="1"/>
    <s v="CMC-038"/>
    <x v="1"/>
    <s v="Open"/>
    <x v="487"/>
    <m/>
    <s v="Brazil"/>
    <s v="South"/>
    <s v="SC"/>
    <s v="Santa Catarina"/>
    <s v="Blumenau"/>
    <s v="Shopping Neumarkt"/>
    <x v="1"/>
    <n v="422.28"/>
  </r>
  <r>
    <n v="1"/>
    <s v="RNR-108"/>
    <x v="0"/>
    <s v="Open"/>
    <x v="487"/>
    <m/>
    <s v="Brazil"/>
    <s v="Southest"/>
    <s v="SP"/>
    <s v="São Paulo"/>
    <s v="Ribeirão Preto"/>
    <s v="Shopping Santa Úrsula"/>
    <x v="1"/>
    <n v="2892.86"/>
  </r>
  <r>
    <n v="1"/>
    <s v="RNR-231"/>
    <x v="0"/>
    <s v="Open"/>
    <x v="488"/>
    <m/>
    <s v="Brazil"/>
    <s v="Northest"/>
    <s v="BA"/>
    <s v="Bahia"/>
    <s v="Salvador"/>
    <s v="Shopping Bela Vista"/>
    <x v="1"/>
    <n v="3165.6499999999996"/>
  </r>
  <r>
    <n v="1"/>
    <s v="RNR-196"/>
    <x v="0"/>
    <s v="Open"/>
    <x v="489"/>
    <m/>
    <s v="Brazil"/>
    <s v="Southest"/>
    <s v="RJ"/>
    <s v="Rio de Janeiro"/>
    <s v="Rio de Janeiro"/>
    <s v="Loja Nossa Senhora de Copacabana"/>
    <x v="0"/>
    <n v="2027.2"/>
  </r>
  <r>
    <n v="1"/>
    <s v="RNR-185"/>
    <x v="0"/>
    <s v="Open"/>
    <x v="490"/>
    <m/>
    <s v="Brazil"/>
    <s v="Southest"/>
    <s v="SP"/>
    <s v="São Paulo"/>
    <s v="São José dos Campos"/>
    <s v="Vale Sul Shopping"/>
    <x v="1"/>
    <n v="3181.43"/>
  </r>
  <r>
    <n v="0"/>
    <s v="CMC-034"/>
    <x v="1"/>
    <s v="Closed"/>
    <x v="491"/>
    <d v="2024-01-29T00:00:00"/>
    <s v="Brazil"/>
    <s v="South"/>
    <s v="SC"/>
    <s v="Santa Catarina"/>
    <s v="São José"/>
    <s v="Shopping Center Itaguaçú "/>
    <x v="1"/>
    <n v="0"/>
  </r>
  <r>
    <n v="1"/>
    <s v="RNR-236"/>
    <x v="0"/>
    <s v="Open"/>
    <x v="492"/>
    <m/>
    <s v="Brazil"/>
    <s v="North"/>
    <s v="PA"/>
    <s v="Pará"/>
    <s v="Belém"/>
    <s v="Parque Shopping Belém"/>
    <x v="1"/>
    <n v="3014.76"/>
  </r>
  <r>
    <n v="1"/>
    <s v="RNR-166"/>
    <x v="0"/>
    <s v="Open"/>
    <x v="493"/>
    <m/>
    <s v="Brazil"/>
    <s v="Southest"/>
    <s v="MG"/>
    <s v="Minas Gerais"/>
    <s v="Belo Horizonte"/>
    <s v="Shopping Estação BH"/>
    <x v="1"/>
    <n v="2782.79"/>
  </r>
  <r>
    <n v="0"/>
    <s v="CMC-033"/>
    <x v="1"/>
    <s v="Closed"/>
    <x v="494"/>
    <d v="2020-01-19T00:00:00"/>
    <s v="Brazil"/>
    <s v="South"/>
    <s v="RS"/>
    <s v="Rio Grande do Sul"/>
    <s v="Porto Alegre"/>
    <s v="Bourbon Wallig "/>
    <x v="1"/>
    <n v="0"/>
  </r>
  <r>
    <n v="1"/>
    <s v="RNR-170"/>
    <x v="0"/>
    <s v="Open"/>
    <x v="494"/>
    <m/>
    <s v="Brazil"/>
    <s v="South"/>
    <s v="RS"/>
    <s v="Rio Grande do Sul"/>
    <s v="Porto Alegre"/>
    <s v="Bourbon Shopping Wallig"/>
    <x v="1"/>
    <n v="3471.8999999999996"/>
  </r>
  <r>
    <n v="1"/>
    <s v="RNR-179"/>
    <x v="0"/>
    <s v="Open"/>
    <x v="495"/>
    <m/>
    <s v="Brazil"/>
    <s v="Southest"/>
    <s v="MG"/>
    <s v="Minas Gerais"/>
    <s v="Uberlândia"/>
    <s v="Uberlândia Shopping"/>
    <x v="1"/>
    <n v="1805.0500000000002"/>
  </r>
  <r>
    <n v="0"/>
    <s v="RNR-192"/>
    <x v="0"/>
    <s v="Closed"/>
    <x v="496"/>
    <d v="2023-07-13T00:00:00"/>
    <s v="Brazil"/>
    <s v="South"/>
    <s v="RS"/>
    <s v="Rio Grande do Sul"/>
    <s v="Porto Alegre"/>
    <s v="Loja Rua dos Andradas "/>
    <x v="0"/>
    <n v="0"/>
  </r>
  <r>
    <n v="0"/>
    <s v="CMC-031"/>
    <x v="1"/>
    <s v="Closed"/>
    <x v="497"/>
    <d v="2023-03-06T00:00:00"/>
    <s v="Brazil"/>
    <s v="South"/>
    <s v="RS"/>
    <s v="Rio Grande do Sul"/>
    <s v="Novo Hamburgo"/>
    <s v="Bourbon Novo Hamburgo "/>
    <x v="1"/>
    <n v="0"/>
  </r>
  <r>
    <n v="1"/>
    <s v="CMC-032"/>
    <x v="1"/>
    <s v="Open"/>
    <x v="498"/>
    <m/>
    <s v="Brazil"/>
    <s v="Southest"/>
    <s v="ES"/>
    <s v="Espírito Santo"/>
    <s v="Vitória"/>
    <s v="Shopping Vitória"/>
    <x v="1"/>
    <n v="1018.39"/>
  </r>
  <r>
    <n v="1"/>
    <s v="RNR-154"/>
    <x v="0"/>
    <s v="Open"/>
    <x v="498"/>
    <m/>
    <s v="Brazil"/>
    <s v="Southest"/>
    <s v="SP"/>
    <s v="São Paulo"/>
    <s v="Limeira"/>
    <s v="Pátio Limeira Shopping"/>
    <x v="1"/>
    <n v="1941.03"/>
  </r>
  <r>
    <n v="1"/>
    <s v="RNR-172"/>
    <x v="0"/>
    <s v="Open"/>
    <x v="498"/>
    <m/>
    <s v="Brazil"/>
    <s v="Northest"/>
    <s v="MA"/>
    <s v="Maranhão"/>
    <s v="São Luís"/>
    <s v="Shopping da Ilha"/>
    <x v="1"/>
    <n v="4868.7"/>
  </r>
  <r>
    <n v="1"/>
    <s v="RNR-200"/>
    <x v="0"/>
    <s v="Open"/>
    <x v="499"/>
    <m/>
    <s v="Brazil"/>
    <s v="South"/>
    <s v="PR"/>
    <s v="Paraná"/>
    <s v="Foz do Iguaçu"/>
    <s v="Cataratas JL Shopping"/>
    <x v="1"/>
    <n v="2110.3200000000002"/>
  </r>
  <r>
    <n v="1"/>
    <s v="RNR-230"/>
    <x v="0"/>
    <s v="Open"/>
    <x v="500"/>
    <m/>
    <s v="Brazil"/>
    <s v="Southest"/>
    <s v="SP"/>
    <s v="São Paulo"/>
    <s v="Jacareí"/>
    <s v="Jacareí Shopping Center"/>
    <x v="1"/>
    <n v="1439.6299999999999"/>
  </r>
  <r>
    <n v="1"/>
    <s v="RNR-147"/>
    <x v="0"/>
    <s v="Open"/>
    <x v="501"/>
    <m/>
    <s v="Brazil"/>
    <s v="Southest"/>
    <s v="SP"/>
    <s v="São Paulo"/>
    <s v="Diadema"/>
    <s v="Shopping Praça da Moça "/>
    <x v="1"/>
    <n v="2325.9499999999998"/>
  </r>
  <r>
    <n v="1"/>
    <s v="RNR-197"/>
    <x v="0"/>
    <s v="Open"/>
    <x v="502"/>
    <m/>
    <s v="Brazil"/>
    <s v="Southest"/>
    <s v="ES"/>
    <s v="Espírito Santo"/>
    <s v="Serra"/>
    <s v="Shopping Mestre Álvaro"/>
    <x v="1"/>
    <n v="2470.3199999999997"/>
  </r>
  <r>
    <n v="1"/>
    <s v="RNR-198"/>
    <x v="0"/>
    <s v="Open"/>
    <x v="502"/>
    <m/>
    <s v="Brazil"/>
    <s v="Northest"/>
    <s v="BA"/>
    <s v="Bahia"/>
    <s v="Vitória da Conquista"/>
    <s v="Shopping Conquista Sul"/>
    <x v="1"/>
    <n v="2003.22"/>
  </r>
  <r>
    <n v="1"/>
    <s v="RNR-174"/>
    <x v="0"/>
    <s v="Open"/>
    <x v="503"/>
    <m/>
    <s v="Brazil"/>
    <s v="Southest"/>
    <s v="MG"/>
    <s v="Minas Gerais"/>
    <s v="Montes Claros"/>
    <s v="Montes Claros Shopping "/>
    <x v="1"/>
    <n v="2101.2600000000002"/>
  </r>
  <r>
    <n v="1"/>
    <s v="RNR-123"/>
    <x v="0"/>
    <s v="Open"/>
    <x v="504"/>
    <m/>
    <s v="Brazil"/>
    <s v="Northest"/>
    <s v="PE"/>
    <s v="Pernambuco"/>
    <s v="Recife"/>
    <s v="Shopping Boa Vista"/>
    <x v="1"/>
    <n v="2795.77"/>
  </r>
  <r>
    <n v="1"/>
    <s v="RNR-195"/>
    <x v="0"/>
    <s v="Open"/>
    <x v="505"/>
    <m/>
    <s v="Brazil"/>
    <s v="South"/>
    <s v="PR"/>
    <s v="Paraná"/>
    <s v="Ponta Grossa"/>
    <s v="Palladium Ponta Grossa Shopping"/>
    <x v="1"/>
    <n v="2534.92"/>
  </r>
  <r>
    <n v="1"/>
    <s v="RNR-167"/>
    <x v="0"/>
    <s v="Open"/>
    <x v="506"/>
    <m/>
    <s v="Brazil"/>
    <s v="Southest"/>
    <s v="SP"/>
    <s v="São Paulo"/>
    <s v="Barueri"/>
    <s v="Parque Shopping Baruerí"/>
    <x v="1"/>
    <n v="3484.37"/>
  </r>
  <r>
    <n v="1"/>
    <s v="RNR-191"/>
    <x v="0"/>
    <s v="Open"/>
    <x v="507"/>
    <m/>
    <s v="Brazil"/>
    <s v="Southest"/>
    <s v="SP"/>
    <s v="São Paulo"/>
    <s v="São Paulo"/>
    <s v="Mooca Shopping "/>
    <x v="1"/>
    <n v="2573.17"/>
  </r>
  <r>
    <n v="1"/>
    <s v="RNR-189"/>
    <x v="0"/>
    <s v="Open"/>
    <x v="508"/>
    <m/>
    <s v="Brazil"/>
    <s v="Southest"/>
    <s v="SP"/>
    <s v="São Paulo"/>
    <s v="São Caetano do Sul"/>
    <s v="Park Shopping São Caetano"/>
    <x v="1"/>
    <n v="2655.35"/>
  </r>
  <r>
    <n v="1"/>
    <s v="CMC-030"/>
    <x v="1"/>
    <s v="Open"/>
    <x v="509"/>
    <m/>
    <s v="Brazil"/>
    <s v="Southest"/>
    <s v="SP"/>
    <s v="São Paulo"/>
    <s v="São Caetano do Sul"/>
    <s v="ParkShopping São Caetano"/>
    <x v="1"/>
    <n v="692.68"/>
  </r>
  <r>
    <n v="1"/>
    <s v="RNR-199"/>
    <x v="0"/>
    <s v="Open"/>
    <x v="509"/>
    <m/>
    <s v="Brazil"/>
    <s v="Southest"/>
    <s v="SP"/>
    <s v="São Paulo"/>
    <s v="São Paulo"/>
    <s v="Shopping Vila Olímpia"/>
    <x v="1"/>
    <n v="1070.0899999999999"/>
  </r>
  <r>
    <n v="1"/>
    <s v="RNR-187"/>
    <x v="0"/>
    <s v="Open"/>
    <x v="510"/>
    <m/>
    <s v="Brazil"/>
    <s v="North"/>
    <s v="AC"/>
    <s v="Acre"/>
    <s v="Rio Branco"/>
    <s v="Via Verde Shopping"/>
    <x v="1"/>
    <n v="2411.09"/>
  </r>
  <r>
    <n v="1"/>
    <s v="RNR-194"/>
    <x v="0"/>
    <s v="Open"/>
    <x v="511"/>
    <m/>
    <s v="Brazil"/>
    <s v="Southest"/>
    <s v="SP"/>
    <s v="São Paulo"/>
    <s v="Marília"/>
    <s v="Loja centro de Marília"/>
    <x v="0"/>
    <n v="1662.56"/>
  </r>
  <r>
    <n v="1"/>
    <s v="RNR-151"/>
    <x v="0"/>
    <s v="Open"/>
    <x v="512"/>
    <m/>
    <s v="Brazil"/>
    <s v="South"/>
    <s v="RS"/>
    <s v="Rio Grande do Sul"/>
    <s v="Erechim"/>
    <s v="Loja de rua Erechim"/>
    <x v="0"/>
    <n v="1760.77"/>
  </r>
  <r>
    <n v="0"/>
    <s v="RNR-184"/>
    <x v="0"/>
    <s v="Closed"/>
    <x v="513"/>
    <d v="2017-12-30T00:00:00"/>
    <s v="Brazil"/>
    <s v="Northest"/>
    <s v="RN"/>
    <s v="Rio Grande do Norte"/>
    <s v="Natal"/>
    <s v="Loja centro de Natal "/>
    <x v="0"/>
    <n v="0"/>
  </r>
  <r>
    <n v="1"/>
    <s v="RNR-177"/>
    <x v="0"/>
    <s v="Open"/>
    <x v="514"/>
    <m/>
    <s v="Brazil"/>
    <s v="South"/>
    <s v="SC"/>
    <s v="Santa Catarina"/>
    <s v="Chapecó"/>
    <s v="Pátio Chapecó Shopping"/>
    <x v="1"/>
    <n v="2748"/>
  </r>
  <r>
    <n v="1"/>
    <s v="RNR-178"/>
    <x v="0"/>
    <s v="Open"/>
    <x v="515"/>
    <m/>
    <s v="Brazil"/>
    <s v="Southest"/>
    <s v="MG"/>
    <s v="Minas Gerais"/>
    <s v="Uberaba"/>
    <s v="Uberaba Shopping Center"/>
    <x v="1"/>
    <n v="2257.08"/>
  </r>
  <r>
    <n v="1"/>
    <s v="RNR-193"/>
    <x v="0"/>
    <s v="Open"/>
    <x v="516"/>
    <m/>
    <s v="Brazil"/>
    <s v="Northest"/>
    <s v="BA"/>
    <s v="Bahia"/>
    <s v="Feira de Santana"/>
    <s v="Boulevard Feira"/>
    <x v="1"/>
    <n v="2348.7199999999998"/>
  </r>
  <r>
    <n v="1"/>
    <s v="RNR-149"/>
    <x v="0"/>
    <s v="Open"/>
    <x v="517"/>
    <m/>
    <s v="Brazil"/>
    <s v="Southest"/>
    <s v="SP"/>
    <s v="São Paulo"/>
    <s v="Ribeirão Preto"/>
    <s v="Novo Shopping Ribeirão"/>
    <x v="1"/>
    <n v="2874.2000000000003"/>
  </r>
  <r>
    <n v="1"/>
    <s v="RNR-183"/>
    <x v="0"/>
    <s v="Open"/>
    <x v="518"/>
    <m/>
    <s v="Brazil"/>
    <s v="Southest"/>
    <s v="RJ"/>
    <s v="Rio de Janeiro"/>
    <s v="Resende"/>
    <s v="Pátio Mix Resende"/>
    <x v="1"/>
    <n v="1957.94"/>
  </r>
  <r>
    <n v="1"/>
    <s v="RNR-161"/>
    <x v="0"/>
    <s v="Open"/>
    <x v="519"/>
    <m/>
    <s v="Brazil"/>
    <s v="Midwest"/>
    <s v="DF"/>
    <s v="Distrito Federal"/>
    <s v="Brasília"/>
    <s v="Iguatemi Brasília"/>
    <x v="1"/>
    <n v="2625.74"/>
  </r>
  <r>
    <n v="1"/>
    <s v="RNR-180"/>
    <x v="0"/>
    <s v="Open"/>
    <x v="520"/>
    <m/>
    <s v="Brazil"/>
    <s v="Southest"/>
    <s v="RJ"/>
    <s v="Rio de Janeiro"/>
    <s v="Campos dos Goytacazes"/>
    <s v="Boulevard Campos"/>
    <x v="1"/>
    <n v="2822.92"/>
  </r>
  <r>
    <n v="1"/>
    <s v="RNR-182"/>
    <x v="0"/>
    <s v="Open"/>
    <x v="520"/>
    <m/>
    <s v="Brazil"/>
    <s v="Northest"/>
    <s v="SE"/>
    <s v="Sergipe"/>
    <s v="Aracaju"/>
    <s v="Shopping Rio Mar Aracaju"/>
    <x v="1"/>
    <n v="2522.7800000000002"/>
  </r>
  <r>
    <n v="1"/>
    <s v="RNR-156"/>
    <x v="0"/>
    <s v="Open"/>
    <x v="521"/>
    <m/>
    <s v="Brazil"/>
    <s v="South"/>
    <s v="SC"/>
    <s v="Santa Catarina"/>
    <s v="Blumenau"/>
    <s v="Blumenau Norte Shopping"/>
    <x v="1"/>
    <n v="2087.85"/>
  </r>
  <r>
    <n v="1"/>
    <s v="RNR-173"/>
    <x v="0"/>
    <s v="Open"/>
    <x v="522"/>
    <m/>
    <s v="Brazil"/>
    <s v="Midwest"/>
    <s v="MS"/>
    <s v="Mato Grosso do Sul"/>
    <s v="Campo Grande"/>
    <s v="Norte Sul Plaza"/>
    <x v="1"/>
    <n v="2861.5499999999997"/>
  </r>
  <r>
    <n v="1"/>
    <s v="CMC-025"/>
    <x v="1"/>
    <s v="Open"/>
    <x v="523"/>
    <m/>
    <s v="Brazil"/>
    <s v="Southest"/>
    <s v="SP"/>
    <s v="São Paulo"/>
    <s v="Barueri"/>
    <s v="Shopping Tamboré"/>
    <x v="1"/>
    <n v="530.12"/>
  </r>
  <r>
    <n v="1"/>
    <s v="RNR-157"/>
    <x v="0"/>
    <s v="Open"/>
    <x v="523"/>
    <m/>
    <s v="Brazil"/>
    <s v="Southest"/>
    <s v="SP"/>
    <s v="São Paulo"/>
    <s v="Indaiatuba"/>
    <s v="Polo Shopping Indaiatuba"/>
    <x v="1"/>
    <n v="2353.75"/>
  </r>
  <r>
    <n v="1"/>
    <s v="RNR-162"/>
    <x v="0"/>
    <s v="Open"/>
    <x v="523"/>
    <m/>
    <s v="Brazil"/>
    <s v="Southest"/>
    <s v="SP"/>
    <s v="São Paulo"/>
    <s v="Barueri"/>
    <s v="Shopping Tamboré"/>
    <x v="1"/>
    <n v="2912.94"/>
  </r>
  <r>
    <n v="1"/>
    <s v="RNR-148"/>
    <x v="0"/>
    <s v="Open"/>
    <x v="524"/>
    <m/>
    <s v="Brazil"/>
    <s v="Southest"/>
    <s v="SP"/>
    <s v="São Paulo"/>
    <s v="Franca"/>
    <s v="Franca Shopping"/>
    <x v="1"/>
    <n v="2130.89"/>
  </r>
  <r>
    <n v="1"/>
    <s v="RNR-155"/>
    <x v="0"/>
    <s v="Open"/>
    <x v="525"/>
    <m/>
    <s v="Brazil"/>
    <s v="South"/>
    <s v="RS"/>
    <s v="Rio Grande do Sul"/>
    <s v="Santa Maria"/>
    <s v="Royal Plaza Santa Maria"/>
    <x v="1"/>
    <n v="1740.85"/>
  </r>
  <r>
    <n v="1"/>
    <s v="RNR-169"/>
    <x v="0"/>
    <s v="Open"/>
    <x v="525"/>
    <m/>
    <s v="Brazil"/>
    <s v="Southest"/>
    <s v="RJ"/>
    <s v="Rio de Janeiro"/>
    <s v="São Gonçalo"/>
    <s v="Boulevard São Gonçalo"/>
    <x v="1"/>
    <n v="1887.01"/>
  </r>
  <r>
    <n v="1"/>
    <s v="RNR-143"/>
    <x v="0"/>
    <s v="Open"/>
    <x v="526"/>
    <m/>
    <s v="Brazil"/>
    <s v="Northest"/>
    <s v="BA"/>
    <s v="Bahia"/>
    <s v="Salvador"/>
    <s v="Shopping Paralela"/>
    <x v="1"/>
    <n v="2832.36"/>
  </r>
  <r>
    <n v="1"/>
    <s v="RNR-158"/>
    <x v="0"/>
    <s v="Open"/>
    <x v="527"/>
    <m/>
    <s v="Brazil"/>
    <s v="Southest"/>
    <s v="SP"/>
    <s v="São Paulo"/>
    <s v="Cotia"/>
    <s v="Shopping Granja Viana"/>
    <x v="1"/>
    <n v="2257.87"/>
  </r>
  <r>
    <n v="1"/>
    <s v="RNR-137"/>
    <x v="0"/>
    <s v="Open"/>
    <x v="528"/>
    <m/>
    <s v="Brazil"/>
    <s v="South"/>
    <s v="RS"/>
    <s v="Rio Grande do Sul"/>
    <s v="Caxias do Sul"/>
    <s v="San Pelegrino Mall"/>
    <x v="1"/>
    <n v="1996"/>
  </r>
  <r>
    <n v="1"/>
    <s v="RNR-171"/>
    <x v="0"/>
    <s v="Open"/>
    <x v="528"/>
    <m/>
    <s v="Brazil"/>
    <s v="Northest"/>
    <s v="BA"/>
    <s v="Bahia"/>
    <s v="Salvador"/>
    <s v="Norte Shopping Salvador"/>
    <x v="1"/>
    <n v="2772.54"/>
  </r>
  <r>
    <n v="1"/>
    <s v="CMC-029"/>
    <x v="1"/>
    <s v="Open"/>
    <x v="529"/>
    <m/>
    <s v="Brazil"/>
    <s v="Southest"/>
    <s v="MG"/>
    <s v="Minas Gerais"/>
    <s v="Belo Horizonte"/>
    <s v="Boulevard Shopping BH"/>
    <x v="1"/>
    <n v="556.13"/>
  </r>
  <r>
    <n v="1"/>
    <s v="RNR-153"/>
    <x v="0"/>
    <s v="Open"/>
    <x v="530"/>
    <m/>
    <s v="Brazil"/>
    <s v="Southest"/>
    <s v="MG"/>
    <s v="Minas Gerais"/>
    <s v="Belo Horizonte"/>
    <s v="Boulevard BH"/>
    <x v="1"/>
    <n v="3113.04"/>
  </r>
  <r>
    <n v="1"/>
    <s v="RNR-168"/>
    <x v="0"/>
    <s v="Open"/>
    <x v="531"/>
    <m/>
    <s v="Brazil"/>
    <s v="North"/>
    <s v="TO"/>
    <s v="Tocantins"/>
    <s v="Palmas"/>
    <s v="Shopping Capim Dourado"/>
    <x v="1"/>
    <n v="2590.75"/>
  </r>
  <r>
    <n v="1"/>
    <s v="RNR-150"/>
    <x v="0"/>
    <s v="Open"/>
    <x v="532"/>
    <m/>
    <s v="Brazil"/>
    <s v="Southest"/>
    <s v="SP"/>
    <s v="São Paulo"/>
    <s v="São Paulo"/>
    <s v="Shopping Raposo Tavares"/>
    <x v="1"/>
    <n v="2663.89"/>
  </r>
  <r>
    <n v="1"/>
    <s v="RNR-145"/>
    <x v="0"/>
    <s v="Open"/>
    <x v="533"/>
    <m/>
    <s v="Brazil"/>
    <s v="Southest"/>
    <s v="RJ"/>
    <s v="Rio de Janeiro"/>
    <s v="Rio de Janeiro"/>
    <s v="Shopping West Campo Grande"/>
    <x v="1"/>
    <n v="3235.01"/>
  </r>
  <r>
    <n v="1"/>
    <s v="RNR-175"/>
    <x v="0"/>
    <s v="Open"/>
    <x v="534"/>
    <m/>
    <s v="Brazil"/>
    <s v="Southest"/>
    <s v="SP"/>
    <s v="São Paulo"/>
    <s v="São Paulo"/>
    <s v="Loja Avenida Paulista"/>
    <x v="0"/>
    <n v="4021.33"/>
  </r>
  <r>
    <n v="1"/>
    <s v="RNR-163"/>
    <x v="0"/>
    <s v="Open"/>
    <x v="535"/>
    <m/>
    <s v="Brazil"/>
    <s v="South"/>
    <s v="SC"/>
    <s v="Santa Catarina"/>
    <s v="Joinville"/>
    <s v="Shopping Joinville Garten"/>
    <x v="1"/>
    <n v="3051.3999999999996"/>
  </r>
  <r>
    <n v="1"/>
    <s v="RNR-096"/>
    <x v="0"/>
    <s v="Open"/>
    <x v="536"/>
    <m/>
    <s v="Brazil"/>
    <s v="Northest"/>
    <s v="AL"/>
    <s v="Alagoas"/>
    <s v="Maceió"/>
    <s v="Maceió Shopping"/>
    <x v="1"/>
    <n v="3669.84"/>
  </r>
  <r>
    <n v="1"/>
    <s v="RNR-140"/>
    <x v="0"/>
    <s v="Open"/>
    <x v="537"/>
    <m/>
    <s v="Brazil"/>
    <s v="South"/>
    <s v="RS"/>
    <s v="Rio Grande do Sul"/>
    <s v="Porto Alegre"/>
    <s v="Bourbon Shopping Ipiranga"/>
    <x v="1"/>
    <n v="3097.42"/>
  </r>
  <r>
    <n v="0"/>
    <s v="CMC-024"/>
    <x v="1"/>
    <s v="Closed"/>
    <x v="538"/>
    <d v="2023-01-09T00:00:00"/>
    <s v="Brazil"/>
    <s v="Southest"/>
    <s v="SP"/>
    <s v="São Paulo"/>
    <s v="São Paulo"/>
    <s v="Shopping Vila Olímpia "/>
    <x v="1"/>
    <n v="0"/>
  </r>
  <r>
    <n v="1"/>
    <s v="RNR-159"/>
    <x v="0"/>
    <s v="Open"/>
    <x v="539"/>
    <m/>
    <s v="Brazil"/>
    <s v="North"/>
    <s v="PA"/>
    <s v="Pará"/>
    <s v="Belém"/>
    <s v="Boulevard Belém Shopping"/>
    <x v="1"/>
    <n v="2707.13"/>
  </r>
  <r>
    <n v="1"/>
    <s v="CMC-028"/>
    <x v="1"/>
    <s v="Open"/>
    <x v="540"/>
    <m/>
    <s v="Brazil"/>
    <s v="Midwest"/>
    <s v="DF"/>
    <s v="Distrito Federal"/>
    <s v="Brasília"/>
    <s v="Park Shopping Brasília"/>
    <x v="1"/>
    <n v="590.21"/>
  </r>
  <r>
    <n v="1"/>
    <s v="CMC-027"/>
    <x v="1"/>
    <s v="Open"/>
    <x v="541"/>
    <m/>
    <s v="Brazil"/>
    <s v="Midwest"/>
    <s v="GO"/>
    <s v="Goiás"/>
    <s v="Goiânia"/>
    <s v="Goiânia Shopping"/>
    <x v="1"/>
    <n v="545"/>
  </r>
  <r>
    <n v="1"/>
    <s v="RNR-138"/>
    <x v="0"/>
    <s v="Open"/>
    <x v="542"/>
    <m/>
    <s v="Brazil"/>
    <s v="Southest"/>
    <s v="SP"/>
    <s v="São Paulo"/>
    <s v="Osasco"/>
    <s v="Shopping União de Osasco"/>
    <x v="1"/>
    <n v="3940.2200000000003"/>
  </r>
  <r>
    <n v="1"/>
    <s v="RNR-139"/>
    <x v="0"/>
    <s v="Open"/>
    <x v="543"/>
    <m/>
    <s v="Brazil"/>
    <s v="Southest"/>
    <s v="SP"/>
    <s v="São Paulo"/>
    <s v="Suzano"/>
    <s v="Suzano Shopping Center"/>
    <x v="1"/>
    <n v="2652.66"/>
  </r>
  <r>
    <n v="1"/>
    <s v="RNR-135"/>
    <x v="0"/>
    <s v="Open"/>
    <x v="544"/>
    <m/>
    <s v="Brazil"/>
    <s v="South"/>
    <s v="RS"/>
    <s v="Rio Grande do Sul"/>
    <s v="Passo Fundo"/>
    <s v="Shopping Bella Citta"/>
    <x v="1"/>
    <n v="3539"/>
  </r>
  <r>
    <n v="1"/>
    <s v="RNR-142"/>
    <x v="0"/>
    <s v="Open"/>
    <x v="545"/>
    <m/>
    <s v="Brazil"/>
    <s v="Midwest"/>
    <s v="DF"/>
    <s v="Distrito Federal"/>
    <s v="Brasília"/>
    <s v="Shopping Boulevard Brasilia"/>
    <x v="1"/>
    <n v="2387.75"/>
  </r>
  <r>
    <n v="0"/>
    <s v="CMC-026"/>
    <x v="1"/>
    <s v="Closed"/>
    <x v="546"/>
    <d v="2023-08-21T00:00:00"/>
    <s v="Brazil"/>
    <s v="Southest"/>
    <s v="RJ"/>
    <s v="Rio de Janeiro"/>
    <s v="Rio de Janeiro"/>
    <s v="Barra Shopping "/>
    <x v="1"/>
    <n v="0"/>
  </r>
  <r>
    <n v="1"/>
    <s v="RNR-113"/>
    <x v="0"/>
    <s v="Open"/>
    <x v="547"/>
    <m/>
    <s v="Brazil"/>
    <s v="Southest"/>
    <s v="SP"/>
    <s v="São Paulo"/>
    <s v="Bauru"/>
    <s v="Bauru Shopping"/>
    <x v="1"/>
    <n v="2958.5"/>
  </r>
  <r>
    <n v="1"/>
    <s v="RNR-128"/>
    <x v="0"/>
    <s v="Open"/>
    <x v="547"/>
    <m/>
    <s v="Brazil"/>
    <s v="Midwest"/>
    <s v="GO"/>
    <s v="Goiás"/>
    <s v="Goiânia"/>
    <s v="Shopping Goiânia"/>
    <x v="1"/>
    <n v="2302.48"/>
  </r>
  <r>
    <n v="1"/>
    <s v="RNR-141"/>
    <x v="0"/>
    <s v="Open"/>
    <x v="548"/>
    <m/>
    <s v="Brazil"/>
    <s v="Northest"/>
    <s v="RN"/>
    <s v="Rio Grande do Norte"/>
    <s v="Natal"/>
    <s v="Shopping Midway Mall"/>
    <x v="1"/>
    <n v="2848.1099999999997"/>
  </r>
  <r>
    <n v="1"/>
    <s v="RNR-146"/>
    <x v="0"/>
    <s v="Open"/>
    <x v="549"/>
    <m/>
    <s v="Brazil"/>
    <s v="North"/>
    <s v="AM"/>
    <s v="Amazonas"/>
    <s v="Manaus"/>
    <s v="Manauara Shopping "/>
    <x v="1"/>
    <n v="2909.12"/>
  </r>
  <r>
    <n v="1"/>
    <s v="RNR-130"/>
    <x v="0"/>
    <s v="Open"/>
    <x v="550"/>
    <m/>
    <s v="Brazil"/>
    <s v="Southest"/>
    <s v="ES"/>
    <s v="Espírito Santo"/>
    <s v="Vila Velha"/>
    <s v="Praia da Costa"/>
    <x v="1"/>
    <n v="2123.56"/>
  </r>
  <r>
    <n v="1"/>
    <s v="RNR-129"/>
    <x v="0"/>
    <s v="Open"/>
    <x v="551"/>
    <m/>
    <s v="Brazil"/>
    <s v="Midwest"/>
    <s v="GO"/>
    <s v="Goiás"/>
    <s v="Anápolis"/>
    <s v="Brasil Park Shopping"/>
    <x v="1"/>
    <n v="2399.37"/>
  </r>
  <r>
    <n v="1"/>
    <s v="CMC-022"/>
    <x v="1"/>
    <s v="Open"/>
    <x v="552"/>
    <m/>
    <s v="Brazil"/>
    <s v="South"/>
    <s v="RS"/>
    <s v="Rio Grande do Sul"/>
    <s v="Porto Alegre"/>
    <s v="Barra Shopping Sul"/>
    <x v="1"/>
    <n v="953.85"/>
  </r>
  <r>
    <n v="1"/>
    <s v="RNR-126"/>
    <x v="0"/>
    <s v="Open"/>
    <x v="552"/>
    <m/>
    <s v="Brazil"/>
    <s v="South"/>
    <s v="RS"/>
    <s v="Rio Grande do Sul"/>
    <s v="Porto Alegre"/>
    <s v="Barra Shopping Sul"/>
    <x v="1"/>
    <n v="4699.75"/>
  </r>
  <r>
    <n v="1"/>
    <s v="CMC-023"/>
    <x v="1"/>
    <s v="Open"/>
    <x v="553"/>
    <m/>
    <s v="Brazil"/>
    <s v="South"/>
    <s v="PR"/>
    <s v="Paraná"/>
    <s v="Londrina"/>
    <s v="Catuaí Shopping"/>
    <x v="1"/>
    <n v="571.25"/>
  </r>
  <r>
    <n v="1"/>
    <s v="RNR-125"/>
    <x v="0"/>
    <s v="Open"/>
    <x v="554"/>
    <m/>
    <s v="Brazil"/>
    <s v="Southest"/>
    <s v="RJ"/>
    <s v="Rio de Janeiro"/>
    <s v="Duque de Caxias"/>
    <s v="Caxias Shopping"/>
    <x v="1"/>
    <n v="2833.7999999999997"/>
  </r>
  <r>
    <n v="1"/>
    <s v="RNR-132"/>
    <x v="0"/>
    <s v="Open"/>
    <x v="555"/>
    <m/>
    <s v="Brazil"/>
    <s v="North"/>
    <s v="RO"/>
    <s v="Rondônia"/>
    <s v="Porto Velho"/>
    <s v="Porto Velho Shopping"/>
    <x v="1"/>
    <n v="2965.1800000000003"/>
  </r>
  <r>
    <n v="1"/>
    <s v="RNR-136"/>
    <x v="0"/>
    <s v="Open"/>
    <x v="556"/>
    <m/>
    <s v="Brazil"/>
    <s v="Southest"/>
    <s v="SP"/>
    <s v="São Paulo"/>
    <s v="Campinas"/>
    <s v="Campinas Shopping Center"/>
    <x v="1"/>
    <n v="2596.8000000000002"/>
  </r>
  <r>
    <n v="1"/>
    <s v="RNR-127"/>
    <x v="0"/>
    <s v="Open"/>
    <x v="557"/>
    <m/>
    <s v="Brazil"/>
    <s v="Midwest"/>
    <s v="GO"/>
    <s v="Goiás"/>
    <s v="Aparecida de Goiânia"/>
    <s v="Shopping Buriti"/>
    <x v="1"/>
    <n v="3074.6600000000003"/>
  </r>
  <r>
    <n v="1"/>
    <s v="RNR-122"/>
    <x v="0"/>
    <s v="Open"/>
    <x v="558"/>
    <m/>
    <s v="Brazil"/>
    <s v="South"/>
    <s v="PR"/>
    <s v="Paraná"/>
    <s v="São José dos Pinhais"/>
    <s v="São José dos Pinhais Shopping"/>
    <x v="1"/>
    <n v="2181.75"/>
  </r>
  <r>
    <n v="1"/>
    <s v="RNR-131"/>
    <x v="0"/>
    <s v="Open"/>
    <x v="559"/>
    <m/>
    <s v="Brazil"/>
    <s v="Southest"/>
    <s v="SP"/>
    <s v="São Paulo"/>
    <s v="Taubaté"/>
    <s v="Shopping Taubaté"/>
    <x v="1"/>
    <n v="2959.41"/>
  </r>
  <r>
    <n v="1"/>
    <s v="RNR-119"/>
    <x v="0"/>
    <s v="Open"/>
    <x v="560"/>
    <m/>
    <s v="Brazil"/>
    <s v="South"/>
    <s v="PR"/>
    <s v="Paraná"/>
    <s v="Curitiba"/>
    <s v="Palladium Shopping Center"/>
    <x v="1"/>
    <n v="2967.91"/>
  </r>
  <r>
    <n v="1"/>
    <s v="RNR-115"/>
    <x v="0"/>
    <s v="Open"/>
    <x v="561"/>
    <m/>
    <s v="Brazil"/>
    <s v="Southest"/>
    <s v="RJ"/>
    <s v="Rio de Janeiro"/>
    <s v="São João de Meriti"/>
    <s v="Shopping Grande Rio"/>
    <x v="1"/>
    <n v="3070.04"/>
  </r>
  <r>
    <n v="1"/>
    <s v="RNR-120"/>
    <x v="0"/>
    <s v="Open"/>
    <x v="562"/>
    <m/>
    <s v="Brazil"/>
    <s v="South"/>
    <s v="PR"/>
    <s v="Paraná"/>
    <s v="Maringá"/>
    <s v="Shopping Maringá Park"/>
    <x v="1"/>
    <n v="2701.46"/>
  </r>
  <r>
    <n v="1"/>
    <s v="RNR-121"/>
    <x v="0"/>
    <s v="Open"/>
    <x v="563"/>
    <m/>
    <s v="Brazil"/>
    <s v="Southest"/>
    <s v="SP"/>
    <s v="São Paulo"/>
    <s v="Taboão da Serra"/>
    <s v="Shopping Taboão"/>
    <x v="1"/>
    <n v="3149.8100000000004"/>
  </r>
  <r>
    <n v="1"/>
    <s v="RNR-111"/>
    <x v="0"/>
    <s v="Open"/>
    <x v="564"/>
    <m/>
    <s v="Brazil"/>
    <s v="Southest"/>
    <s v="MG"/>
    <s v="Minas Gerais"/>
    <s v="Juiz de Fora"/>
    <s v="Shopping Independência"/>
    <x v="1"/>
    <n v="3420.9300000000003"/>
  </r>
  <r>
    <n v="1"/>
    <s v="RNR-107"/>
    <x v="0"/>
    <s v="Open"/>
    <x v="565"/>
    <m/>
    <s v="Brazil"/>
    <s v="Southest"/>
    <s v="SP"/>
    <s v="São Paulo"/>
    <s v="São Paulo"/>
    <s v="Shopping Bourbon Pompéia"/>
    <x v="1"/>
    <n v="2883.91"/>
  </r>
  <r>
    <n v="0"/>
    <s v="CMC-021"/>
    <x v="1"/>
    <s v="Closed"/>
    <x v="566"/>
    <d v="2020-01-19T00:00:00"/>
    <s v="Brazil"/>
    <s v="Southest"/>
    <s v="SP"/>
    <s v="São Paulo"/>
    <s v="São Paulo"/>
    <s v="Santana Parque Shopping "/>
    <x v="1"/>
    <n v="0"/>
  </r>
  <r>
    <n v="1"/>
    <s v="RNR-106"/>
    <x v="0"/>
    <s v="Open"/>
    <x v="567"/>
    <m/>
    <s v="Brazil"/>
    <s v="Northest"/>
    <s v="PB"/>
    <s v="Paraíba"/>
    <s v="João Pessoa"/>
    <s v="Shopping Manaíra"/>
    <x v="1"/>
    <n v="3406.8"/>
  </r>
  <r>
    <n v="1"/>
    <s v="RNR-118"/>
    <x v="0"/>
    <s v="Open"/>
    <x v="567"/>
    <m/>
    <s v="Brazil"/>
    <s v="South"/>
    <s v="RS"/>
    <s v="Rio Grande do Sul"/>
    <s v="Caxias do Sul"/>
    <s v="Shopping Prataviera"/>
    <x v="1"/>
    <n v="3051.12"/>
  </r>
  <r>
    <n v="1"/>
    <s v="RNR-116"/>
    <x v="0"/>
    <s v="Open"/>
    <x v="568"/>
    <m/>
    <s v="Brazil"/>
    <s v="Northest"/>
    <s v="BA"/>
    <s v="Bahia"/>
    <s v="Salvador"/>
    <s v="Shopping Barra Salvador"/>
    <x v="1"/>
    <n v="3000.46"/>
  </r>
  <r>
    <n v="1"/>
    <s v="RNR-117"/>
    <x v="0"/>
    <s v="Open"/>
    <x v="569"/>
    <m/>
    <s v="Brazil"/>
    <s v="South"/>
    <s v="PR"/>
    <s v="Paraná"/>
    <s v="Cascavel"/>
    <s v="Shopping JL Cascavel"/>
    <x v="1"/>
    <n v="2002.35"/>
  </r>
  <r>
    <n v="1"/>
    <s v="RNR-110"/>
    <x v="0"/>
    <s v="Open"/>
    <x v="570"/>
    <m/>
    <s v="Brazil"/>
    <s v="South"/>
    <s v="SC"/>
    <s v="Santa Catarina"/>
    <s v="Balneário Camboriú"/>
    <s v="Shopping Balneário Camboriu"/>
    <x v="1"/>
    <n v="3874.6400000000003"/>
  </r>
  <r>
    <n v="1"/>
    <s v="RNR-109"/>
    <x v="0"/>
    <s v="Open"/>
    <x v="571"/>
    <m/>
    <s v="Brazil"/>
    <s v="Southest"/>
    <s v="SP"/>
    <s v="São Paulo"/>
    <s v="São Paulo"/>
    <s v="Santana Parque Shopping"/>
    <x v="1"/>
    <n v="2484.0700000000002"/>
  </r>
  <r>
    <n v="1"/>
    <s v="RNR-112"/>
    <x v="0"/>
    <s v="Open"/>
    <x v="572"/>
    <m/>
    <s v="Brazil"/>
    <s v="Midwest"/>
    <s v="DF"/>
    <s v="Distrito Federal"/>
    <s v="Brasília"/>
    <s v="Brasília Shopping"/>
    <x v="1"/>
    <n v="2903.0899999999997"/>
  </r>
  <r>
    <n v="1"/>
    <s v="RNR-101"/>
    <x v="0"/>
    <s v="Open"/>
    <x v="573"/>
    <m/>
    <s v="Brazil"/>
    <s v="Southest"/>
    <s v="MG"/>
    <s v="Minas Gerais"/>
    <s v="Belo Horizonte"/>
    <s v="Minas Shopping"/>
    <x v="1"/>
    <n v="4005.74"/>
  </r>
  <r>
    <n v="1"/>
    <s v="CMC-020"/>
    <x v="1"/>
    <s v="Open"/>
    <x v="574"/>
    <m/>
    <s v="Brazil"/>
    <s v="South"/>
    <s v="RS"/>
    <s v="Rio Grande do Sul"/>
    <s v="Porto Alegre"/>
    <s v="Praia de Belas Shopping"/>
    <x v="1"/>
    <n v="463"/>
  </r>
  <r>
    <n v="1"/>
    <s v="RNR-102"/>
    <x v="0"/>
    <s v="Open"/>
    <x v="575"/>
    <m/>
    <s v="Brazil"/>
    <s v="Northest"/>
    <s v="BA"/>
    <s v="Bahia"/>
    <s v="Salvador"/>
    <s v="Salvador Shopping"/>
    <x v="1"/>
    <n v="4795.63"/>
  </r>
  <r>
    <n v="1"/>
    <s v="RNR-105"/>
    <x v="0"/>
    <s v="Open"/>
    <x v="576"/>
    <m/>
    <s v="Brazil"/>
    <s v="Northest"/>
    <s v="SE"/>
    <s v="Sergipe"/>
    <s v="Aracaju"/>
    <s v="Shopping Jardins"/>
    <x v="1"/>
    <n v="2726.28"/>
  </r>
  <r>
    <n v="1"/>
    <s v="RNR-100"/>
    <x v="0"/>
    <s v="Open"/>
    <x v="577"/>
    <m/>
    <s v="Brazil"/>
    <s v="North"/>
    <s v="AM"/>
    <s v="Amazonas"/>
    <s v="Manaus"/>
    <s v="Shopping Amazonas"/>
    <x v="1"/>
    <n v="2942.17"/>
  </r>
  <r>
    <n v="1"/>
    <s v="RNR-088"/>
    <x v="0"/>
    <s v="Open"/>
    <x v="578"/>
    <m/>
    <s v="Brazil"/>
    <s v="Southest"/>
    <s v="RJ"/>
    <s v="Rio de Janeiro"/>
    <s v="Rio de Janeiro"/>
    <s v="Shopping Tijuca"/>
    <x v="1"/>
    <n v="2646.8199999999997"/>
  </r>
  <r>
    <n v="1"/>
    <s v="RNR-103"/>
    <x v="0"/>
    <s v="Open"/>
    <x v="579"/>
    <m/>
    <s v="Brazil"/>
    <s v="Southest"/>
    <s v="SP"/>
    <s v="São Paulo"/>
    <s v="Piracicaba"/>
    <s v="Shopping Piracicaba"/>
    <x v="1"/>
    <n v="2941.73"/>
  </r>
  <r>
    <n v="1"/>
    <s v="RNR-091"/>
    <x v="0"/>
    <s v="Open"/>
    <x v="580"/>
    <m/>
    <s v="Brazil"/>
    <s v="South"/>
    <s v="SC"/>
    <s v="Santa Catarina"/>
    <s v="Florianópolis"/>
    <s v="Shopping Villa Romana"/>
    <x v="1"/>
    <n v="2567.23"/>
  </r>
  <r>
    <n v="1"/>
    <s v="CMC-019"/>
    <x v="1"/>
    <s v="Open"/>
    <x v="581"/>
    <m/>
    <s v="Brazil"/>
    <s v="Southest"/>
    <s v="RJ"/>
    <s v="Rio de Janeiro"/>
    <s v="Rio de Janeiro"/>
    <s v="Norte Shopping"/>
    <x v="1"/>
    <n v="568.38"/>
  </r>
  <r>
    <n v="1"/>
    <s v="RNR-097"/>
    <x v="0"/>
    <s v="Open"/>
    <x v="582"/>
    <m/>
    <s v="Brazil"/>
    <s v="Midwest"/>
    <s v="GO"/>
    <s v="Goiás"/>
    <s v="Goiânia"/>
    <s v="Shopping Bougainville"/>
    <x v="1"/>
    <n v="2477.9899999999998"/>
  </r>
  <r>
    <n v="1"/>
    <s v="RNR-090"/>
    <x v="0"/>
    <s v="Open"/>
    <x v="583"/>
    <m/>
    <s v="Brazil"/>
    <s v="Southest"/>
    <s v="RJ"/>
    <s v="Rio de Janeiro"/>
    <s v="Rio de Janeiro"/>
    <s v="Shopping Leblon"/>
    <x v="1"/>
    <n v="2431.9300000000003"/>
  </r>
  <r>
    <n v="1"/>
    <s v="RNR-098"/>
    <x v="0"/>
    <s v="Open"/>
    <x v="584"/>
    <m/>
    <s v="Brazil"/>
    <s v="Southest"/>
    <s v="SP"/>
    <s v="São Paulo"/>
    <s v="São Paulo"/>
    <s v="Shopping SP Market"/>
    <x v="1"/>
    <n v="2413.83"/>
  </r>
  <r>
    <n v="1"/>
    <s v="RNR-089"/>
    <x v="0"/>
    <s v="Open"/>
    <x v="585"/>
    <m/>
    <s v="Brazil"/>
    <s v="Northest"/>
    <s v="BA"/>
    <s v="Bahia"/>
    <s v="Salvador"/>
    <s v="Shopping da Bahia"/>
    <x v="1"/>
    <n v="4632.25"/>
  </r>
  <r>
    <n v="1"/>
    <s v="RNR-095"/>
    <x v="0"/>
    <s v="Open"/>
    <x v="586"/>
    <m/>
    <s v="Brazil"/>
    <s v="Southest"/>
    <s v="RJ"/>
    <s v="Rio de Janeiro"/>
    <s v="Rio de Janeiro"/>
    <s v="Shopping Via Parque"/>
    <x v="1"/>
    <n v="3272.4700000000003"/>
  </r>
  <r>
    <n v="1"/>
    <s v="RNR-093"/>
    <x v="0"/>
    <s v="Open"/>
    <x v="587"/>
    <m/>
    <s v="Brazil"/>
    <s v="South"/>
    <s v="SC"/>
    <s v="Santa Catarina"/>
    <s v="Tubarão"/>
    <s v="Shopping Farol"/>
    <x v="1"/>
    <n v="2952.25"/>
  </r>
  <r>
    <n v="1"/>
    <s v="RNR-087"/>
    <x v="0"/>
    <s v="Open"/>
    <x v="588"/>
    <m/>
    <s v="Brazil"/>
    <s v="Northest"/>
    <s v="PE"/>
    <s v="Pernambuco"/>
    <s v="Recife"/>
    <s v="Shopping Recife"/>
    <x v="1"/>
    <n v="4919.46"/>
  </r>
  <r>
    <n v="1"/>
    <s v="RNR-092"/>
    <x v="0"/>
    <s v="Open"/>
    <x v="589"/>
    <m/>
    <s v="Brazil"/>
    <s v="Southest"/>
    <s v="SP"/>
    <s v="São Paulo"/>
    <s v="São Paulo"/>
    <s v="Shopping Jardim Sul"/>
    <x v="1"/>
    <n v="2285.14"/>
  </r>
  <r>
    <n v="1"/>
    <s v="RNR-082"/>
    <x v="0"/>
    <s v="Open"/>
    <x v="590"/>
    <m/>
    <s v="Brazil"/>
    <s v="South"/>
    <s v="RS"/>
    <s v="Rio Grande do Sul"/>
    <s v="Cachoeirinha"/>
    <s v="Shopping do Vale"/>
    <x v="1"/>
    <n v="2694.1"/>
  </r>
  <r>
    <n v="1"/>
    <s v="RNR-085"/>
    <x v="0"/>
    <s v="Open"/>
    <x v="591"/>
    <m/>
    <s v="Brazil"/>
    <s v="Northest"/>
    <s v="CE"/>
    <s v="Ceará"/>
    <s v="Fortaleza"/>
    <s v="North Shopping "/>
    <x v="1"/>
    <n v="3025.78"/>
  </r>
  <r>
    <n v="1"/>
    <s v="RNR-086"/>
    <x v="0"/>
    <s v="Open"/>
    <x v="592"/>
    <m/>
    <s v="Brazil"/>
    <s v="Southest"/>
    <s v="SP"/>
    <s v="São Paulo"/>
    <s v="Jundiaí"/>
    <s v="Maxi Shopping Jundiaí"/>
    <x v="1"/>
    <n v="2865.24"/>
  </r>
  <r>
    <n v="1"/>
    <s v="RNR-084"/>
    <x v="0"/>
    <s v="Open"/>
    <x v="593"/>
    <m/>
    <s v="Brazil"/>
    <s v="Northest"/>
    <s v="CE"/>
    <s v="Ceará"/>
    <s v="Fortaleza"/>
    <s v="Shopping Iguatemi Fortaleza"/>
    <x v="1"/>
    <n v="4734.8599999999997"/>
  </r>
  <r>
    <n v="1"/>
    <s v="RNR-083"/>
    <x v="0"/>
    <s v="Open"/>
    <x v="594"/>
    <m/>
    <s v="Brazil"/>
    <s v="South"/>
    <s v="PR"/>
    <s v="Paraná"/>
    <s v="Curitiba"/>
    <s v="Shopping Estação"/>
    <x v="1"/>
    <n v="2197.6"/>
  </r>
  <r>
    <n v="1"/>
    <s v="CMC-017"/>
    <x v="1"/>
    <s v="Open"/>
    <x v="595"/>
    <m/>
    <s v="Brazil"/>
    <s v="South"/>
    <s v="RS"/>
    <s v="Rio Grande do Sul"/>
    <s v="Porto Alegre"/>
    <s v="Shopping Iguatemi"/>
    <x v="1"/>
    <n v="947.95"/>
  </r>
  <r>
    <n v="0"/>
    <s v="RNR-080"/>
    <x v="0"/>
    <s v="Closed"/>
    <x v="596"/>
    <d v="2017-12-30T00:00:00"/>
    <s v="Brazil"/>
    <s v="Northest"/>
    <s v="PE"/>
    <s v="Pernambuco"/>
    <s v="Recife"/>
    <s v="Loja Imperatriz "/>
    <x v="0"/>
    <n v="0"/>
  </r>
  <r>
    <n v="1"/>
    <s v="RNR-081"/>
    <x v="0"/>
    <s v="Open"/>
    <x v="596"/>
    <m/>
    <s v="Brazil"/>
    <s v="Northest"/>
    <s v="PE"/>
    <s v="Pernambuco"/>
    <s v="Jaboatão dos Guararapes"/>
    <s v="Shopping Guararapes"/>
    <x v="1"/>
    <n v="3196.0699999999997"/>
  </r>
  <r>
    <n v="1"/>
    <s v="CMC-018"/>
    <x v="1"/>
    <s v="Open"/>
    <x v="597"/>
    <m/>
    <s v="Brazil"/>
    <s v="South"/>
    <s v="PR"/>
    <s v="Paraná"/>
    <s v="Curitiba"/>
    <s v="Shopping Mueller"/>
    <x v="1"/>
    <n v="510.63"/>
  </r>
  <r>
    <n v="1"/>
    <s v="RNR-079"/>
    <x v="0"/>
    <s v="Open"/>
    <x v="598"/>
    <m/>
    <s v="Brazil"/>
    <s v="South"/>
    <s v="RS"/>
    <s v="Rio Grande do Sul"/>
    <s v="São Leopoldo"/>
    <s v="Shopping Bourbon São Leopoldo"/>
    <x v="1"/>
    <n v="3017.62"/>
  </r>
  <r>
    <n v="1"/>
    <s v="RNR-078"/>
    <x v="0"/>
    <s v="Open"/>
    <x v="599"/>
    <m/>
    <s v="Brazil"/>
    <s v="Southest"/>
    <s v="SP"/>
    <s v="São Paulo"/>
    <s v="Osasco"/>
    <s v="Super Shopping Osasco"/>
    <x v="1"/>
    <n v="1710.02"/>
  </r>
  <r>
    <n v="1"/>
    <s v="RNR-076"/>
    <x v="0"/>
    <s v="Open"/>
    <x v="600"/>
    <m/>
    <s v="Brazil"/>
    <s v="South"/>
    <s v="PR"/>
    <s v="Paraná"/>
    <s v="Londrina"/>
    <s v="Shopping Londrina"/>
    <x v="1"/>
    <n v="3012.49"/>
  </r>
  <r>
    <n v="1"/>
    <s v="RNR-077"/>
    <x v="0"/>
    <s v="Open"/>
    <x v="601"/>
    <m/>
    <s v="Brazil"/>
    <s v="Midwest"/>
    <s v="MS"/>
    <s v="Mato Grosso do Sul"/>
    <s v="Campo Grande"/>
    <s v="Shopping Campo Grande"/>
    <x v="1"/>
    <n v="3611.44"/>
  </r>
  <r>
    <n v="0"/>
    <s v="CMC-016"/>
    <x v="1"/>
    <s v="Closed"/>
    <x v="602"/>
    <d v="2016-02-01T00:00:00"/>
    <s v="Brazil"/>
    <s v="Southest"/>
    <s v="SP"/>
    <s v="São Paulo"/>
    <s v="São Paulo"/>
    <s v="Shopping Interlagos "/>
    <x v="1"/>
    <n v="0"/>
  </r>
  <r>
    <n v="1"/>
    <s v="RNR-073"/>
    <x v="0"/>
    <s v="Open"/>
    <x v="603"/>
    <m/>
    <s v="Brazil"/>
    <s v="Midwest"/>
    <s v="MT"/>
    <s v="Mato Grosso"/>
    <s v="Cuiabá"/>
    <s v="Shopping Pantanal"/>
    <x v="1"/>
    <n v="2888.69"/>
  </r>
  <r>
    <n v="0"/>
    <s v="CMC-014"/>
    <x v="1"/>
    <s v="Closed"/>
    <x v="604"/>
    <d v="2023-01-24T00:00:00"/>
    <s v="Brazil"/>
    <s v="Southest"/>
    <s v="RJ"/>
    <s v="Rio de Janeiro"/>
    <s v="Rio de Janeiro"/>
    <s v="Shopping Nova América "/>
    <x v="1"/>
    <n v="0"/>
  </r>
  <r>
    <n v="0"/>
    <s v="CMC-013"/>
    <x v="1"/>
    <s v="Closed"/>
    <x v="605"/>
    <d v="2015-01-01T00:00:00"/>
    <s v="Brazil"/>
    <s v="Southest"/>
    <s v="SP"/>
    <s v="São Paulo"/>
    <s v="São Paulo"/>
    <s v="Shopping Aricanduva "/>
    <x v="1"/>
    <n v="0"/>
  </r>
  <r>
    <n v="1"/>
    <s v="RNR-072"/>
    <x v="0"/>
    <s v="Open"/>
    <x v="606"/>
    <m/>
    <s v="Brazil"/>
    <s v="Southest"/>
    <s v="SP"/>
    <s v="São Paulo"/>
    <s v="Campinas"/>
    <s v="Shopping Dom Pedro"/>
    <x v="1"/>
    <n v="3109.02"/>
  </r>
  <r>
    <n v="0"/>
    <s v="RNR-071"/>
    <x v="0"/>
    <s v="Closed"/>
    <x v="607"/>
    <d v="2023-01-02T00:00:00"/>
    <s v="Brazil"/>
    <s v="Southest"/>
    <s v="MG"/>
    <s v="Minas Gerais"/>
    <s v="Belo Horizonte"/>
    <s v="BH Centro "/>
    <x v="0"/>
    <n v="0"/>
  </r>
  <r>
    <n v="1"/>
    <s v="RNR-070"/>
    <x v="0"/>
    <s v="Open"/>
    <x v="608"/>
    <m/>
    <s v="Brazil"/>
    <s v="Southest"/>
    <s v="MG"/>
    <s v="Minas Gerais"/>
    <s v="Contagem"/>
    <s v="Shopping Itaú Power"/>
    <x v="1"/>
    <n v="2669.23"/>
  </r>
  <r>
    <n v="1"/>
    <s v="CMC-012"/>
    <x v="1"/>
    <s v="Open"/>
    <x v="609"/>
    <m/>
    <s v="Brazil"/>
    <s v="South"/>
    <s v="PR"/>
    <s v="Paraná"/>
    <s v="Curitiba"/>
    <s v="Park Shopping Barigui"/>
    <x v="1"/>
    <n v="545.53"/>
  </r>
  <r>
    <n v="1"/>
    <s v="RNR-068"/>
    <x v="0"/>
    <s v="Open"/>
    <x v="609"/>
    <m/>
    <s v="Brazil"/>
    <s v="South"/>
    <s v="PR"/>
    <s v="Paraná"/>
    <s v="Curitiba"/>
    <s v="Shopping Barigui"/>
    <x v="1"/>
    <n v="4103.84"/>
  </r>
  <r>
    <n v="1"/>
    <s v="RNR-069"/>
    <x v="0"/>
    <s v="Open"/>
    <x v="610"/>
    <m/>
    <s v="Brazil"/>
    <s v="Southest"/>
    <s v="RJ"/>
    <s v="Rio de Janeiro"/>
    <s v="Rio de Janeiro"/>
    <s v="Norte Shopping"/>
    <x v="1"/>
    <n v="3737.18"/>
  </r>
  <r>
    <n v="1"/>
    <s v="RNR-067"/>
    <x v="0"/>
    <s v="Open"/>
    <x v="611"/>
    <m/>
    <s v="Brazil"/>
    <s v="Southest"/>
    <s v="ES"/>
    <s v="Espírito Santo"/>
    <s v="Vitória"/>
    <s v="Shopping Vitória"/>
    <x v="1"/>
    <n v="2594.6"/>
  </r>
  <r>
    <n v="1"/>
    <s v="RNR-066"/>
    <x v="0"/>
    <s v="Open"/>
    <x v="612"/>
    <m/>
    <s v="Brazil"/>
    <s v="Southest"/>
    <s v="SP"/>
    <s v="São Paulo"/>
    <s v="São Paulo"/>
    <s v="Shopping Leste Aricanduva"/>
    <x v="1"/>
    <n v="4131.74"/>
  </r>
  <r>
    <n v="1"/>
    <s v="CMC-011"/>
    <x v="1"/>
    <s v="Open"/>
    <x v="613"/>
    <m/>
    <s v="Brazil"/>
    <s v="Southest"/>
    <s v="SP"/>
    <s v="São Paulo"/>
    <s v="Campinas"/>
    <s v="Shopping Iguatemi"/>
    <x v="1"/>
    <n v="827.34"/>
  </r>
  <r>
    <n v="1"/>
    <s v="RNR-063"/>
    <x v="0"/>
    <s v="Open"/>
    <x v="614"/>
    <m/>
    <s v="Brazil"/>
    <s v="Southest"/>
    <s v="SP"/>
    <s v="São Paulo"/>
    <s v="São José do Rio Preto"/>
    <s v="Shopping Rio Preto"/>
    <x v="1"/>
    <n v="4605.8600000000006"/>
  </r>
  <r>
    <n v="1"/>
    <s v="RNR-065"/>
    <x v="0"/>
    <s v="Open"/>
    <x v="615"/>
    <m/>
    <s v="Brazil"/>
    <s v="Southest"/>
    <s v="RJ"/>
    <s v="Rio de Janeiro"/>
    <s v="Rio de Janeiro"/>
    <s v="Boulevard Rio Shopping"/>
    <x v="1"/>
    <n v="2867.67"/>
  </r>
  <r>
    <n v="1"/>
    <s v="RNR-062"/>
    <x v="0"/>
    <s v="Open"/>
    <x v="616"/>
    <m/>
    <s v="Brazil"/>
    <s v="Midwest"/>
    <s v="DF"/>
    <s v="Distrito Federal"/>
    <s v="Brasília"/>
    <s v="Pátio Brasil Shopping"/>
    <x v="1"/>
    <n v="3717.37"/>
  </r>
  <r>
    <n v="1"/>
    <s v="RNR-061"/>
    <x v="0"/>
    <s v="Open"/>
    <x v="617"/>
    <m/>
    <s v="Brazil"/>
    <s v="Southest"/>
    <s v="MG"/>
    <s v="Minas Gerais"/>
    <s v="Belo Horizonte"/>
    <s v="Shopping Del Rey"/>
    <x v="1"/>
    <n v="2992.38"/>
  </r>
  <r>
    <n v="1"/>
    <s v="RNR-060"/>
    <x v="0"/>
    <s v="Open"/>
    <x v="618"/>
    <m/>
    <s v="Brazil"/>
    <s v="South"/>
    <s v="SC"/>
    <s v="Santa Catarina"/>
    <s v="São José"/>
    <s v="Shopping Center Itaguaçu"/>
    <x v="1"/>
    <n v="3442"/>
  </r>
  <r>
    <n v="1"/>
    <s v="RNR-059"/>
    <x v="0"/>
    <s v="Open"/>
    <x v="619"/>
    <m/>
    <s v="Brazil"/>
    <s v="Midwest"/>
    <s v="DF"/>
    <s v="Distrito Federal"/>
    <s v="Brasília"/>
    <s v="Taguatinga Shopping"/>
    <x v="1"/>
    <n v="3259.96"/>
  </r>
  <r>
    <n v="1"/>
    <s v="RNR-058"/>
    <x v="0"/>
    <s v="Open"/>
    <x v="620"/>
    <m/>
    <s v="Brazil"/>
    <s v="Southest"/>
    <s v="MG"/>
    <s v="Minas Gerais"/>
    <s v="Uberlândia"/>
    <s v="Center Shopping"/>
    <x v="1"/>
    <n v="3531.4800000000005"/>
  </r>
  <r>
    <n v="0"/>
    <s v="CMC-004"/>
    <x v="1"/>
    <s v="Closed"/>
    <x v="621"/>
    <d v="2016-02-01T00:00:00"/>
    <s v="Brazil"/>
    <s v="Southest"/>
    <s v="SP"/>
    <s v="São Paulo"/>
    <s v="São Paulo"/>
    <s v="West Plaza "/>
    <x v="1"/>
    <n v="0"/>
  </r>
  <r>
    <n v="1"/>
    <s v="RNR-044"/>
    <x v="0"/>
    <s v="Open"/>
    <x v="622"/>
    <m/>
    <s v="Brazil"/>
    <s v="Southest"/>
    <s v="SP"/>
    <s v="São Paulo"/>
    <s v="Campinas"/>
    <s v="Shopping Center Iguatemi Campinas"/>
    <x v="1"/>
    <n v="4515.82"/>
  </r>
  <r>
    <n v="1"/>
    <s v="CMC-003"/>
    <x v="1"/>
    <s v="Open"/>
    <x v="623"/>
    <m/>
    <s v="Brazil"/>
    <s v="Southest"/>
    <s v="SP"/>
    <s v="São Paulo"/>
    <s v="São Paulo"/>
    <s v="Plaza Sul"/>
    <x v="1"/>
    <n v="632.86"/>
  </r>
  <r>
    <n v="1"/>
    <s v="RNR-053"/>
    <x v="0"/>
    <s v="Open"/>
    <x v="624"/>
    <m/>
    <s v="Brazil"/>
    <s v="Southest"/>
    <s v="SP"/>
    <s v="São Paulo"/>
    <s v="São Paulo"/>
    <s v="Shopping Metrô Tatuapé"/>
    <x v="1"/>
    <n v="4915.8600000000006"/>
  </r>
  <r>
    <n v="1"/>
    <s v="RNR-057"/>
    <x v="0"/>
    <s v="Open"/>
    <x v="625"/>
    <m/>
    <s v="Brazil"/>
    <s v="Southest"/>
    <s v="SP"/>
    <s v="São Paulo"/>
    <s v="São Paulo"/>
    <s v="Shopping Interlagos"/>
    <x v="1"/>
    <n v="3118.3199999999997"/>
  </r>
  <r>
    <n v="1"/>
    <s v="RNR-042"/>
    <x v="0"/>
    <s v="Open"/>
    <x v="626"/>
    <m/>
    <s v="Brazil"/>
    <s v="South"/>
    <s v="PR"/>
    <s v="Paraná"/>
    <s v="Curitiba"/>
    <s v="Shopping Mueller"/>
    <x v="1"/>
    <n v="3114.4300000000003"/>
  </r>
  <r>
    <n v="1"/>
    <s v="RNR-050"/>
    <x v="0"/>
    <s v="Open"/>
    <x v="627"/>
    <m/>
    <s v="Brazil"/>
    <s v="Southest"/>
    <s v="SP"/>
    <s v="São Paulo"/>
    <s v="Santos"/>
    <s v="Praiamar Shopping Center"/>
    <x v="1"/>
    <n v="3137.38"/>
  </r>
  <r>
    <n v="1"/>
    <s v="RNR-055"/>
    <x v="0"/>
    <s v="Open"/>
    <x v="628"/>
    <m/>
    <s v="Brazil"/>
    <s v="Southest"/>
    <s v="SP"/>
    <s v="São Paulo"/>
    <s v="Santo André"/>
    <s v="Shopping ABC"/>
    <x v="1"/>
    <n v="2637.47"/>
  </r>
  <r>
    <n v="1"/>
    <s v="RNR-056"/>
    <x v="0"/>
    <s v="Open"/>
    <x v="629"/>
    <m/>
    <s v="Brazil"/>
    <s v="Midwest"/>
    <s v="GO"/>
    <s v="Goiás"/>
    <s v="Goiânia"/>
    <s v="Flamboyant Shop. Center"/>
    <x v="1"/>
    <n v="4118.09"/>
  </r>
  <r>
    <n v="1"/>
    <s v="RNR-043"/>
    <x v="0"/>
    <s v="Open"/>
    <x v="630"/>
    <m/>
    <s v="Brazil"/>
    <s v="Southest"/>
    <s v="SP"/>
    <s v="São Paulo"/>
    <s v="São Paulo"/>
    <s v="Morumbi Shopping"/>
    <x v="1"/>
    <n v="2960.58"/>
  </r>
  <r>
    <n v="1"/>
    <s v="RNR-045"/>
    <x v="0"/>
    <s v="Open"/>
    <x v="631"/>
    <m/>
    <s v="Brazil"/>
    <s v="Southest"/>
    <s v="SP"/>
    <s v="São Paulo"/>
    <s v="Campinas"/>
    <s v="Loja centro de Campinas"/>
    <x v="0"/>
    <n v="8173.71"/>
  </r>
  <r>
    <n v="1"/>
    <s v="RNR-051"/>
    <x v="0"/>
    <s v="Open"/>
    <x v="632"/>
    <m/>
    <s v="Brazil"/>
    <s v="Southest"/>
    <s v="SP"/>
    <s v="São Paulo"/>
    <s v="São Paulo"/>
    <s v="West Plaza Shop. Center"/>
    <x v="1"/>
    <n v="1717"/>
  </r>
  <r>
    <n v="1"/>
    <s v="RNR-049"/>
    <x v="0"/>
    <s v="Open"/>
    <x v="633"/>
    <m/>
    <s v="Brazil"/>
    <s v="Southest"/>
    <s v="SP"/>
    <s v="São Paulo"/>
    <s v="São Paulo"/>
    <s v="Shopping Center Norte"/>
    <x v="1"/>
    <n v="5450"/>
  </r>
  <r>
    <n v="1"/>
    <s v="RNR-052"/>
    <x v="0"/>
    <s v="Open"/>
    <x v="634"/>
    <m/>
    <s v="Brazil"/>
    <s v="Southest"/>
    <s v="SP"/>
    <s v="São Paulo"/>
    <s v="São Paulo"/>
    <s v="Plaza Sul Shopping Center"/>
    <x v="1"/>
    <n v="2844.15"/>
  </r>
  <r>
    <n v="1"/>
    <s v="CMC-002"/>
    <x v="1"/>
    <s v="Open"/>
    <x v="635"/>
    <m/>
    <s v="Brazil"/>
    <s v="Southest"/>
    <s v="SP"/>
    <s v="São Paulo"/>
    <s v="São Paulo"/>
    <s v="Anália Franco"/>
    <x v="1"/>
    <n v="852.24"/>
  </r>
  <r>
    <n v="1"/>
    <s v="RNR-048"/>
    <x v="0"/>
    <s v="Open"/>
    <x v="636"/>
    <m/>
    <s v="Brazil"/>
    <s v="Southest"/>
    <s v="SP"/>
    <s v="São Paulo"/>
    <s v="Santos"/>
    <s v="Miramar Shopping Center"/>
    <x v="1"/>
    <n v="3135.2"/>
  </r>
  <r>
    <n v="1"/>
    <s v="RNR-041"/>
    <x v="0"/>
    <s v="Open"/>
    <x v="637"/>
    <m/>
    <s v="Brazil"/>
    <s v="Southest"/>
    <s v="RJ"/>
    <s v="Rio de Janeiro"/>
    <s v="Volta Redonda"/>
    <s v="Sider Shopping Center"/>
    <x v="1"/>
    <n v="3763.53"/>
  </r>
  <r>
    <n v="1"/>
    <s v="RNR-047"/>
    <x v="0"/>
    <s v="Open"/>
    <x v="638"/>
    <m/>
    <s v="Brazil"/>
    <s v="Midwest"/>
    <s v="DF"/>
    <s v="Distrito Federal"/>
    <s v="Brasília"/>
    <s v="Park Shopping"/>
    <x v="1"/>
    <n v="5902.76"/>
  </r>
  <r>
    <n v="1"/>
    <s v="RNR-037"/>
    <x v="0"/>
    <s v="Open"/>
    <x v="639"/>
    <m/>
    <s v="Brazil"/>
    <s v="Southest"/>
    <s v="RJ"/>
    <s v="Rio de Janeiro"/>
    <s v="Niterói"/>
    <s v="Plaza Shopping"/>
    <x v="1"/>
    <n v="4128.2699999999995"/>
  </r>
  <r>
    <n v="1"/>
    <s v="RNR-046"/>
    <x v="0"/>
    <s v="Open"/>
    <x v="640"/>
    <m/>
    <s v="Brazil"/>
    <s v="Southest"/>
    <s v="RJ"/>
    <s v="Rio de Janeiro"/>
    <s v="Rio de Janeiro"/>
    <s v="Barra Shopping"/>
    <x v="1"/>
    <n v="6796.93"/>
  </r>
  <r>
    <n v="1"/>
    <s v="RNR-039"/>
    <x v="0"/>
    <s v="Open"/>
    <x v="641"/>
    <m/>
    <s v="Brazil"/>
    <s v="Southest"/>
    <s v="RJ"/>
    <s v="Rio de Janeiro"/>
    <s v="Rio de Janeiro"/>
    <s v="Rio Sul Shopping"/>
    <x v="1"/>
    <n v="5336.08"/>
  </r>
  <r>
    <n v="1"/>
    <s v="RNR-040"/>
    <x v="0"/>
    <s v="Open"/>
    <x v="642"/>
    <m/>
    <s v="Brazil"/>
    <s v="Southest"/>
    <s v="MG"/>
    <s v="Minas Gerais"/>
    <s v="Belo Horizonte"/>
    <s v="BH Shopping"/>
    <x v="1"/>
    <n v="4469.9000000000005"/>
  </r>
  <r>
    <n v="1"/>
    <s v="RNR-033"/>
    <x v="0"/>
    <s v="Open"/>
    <x v="643"/>
    <m/>
    <s v="Brazil"/>
    <s v="Southest"/>
    <s v="SP"/>
    <s v="São Paulo"/>
    <s v="São Paulo"/>
    <s v="Shopping Anália Franco"/>
    <x v="1"/>
    <n v="2485"/>
  </r>
  <r>
    <n v="1"/>
    <s v="RNR-038"/>
    <x v="0"/>
    <s v="Open"/>
    <x v="644"/>
    <m/>
    <s v="Brazil"/>
    <s v="Southest"/>
    <s v="RJ"/>
    <s v="Rio de Janeiro"/>
    <s v="Rio de Janeiro"/>
    <s v="Madureira Shopping Rio"/>
    <x v="1"/>
    <n v="2138.3000000000002"/>
  </r>
  <r>
    <n v="1"/>
    <s v="RNR-035"/>
    <x v="0"/>
    <s v="Open"/>
    <x v="645"/>
    <m/>
    <s v="Brazil"/>
    <s v="Southest"/>
    <s v="SP"/>
    <s v="São Paulo"/>
    <s v="São Paulo"/>
    <s v="Shopping Light"/>
    <x v="1"/>
    <n v="3761.04"/>
  </r>
  <r>
    <n v="1"/>
    <s v="CMC-006"/>
    <x v="1"/>
    <s v="Open"/>
    <x v="646"/>
    <m/>
    <s v="Brazil"/>
    <s v="Southest"/>
    <s v="SP"/>
    <s v="São Paulo"/>
    <s v="São Paulo"/>
    <s v="Pátio Higienópolis"/>
    <x v="1"/>
    <n v="722.38"/>
  </r>
  <r>
    <n v="1"/>
    <s v="RNR-036"/>
    <x v="0"/>
    <s v="Open"/>
    <x v="646"/>
    <m/>
    <s v="Brazil"/>
    <s v="Southest"/>
    <s v="RJ"/>
    <s v="Rio de Janeiro"/>
    <s v="Rio de Janeiro"/>
    <s v="Ilha Plaza Shopping"/>
    <x v="1"/>
    <n v="3165.13"/>
  </r>
  <r>
    <n v="0"/>
    <s v="RNR-032"/>
    <x v="0"/>
    <s v="Closed"/>
    <x v="647"/>
    <d v="2024-04-04T00:00:00"/>
    <s v="Brazil"/>
    <s v="Southest"/>
    <s v="SP"/>
    <s v="São Paulo"/>
    <s v="São Paulo"/>
    <s v="Central Plaza Shopping "/>
    <x v="1"/>
    <n v="0"/>
  </r>
  <r>
    <n v="1"/>
    <s v="RNR-031"/>
    <x v="0"/>
    <s v="Open"/>
    <x v="648"/>
    <m/>
    <s v="Brazil"/>
    <s v="Southest"/>
    <s v="SP"/>
    <s v="São Paulo"/>
    <s v="Ribeirão Preto"/>
    <s v="Ribeirão Shopping"/>
    <x v="1"/>
    <n v="4268.92"/>
  </r>
  <r>
    <n v="1"/>
    <s v="RNR-030"/>
    <x v="0"/>
    <s v="Open"/>
    <x v="649"/>
    <m/>
    <s v="Brazil"/>
    <s v="Southest"/>
    <s v="SP"/>
    <s v="São Paulo"/>
    <s v="São José dos Campos"/>
    <s v="Centervale Shopping"/>
    <x v="1"/>
    <n v="3741.7"/>
  </r>
  <r>
    <n v="0"/>
    <s v="CMC-005"/>
    <x v="1"/>
    <s v="Closed"/>
    <x v="650"/>
    <d v="2026-06-01T00:00:00"/>
    <s v="Brazil"/>
    <s v="Southest"/>
    <s v="SP"/>
    <s v="São Paulo"/>
    <s v="Guarulhos"/>
    <s v="Internacional Shop. Guarulhos"/>
    <x v="1"/>
    <n v="0"/>
  </r>
  <r>
    <n v="1"/>
    <s v="CMC-001"/>
    <x v="1"/>
    <s v="Open"/>
    <x v="651"/>
    <m/>
    <s v="Brazil"/>
    <s v="Southest"/>
    <s v="SP"/>
    <s v="São Paulo"/>
    <s v="São Paulo"/>
    <s v="Shopping Ibirapuera"/>
    <x v="1"/>
    <n v="694.16"/>
  </r>
  <r>
    <n v="1"/>
    <s v="RNR-029"/>
    <x v="0"/>
    <s v="Open"/>
    <x v="652"/>
    <m/>
    <s v="Brazil"/>
    <s v="Southest"/>
    <s v="SP"/>
    <s v="São Paulo"/>
    <s v="Guarulhos"/>
    <s v="Internacional Guarulhos S.C"/>
    <x v="1"/>
    <n v="3078.04"/>
  </r>
  <r>
    <n v="1"/>
    <s v="RNR-028"/>
    <x v="0"/>
    <s v="Open"/>
    <x v="653"/>
    <m/>
    <s v="Brazil"/>
    <s v="South"/>
    <s v="PR"/>
    <s v="Paraná"/>
    <s v="Curitiba"/>
    <s v="Loja centro de Curitiba"/>
    <x v="0"/>
    <n v="3007.91"/>
  </r>
  <r>
    <n v="1"/>
    <s v="RNR-027"/>
    <x v="0"/>
    <s v="Open"/>
    <x v="654"/>
    <m/>
    <s v="Brazil"/>
    <s v="Southest"/>
    <s v="SP"/>
    <s v="São Paulo"/>
    <s v="São Paulo"/>
    <s v="Shopping Eldorado"/>
    <x v="1"/>
    <n v="4137.8"/>
  </r>
  <r>
    <n v="1"/>
    <s v="RNR-026"/>
    <x v="0"/>
    <s v="Open"/>
    <x v="655"/>
    <m/>
    <s v="Brazil"/>
    <s v="Southest"/>
    <s v="SP"/>
    <s v="São Paulo"/>
    <s v="Sorocaba"/>
    <s v="Shopping Esplanada"/>
    <x v="1"/>
    <n v="3683.79"/>
  </r>
  <r>
    <n v="1"/>
    <s v="RNR-025"/>
    <x v="0"/>
    <s v="Open"/>
    <x v="656"/>
    <m/>
    <s v="Brazil"/>
    <s v="South"/>
    <s v="RS"/>
    <s v="Rio Grande do Sul"/>
    <s v="Canoas"/>
    <s v="Shopping Canoas"/>
    <x v="1"/>
    <n v="4320.8599999999997"/>
  </r>
  <r>
    <n v="1"/>
    <s v="CMC-009"/>
    <x v="1"/>
    <s v="Open"/>
    <x v="657"/>
    <m/>
    <s v="Brazil"/>
    <s v="Southest"/>
    <s v="SP"/>
    <s v="São Paulo"/>
    <s v="São Paulo"/>
    <s v="Morumbi Shopping"/>
    <x v="1"/>
    <n v="688.36"/>
  </r>
  <r>
    <n v="1"/>
    <s v="RNR-018"/>
    <x v="0"/>
    <s v="Open"/>
    <x v="658"/>
    <m/>
    <s v="Brazil"/>
    <s v="South"/>
    <s v="SC"/>
    <s v="Santa Catarina"/>
    <s v="Blumenau"/>
    <s v="Shopping Neumarket"/>
    <x v="1"/>
    <n v="3861.0499999999997"/>
  </r>
  <r>
    <n v="1"/>
    <s v="RNR-022"/>
    <x v="0"/>
    <s v="Open"/>
    <x v="659"/>
    <m/>
    <s v="Brazil"/>
    <s v="Southest"/>
    <s v="SP"/>
    <s v="São Paulo"/>
    <s v="São Paulo"/>
    <s v="Shopping Continental"/>
    <x v="1"/>
    <n v="2428.73"/>
  </r>
  <r>
    <n v="1"/>
    <s v="RNR-021"/>
    <x v="0"/>
    <s v="Open"/>
    <x v="660"/>
    <m/>
    <s v="Brazil"/>
    <s v="Southest"/>
    <s v="SP"/>
    <s v="São Paulo"/>
    <s v="São Bernardo do Campo"/>
    <s v="Shopping Metrópole"/>
    <x v="1"/>
    <n v="3988.73"/>
  </r>
  <r>
    <n v="1"/>
    <s v="RNR-012"/>
    <x v="0"/>
    <s v="Open"/>
    <x v="661"/>
    <m/>
    <s v="Brazil"/>
    <s v="South"/>
    <s v="RS"/>
    <s v="Rio Grande do Sul"/>
    <s v="Caxias do Sul"/>
    <s v="Iguatemi Caxias"/>
    <x v="1"/>
    <n v="3078.81"/>
  </r>
  <r>
    <n v="1"/>
    <s v="RNR-009"/>
    <x v="0"/>
    <s v="Open"/>
    <x v="662"/>
    <m/>
    <s v="Brazil"/>
    <s v="South"/>
    <s v="PR"/>
    <s v="Paraná"/>
    <s v="Curitiba"/>
    <s v="Shopping Curitiba"/>
    <x v="1"/>
    <n v="3237.67"/>
  </r>
  <r>
    <n v="1"/>
    <s v="CMC-008"/>
    <x v="1"/>
    <s v="Open"/>
    <x v="663"/>
    <m/>
    <s v="Brazil"/>
    <s v="Southest"/>
    <s v="SP"/>
    <s v="São Paulo"/>
    <s v="São Paulo"/>
    <s v="Shopping Eldorado"/>
    <x v="1"/>
    <n v="527.54"/>
  </r>
  <r>
    <n v="1"/>
    <s v="RNR-006"/>
    <x v="0"/>
    <s v="Open"/>
    <x v="664"/>
    <m/>
    <s v="Brazil"/>
    <s v="South"/>
    <s v="SC"/>
    <s v="Santa Catarina"/>
    <s v="Joinville"/>
    <s v="Shopping Mueller"/>
    <x v="1"/>
    <n v="3188.53"/>
  </r>
  <r>
    <n v="1"/>
    <s v="RNR-004"/>
    <x v="0"/>
    <s v="Open"/>
    <x v="665"/>
    <m/>
    <s v="Brazil"/>
    <s v="South"/>
    <s v="SC"/>
    <s v="Santa Catarina"/>
    <s v="Florianópolis"/>
    <s v="Beira Mar Shopping"/>
    <x v="1"/>
    <n v="5111.21"/>
  </r>
  <r>
    <n v="1"/>
    <s v="RNR-002"/>
    <x v="0"/>
    <s v="Open"/>
    <x v="666"/>
    <m/>
    <s v="Brazil"/>
    <s v="South"/>
    <s v="RS"/>
    <s v="Rio Grande do Sul"/>
    <s v="Porto Alegre"/>
    <s v="Shopping Praia de Belas"/>
    <x v="1"/>
    <n v="5462.66"/>
  </r>
  <r>
    <n v="1"/>
    <s v="RNR-010"/>
    <x v="0"/>
    <s v="Open"/>
    <x v="667"/>
    <m/>
    <s v="Brazil"/>
    <s v="South"/>
    <s v="RS"/>
    <s v="Rio Grande do Sul"/>
    <s v="Novo Hamburgo"/>
    <s v="Novo Shopping"/>
    <x v="1"/>
    <n v="4369.83"/>
  </r>
  <r>
    <n v="1"/>
    <s v="CMC-007"/>
    <x v="1"/>
    <s v="Open"/>
    <x v="668"/>
    <m/>
    <s v="Brazil"/>
    <s v="Southest"/>
    <s v="SP"/>
    <s v="São Paulo"/>
    <s v="São Paulo"/>
    <s v="Shopping Lar Center"/>
    <x v="1"/>
    <n v="1341.26"/>
  </r>
  <r>
    <n v="1"/>
    <s v="CMC-010"/>
    <x v="1"/>
    <s v="Open"/>
    <x v="669"/>
    <m/>
    <s v="Brazil"/>
    <s v="Southest"/>
    <s v="SP"/>
    <s v="São Paulo"/>
    <s v="São Paulo"/>
    <s v="Shopping Pátio Paulista"/>
    <x v="1"/>
    <n v="675.76"/>
  </r>
  <r>
    <n v="1"/>
    <s v="RNR-007"/>
    <x v="0"/>
    <s v="Open"/>
    <x v="670"/>
    <m/>
    <s v="Brazil"/>
    <s v="South"/>
    <s v="RS"/>
    <s v="Rio Grande do Sul"/>
    <s v="Rio Grande"/>
    <s v="Loja Rio Grande"/>
    <x v="0"/>
    <n v="2575.8000000000002"/>
  </r>
  <r>
    <n v="1"/>
    <s v="RNR-013"/>
    <x v="0"/>
    <s v="Open"/>
    <x v="671"/>
    <m/>
    <s v="Brazil"/>
    <s v="South"/>
    <s v="RS"/>
    <s v="Rio Grande do Sul"/>
    <s v="Porto Alegre"/>
    <s v="Iguatemi Shopping Center"/>
    <x v="1"/>
    <n v="6061.22"/>
  </r>
  <r>
    <n v="1"/>
    <s v="RNR-011"/>
    <x v="0"/>
    <s v="Open"/>
    <x v="672"/>
    <m/>
    <s v="Brazil"/>
    <s v="South"/>
    <s v="RS"/>
    <s v="Rio Grande do Sul"/>
    <s v="Santa Maria"/>
    <s v="Loja Santa Maria"/>
    <x v="0"/>
    <n v="4733.41"/>
  </r>
  <r>
    <n v="1"/>
    <s v="RNR-001"/>
    <x v="0"/>
    <s v="Open"/>
    <x v="673"/>
    <m/>
    <s v="Brazil"/>
    <s v="South"/>
    <s v="RS"/>
    <s v="Rio Grande do Sul"/>
    <s v="Porto Alegre"/>
    <s v="Otávio Rocha"/>
    <x v="0"/>
    <n v="10815.45"/>
  </r>
  <r>
    <n v="1"/>
    <s v="RNR-008"/>
    <x v="0"/>
    <s v="Open"/>
    <x v="674"/>
    <m/>
    <s v="Brazil"/>
    <s v="South"/>
    <s v="RS"/>
    <s v="Rio Grande do Sul"/>
    <s v="Canoas"/>
    <s v="Centro Comercial Canoas"/>
    <x v="1"/>
    <n v="2485.2199999999998"/>
  </r>
  <r>
    <n v="1"/>
    <s v="RNR-003"/>
    <x v="0"/>
    <s v="Open"/>
    <x v="675"/>
    <m/>
    <s v="Brazil"/>
    <s v="South"/>
    <s v="RS"/>
    <s v="Rio Grande do Sul"/>
    <s v="Porto Alegre"/>
    <s v="Shopping João Pessoa"/>
    <x v="1"/>
    <n v="2570.81"/>
  </r>
  <r>
    <n v="1"/>
    <s v="RNR-005"/>
    <x v="0"/>
    <s v="Open"/>
    <x v="676"/>
    <m/>
    <s v="Brazil"/>
    <s v="South"/>
    <s v="RS"/>
    <s v="Rio Grande do Sul"/>
    <s v="Pelotas"/>
    <s v="Loja Pelotas"/>
    <x v="0"/>
    <n v="3155.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34164D-1734-43DF-86DF-F7493389FE70}" name="Tabela dinâ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5:G17" firstHeaderRow="1" firstDataRow="2" firstDataCol="1" rowPageCount="2" colPageCount="1"/>
  <pivotFields count="17">
    <pivotField dataField="1" showAll="0"/>
    <pivotField showAll="0"/>
    <pivotField axis="axisRow" showAll="0">
      <items count="5">
        <item x="3"/>
        <item x="1"/>
        <item x="0"/>
        <item x="2"/>
        <item t="default"/>
      </items>
    </pivotField>
    <pivotField showAll="0"/>
    <pivotField numFmtId="14" showAll="0">
      <items count="678">
        <item x="676"/>
        <item x="675"/>
        <item x="674"/>
        <item x="673"/>
        <item x="672"/>
        <item x="671"/>
        <item x="670"/>
        <item x="669"/>
        <item x="668"/>
        <item x="667"/>
        <item x="666"/>
        <item x="665"/>
        <item x="664"/>
        <item x="663"/>
        <item x="662"/>
        <item x="661"/>
        <item x="660"/>
        <item x="659"/>
        <item x="658"/>
        <item x="657"/>
        <item x="656"/>
        <item x="655"/>
        <item x="654"/>
        <item x="653"/>
        <item x="652"/>
        <item x="651"/>
        <item x="650"/>
        <item x="649"/>
        <item x="648"/>
        <item x="647"/>
        <item x="646"/>
        <item x="645"/>
        <item x="644"/>
        <item x="643"/>
        <item x="642"/>
        <item x="641"/>
        <item x="640"/>
        <item x="639"/>
        <item x="638"/>
        <item x="637"/>
        <item x="636"/>
        <item x="635"/>
        <item x="634"/>
        <item x="633"/>
        <item x="632"/>
        <item x="631"/>
        <item x="630"/>
        <item x="629"/>
        <item x="628"/>
        <item x="627"/>
        <item x="626"/>
        <item x="625"/>
        <item x="624"/>
        <item x="623"/>
        <item x="622"/>
        <item x="621"/>
        <item x="620"/>
        <item x="619"/>
        <item x="618"/>
        <item x="617"/>
        <item x="616"/>
        <item x="615"/>
        <item x="614"/>
        <item x="613"/>
        <item x="612"/>
        <item x="611"/>
        <item x="610"/>
        <item x="609"/>
        <item x="608"/>
        <item x="607"/>
        <item x="606"/>
        <item x="605"/>
        <item x="604"/>
        <item x="603"/>
        <item x="602"/>
        <item x="601"/>
        <item x="600"/>
        <item x="599"/>
        <item x="598"/>
        <item x="597"/>
        <item x="596"/>
        <item x="595"/>
        <item x="594"/>
        <item x="593"/>
        <item x="592"/>
        <item x="591"/>
        <item x="590"/>
        <item x="589"/>
        <item x="588"/>
        <item x="587"/>
        <item x="586"/>
        <item x="585"/>
        <item x="584"/>
        <item x="583"/>
        <item x="582"/>
        <item x="581"/>
        <item x="580"/>
        <item x="579"/>
        <item x="578"/>
        <item x="577"/>
        <item x="576"/>
        <item x="575"/>
        <item x="574"/>
        <item x="573"/>
        <item x="572"/>
        <item x="571"/>
        <item x="570"/>
        <item x="569"/>
        <item x="568"/>
        <item x="567"/>
        <item x="566"/>
        <item x="565"/>
        <item x="564"/>
        <item x="563"/>
        <item x="562"/>
        <item x="561"/>
        <item x="560"/>
        <item x="559"/>
        <item x="558"/>
        <item x="557"/>
        <item x="556"/>
        <item x="555"/>
        <item x="554"/>
        <item x="553"/>
        <item x="552"/>
        <item x="551"/>
        <item x="550"/>
        <item x="549"/>
        <item x="548"/>
        <item x="547"/>
        <item x="546"/>
        <item x="545"/>
        <item x="544"/>
        <item x="543"/>
        <item x="542"/>
        <item x="541"/>
        <item x="540"/>
        <item x="539"/>
        <item x="538"/>
        <item x="537"/>
        <item x="536"/>
        <item x="535"/>
        <item x="534"/>
        <item x="533"/>
        <item x="532"/>
        <item x="531"/>
        <item x="530"/>
        <item x="529"/>
        <item x="528"/>
        <item x="527"/>
        <item x="526"/>
        <item x="525"/>
        <item x="524"/>
        <item x="523"/>
        <item x="522"/>
        <item x="521"/>
        <item x="520"/>
        <item x="519"/>
        <item x="518"/>
        <item x="517"/>
        <item x="516"/>
        <item x="515"/>
        <item x="514"/>
        <item x="513"/>
        <item x="512"/>
        <item x="511"/>
        <item x="510"/>
        <item x="509"/>
        <item x="508"/>
        <item x="507"/>
        <item x="506"/>
        <item x="505"/>
        <item x="504"/>
        <item x="503"/>
        <item x="502"/>
        <item x="501"/>
        <item x="500"/>
        <item x="499"/>
        <item x="498"/>
        <item x="497"/>
        <item x="496"/>
        <item x="495"/>
        <item x="494"/>
        <item x="493"/>
        <item x="492"/>
        <item x="491"/>
        <item x="490"/>
        <item x="489"/>
        <item x="488"/>
        <item x="487"/>
        <item x="486"/>
        <item x="485"/>
        <item x="484"/>
        <item x="483"/>
        <item x="482"/>
        <item x="481"/>
        <item x="480"/>
        <item x="479"/>
        <item x="478"/>
        <item x="477"/>
        <item x="476"/>
        <item x="475"/>
        <item x="474"/>
        <item x="473"/>
        <item x="472"/>
        <item x="471"/>
        <item x="470"/>
        <item x="469"/>
        <item x="468"/>
        <item x="467"/>
        <item x="466"/>
        <item x="465"/>
        <item x="464"/>
        <item x="463"/>
        <item x="462"/>
        <item x="461"/>
        <item x="460"/>
        <item x="459"/>
        <item x="458"/>
        <item x="457"/>
        <item x="456"/>
        <item x="455"/>
        <item x="454"/>
        <item x="453"/>
        <item x="452"/>
        <item x="451"/>
        <item x="450"/>
        <item x="449"/>
        <item x="448"/>
        <item x="447"/>
        <item x="446"/>
        <item x="445"/>
        <item x="444"/>
        <item x="443"/>
        <item x="442"/>
        <item x="441"/>
        <item x="440"/>
        <item x="439"/>
        <item x="438"/>
        <item x="437"/>
        <item x="436"/>
        <item x="435"/>
        <item x="434"/>
        <item x="433"/>
        <item x="432"/>
        <item x="431"/>
        <item x="430"/>
        <item x="429"/>
        <item x="428"/>
        <item x="427"/>
        <item x="426"/>
        <item x="425"/>
        <item x="424"/>
        <item x="423"/>
        <item x="422"/>
        <item x="421"/>
        <item x="420"/>
        <item x="419"/>
        <item x="418"/>
        <item x="417"/>
        <item x="416"/>
        <item x="415"/>
        <item x="414"/>
        <item x="413"/>
        <item x="412"/>
        <item x="411"/>
        <item x="410"/>
        <item x="409"/>
        <item x="408"/>
        <item x="407"/>
        <item x="406"/>
        <item x="405"/>
        <item x="404"/>
        <item x="403"/>
        <item x="402"/>
        <item x="401"/>
        <item x="400"/>
        <item x="399"/>
        <item x="398"/>
        <item x="397"/>
        <item x="396"/>
        <item x="395"/>
        <item x="394"/>
        <item x="393"/>
        <item x="392"/>
        <item x="391"/>
        <item x="390"/>
        <item x="389"/>
        <item x="388"/>
        <item x="387"/>
        <item x="386"/>
        <item x="385"/>
        <item x="384"/>
        <item x="383"/>
        <item x="382"/>
        <item x="381"/>
        <item x="380"/>
        <item x="379"/>
        <item x="378"/>
        <item x="377"/>
        <item x="376"/>
        <item x="375"/>
        <item x="374"/>
        <item x="373"/>
        <item x="372"/>
        <item x="371"/>
        <item x="370"/>
        <item x="369"/>
        <item x="368"/>
        <item x="367"/>
        <item x="366"/>
        <item x="365"/>
        <item x="364"/>
        <item x="363"/>
        <item x="362"/>
        <item x="361"/>
        <item x="360"/>
        <item x="359"/>
        <item x="358"/>
        <item x="357"/>
        <item x="356"/>
        <item x="355"/>
        <item x="354"/>
        <item x="353"/>
        <item x="352"/>
        <item x="351"/>
        <item x="350"/>
        <item x="349"/>
        <item x="348"/>
        <item x="347"/>
        <item x="346"/>
        <item x="345"/>
        <item x="344"/>
        <item x="343"/>
        <item x="342"/>
        <item x="341"/>
        <item x="340"/>
        <item x="339"/>
        <item x="338"/>
        <item x="337"/>
        <item x="336"/>
        <item x="335"/>
        <item x="334"/>
        <item x="333"/>
        <item x="332"/>
        <item x="331"/>
        <item x="330"/>
        <item x="329"/>
        <item x="328"/>
        <item x="327"/>
        <item x="326"/>
        <item x="325"/>
        <item x="324"/>
        <item x="323"/>
        <item x="322"/>
        <item x="321"/>
        <item x="320"/>
        <item x="319"/>
        <item x="318"/>
        <item x="317"/>
        <item x="316"/>
        <item x="315"/>
        <item x="314"/>
        <item x="313"/>
        <item x="312"/>
        <item x="311"/>
        <item x="310"/>
        <item x="309"/>
        <item x="308"/>
        <item x="307"/>
        <item x="306"/>
        <item x="305"/>
        <item x="304"/>
        <item x="303"/>
        <item x="302"/>
        <item x="301"/>
        <item x="300"/>
        <item x="299"/>
        <item x="298"/>
        <item x="297"/>
        <item x="296"/>
        <item x="295"/>
        <item x="294"/>
        <item x="293"/>
        <item x="292"/>
        <item x="291"/>
        <item x="290"/>
        <item x="289"/>
        <item x="288"/>
        <item x="287"/>
        <item x="286"/>
        <item x="285"/>
        <item x="284"/>
        <item x="283"/>
        <item x="282"/>
        <item x="281"/>
        <item x="280"/>
        <item x="279"/>
        <item x="278"/>
        <item x="277"/>
        <item x="276"/>
        <item x="275"/>
        <item x="274"/>
        <item x="273"/>
        <item x="272"/>
        <item x="271"/>
        <item x="270"/>
        <item x="269"/>
        <item x="268"/>
        <item x="267"/>
        <item x="266"/>
        <item x="265"/>
        <item x="264"/>
        <item x="263"/>
        <item x="262"/>
        <item x="261"/>
        <item x="260"/>
        <item x="259"/>
        <item x="258"/>
        <item x="257"/>
        <item x="256"/>
        <item x="255"/>
        <item x="254"/>
        <item x="253"/>
        <item x="252"/>
        <item x="251"/>
        <item x="250"/>
        <item x="249"/>
        <item x="248"/>
        <item x="247"/>
        <item x="246"/>
        <item x="245"/>
        <item x="244"/>
        <item x="243"/>
        <item x="242"/>
        <item x="241"/>
        <item x="240"/>
        <item x="239"/>
        <item x="238"/>
        <item x="237"/>
        <item x="236"/>
        <item x="235"/>
        <item x="234"/>
        <item x="233"/>
        <item x="232"/>
        <item x="231"/>
        <item x="230"/>
        <item x="229"/>
        <item x="228"/>
        <item x="227"/>
        <item x="226"/>
        <item x="225"/>
        <item x="224"/>
        <item x="223"/>
        <item x="222"/>
        <item x="221"/>
        <item x="220"/>
        <item x="219"/>
        <item x="218"/>
        <item x="217"/>
        <item x="216"/>
        <item x="215"/>
        <item x="214"/>
        <item x="213"/>
        <item x="212"/>
        <item x="211"/>
        <item x="210"/>
        <item x="209"/>
        <item x="208"/>
        <item x="207"/>
        <item x="206"/>
        <item x="205"/>
        <item x="204"/>
        <item x="203"/>
        <item x="202"/>
        <item x="201"/>
        <item x="200"/>
        <item x="199"/>
        <item x="198"/>
        <item x="197"/>
        <item x="196"/>
        <item x="195"/>
        <item x="194"/>
        <item x="193"/>
        <item x="192"/>
        <item x="191"/>
        <item x="190"/>
        <item x="189"/>
        <item x="188"/>
        <item x="187"/>
        <item x="186"/>
        <item x="185"/>
        <item x="184"/>
        <item x="183"/>
        <item x="182"/>
        <item x="181"/>
        <item x="180"/>
        <item x="179"/>
        <item x="178"/>
        <item x="177"/>
        <item x="176"/>
        <item x="175"/>
        <item x="174"/>
        <item x="173"/>
        <item x="172"/>
        <item x="171"/>
        <item x="170"/>
        <item x="169"/>
        <item x="168"/>
        <item x="167"/>
        <item x="166"/>
        <item x="165"/>
        <item x="164"/>
        <item x="163"/>
        <item x="162"/>
        <item x="161"/>
        <item x="160"/>
        <item x="159"/>
        <item x="158"/>
        <item x="157"/>
        <item x="156"/>
        <item x="155"/>
        <item x="154"/>
        <item x="153"/>
        <item x="152"/>
        <item x="151"/>
        <item x="150"/>
        <item x="149"/>
        <item x="148"/>
        <item x="147"/>
        <item x="146"/>
        <item x="145"/>
        <item x="144"/>
        <item x="143"/>
        <item x="142"/>
        <item x="141"/>
        <item x="140"/>
        <item x="139"/>
        <item x="138"/>
        <item x="137"/>
        <item x="136"/>
        <item x="135"/>
        <item x="134"/>
        <item x="133"/>
        <item x="132"/>
        <item x="131"/>
        <item x="130"/>
        <item x="129"/>
        <item x="128"/>
        <item x="127"/>
        <item x="126"/>
        <item x="125"/>
        <item x="124"/>
        <item x="123"/>
        <item x="122"/>
        <item x="121"/>
        <item x="120"/>
        <item x="119"/>
        <item x="118"/>
        <item x="117"/>
        <item x="116"/>
        <item x="115"/>
        <item x="114"/>
        <item x="113"/>
        <item x="112"/>
        <item x="111"/>
        <item x="110"/>
        <item x="109"/>
        <item x="108"/>
        <item x="107"/>
        <item x="106"/>
        <item x="105"/>
        <item x="104"/>
        <item x="103"/>
        <item x="102"/>
        <item x="101"/>
        <item x="100"/>
        <item x="99"/>
        <item x="98"/>
        <item x="97"/>
        <item x="96"/>
        <item x="95"/>
        <item x="94"/>
        <item x="93"/>
        <item x="92"/>
        <item x="91"/>
        <item x="90"/>
        <item x="89"/>
        <item x="88"/>
        <item x="87"/>
        <item x="86"/>
        <item x="85"/>
        <item x="84"/>
        <item x="83"/>
        <item x="82"/>
        <item x="81"/>
        <item x="80"/>
        <item x="79"/>
        <item x="78"/>
        <item x="77"/>
        <item x="76"/>
        <item x="75"/>
        <item x="74"/>
        <item x="73"/>
        <item x="72"/>
        <item x="71"/>
        <item x="70"/>
        <item x="69"/>
        <item x="68"/>
        <item x="67"/>
        <item x="66"/>
        <item x="65"/>
        <item x="64"/>
        <item x="63"/>
        <item x="62"/>
        <item x="61"/>
        <item x="60"/>
        <item x="59"/>
        <item x="58"/>
        <item x="57"/>
        <item x="56"/>
        <item x="55"/>
        <item x="54"/>
        <item x="53"/>
        <item x="52"/>
        <item x="51"/>
        <item x="50"/>
        <item x="49"/>
        <item x="48"/>
        <item x="47"/>
        <item x="46"/>
        <item x="45"/>
        <item x="44"/>
        <item x="43"/>
        <item x="42"/>
        <item x="41"/>
        <item x="40"/>
        <item x="39"/>
        <item x="38"/>
        <item x="37"/>
        <item x="36"/>
        <item x="35"/>
        <item x="34"/>
        <item x="33"/>
        <item x="32"/>
        <item x="31"/>
        <item x="30"/>
        <item x="29"/>
        <item x="28"/>
        <item x="27"/>
        <item x="26"/>
        <item x="25"/>
        <item x="24"/>
        <item x="23"/>
        <item x="21"/>
        <item x="20"/>
        <item x="22"/>
        <item x="19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numFmtId="181"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Col" showAll="0">
      <items count="63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h="1" sd="0" x="11"/>
        <item h="1" sd="0" x="12"/>
        <item h="1" sd="0" x="13"/>
        <item h="1" sd="0" x="14"/>
        <item h="1" sd="0" x="15"/>
        <item h="1" sd="0" x="16"/>
        <item h="1" sd="0" x="17"/>
        <item h="1" sd="0" x="18"/>
        <item h="1" sd="0" x="19"/>
        <item h="1" sd="0" x="20"/>
        <item h="1" sd="0" x="21"/>
        <item h="1" sd="0" x="22"/>
        <item h="1" sd="0" x="23"/>
        <item h="1" sd="0" x="24"/>
        <item h="1" sd="0" x="25"/>
        <item h="1" sd="0" x="26"/>
        <item h="1" sd="0" x="27"/>
        <item h="1" sd="0" x="28"/>
        <item h="1" sd="0" x="29"/>
        <item h="1" sd="0" x="30"/>
        <item h="1" sd="0" x="31"/>
        <item h="1" sd="0" x="32"/>
        <item h="1" sd="0" x="33"/>
        <item h="1" sd="0" x="34"/>
        <item h="1" sd="0" x="35"/>
        <item h="1" sd="0" x="36"/>
        <item h="1" sd="0" x="37"/>
        <item h="1" sd="0" x="38"/>
        <item h="1" sd="0" x="39"/>
        <item h="1" sd="0" x="40"/>
        <item h="1" sd="0" x="41"/>
        <item h="1" sd="0" x="42"/>
        <item h="1" sd="0" x="43"/>
        <item h="1" sd="0" x="44"/>
        <item h="1" sd="0" x="45"/>
        <item h="1" sd="0" x="46"/>
        <item h="1" sd="0" x="47"/>
        <item h="1" sd="0" x="48"/>
        <item h="1" sd="0" x="49"/>
        <item h="1" sd="0" x="50"/>
        <item h="1" sd="0" x="51"/>
        <item h="1" sd="0" x="52"/>
        <item h="1" sd="0" x="53"/>
        <item h="1" sd="0" x="54"/>
        <item h="1" sd="0" x="55"/>
        <item sd="0" x="56"/>
        <item sd="0" x="57"/>
        <item sd="0" x="58"/>
        <item sd="0" x="59"/>
        <item sd="0" x="60"/>
        <item sd="0" x="61"/>
        <item t="default"/>
      </items>
    </pivotField>
  </pivotFields>
  <rowFields count="2">
    <field x="2"/>
    <field x="12"/>
  </rowFields>
  <rowItems count="11">
    <i>
      <x/>
    </i>
    <i r="1">
      <x/>
    </i>
    <i>
      <x v="1"/>
    </i>
    <i r="1">
      <x/>
    </i>
    <i>
      <x v="2"/>
    </i>
    <i r="1">
      <x/>
    </i>
    <i r="1">
      <x v="1"/>
    </i>
    <i>
      <x v="3"/>
    </i>
    <i r="1">
      <x/>
    </i>
    <i r="1">
      <x v="1"/>
    </i>
    <i t="grand">
      <x/>
    </i>
  </rowItems>
  <colFields count="1">
    <field x="16"/>
  </colFields>
  <colItems count="6">
    <i>
      <x v="56"/>
    </i>
    <i>
      <x v="57"/>
    </i>
    <i>
      <x v="58"/>
    </i>
    <i>
      <x v="59"/>
    </i>
    <i>
      <x v="60"/>
    </i>
    <i t="grand">
      <x/>
    </i>
  </colItems>
  <pageFields count="2">
    <pageField fld="15" hier="-1"/>
    <pageField fld="14" hier="-1"/>
  </pageFields>
  <dataFields count="1">
    <dataField name="Soma de #" fld="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56BA0-8D7F-4F77-8954-81F8FA72FCE1}" name="TabListaLojas" displayName="TabListaLojas" ref="B6:O824" totalsRowShown="0" headerRowDxfId="55" dataDxfId="54" tableBorderDxfId="53" headerRowCellStyle="Normal_BOOK INFO_PUBLICO_2005_2010_Book_2005_2T11-1">
  <autoFilter ref="B6:O824" xr:uid="{5DC56BA0-8D7F-4F77-8954-81F8FA72FCE1}">
    <filterColumn colId="3">
      <filters>
        <filter val="Open"/>
      </filters>
    </filterColumn>
  </autoFilter>
  <tableColumns count="14">
    <tableColumn id="14" xr3:uid="{9ED2B6EC-5856-40C0-88A0-27DD784A9136}" name="#" dataDxfId="52"/>
    <tableColumn id="15" xr3:uid="{0EBCDEDD-6A7B-4E12-85D7-11B71B5A0F7E}" name="Code" dataDxfId="51"/>
    <tableColumn id="1" xr3:uid="{FDA5EF77-45EF-4CE1-BB9B-7FF63BB23A67}" name="Business" dataDxfId="50"/>
    <tableColumn id="2" xr3:uid="{01858058-36FC-407E-A1E2-DE9FCA2ABBB5}" name="Status" dataDxfId="49">
      <calculatedColumnFormula>IF(G7="","Open","Closed")</calculatedColumnFormula>
    </tableColumn>
    <tableColumn id="3" xr3:uid="{CA02FAB3-A4C4-4473-BA82-1BBBD5CBAAEE}" name="Opening date" dataDxfId="48"/>
    <tableColumn id="4" xr3:uid="{4051A80A-9DAB-40A3-84B7-B32B95D19F13}" name="Closing date" dataDxfId="47"/>
    <tableColumn id="5" xr3:uid="{37AF8A1F-A32C-4DC8-8A5D-176AAD7084FE}" name="Country" dataDxfId="46"/>
    <tableColumn id="6" xr3:uid="{1D12E573-5460-402E-8FDF-C7D75EDF9B61}" name="Region" dataDxfId="45"/>
    <tableColumn id="7" xr3:uid="{F20D93B2-7602-451D-8075-5F55C255F067}" name="UF" dataDxfId="44"/>
    <tableColumn id="8" xr3:uid="{76528BDD-58C6-48BE-82EE-32BC0CEA96D5}" name="State" dataDxfId="43"/>
    <tableColumn id="9" xr3:uid="{3DC25519-AB71-4FCC-9BF0-A63D755F0327}" name="City" dataDxfId="42"/>
    <tableColumn id="11" xr3:uid="{73C16C1E-17FC-4930-AC8F-9497CDFC60B0}" name="Location" dataDxfId="41"/>
    <tableColumn id="12" xr3:uid="{8850F56D-0674-4567-ADB1-EEF8C60E1214}" name="Shopping Mall / Street" dataDxfId="40"/>
    <tableColumn id="13" xr3:uid="{58F12197-B5F1-4D37-92E6-CBCCC9C2124A}" name="Total Area (m2)" dataDxfId="39" dataCellStyle="Vírgul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5" Type="http://schemas.openxmlformats.org/officeDocument/2006/relationships/drawing" Target="../drawings/drawing11.xml"/><Relationship Id="rId4" Type="http://schemas.openxmlformats.org/officeDocument/2006/relationships/printerSettings" Target="../printerSettings/printerSettings22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5" Type="http://schemas.openxmlformats.org/officeDocument/2006/relationships/drawing" Target="../drawings/drawing15.xml"/><Relationship Id="rId4" Type="http://schemas.openxmlformats.org/officeDocument/2006/relationships/printerSettings" Target="../printerSettings/printerSettings29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5" Type="http://schemas.openxmlformats.org/officeDocument/2006/relationships/drawing" Target="../drawings/drawing16.xml"/><Relationship Id="rId4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5.bin"/><Relationship Id="rId1" Type="http://schemas.openxmlformats.org/officeDocument/2006/relationships/printerSettings" Target="../printerSettings/printerSettings34.bin"/><Relationship Id="rId4" Type="http://schemas.openxmlformats.org/officeDocument/2006/relationships/printerSettings" Target="../printerSettings/printerSettings37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0.bin"/><Relationship Id="rId2" Type="http://schemas.openxmlformats.org/officeDocument/2006/relationships/printerSettings" Target="../printerSettings/printerSettings39.bin"/><Relationship Id="rId1" Type="http://schemas.openxmlformats.org/officeDocument/2006/relationships/printerSettings" Target="../printerSettings/printerSettings38.bin"/><Relationship Id="rId4" Type="http://schemas.openxmlformats.org/officeDocument/2006/relationships/printerSettings" Target="../printerSettings/printerSettings4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8.bin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7.bin"/><Relationship Id="rId1" Type="http://schemas.openxmlformats.org/officeDocument/2006/relationships/printerSettings" Target="../printerSettings/printerSettings6.bin"/><Relationship Id="rId6" Type="http://schemas.openxmlformats.org/officeDocument/2006/relationships/vmlDrawing" Target="../drawings/vmlDrawing2.vm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drawing" Target="../drawings/drawing8.xml"/><Relationship Id="rId5" Type="http://schemas.openxmlformats.org/officeDocument/2006/relationships/customProperty" Target="../customProperty1.bin"/><Relationship Id="rId4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E523E-AFE4-4468-8EB5-96E6A412BB89}">
  <sheetPr codeName="Planilha1"/>
  <dimension ref="A1:Z39"/>
  <sheetViews>
    <sheetView showGridLines="0" tabSelected="1" zoomScale="80" zoomScaleNormal="80" workbookViewId="0"/>
  </sheetViews>
  <sheetFormatPr defaultColWidth="0" defaultRowHeight="12.75" zeroHeight="1"/>
  <cols>
    <col min="1" max="16" width="9.42578125" customWidth="1"/>
    <col min="17" max="17" width="15.42578125" customWidth="1"/>
    <col min="18" max="26" width="0" hidden="1" customWidth="1"/>
    <col min="27" max="16384" width="9.42578125" hidden="1"/>
  </cols>
  <sheetData>
    <row r="1"/>
    <row r="2"/>
    <row r="3"/>
    <row r="4"/>
    <row r="5"/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4"/>
    <row r="35"/>
    <row r="36"/>
    <row r="37"/>
    <row r="38"/>
    <row r="39"/>
  </sheetData>
  <sheetProtection selectLockedCells="1" selectUnlockedCells="1"/>
  <pageMargins left="0.511811024" right="0.511811024" top="0.78740157499999996" bottom="0.78740157499999996" header="0.31496062000000002" footer="0.31496062000000002"/>
  <pageSetup paperSize="9" orientation="portrait" r:id="rId1"/>
  <headerFooter>
    <oddFooter>&amp;L_x000D_&amp;1#&amp;"Calibri"&amp;10&amp;KA80000 Classificação: Confidencial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CB763-6B1E-4B70-997E-F580E450A1FF}">
  <sheetPr>
    <outlinePr summaryBelow="0"/>
    <pageSetUpPr fitToPage="1"/>
  </sheetPr>
  <dimension ref="A4:T24"/>
  <sheetViews>
    <sheetView showGridLines="0" zoomScaleNormal="100" zoomScaleSheetLayoutView="100" workbookViewId="0">
      <pane xSplit="3" ySplit="6" topLeftCell="J7" activePane="bottomRight" state="frozen"/>
      <selection pane="topRight"/>
      <selection pane="bottomLeft"/>
      <selection pane="bottomRight" activeCell="T6" sqref="T6"/>
    </sheetView>
  </sheetViews>
  <sheetFormatPr defaultColWidth="9.42578125" defaultRowHeight="16.350000000000001" customHeight="1" outlineLevelCol="1"/>
  <cols>
    <col min="1" max="1" width="3.5703125" style="7" customWidth="1"/>
    <col min="2" max="2" width="46.5703125" style="7" bestFit="1" customWidth="1"/>
    <col min="3" max="3" width="38.5703125" style="7" bestFit="1" customWidth="1"/>
    <col min="4" max="9" width="12.5703125" hidden="1" customWidth="1" outlineLevel="1"/>
    <col min="10" max="10" width="12.5703125" customWidth="1" collapsed="1"/>
    <col min="11" max="13" width="12.5703125" hidden="1" customWidth="1" outlineLevel="1"/>
    <col min="14" max="14" width="12.42578125" hidden="1" customWidth="1" outlineLevel="1"/>
    <col min="15" max="15" width="12.5703125" hidden="1" customWidth="1" outlineLevel="1"/>
    <col min="16" max="16" width="12.42578125" hidden="1" customWidth="1" outlineLevel="1"/>
    <col min="17" max="17" width="12.5703125" customWidth="1" collapsed="1"/>
    <col min="18" max="20" width="12.5703125" customWidth="1"/>
  </cols>
  <sheetData>
    <row r="4" spans="1:20" ht="16.350000000000001" customHeight="1">
      <c r="B4" s="8"/>
    </row>
    <row r="5" spans="1:20" ht="16.350000000000001" customHeight="1">
      <c r="A5" s="9"/>
      <c r="B5" s="10"/>
      <c r="C5" s="10"/>
    </row>
    <row r="6" spans="1:20" ht="16.350000000000001" customHeight="1">
      <c r="A6" s="16"/>
      <c r="B6" s="437" t="s">
        <v>389</v>
      </c>
      <c r="C6" s="437" t="s">
        <v>390</v>
      </c>
      <c r="D6" s="447" t="str">
        <f>'Income Statement'!EG6</f>
        <v>1Q24</v>
      </c>
      <c r="E6" s="447" t="str">
        <f>'Income Statement'!EH6</f>
        <v>2Q24</v>
      </c>
      <c r="F6" s="447" t="str">
        <f>'Income Statement'!EI6</f>
        <v>1H24</v>
      </c>
      <c r="G6" s="447" t="str">
        <f>'Income Statement'!EJ6</f>
        <v>3Q24</v>
      </c>
      <c r="H6" s="447" t="str">
        <f>'Income Statement'!EK6</f>
        <v>9M24</v>
      </c>
      <c r="I6" s="447" t="str">
        <f>'Income Statement'!EL6</f>
        <v>4Q24</v>
      </c>
      <c r="J6" s="447">
        <f>'Income Statement'!EM6</f>
        <v>2024</v>
      </c>
      <c r="K6" s="447" t="str">
        <f>'Income Statement'!EN6</f>
        <v>1Q25</v>
      </c>
      <c r="L6" s="447" t="str">
        <f>'Income Statement'!EO6</f>
        <v>2Q25</v>
      </c>
      <c r="M6" s="447" t="str">
        <f>'Income Statement'!EP6</f>
        <v>1H25</v>
      </c>
      <c r="N6" s="447" t="str">
        <f>'Income Statement'!EQ6</f>
        <v>3Q25</v>
      </c>
      <c r="O6" s="447" t="str">
        <f>'Income Statement'!ER6</f>
        <v>9M25</v>
      </c>
      <c r="P6" s="447" t="str">
        <f>'Income Statement'!ES6</f>
        <v>4Q25</v>
      </c>
      <c r="Q6" s="447">
        <f>'Income Statement'!ET6</f>
        <v>2025</v>
      </c>
      <c r="R6" s="447" t="str">
        <f>'Income Statement'!EU6</f>
        <v>1Q26</v>
      </c>
      <c r="S6" s="447" t="str">
        <f>'Income Statement'!EV6</f>
        <v>2Q26</v>
      </c>
      <c r="T6" s="447" t="str">
        <f>'Income Statement'!EW6</f>
        <v>1H26</v>
      </c>
    </row>
    <row r="7" spans="1:20" ht="16.350000000000001" customHeight="1">
      <c r="A7" s="18"/>
      <c r="B7" s="19" t="s">
        <v>387</v>
      </c>
      <c r="C7" s="19" t="s">
        <v>343</v>
      </c>
      <c r="D7" s="20">
        <f>EBITDA!EG7</f>
        <v>139250</v>
      </c>
      <c r="E7" s="20">
        <f>EBITDA!EH7</f>
        <v>314984</v>
      </c>
      <c r="F7" s="20">
        <f>EBITDA!EI7</f>
        <v>454234</v>
      </c>
      <c r="G7" s="20">
        <f>EBITDA!EJ7</f>
        <v>255266</v>
      </c>
      <c r="H7" s="20">
        <f>EBITDA!EK7</f>
        <v>709500</v>
      </c>
      <c r="I7" s="20">
        <f>EBITDA!EL7</f>
        <v>487168</v>
      </c>
      <c r="J7" s="20">
        <f>EBITDA!EM7</f>
        <v>1196668</v>
      </c>
      <c r="K7" s="20">
        <f>EBITDA!EN7</f>
        <v>221033</v>
      </c>
      <c r="L7" s="20">
        <f>EBITDA!EO7</f>
        <v>404496</v>
      </c>
      <c r="M7" s="20">
        <f>EBITDA!EP7</f>
        <v>625529</v>
      </c>
      <c r="N7" s="20">
        <f>EBITDA!EQ7</f>
        <v>279395</v>
      </c>
      <c r="O7" s="20">
        <f>EBITDA!ER7</f>
        <v>904924</v>
      </c>
      <c r="P7" s="20">
        <f>EBITDA!ES7</f>
        <v>552642</v>
      </c>
      <c r="Q7" s="20">
        <f>EBITDA!ET7</f>
        <v>1457566</v>
      </c>
      <c r="R7" s="20">
        <f>EBITDA!EU7</f>
        <v>257251</v>
      </c>
      <c r="S7" s="20">
        <f>EBITDA!EV7</f>
        <v>404645</v>
      </c>
      <c r="T7" s="20">
        <f>EBITDA!EW7</f>
        <v>661896</v>
      </c>
    </row>
    <row r="8" spans="1:20" ht="16.350000000000001" customHeight="1">
      <c r="A8" s="18"/>
      <c r="B8" s="21" t="s">
        <v>57</v>
      </c>
      <c r="C8" s="21" t="s">
        <v>58</v>
      </c>
      <c r="D8" s="22">
        <f>EBITDA!EG8</f>
        <v>-27414</v>
      </c>
      <c r="E8" s="22">
        <f>EBITDA!EH8</f>
        <v>69318</v>
      </c>
      <c r="F8" s="22">
        <f>EBITDA!EI8</f>
        <v>41904</v>
      </c>
      <c r="G8" s="22">
        <f>EBITDA!EJ8</f>
        <v>24334</v>
      </c>
      <c r="H8" s="22">
        <f>EBITDA!EK8</f>
        <v>66238</v>
      </c>
      <c r="I8" s="22">
        <f>EBITDA!EL8</f>
        <v>58091</v>
      </c>
      <c r="J8" s="22">
        <f>EBITDA!EM8</f>
        <v>124329</v>
      </c>
      <c r="K8" s="22">
        <f>EBITDA!EN8</f>
        <v>33489</v>
      </c>
      <c r="L8" s="22">
        <f>EBITDA!EO8</f>
        <v>107555</v>
      </c>
      <c r="M8" s="22">
        <f>EBITDA!EP8</f>
        <v>141044</v>
      </c>
      <c r="N8" s="22">
        <f>EBITDA!EQ8</f>
        <v>-19796</v>
      </c>
      <c r="O8" s="22">
        <f>EBITDA!ER8</f>
        <v>121248</v>
      </c>
      <c r="P8" s="22">
        <f>EBITDA!ES8</f>
        <v>135862</v>
      </c>
      <c r="Q8" s="22">
        <f>EBITDA!ET8</f>
        <v>257110</v>
      </c>
      <c r="R8" s="22">
        <f>EBITDA!EU8</f>
        <v>10071</v>
      </c>
      <c r="S8" s="22">
        <f>EBITDA!EV8</f>
        <v>88555</v>
      </c>
      <c r="T8" s="22">
        <f>EBITDA!EW8</f>
        <v>98626</v>
      </c>
    </row>
    <row r="9" spans="1:20" ht="16.350000000000001" customHeight="1">
      <c r="A9" s="18"/>
      <c r="B9" s="23" t="s">
        <v>369</v>
      </c>
      <c r="C9" s="23" t="s">
        <v>65</v>
      </c>
      <c r="D9" s="24">
        <f>EBITDA!EG9</f>
        <v>-35626</v>
      </c>
      <c r="E9" s="24">
        <f>EBITDA!EH9</f>
        <v>-29584</v>
      </c>
      <c r="F9" s="24">
        <f>EBITDA!EI9</f>
        <v>-65210</v>
      </c>
      <c r="G9" s="24">
        <f>EBITDA!EJ9</f>
        <v>-6647</v>
      </c>
      <c r="H9" s="24">
        <f>EBITDA!EK9</f>
        <v>-71857</v>
      </c>
      <c r="I9" s="24">
        <f>EBITDA!EL9</f>
        <v>10203</v>
      </c>
      <c r="J9" s="24">
        <f>EBITDA!EM9</f>
        <v>-61654</v>
      </c>
      <c r="K9" s="24">
        <f>EBITDA!EN9</f>
        <v>18484</v>
      </c>
      <c r="L9" s="24">
        <f>EBITDA!EO9</f>
        <v>45850</v>
      </c>
      <c r="M9" s="24">
        <f>EBITDA!EP9</f>
        <v>64334</v>
      </c>
      <c r="N9" s="24">
        <f>EBITDA!EQ9</f>
        <v>19104</v>
      </c>
      <c r="O9" s="24">
        <f>EBITDA!ER9</f>
        <v>83438</v>
      </c>
      <c r="P9" s="24">
        <f>EBITDA!ES9</f>
        <v>-954</v>
      </c>
      <c r="Q9" s="24">
        <f>EBITDA!ET9</f>
        <v>82484</v>
      </c>
      <c r="R9" s="24">
        <f>EBITDA!EU9</f>
        <v>22129</v>
      </c>
      <c r="S9" s="24">
        <f>EBITDA!EV9</f>
        <v>33419</v>
      </c>
      <c r="T9" s="24">
        <f>EBITDA!EW9</f>
        <v>55548</v>
      </c>
    </row>
    <row r="10" spans="1:20" ht="16.350000000000001" customHeight="1">
      <c r="B10" s="23" t="s">
        <v>366</v>
      </c>
      <c r="C10" s="23" t="s">
        <v>55</v>
      </c>
      <c r="D10" s="25">
        <f>EBITDA!EG10</f>
        <v>295856</v>
      </c>
      <c r="E10" s="25">
        <f>EBITDA!EH10</f>
        <v>299295</v>
      </c>
      <c r="F10" s="25">
        <f>EBITDA!EI10</f>
        <v>595151</v>
      </c>
      <c r="G10" s="25">
        <f>EBITDA!EJ10</f>
        <v>296223</v>
      </c>
      <c r="H10" s="25">
        <f>EBITDA!EK10</f>
        <v>891374</v>
      </c>
      <c r="I10" s="25">
        <f>EBITDA!EL10</f>
        <v>306470</v>
      </c>
      <c r="J10" s="25">
        <f>EBITDA!EM10</f>
        <v>1197844</v>
      </c>
      <c r="K10" s="25">
        <f>EBITDA!EN10</f>
        <v>304951</v>
      </c>
      <c r="L10" s="25">
        <f>EBITDA!EO10</f>
        <v>323994</v>
      </c>
      <c r="M10" s="25">
        <f>EBITDA!EP10</f>
        <v>628945</v>
      </c>
      <c r="N10" s="25">
        <f>EBITDA!EQ10</f>
        <v>307242</v>
      </c>
      <c r="O10" s="25">
        <f>EBITDA!ER10</f>
        <v>936187</v>
      </c>
      <c r="P10" s="25">
        <f>EBITDA!ES10</f>
        <v>309848</v>
      </c>
      <c r="Q10" s="25">
        <f>EBITDA!ET10</f>
        <v>1246035</v>
      </c>
      <c r="R10" s="25">
        <f>EBITDA!EU10</f>
        <v>316165</v>
      </c>
      <c r="S10" s="25">
        <f>EBITDA!EV10</f>
        <v>317047</v>
      </c>
      <c r="T10" s="25">
        <f>EBITDA!EW10</f>
        <v>633212</v>
      </c>
    </row>
    <row r="11" spans="1:20" ht="16.350000000000001" customHeight="1">
      <c r="B11" s="26" t="s">
        <v>388</v>
      </c>
      <c r="C11" s="26" t="s">
        <v>388</v>
      </c>
      <c r="D11" s="27">
        <f t="shared" ref="D11:Q11" si="0">SUM(D7:D10)</f>
        <v>372066</v>
      </c>
      <c r="E11" s="27">
        <f t="shared" si="0"/>
        <v>654013</v>
      </c>
      <c r="F11" s="27">
        <f t="shared" si="0"/>
        <v>1026079</v>
      </c>
      <c r="G11" s="27">
        <f t="shared" si="0"/>
        <v>569176</v>
      </c>
      <c r="H11" s="27">
        <f t="shared" si="0"/>
        <v>1595255</v>
      </c>
      <c r="I11" s="27">
        <f t="shared" si="0"/>
        <v>861932</v>
      </c>
      <c r="J11" s="27">
        <f t="shared" si="0"/>
        <v>2457187</v>
      </c>
      <c r="K11" s="27">
        <f t="shared" si="0"/>
        <v>577957</v>
      </c>
      <c r="L11" s="27">
        <f t="shared" si="0"/>
        <v>881895</v>
      </c>
      <c r="M11" s="27">
        <f t="shared" si="0"/>
        <v>1459852</v>
      </c>
      <c r="N11" s="27">
        <f t="shared" si="0"/>
        <v>585945</v>
      </c>
      <c r="O11" s="27">
        <f t="shared" si="0"/>
        <v>2045797</v>
      </c>
      <c r="P11" s="27">
        <f t="shared" si="0"/>
        <v>997398</v>
      </c>
      <c r="Q11" s="27">
        <f t="shared" si="0"/>
        <v>3043195</v>
      </c>
      <c r="R11" s="27">
        <f t="shared" ref="R11:T11" si="1">SUM(R7:R10)</f>
        <v>605616</v>
      </c>
      <c r="S11" s="27">
        <f t="shared" si="1"/>
        <v>843666</v>
      </c>
      <c r="T11" s="27">
        <f t="shared" si="1"/>
        <v>1449282</v>
      </c>
    </row>
    <row r="12" spans="1:20" ht="16.350000000000001" customHeight="1">
      <c r="A12" s="18"/>
      <c r="B12" s="23" t="s">
        <v>363</v>
      </c>
      <c r="C12" s="23" t="s">
        <v>54</v>
      </c>
      <c r="D12" s="25">
        <f>EBITDA!EG12</f>
        <v>5917</v>
      </c>
      <c r="E12" s="25">
        <f>EBITDA!EH12</f>
        <v>6200</v>
      </c>
      <c r="F12" s="25">
        <f>EBITDA!EI12</f>
        <v>12117</v>
      </c>
      <c r="G12" s="25">
        <f>EBITDA!EJ12</f>
        <v>6269</v>
      </c>
      <c r="H12" s="25">
        <f>EBITDA!EK12</f>
        <v>18386</v>
      </c>
      <c r="I12" s="25">
        <f>EBITDA!EL12</f>
        <v>13498</v>
      </c>
      <c r="J12" s="25">
        <f>EBITDA!EM12</f>
        <v>31884</v>
      </c>
      <c r="K12" s="25">
        <f>EBITDA!EN12</f>
        <v>3642</v>
      </c>
      <c r="L12" s="25">
        <f>EBITDA!EO12</f>
        <v>8629</v>
      </c>
      <c r="M12" s="25">
        <f>EBITDA!EP12</f>
        <v>12271</v>
      </c>
      <c r="N12" s="25">
        <f>EBITDA!EQ12</f>
        <v>4928</v>
      </c>
      <c r="O12" s="25">
        <f>EBITDA!ER12</f>
        <v>17199</v>
      </c>
      <c r="P12" s="25">
        <f>EBITDA!ES12</f>
        <v>4608</v>
      </c>
      <c r="Q12" s="25">
        <f>EBITDA!ET12</f>
        <v>21807</v>
      </c>
      <c r="R12" s="25">
        <f>EBITDA!EU12</f>
        <v>4640</v>
      </c>
      <c r="S12" s="25">
        <f>EBITDA!EV12</f>
        <v>3202</v>
      </c>
      <c r="T12" s="25">
        <f>EBITDA!EW12</f>
        <v>7842</v>
      </c>
    </row>
    <row r="13" spans="1:20" ht="16.350000000000001" customHeight="1">
      <c r="A13" s="18"/>
      <c r="B13" s="23" t="s">
        <v>62</v>
      </c>
      <c r="C13" s="23" t="s">
        <v>59</v>
      </c>
      <c r="D13" s="25">
        <f>EBITDA!EG13</f>
        <v>0</v>
      </c>
      <c r="E13" s="25">
        <f>EBITDA!EH13</f>
        <v>1672</v>
      </c>
      <c r="F13" s="25">
        <f>EBITDA!EI13</f>
        <v>1672</v>
      </c>
      <c r="G13" s="25">
        <f>EBITDA!EJ13</f>
        <v>0</v>
      </c>
      <c r="H13" s="25">
        <f>EBITDA!EK13</f>
        <v>1672</v>
      </c>
      <c r="I13" s="25">
        <f>EBITDA!EL13</f>
        <v>15585</v>
      </c>
      <c r="J13" s="25">
        <f>EBITDA!EM13</f>
        <v>17257</v>
      </c>
      <c r="K13" s="25">
        <f>EBITDA!EN13</f>
        <v>0</v>
      </c>
      <c r="L13" s="25">
        <f>EBITDA!EO13</f>
        <v>0</v>
      </c>
      <c r="M13" s="25">
        <f>EBITDA!EP13</f>
        <v>0</v>
      </c>
      <c r="N13" s="25">
        <f>EBITDA!EQ13</f>
        <v>0</v>
      </c>
      <c r="O13" s="25">
        <f>EBITDA!ER13</f>
        <v>0</v>
      </c>
      <c r="P13" s="25">
        <f>EBITDA!ES13</f>
        <v>15218</v>
      </c>
      <c r="Q13" s="25">
        <f>EBITDA!ET13</f>
        <v>15218</v>
      </c>
      <c r="R13" s="25">
        <f>EBITDA!EU13</f>
        <v>0</v>
      </c>
      <c r="S13" s="25">
        <f>EBITDA!EV13</f>
        <v>0</v>
      </c>
      <c r="T13" s="25">
        <f>EBITDA!EW13</f>
        <v>0</v>
      </c>
    </row>
    <row r="14" spans="1:20" ht="16.350000000000001" customHeight="1">
      <c r="A14" s="18"/>
      <c r="B14" s="23" t="s">
        <v>206</v>
      </c>
      <c r="C14" s="23" t="s">
        <v>644</v>
      </c>
      <c r="D14" s="25">
        <f>EBITDA!EG14</f>
        <v>-78</v>
      </c>
      <c r="E14" s="25">
        <f>EBITDA!EH14</f>
        <v>8600</v>
      </c>
      <c r="F14" s="25">
        <f>EBITDA!EI14</f>
        <v>8522</v>
      </c>
      <c r="G14" s="25">
        <f>EBITDA!EJ14</f>
        <v>1311</v>
      </c>
      <c r="H14" s="25">
        <f>EBITDA!EK14</f>
        <v>9833</v>
      </c>
      <c r="I14" s="25">
        <f>EBITDA!EL14</f>
        <v>133504</v>
      </c>
      <c r="J14" s="25">
        <f>EBITDA!EM14</f>
        <v>143337</v>
      </c>
      <c r="K14" s="25">
        <f>EBITDA!EN14</f>
        <v>3563</v>
      </c>
      <c r="L14" s="25">
        <f>EBITDA!EO14</f>
        <v>1328</v>
      </c>
      <c r="M14" s="25">
        <f>EBITDA!EP14</f>
        <v>4891</v>
      </c>
      <c r="N14" s="25">
        <f>EBITDA!EQ14</f>
        <v>3034</v>
      </c>
      <c r="O14" s="25">
        <f>EBITDA!ER14</f>
        <v>7925</v>
      </c>
      <c r="P14" s="25">
        <f>EBITDA!ES14</f>
        <v>99073</v>
      </c>
      <c r="Q14" s="25">
        <f>EBITDA!ET14</f>
        <v>106998</v>
      </c>
      <c r="R14" s="25">
        <f>EBITDA!EU14</f>
        <v>221</v>
      </c>
      <c r="S14" s="25">
        <f>EBITDA!EV14</f>
        <v>-2220</v>
      </c>
      <c r="T14" s="25">
        <f>EBITDA!EW14</f>
        <v>-1999</v>
      </c>
    </row>
    <row r="15" spans="1:20" ht="16.350000000000001" customHeight="1">
      <c r="B15" s="26" t="s">
        <v>474</v>
      </c>
      <c r="C15" s="26" t="s">
        <v>473</v>
      </c>
      <c r="D15" s="27">
        <f t="shared" ref="D15:Q15" si="2">SUM(D11:D14)</f>
        <v>377905</v>
      </c>
      <c r="E15" s="27">
        <f t="shared" si="2"/>
        <v>670485</v>
      </c>
      <c r="F15" s="27">
        <f t="shared" si="2"/>
        <v>1048390</v>
      </c>
      <c r="G15" s="27">
        <f t="shared" si="2"/>
        <v>576756</v>
      </c>
      <c r="H15" s="27">
        <f t="shared" si="2"/>
        <v>1625146</v>
      </c>
      <c r="I15" s="27">
        <f t="shared" si="2"/>
        <v>1024519</v>
      </c>
      <c r="J15" s="27">
        <f t="shared" si="2"/>
        <v>2649665</v>
      </c>
      <c r="K15" s="27">
        <f t="shared" si="2"/>
        <v>585162</v>
      </c>
      <c r="L15" s="27">
        <f t="shared" si="2"/>
        <v>891852</v>
      </c>
      <c r="M15" s="27">
        <f t="shared" si="2"/>
        <v>1477014</v>
      </c>
      <c r="N15" s="27">
        <f t="shared" si="2"/>
        <v>593907</v>
      </c>
      <c r="O15" s="27">
        <f t="shared" si="2"/>
        <v>2070921</v>
      </c>
      <c r="P15" s="27">
        <f t="shared" si="2"/>
        <v>1116297</v>
      </c>
      <c r="Q15" s="27">
        <f t="shared" si="2"/>
        <v>3187218</v>
      </c>
      <c r="R15" s="27">
        <f t="shared" ref="R15:T15" si="3">SUM(R11:R14)</f>
        <v>610477</v>
      </c>
      <c r="S15" s="27">
        <f t="shared" si="3"/>
        <v>844648</v>
      </c>
      <c r="T15" s="27">
        <f t="shared" si="3"/>
        <v>1455125</v>
      </c>
    </row>
    <row r="16" spans="1:20" ht="16.350000000000001" customHeight="1">
      <c r="A16" s="18"/>
      <c r="B16" s="37" t="s">
        <v>399</v>
      </c>
      <c r="C16" s="37" t="s">
        <v>400</v>
      </c>
      <c r="D16" s="64">
        <f>D15/'Income Statement'!EG14</f>
        <v>0.15353902984443968</v>
      </c>
      <c r="E16" s="64">
        <f>E15/'Income Statement'!EH14</f>
        <v>0.21769537744937129</v>
      </c>
      <c r="F16" s="64">
        <f>F15/'Income Statement'!EI14</f>
        <v>0.18919844171472017</v>
      </c>
      <c r="G16" s="64">
        <f>G15/'Income Statement'!EJ14</f>
        <v>0.19511683545605613</v>
      </c>
      <c r="H16" s="64">
        <f>H15/'Income Statement'!EK14</f>
        <v>0.19125730198909732</v>
      </c>
      <c r="I16" s="64">
        <f>I15/'Income Statement'!EL14</f>
        <v>0.24540676284900351</v>
      </c>
      <c r="J16" s="64">
        <f>J15/'Income Statement'!EM14</f>
        <v>0.20909686354507395</v>
      </c>
      <c r="K16" s="64">
        <f>K15/'Income Statement'!EN14</f>
        <v>0.21225823769243046</v>
      </c>
      <c r="L16" s="64">
        <f>L15/'Income Statement'!EO14</f>
        <v>0.24436517393769133</v>
      </c>
      <c r="M16" s="64">
        <f>M15/'Income Statement'!EP14</f>
        <v>0.23054896200098993</v>
      </c>
      <c r="N16" s="64">
        <f>N15/'Income Statement'!EQ14</f>
        <v>0.19288024061193532</v>
      </c>
      <c r="O16" s="64">
        <f>O15/'Income Statement'!ER14</f>
        <v>0.21832128040036863</v>
      </c>
      <c r="P16" s="64">
        <f>P15/'Income Statement'!ES14</f>
        <v>0.25647130560167186</v>
      </c>
      <c r="Q16" s="64">
        <f>Q15/'Income Statement'!ET14</f>
        <v>0.23032060574439703</v>
      </c>
      <c r="R16" s="64">
        <f>R15/'Income Statement'!EU14</f>
        <v>0.21227123479056681</v>
      </c>
      <c r="S16" s="64">
        <f>S15/'Income Statement'!EV14</f>
        <v>0.22894917595449249</v>
      </c>
      <c r="T16" s="64">
        <f>T15/'Income Statement'!EW14</f>
        <v>0.22164325751347985</v>
      </c>
    </row>
    <row r="17" spans="1:20" ht="16.350000000000001" customHeight="1">
      <c r="A17" s="18"/>
      <c r="B17" s="23" t="s">
        <v>2552</v>
      </c>
      <c r="C17" s="23" t="s">
        <v>2551</v>
      </c>
      <c r="D17" s="25">
        <v>-162502</v>
      </c>
      <c r="E17" s="25">
        <v>-159907</v>
      </c>
      <c r="F17" s="25">
        <f>SUM(D17:E17)</f>
        <v>-322409</v>
      </c>
      <c r="G17" s="25">
        <v>-159915</v>
      </c>
      <c r="H17" s="25">
        <f>SUM(F17:G17)</f>
        <v>-482324</v>
      </c>
      <c r="I17" s="25">
        <v>-173676</v>
      </c>
      <c r="J17" s="25">
        <f>SUM(H17:I17)</f>
        <v>-656000</v>
      </c>
      <c r="K17" s="25">
        <v>-166192</v>
      </c>
      <c r="L17" s="25">
        <v>-166637</v>
      </c>
      <c r="M17" s="25">
        <f>SUM(K17:L17)</f>
        <v>-332829</v>
      </c>
      <c r="N17" s="25">
        <v>-169478</v>
      </c>
      <c r="O17" s="25">
        <f>SUM(M17:N17)</f>
        <v>-502307</v>
      </c>
      <c r="P17" s="25">
        <v>-185432</v>
      </c>
      <c r="Q17" s="25">
        <f>SUM(O17:P17)</f>
        <v>-687739</v>
      </c>
      <c r="R17" s="25">
        <v>-173622.70632</v>
      </c>
      <c r="S17" s="25">
        <v>-173923</v>
      </c>
      <c r="T17" s="25">
        <f>SUM(R17:S17)</f>
        <v>-347545.70632</v>
      </c>
    </row>
    <row r="18" spans="1:20" ht="16.350000000000001" customHeight="1">
      <c r="B18" s="26" t="s">
        <v>474</v>
      </c>
      <c r="C18" s="26" t="s">
        <v>473</v>
      </c>
      <c r="D18" s="27">
        <f>D15+D17</f>
        <v>215403</v>
      </c>
      <c r="E18" s="27">
        <f>E15+E17</f>
        <v>510578</v>
      </c>
      <c r="F18" s="27">
        <f>F15+F17</f>
        <v>725981</v>
      </c>
      <c r="G18" s="27">
        <f>G15+G17</f>
        <v>416841</v>
      </c>
      <c r="H18" s="27">
        <f t="shared" ref="H18:Q18" si="4">H15+H17</f>
        <v>1142822</v>
      </c>
      <c r="I18" s="27">
        <f t="shared" si="4"/>
        <v>850843</v>
      </c>
      <c r="J18" s="27">
        <f t="shared" si="4"/>
        <v>1993665</v>
      </c>
      <c r="K18" s="27">
        <f t="shared" si="4"/>
        <v>418970</v>
      </c>
      <c r="L18" s="27">
        <f t="shared" si="4"/>
        <v>725215</v>
      </c>
      <c r="M18" s="27">
        <f t="shared" si="4"/>
        <v>1144185</v>
      </c>
      <c r="N18" s="27">
        <f t="shared" si="4"/>
        <v>424429</v>
      </c>
      <c r="O18" s="27">
        <f t="shared" si="4"/>
        <v>1568614</v>
      </c>
      <c r="P18" s="27">
        <f t="shared" si="4"/>
        <v>930865</v>
      </c>
      <c r="Q18" s="27">
        <f t="shared" si="4"/>
        <v>2499479</v>
      </c>
      <c r="R18" s="27">
        <f t="shared" ref="R18:T18" si="5">R15+R17</f>
        <v>436854.29368</v>
      </c>
      <c r="S18" s="27">
        <f t="shared" si="5"/>
        <v>670725</v>
      </c>
      <c r="T18" s="27">
        <f t="shared" si="5"/>
        <v>1107579.2936800001</v>
      </c>
    </row>
    <row r="19" spans="1:20" ht="16.350000000000001" customHeight="1">
      <c r="A19" s="18"/>
      <c r="B19" s="28" t="s">
        <v>399</v>
      </c>
      <c r="C19" s="28" t="s">
        <v>400</v>
      </c>
      <c r="D19" s="30">
        <f>D18/'Income Statement'!EG14</f>
        <v>8.7516089084774845E-2</v>
      </c>
      <c r="E19" s="30">
        <f>E18/'Income Statement'!EH14</f>
        <v>0.16577622232763611</v>
      </c>
      <c r="F19" s="30">
        <f>F18/'Income Statement'!EI14</f>
        <v>0.13101467384703619</v>
      </c>
      <c r="G19" s="30">
        <f>G18/'Income Statement'!EJ14</f>
        <v>0.14101751313959091</v>
      </c>
      <c r="H19" s="30">
        <f>H18/'Income Statement'!EK14</f>
        <v>0.13449440996303358</v>
      </c>
      <c r="I19" s="30">
        <f>I18/'Income Statement'!EL14</f>
        <v>0.20380551880710332</v>
      </c>
      <c r="J19" s="30">
        <f>J18/'Income Statement'!EM14</f>
        <v>0.15732898251650299</v>
      </c>
      <c r="K19" s="30">
        <f>K18/'Income Statement'!EN14</f>
        <v>0.15197472468478404</v>
      </c>
      <c r="L19" s="30">
        <f>L18/'Income Statement'!EO14</f>
        <v>0.19870706083209189</v>
      </c>
      <c r="M19" s="30">
        <f>M18/'Income Statement'!EP14</f>
        <v>0.17859726724804414</v>
      </c>
      <c r="N19" s="30">
        <f>N18/'Income Statement'!EQ14</f>
        <v>0.13783970830901654</v>
      </c>
      <c r="O19" s="30">
        <f>O18/'Income Statement'!ER14</f>
        <v>0.16536691497838105</v>
      </c>
      <c r="P19" s="30">
        <f>P18/'Income Statement'!ES14</f>
        <v>0.21386795977136933</v>
      </c>
      <c r="Q19" s="30">
        <f>Q18/'Income Statement'!ET14</f>
        <v>0.18062194594953962</v>
      </c>
      <c r="R19" s="30">
        <f>R18/'Income Statement'!EU14</f>
        <v>0.15190023595158295</v>
      </c>
      <c r="S19" s="30">
        <f>S18/'Income Statement'!EV14</f>
        <v>0.18180583632717651</v>
      </c>
      <c r="T19" s="30">
        <f>T18/'Income Statement'!EW14</f>
        <v>0.168705425723367</v>
      </c>
    </row>
    <row r="21" spans="1:20" ht="16.350000000000001" customHeight="1">
      <c r="B21" s="35" t="s">
        <v>475</v>
      </c>
      <c r="C21" s="35" t="s">
        <v>476</v>
      </c>
      <c r="D21" s="36">
        <f t="shared" ref="D21:Q21" si="6">D18-D23</f>
        <v>202001</v>
      </c>
      <c r="E21" s="36">
        <f t="shared" si="6"/>
        <v>475817</v>
      </c>
      <c r="F21" s="36">
        <f t="shared" si="6"/>
        <v>677818</v>
      </c>
      <c r="G21" s="36">
        <f t="shared" si="6"/>
        <v>358530.70476000011</v>
      </c>
      <c r="H21" s="36">
        <f t="shared" si="6"/>
        <v>1036348.7047600001</v>
      </c>
      <c r="I21" s="36">
        <f t="shared" si="6"/>
        <v>789461</v>
      </c>
      <c r="J21" s="36">
        <f t="shared" si="6"/>
        <v>1825809.7047600001</v>
      </c>
      <c r="K21" s="36">
        <f t="shared" si="6"/>
        <v>228505.86928000007</v>
      </c>
      <c r="L21" s="36">
        <f t="shared" si="6"/>
        <v>606762.38815000001</v>
      </c>
      <c r="M21" s="36">
        <f t="shared" si="6"/>
        <v>835268.25743000011</v>
      </c>
      <c r="N21" s="36">
        <f t="shared" si="6"/>
        <v>344617.12233000004</v>
      </c>
      <c r="O21" s="36">
        <f t="shared" si="6"/>
        <v>1179885.3797600002</v>
      </c>
      <c r="P21" s="36">
        <f t="shared" si="6"/>
        <v>867221</v>
      </c>
      <c r="Q21" s="36">
        <f t="shared" si="6"/>
        <v>2047106.3797600002</v>
      </c>
      <c r="R21" s="36">
        <f>R18-R23</f>
        <v>313909.29368</v>
      </c>
      <c r="S21" s="36">
        <f t="shared" ref="S21:T21" si="7">S18-S23</f>
        <v>617245</v>
      </c>
      <c r="T21" s="36">
        <f t="shared" si="7"/>
        <v>931154.29368000012</v>
      </c>
    </row>
    <row r="22" spans="1:20" ht="16.350000000000001" customHeight="1">
      <c r="B22" s="37" t="s">
        <v>399</v>
      </c>
      <c r="C22" s="37" t="s">
        <v>400</v>
      </c>
      <c r="D22" s="38">
        <f>D21/'Income Statement'!EG14</f>
        <v>8.2070990242538888E-2</v>
      </c>
      <c r="E22" s="38">
        <f>E21/'Income Statement'!EH14</f>
        <v>0.15448990120856917</v>
      </c>
      <c r="F22" s="38">
        <f>F21/'Income Statement'!EI14</f>
        <v>0.12232290403970679</v>
      </c>
      <c r="G22" s="38">
        <f>G21/'Income Statement'!EJ14</f>
        <v>0.12129111188544338</v>
      </c>
      <c r="H22" s="38">
        <f>H21/'Income Statement'!EK14</f>
        <v>0.12196396950938143</v>
      </c>
      <c r="I22" s="38">
        <f>I21/'Income Statement'!EL14</f>
        <v>0.18910246506461778</v>
      </c>
      <c r="J22" s="38">
        <f>J21/'Income Statement'!EM14</f>
        <v>0.14408277374516157</v>
      </c>
      <c r="K22" s="38">
        <f>K21/'Income Statement'!EN14</f>
        <v>8.2886881095747336E-2</v>
      </c>
      <c r="L22" s="38">
        <f>L21/'Income Statement'!EO14</f>
        <v>0.16625134721806278</v>
      </c>
      <c r="M22" s="38">
        <f>M21/'Income Statement'!EP14</f>
        <v>0.13037806665533447</v>
      </c>
      <c r="N22" s="38">
        <f>N21/'Income Statement'!EQ14</f>
        <v>0.11191959932111113</v>
      </c>
      <c r="O22" s="38">
        <f>O21/'Income Statement'!ER14</f>
        <v>0.1243862449774175</v>
      </c>
      <c r="P22" s="38">
        <f>P21/'Income Statement'!ES14</f>
        <v>0.1992456327618792</v>
      </c>
      <c r="Q22" s="38">
        <f>Q21/'Income Statement'!ET14</f>
        <v>0.14793176413083226</v>
      </c>
      <c r="R22" s="38">
        <f>R21/'Income Statement'!EU14</f>
        <v>0.10915057140840403</v>
      </c>
      <c r="S22" s="38">
        <f>S21/'Income Statement'!EV14</f>
        <v>0.16730961786688742</v>
      </c>
      <c r="T22" s="38">
        <f>T21/'Income Statement'!EW14</f>
        <v>0.14183253734139589</v>
      </c>
    </row>
    <row r="23" spans="1:20" ht="16.350000000000001" customHeight="1">
      <c r="B23" s="26" t="s">
        <v>477</v>
      </c>
      <c r="C23" s="26" t="s">
        <v>478</v>
      </c>
      <c r="D23" s="27">
        <f>EBITDA!EG20</f>
        <v>13402</v>
      </c>
      <c r="E23" s="27">
        <f>EBITDA!EH20</f>
        <v>34761</v>
      </c>
      <c r="F23" s="27">
        <f>EBITDA!EI20</f>
        <v>48163</v>
      </c>
      <c r="G23" s="27">
        <f>EBITDA!EJ20</f>
        <v>58310.295239999919</v>
      </c>
      <c r="H23" s="27">
        <f>EBITDA!EK20</f>
        <v>106473.29523999992</v>
      </c>
      <c r="I23" s="27">
        <f>EBITDA!EL20</f>
        <v>61382</v>
      </c>
      <c r="J23" s="27">
        <f>EBITDA!EM20</f>
        <v>167855.29523999992</v>
      </c>
      <c r="K23" s="27">
        <f>EBITDA!EN20</f>
        <v>190464.13071999993</v>
      </c>
      <c r="L23" s="27">
        <f>EBITDA!EO20</f>
        <v>118452.61184999999</v>
      </c>
      <c r="M23" s="27">
        <f>EBITDA!EP20</f>
        <v>308916.74256999989</v>
      </c>
      <c r="N23" s="27">
        <f>EBITDA!EQ20</f>
        <v>79811.877669999958</v>
      </c>
      <c r="O23" s="27">
        <f>EBITDA!ER20</f>
        <v>388728.62023999984</v>
      </c>
      <c r="P23" s="27">
        <f>EBITDA!ES20</f>
        <v>63644</v>
      </c>
      <c r="Q23" s="27">
        <f>EBITDA!ET20</f>
        <v>452372.62023999984</v>
      </c>
      <c r="R23" s="27">
        <f>EBITDA!EU20</f>
        <v>122945</v>
      </c>
      <c r="S23" s="27">
        <f>EBITDA!EV20</f>
        <v>53480</v>
      </c>
      <c r="T23" s="27">
        <f>EBITDA!EW20</f>
        <v>176425</v>
      </c>
    </row>
    <row r="24" spans="1:20" ht="16.350000000000001" customHeight="1">
      <c r="B24" s="40" t="s">
        <v>401</v>
      </c>
      <c r="C24" s="40" t="s">
        <v>479</v>
      </c>
      <c r="D24" s="29">
        <f t="shared" ref="D24:Q24" si="8">D23/D18</f>
        <v>6.2218260655608322E-2</v>
      </c>
      <c r="E24" s="29">
        <f t="shared" si="8"/>
        <v>6.8081664309860596E-2</v>
      </c>
      <c r="F24" s="29">
        <f t="shared" si="8"/>
        <v>6.6341956607679817E-2</v>
      </c>
      <c r="G24" s="29">
        <f t="shared" si="8"/>
        <v>0.13988618019820487</v>
      </c>
      <c r="H24" s="29">
        <f t="shared" si="8"/>
        <v>9.3166998220195196E-2</v>
      </c>
      <c r="I24" s="29">
        <f t="shared" si="8"/>
        <v>7.2142569193141395E-2</v>
      </c>
      <c r="J24" s="29">
        <f t="shared" si="8"/>
        <v>8.4194333170316937E-2</v>
      </c>
      <c r="K24" s="29">
        <f t="shared" si="8"/>
        <v>0.45460088006301153</v>
      </c>
      <c r="L24" s="29">
        <f t="shared" si="8"/>
        <v>0.16333447577614912</v>
      </c>
      <c r="M24" s="29">
        <f t="shared" si="8"/>
        <v>0.26998845691037715</v>
      </c>
      <c r="N24" s="29">
        <f t="shared" si="8"/>
        <v>0.18804529772941989</v>
      </c>
      <c r="O24" s="29">
        <f t="shared" si="8"/>
        <v>0.24781662043052008</v>
      </c>
      <c r="P24" s="29">
        <f t="shared" si="8"/>
        <v>6.8370816391206027E-2</v>
      </c>
      <c r="Q24" s="29">
        <f t="shared" si="8"/>
        <v>0.18098676573797973</v>
      </c>
      <c r="R24" s="29">
        <f>R23/R18</f>
        <v>0.28143250914241535</v>
      </c>
      <c r="S24" s="29">
        <f t="shared" ref="S24:T24" si="9">S23/S18</f>
        <v>7.9734615527973465E-2</v>
      </c>
      <c r="T24" s="29">
        <f t="shared" si="9"/>
        <v>0.15928882113154816</v>
      </c>
    </row>
  </sheetData>
  <dataConsolidate/>
  <printOptions horizontalCentered="1"/>
  <pageMargins left="0.25" right="0.25" top="0.75" bottom="0.75" header="0.3" footer="0.3"/>
  <pageSetup paperSize="9" scale="49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>
    <pageSetUpPr fitToPage="1"/>
  </sheetPr>
  <dimension ref="A1:EY77"/>
  <sheetViews>
    <sheetView showGridLines="0" zoomScaleNormal="100" workbookViewId="0">
      <pane xSplit="3" ySplit="6" topLeftCell="AZ7" activePane="bottomRight" state="frozen"/>
      <selection pane="topRight"/>
      <selection pane="bottomLeft"/>
      <selection pane="bottomRight" activeCell="EW6" sqref="EW6"/>
    </sheetView>
  </sheetViews>
  <sheetFormatPr defaultColWidth="9.42578125" defaultRowHeight="16.350000000000001" customHeight="1" outlineLevelRow="1" outlineLevelCol="1"/>
  <cols>
    <col min="1" max="1" width="3.5703125" customWidth="1"/>
    <col min="2" max="2" width="51.5703125" customWidth="1"/>
    <col min="3" max="3" width="53.5703125" bestFit="1" customWidth="1"/>
    <col min="4" max="9" width="7.42578125" hidden="1" customWidth="1" outlineLevel="1"/>
    <col min="10" max="10" width="7.42578125" bestFit="1" customWidth="1" collapsed="1"/>
    <col min="11" max="16" width="6" hidden="1" customWidth="1" outlineLevel="1"/>
    <col min="17" max="17" width="7.42578125" bestFit="1" customWidth="1" collapsed="1"/>
    <col min="18" max="21" width="6" hidden="1" customWidth="1" outlineLevel="1"/>
    <col min="22" max="22" width="7.42578125" hidden="1" customWidth="1" outlineLevel="1"/>
    <col min="23" max="23" width="6" hidden="1" customWidth="1" outlineLevel="1"/>
    <col min="24" max="24" width="7.42578125" bestFit="1" customWidth="1" collapsed="1"/>
    <col min="25" max="28" width="6" hidden="1" customWidth="1" outlineLevel="1"/>
    <col min="29" max="29" width="7.42578125" hidden="1" customWidth="1" outlineLevel="1"/>
    <col min="30" max="30" width="6" hidden="1" customWidth="1" outlineLevel="1"/>
    <col min="31" max="31" width="7.42578125" bestFit="1" customWidth="1" collapsed="1"/>
    <col min="32" max="35" width="6" hidden="1" customWidth="1" outlineLevel="1"/>
    <col min="36" max="36" width="7.42578125" hidden="1" customWidth="1" outlineLevel="1"/>
    <col min="37" max="37" width="6" hidden="1" customWidth="1" outlineLevel="1"/>
    <col min="38" max="38" width="7.42578125" bestFit="1" customWidth="1" collapsed="1"/>
    <col min="39" max="39" width="6" hidden="1" customWidth="1" outlineLevel="1"/>
    <col min="40" max="40" width="6.7109375" hidden="1" customWidth="1" outlineLevel="1"/>
    <col min="41" max="41" width="7.42578125" hidden="1" customWidth="1" outlineLevel="1"/>
    <col min="42" max="42" width="6" hidden="1" customWidth="1" outlineLevel="1"/>
    <col min="43" max="43" width="7.42578125" hidden="1" customWidth="1" outlineLevel="1"/>
    <col min="44" max="44" width="6.7109375" hidden="1" customWidth="1" outlineLevel="1"/>
    <col min="45" max="45" width="7.42578125" bestFit="1" customWidth="1" collapsed="1"/>
    <col min="46" max="46" width="6" hidden="1" customWidth="1" outlineLevel="1"/>
    <col min="47" max="47" width="6.7109375" hidden="1" customWidth="1" outlineLevel="1"/>
    <col min="48" max="48" width="7.42578125" hidden="1" customWidth="1" outlineLevel="1"/>
    <col min="49" max="49" width="6.7109375" hidden="1" customWidth="1" outlineLevel="1"/>
    <col min="50" max="50" width="7.42578125" hidden="1" customWidth="1" outlineLevel="1"/>
    <col min="51" max="51" width="6.7109375" hidden="1" customWidth="1" outlineLevel="1"/>
    <col min="52" max="52" width="7.42578125" bestFit="1" customWidth="1" collapsed="1"/>
    <col min="53" max="53" width="6" hidden="1" customWidth="1" outlineLevel="1"/>
    <col min="54" max="54" width="6.7109375" hidden="1" customWidth="1" outlineLevel="1"/>
    <col min="55" max="55" width="7.42578125" hidden="1" customWidth="1" outlineLevel="1"/>
    <col min="56" max="56" width="6.7109375" hidden="1" customWidth="1" outlineLevel="1"/>
    <col min="57" max="58" width="7.42578125" hidden="1" customWidth="1" outlineLevel="1"/>
    <col min="59" max="59" width="7.42578125" bestFit="1" customWidth="1" collapsed="1"/>
    <col min="60" max="61" width="6.7109375" hidden="1" customWidth="1" outlineLevel="1"/>
    <col min="62" max="62" width="7.42578125" hidden="1" customWidth="1" outlineLevel="1"/>
    <col min="63" max="63" width="6.7109375" hidden="1" customWidth="1" outlineLevel="1"/>
    <col min="64" max="65" width="7.42578125" hidden="1" customWidth="1" outlineLevel="1"/>
    <col min="66" max="66" width="7.42578125" bestFit="1" customWidth="1" collapsed="1"/>
    <col min="67" max="67" width="6.7109375" hidden="1" customWidth="1" outlineLevel="1"/>
    <col min="68" max="71" width="7.42578125" hidden="1" customWidth="1" outlineLevel="1"/>
    <col min="72" max="72" width="7.42578125" hidden="1" customWidth="1" outlineLevel="1" collapsed="1"/>
    <col min="73" max="73" width="7.42578125" bestFit="1" customWidth="1" collapsed="1"/>
    <col min="74" max="79" width="7.42578125" hidden="1" customWidth="1" outlineLevel="1"/>
    <col min="80" max="80" width="7.42578125" bestFit="1" customWidth="1" collapsed="1"/>
    <col min="81" max="86" width="7.42578125" hidden="1" customWidth="1" outlineLevel="1"/>
    <col min="87" max="87" width="7.42578125" bestFit="1" customWidth="1" collapsed="1"/>
    <col min="88" max="93" width="7.42578125" hidden="1" customWidth="1" outlineLevel="1"/>
    <col min="94" max="94" width="7.42578125" bestFit="1" customWidth="1" collapsed="1"/>
    <col min="95" max="100" width="7.42578125" hidden="1" customWidth="1" outlineLevel="1"/>
    <col min="101" max="101" width="7.42578125" bestFit="1" customWidth="1" collapsed="1"/>
    <col min="102" max="107" width="7.42578125" hidden="1" customWidth="1" outlineLevel="1"/>
    <col min="108" max="108" width="7.42578125" bestFit="1" customWidth="1" collapsed="1"/>
    <col min="109" max="109" width="7.42578125" hidden="1" customWidth="1" outlineLevel="1"/>
    <col min="110" max="110" width="6.7109375" hidden="1" customWidth="1" outlineLevel="1"/>
    <col min="111" max="114" width="7.42578125" hidden="1" customWidth="1" outlineLevel="1"/>
    <col min="115" max="115" width="7.42578125" bestFit="1" customWidth="1" collapsed="1"/>
    <col min="116" max="121" width="7.42578125" hidden="1" customWidth="1" outlineLevel="1"/>
    <col min="122" max="122" width="7.42578125" bestFit="1" customWidth="1" collapsed="1"/>
    <col min="123" max="128" width="7.42578125" hidden="1" customWidth="1" outlineLevel="1"/>
    <col min="129" max="129" width="8.28515625" bestFit="1" customWidth="1" collapsed="1"/>
    <col min="130" max="135" width="7.42578125" hidden="1" customWidth="1" outlineLevel="1"/>
    <col min="136" max="136" width="8.28515625" bestFit="1" customWidth="1" collapsed="1"/>
    <col min="137" max="142" width="7.42578125" hidden="1" customWidth="1" outlineLevel="1"/>
    <col min="143" max="143" width="8.28515625" bestFit="1" customWidth="1" collapsed="1"/>
    <col min="144" max="149" width="7.42578125" hidden="1" customWidth="1" outlineLevel="1"/>
    <col min="150" max="150" width="8.28515625" bestFit="1" customWidth="1" collapsed="1"/>
    <col min="151" max="153" width="7.42578125" bestFit="1" customWidth="1"/>
  </cols>
  <sheetData>
    <row r="1" spans="1:154" ht="16.350000000000001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G1" s="7"/>
    </row>
    <row r="2" spans="1:154" ht="16.35000000000000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G2" s="7"/>
    </row>
    <row r="3" spans="1:154" ht="16.35000000000000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G3" s="7"/>
    </row>
    <row r="4" spans="1:154" ht="16.350000000000001" customHeight="1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83"/>
      <c r="DM4" s="83"/>
      <c r="DN4" s="83"/>
      <c r="DO4" s="311"/>
      <c r="DP4" s="83"/>
      <c r="DQ4" s="83"/>
      <c r="DR4" s="7"/>
      <c r="DS4" s="288"/>
      <c r="DT4" s="288"/>
      <c r="DU4" s="288"/>
      <c r="DV4" s="288"/>
      <c r="DW4" s="288"/>
      <c r="DX4" s="288"/>
      <c r="DY4" s="288"/>
      <c r="DZ4" s="288"/>
      <c r="EG4" s="288"/>
    </row>
    <row r="5" spans="1:154" ht="16.350000000000001" customHeight="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  <c r="CM5" s="7"/>
      <c r="CN5" s="7"/>
      <c r="CO5" s="7"/>
      <c r="CP5" s="7"/>
      <c r="CQ5" s="7"/>
      <c r="CR5" s="7"/>
      <c r="CS5" s="7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G5" s="7"/>
    </row>
    <row r="6" spans="1:154" ht="16.350000000000001" customHeight="1">
      <c r="A6" s="174"/>
      <c r="B6" s="437" t="s">
        <v>433</v>
      </c>
      <c r="C6" s="437" t="s">
        <v>434</v>
      </c>
      <c r="D6" s="447" t="s">
        <v>228</v>
      </c>
      <c r="E6" s="447" t="s">
        <v>229</v>
      </c>
      <c r="F6" s="447" t="s">
        <v>321</v>
      </c>
      <c r="G6" s="447" t="s">
        <v>230</v>
      </c>
      <c r="H6" s="447" t="s">
        <v>31</v>
      </c>
      <c r="I6" s="447" t="s">
        <v>231</v>
      </c>
      <c r="J6" s="447">
        <v>2005</v>
      </c>
      <c r="K6" s="447" t="s">
        <v>232</v>
      </c>
      <c r="L6" s="447" t="s">
        <v>233</v>
      </c>
      <c r="M6" s="447" t="s">
        <v>322</v>
      </c>
      <c r="N6" s="447" t="s">
        <v>234</v>
      </c>
      <c r="O6" s="447" t="s">
        <v>32</v>
      </c>
      <c r="P6" s="447" t="s">
        <v>235</v>
      </c>
      <c r="Q6" s="447">
        <v>2006</v>
      </c>
      <c r="R6" s="447" t="s">
        <v>236</v>
      </c>
      <c r="S6" s="447" t="s">
        <v>237</v>
      </c>
      <c r="T6" s="447" t="s">
        <v>323</v>
      </c>
      <c r="U6" s="447" t="s">
        <v>238</v>
      </c>
      <c r="V6" s="447" t="s">
        <v>33</v>
      </c>
      <c r="W6" s="447" t="s">
        <v>239</v>
      </c>
      <c r="X6" s="447">
        <v>2007</v>
      </c>
      <c r="Y6" s="447" t="s">
        <v>240</v>
      </c>
      <c r="Z6" s="447" t="s">
        <v>241</v>
      </c>
      <c r="AA6" s="447" t="s">
        <v>324</v>
      </c>
      <c r="AB6" s="447" t="s">
        <v>242</v>
      </c>
      <c r="AC6" s="447" t="s">
        <v>34</v>
      </c>
      <c r="AD6" s="447" t="s">
        <v>243</v>
      </c>
      <c r="AE6" s="447">
        <v>2008</v>
      </c>
      <c r="AF6" s="447" t="s">
        <v>244</v>
      </c>
      <c r="AG6" s="447" t="s">
        <v>245</v>
      </c>
      <c r="AH6" s="447" t="s">
        <v>325</v>
      </c>
      <c r="AI6" s="447" t="s">
        <v>246</v>
      </c>
      <c r="AJ6" s="447" t="s">
        <v>35</v>
      </c>
      <c r="AK6" s="447" t="s">
        <v>247</v>
      </c>
      <c r="AL6" s="447">
        <v>2009</v>
      </c>
      <c r="AM6" s="447" t="s">
        <v>248</v>
      </c>
      <c r="AN6" s="447" t="s">
        <v>249</v>
      </c>
      <c r="AO6" s="447" t="s">
        <v>326</v>
      </c>
      <c r="AP6" s="447" t="s">
        <v>250</v>
      </c>
      <c r="AQ6" s="447" t="s">
        <v>36</v>
      </c>
      <c r="AR6" s="447" t="s">
        <v>251</v>
      </c>
      <c r="AS6" s="447">
        <v>2010</v>
      </c>
      <c r="AT6" s="447" t="s">
        <v>252</v>
      </c>
      <c r="AU6" s="447" t="s">
        <v>253</v>
      </c>
      <c r="AV6" s="447" t="s">
        <v>327</v>
      </c>
      <c r="AW6" s="447" t="s">
        <v>254</v>
      </c>
      <c r="AX6" s="447" t="s">
        <v>82</v>
      </c>
      <c r="AY6" s="447" t="s">
        <v>83</v>
      </c>
      <c r="AZ6" s="447">
        <v>2011</v>
      </c>
      <c r="BA6" s="447" t="s">
        <v>255</v>
      </c>
      <c r="BB6" s="447" t="s">
        <v>256</v>
      </c>
      <c r="BC6" s="447" t="s">
        <v>328</v>
      </c>
      <c r="BD6" s="447" t="s">
        <v>257</v>
      </c>
      <c r="BE6" s="447" t="s">
        <v>87</v>
      </c>
      <c r="BF6" s="447" t="s">
        <v>258</v>
      </c>
      <c r="BG6" s="447">
        <v>2012</v>
      </c>
      <c r="BH6" s="447" t="s">
        <v>259</v>
      </c>
      <c r="BI6" s="447" t="s">
        <v>260</v>
      </c>
      <c r="BJ6" s="447" t="s">
        <v>329</v>
      </c>
      <c r="BK6" s="447" t="s">
        <v>261</v>
      </c>
      <c r="BL6" s="447" t="s">
        <v>89</v>
      </c>
      <c r="BM6" s="447" t="s">
        <v>262</v>
      </c>
      <c r="BN6" s="447">
        <v>2013</v>
      </c>
      <c r="BO6" s="447" t="s">
        <v>263</v>
      </c>
      <c r="BP6" s="447" t="s">
        <v>264</v>
      </c>
      <c r="BQ6" s="447" t="s">
        <v>330</v>
      </c>
      <c r="BR6" s="447" t="s">
        <v>265</v>
      </c>
      <c r="BS6" s="447" t="s">
        <v>93</v>
      </c>
      <c r="BT6" s="447" t="s">
        <v>266</v>
      </c>
      <c r="BU6" s="447">
        <v>2014</v>
      </c>
      <c r="BV6" s="447" t="s">
        <v>267</v>
      </c>
      <c r="BW6" s="447" t="s">
        <v>268</v>
      </c>
      <c r="BX6" s="447" t="s">
        <v>331</v>
      </c>
      <c r="BY6" s="447" t="s">
        <v>269</v>
      </c>
      <c r="BZ6" s="447" t="s">
        <v>103</v>
      </c>
      <c r="CA6" s="447" t="s">
        <v>270</v>
      </c>
      <c r="CB6" s="447">
        <v>2015</v>
      </c>
      <c r="CC6" s="447" t="s">
        <v>271</v>
      </c>
      <c r="CD6" s="447" t="s">
        <v>272</v>
      </c>
      <c r="CE6" s="447" t="s">
        <v>332</v>
      </c>
      <c r="CF6" s="447" t="s">
        <v>273</v>
      </c>
      <c r="CG6" s="447" t="s">
        <v>189</v>
      </c>
      <c r="CH6" s="447" t="s">
        <v>274</v>
      </c>
      <c r="CI6" s="447">
        <v>2016</v>
      </c>
      <c r="CJ6" s="447" t="s">
        <v>275</v>
      </c>
      <c r="CK6" s="447" t="s">
        <v>276</v>
      </c>
      <c r="CL6" s="447" t="s">
        <v>333</v>
      </c>
      <c r="CM6" s="447" t="s">
        <v>227</v>
      </c>
      <c r="CN6" s="447" t="s">
        <v>203</v>
      </c>
      <c r="CO6" s="447" t="s">
        <v>277</v>
      </c>
      <c r="CP6" s="447">
        <v>2017</v>
      </c>
      <c r="CQ6" s="447" t="s">
        <v>278</v>
      </c>
      <c r="CR6" s="447" t="s">
        <v>279</v>
      </c>
      <c r="CS6" s="447" t="s">
        <v>334</v>
      </c>
      <c r="CT6" s="447" t="s">
        <v>207</v>
      </c>
      <c r="CU6" s="447" t="s">
        <v>213</v>
      </c>
      <c r="CV6" s="447" t="s">
        <v>212</v>
      </c>
      <c r="CW6" s="447">
        <v>2018</v>
      </c>
      <c r="CX6" s="447" t="s">
        <v>215</v>
      </c>
      <c r="CY6" s="447" t="s">
        <v>217</v>
      </c>
      <c r="CZ6" s="447" t="s">
        <v>335</v>
      </c>
      <c r="DA6" s="447" t="s">
        <v>220</v>
      </c>
      <c r="DB6" s="447" t="s">
        <v>219</v>
      </c>
      <c r="DC6" s="447" t="s">
        <v>221</v>
      </c>
      <c r="DD6" s="447">
        <v>2019</v>
      </c>
      <c r="DE6" s="447" t="s">
        <v>223</v>
      </c>
      <c r="DF6" s="447" t="s">
        <v>225</v>
      </c>
      <c r="DG6" s="447" t="s">
        <v>336</v>
      </c>
      <c r="DH6" s="447" t="s">
        <v>224</v>
      </c>
      <c r="DI6" s="447" t="s">
        <v>226</v>
      </c>
      <c r="DJ6" s="447" t="s">
        <v>280</v>
      </c>
      <c r="DK6" s="447">
        <v>2020</v>
      </c>
      <c r="DL6" s="447" t="s">
        <v>282</v>
      </c>
      <c r="DM6" s="447" t="s">
        <v>320</v>
      </c>
      <c r="DN6" s="447" t="s">
        <v>337</v>
      </c>
      <c r="DO6" s="447" t="s">
        <v>341</v>
      </c>
      <c r="DP6" s="447" t="s">
        <v>342</v>
      </c>
      <c r="DQ6" s="447" t="s">
        <v>345</v>
      </c>
      <c r="DR6" s="447">
        <v>2021</v>
      </c>
      <c r="DS6" s="447" t="str">
        <f>'Income Statement'!DS6</f>
        <v>1Q22</v>
      </c>
      <c r="DT6" s="447" t="str">
        <f>'Income Statement'!DT6</f>
        <v>2Q22</v>
      </c>
      <c r="DU6" s="447" t="str">
        <f>'Income Statement'!DU6</f>
        <v>1H22</v>
      </c>
      <c r="DV6" s="447" t="str">
        <f>'Income Statement'!DV6</f>
        <v>3Q22</v>
      </c>
      <c r="DW6" s="447" t="str">
        <f>'Income Statement'!DW6</f>
        <v>9M22</v>
      </c>
      <c r="DX6" s="447" t="str">
        <f>'Income Statement'!DX6</f>
        <v>4Q22</v>
      </c>
      <c r="DY6" s="447">
        <f>'Income Statement'!DY6</f>
        <v>2022</v>
      </c>
      <c r="DZ6" s="447" t="s">
        <v>535</v>
      </c>
      <c r="EA6" s="447" t="s">
        <v>614</v>
      </c>
      <c r="EB6" s="447" t="str">
        <f>'Income Statement'!EB6</f>
        <v>1H23</v>
      </c>
      <c r="EC6" s="447" t="s">
        <v>616</v>
      </c>
      <c r="ED6" s="447" t="s">
        <v>617</v>
      </c>
      <c r="EE6" s="447" t="s">
        <v>642</v>
      </c>
      <c r="EF6" s="447">
        <v>2023</v>
      </c>
      <c r="EG6" s="447" t="str">
        <f>'Income Statement'!EG6</f>
        <v>1Q24</v>
      </c>
      <c r="EH6" s="447" t="str">
        <f>'Income Statement'!EH6</f>
        <v>2Q24</v>
      </c>
      <c r="EI6" s="447" t="str">
        <f>'Income Statement'!EI6</f>
        <v>1H24</v>
      </c>
      <c r="EJ6" s="447" t="str">
        <f>'Income Statement'!EJ6</f>
        <v>3Q24</v>
      </c>
      <c r="EK6" s="447" t="str">
        <f>'Income Statement'!EK6</f>
        <v>9M24</v>
      </c>
      <c r="EL6" s="447" t="str">
        <f>'Income Statement'!EL6</f>
        <v>4Q24</v>
      </c>
      <c r="EM6" s="447">
        <f>'Income Statement'!EM6</f>
        <v>2024</v>
      </c>
      <c r="EN6" s="447" t="str">
        <f>'Income Statement'!EN6</f>
        <v>1Q25</v>
      </c>
      <c r="EO6" s="447" t="str">
        <f>'Income Statement'!EO6</f>
        <v>2Q25</v>
      </c>
      <c r="EP6" s="447" t="str">
        <f>'Income Statement'!EP6</f>
        <v>1H25</v>
      </c>
      <c r="EQ6" s="447" t="str">
        <f>'Income Statement'!EQ6</f>
        <v>3Q25</v>
      </c>
      <c r="ER6" s="447" t="str">
        <f>'Income Statement'!ER6</f>
        <v>9M25</v>
      </c>
      <c r="ES6" s="447" t="str">
        <f>'Income Statement'!ES6</f>
        <v>4Q25</v>
      </c>
      <c r="ET6" s="447">
        <f>'Income Statement'!ET6</f>
        <v>2025</v>
      </c>
      <c r="EU6" s="447" t="str">
        <f>'Income Statement'!EU6</f>
        <v>1Q26</v>
      </c>
      <c r="EV6" s="447" t="str">
        <f>'Income Statement'!EV6</f>
        <v>2Q26</v>
      </c>
      <c r="EW6" s="447" t="str">
        <f>'Income Statement'!EW6</f>
        <v>1H26</v>
      </c>
    </row>
    <row r="7" spans="1:154" ht="16.350000000000001" customHeight="1">
      <c r="A7" s="174"/>
      <c r="B7" s="156" t="s">
        <v>440</v>
      </c>
      <c r="C7" s="156" t="s">
        <v>439</v>
      </c>
      <c r="D7" s="312"/>
      <c r="E7" s="312"/>
      <c r="F7" s="312"/>
      <c r="G7" s="312"/>
      <c r="H7" s="312"/>
      <c r="I7" s="312"/>
      <c r="J7" s="312"/>
      <c r="K7" s="312"/>
      <c r="L7" s="312"/>
      <c r="M7" s="312"/>
      <c r="N7" s="312"/>
      <c r="O7" s="312"/>
      <c r="P7" s="312"/>
      <c r="Q7" s="312"/>
      <c r="R7" s="312"/>
      <c r="S7" s="312"/>
      <c r="T7" s="312"/>
      <c r="U7" s="312"/>
      <c r="V7" s="312"/>
      <c r="W7" s="312"/>
      <c r="X7" s="312"/>
      <c r="Y7" s="312"/>
      <c r="Z7" s="312"/>
      <c r="AA7" s="312"/>
      <c r="AB7" s="312"/>
      <c r="AC7" s="312"/>
      <c r="AD7" s="312"/>
      <c r="AE7" s="312"/>
      <c r="AF7" s="312"/>
      <c r="AG7" s="312"/>
      <c r="AH7" s="312"/>
      <c r="AI7" s="312"/>
      <c r="AJ7" s="312"/>
      <c r="AK7" s="312"/>
      <c r="AL7" s="312"/>
      <c r="AM7" s="312"/>
      <c r="AN7" s="312"/>
      <c r="AO7" s="312"/>
      <c r="AP7" s="312"/>
      <c r="AQ7" s="312"/>
      <c r="AR7" s="312"/>
      <c r="AS7" s="312"/>
      <c r="AT7" s="312"/>
      <c r="AU7" s="312"/>
      <c r="AV7" s="312"/>
      <c r="AW7" s="312"/>
      <c r="AX7" s="312"/>
      <c r="AY7" s="312"/>
      <c r="AZ7" s="312"/>
      <c r="BA7" s="312"/>
      <c r="BB7" s="312"/>
      <c r="BC7" s="312"/>
      <c r="BD7" s="312"/>
      <c r="BE7" s="312"/>
      <c r="BF7" s="312"/>
      <c r="BG7" s="312"/>
      <c r="BH7" s="312"/>
      <c r="BI7" s="312"/>
      <c r="BJ7" s="312"/>
      <c r="BK7" s="312"/>
      <c r="BL7" s="312"/>
      <c r="BM7" s="312"/>
      <c r="BN7" s="312"/>
      <c r="BO7" s="312"/>
      <c r="BP7" s="312"/>
      <c r="BQ7" s="312"/>
      <c r="BR7" s="312"/>
      <c r="BS7" s="312"/>
      <c r="BT7" s="312"/>
      <c r="BU7" s="312"/>
      <c r="BV7" s="312"/>
      <c r="BW7" s="312"/>
      <c r="BX7" s="312"/>
      <c r="BY7" s="312"/>
      <c r="BZ7" s="312"/>
      <c r="CA7" s="312"/>
      <c r="CB7" s="312"/>
      <c r="CC7" s="312"/>
      <c r="CD7" s="312"/>
      <c r="CE7" s="312"/>
      <c r="CF7" s="312"/>
      <c r="CG7" s="312"/>
      <c r="CH7" s="312"/>
      <c r="CI7" s="312"/>
      <c r="CJ7" s="312"/>
      <c r="CK7" s="312"/>
      <c r="CL7" s="312"/>
      <c r="CM7" s="312"/>
      <c r="CN7" s="312"/>
      <c r="CO7" s="312"/>
      <c r="CP7" s="312"/>
      <c r="CQ7" s="312"/>
      <c r="CR7" s="312"/>
      <c r="CS7" s="312"/>
      <c r="CT7" s="312"/>
      <c r="CU7" s="312"/>
      <c r="CV7" s="312"/>
      <c r="CW7" s="312"/>
      <c r="CX7" s="312"/>
      <c r="CY7" s="312"/>
      <c r="CZ7" s="312"/>
      <c r="DA7" s="312"/>
      <c r="DB7" s="312"/>
      <c r="DC7" s="312"/>
      <c r="DD7" s="312"/>
      <c r="DE7" s="312"/>
      <c r="DF7" s="312"/>
      <c r="DG7" s="312"/>
      <c r="DH7" s="312"/>
      <c r="DI7" s="312"/>
      <c r="DJ7" s="312"/>
      <c r="DK7" s="312"/>
      <c r="DL7" s="312"/>
      <c r="DM7" s="312"/>
      <c r="DN7" s="312"/>
      <c r="DO7" s="312"/>
      <c r="DP7" s="312"/>
      <c r="DQ7" s="312"/>
      <c r="DR7" s="312"/>
      <c r="DS7" s="312"/>
      <c r="DT7" s="312"/>
      <c r="DU7" s="312"/>
      <c r="DV7" s="312"/>
      <c r="DW7" s="312"/>
      <c r="DX7" s="312"/>
      <c r="DY7" s="312"/>
      <c r="DZ7" s="312"/>
      <c r="EA7" s="312"/>
      <c r="EB7" s="312"/>
      <c r="EC7" s="312"/>
      <c r="ED7" s="312"/>
      <c r="EE7" s="312"/>
      <c r="EF7" s="312"/>
      <c r="EG7" s="312"/>
      <c r="EH7" s="312"/>
      <c r="EI7" s="312"/>
      <c r="EJ7" s="312"/>
      <c r="EK7" s="312"/>
      <c r="EL7" s="312"/>
      <c r="EM7" s="312"/>
      <c r="EN7" s="312"/>
      <c r="EO7" s="312"/>
      <c r="EP7" s="312"/>
      <c r="EQ7" s="312"/>
      <c r="ER7" s="312"/>
      <c r="ES7" s="312"/>
      <c r="ET7" s="312"/>
      <c r="EU7" s="312"/>
      <c r="EV7" s="312"/>
      <c r="EW7" s="312"/>
    </row>
    <row r="8" spans="1:154" ht="16.350000000000001" customHeight="1">
      <c r="A8" s="174"/>
      <c r="B8" s="158" t="s">
        <v>528</v>
      </c>
      <c r="C8" s="158" t="s">
        <v>529</v>
      </c>
      <c r="D8" s="313">
        <v>0.70799999999999996</v>
      </c>
      <c r="E8" s="313">
        <v>0.74399999999999999</v>
      </c>
      <c r="F8" s="313">
        <v>0.72899999999999998</v>
      </c>
      <c r="G8" s="313">
        <v>0.747</v>
      </c>
      <c r="H8" s="313">
        <v>0.73599999999999999</v>
      </c>
      <c r="I8" s="313">
        <v>0.74199999999999999</v>
      </c>
      <c r="J8" s="313">
        <v>0.73799999999999999</v>
      </c>
      <c r="K8" s="313">
        <v>0.70499999999999996</v>
      </c>
      <c r="L8" s="313">
        <v>0.72799999999999998</v>
      </c>
      <c r="M8" s="313">
        <v>0.71899999999999997</v>
      </c>
      <c r="N8" s="313">
        <v>0.72399999999999998</v>
      </c>
      <c r="O8" s="313">
        <v>0.72099999999999997</v>
      </c>
      <c r="P8" s="313">
        <v>0.69900000000000007</v>
      </c>
      <c r="Q8" s="313">
        <v>0.71299999999999997</v>
      </c>
      <c r="R8" s="313">
        <v>0.66500000000000004</v>
      </c>
      <c r="S8" s="313">
        <v>0.69</v>
      </c>
      <c r="T8" s="313">
        <f>T9+T10</f>
        <v>0.68</v>
      </c>
      <c r="U8" s="313">
        <v>0.67800000000000005</v>
      </c>
      <c r="V8" s="313">
        <v>0.68</v>
      </c>
      <c r="W8" s="313">
        <v>0.65700000000000003</v>
      </c>
      <c r="X8" s="313">
        <v>0.67200000000000004</v>
      </c>
      <c r="Y8" s="313">
        <v>0.622</v>
      </c>
      <c r="Z8" s="313">
        <v>0.64600000000000002</v>
      </c>
      <c r="AA8" s="313">
        <v>0.63600000000000001</v>
      </c>
      <c r="AB8" s="313">
        <v>0.63600000000000001</v>
      </c>
      <c r="AC8" s="313">
        <v>0.63600000000000001</v>
      </c>
      <c r="AD8" s="313">
        <v>0.61899999999999999</v>
      </c>
      <c r="AE8" s="313">
        <v>0.63100000000000001</v>
      </c>
      <c r="AF8" s="313">
        <v>0.59299999999999997</v>
      </c>
      <c r="AG8" s="313">
        <v>0.61499999999999999</v>
      </c>
      <c r="AH8" s="313">
        <v>0.60699999999999998</v>
      </c>
      <c r="AI8" s="313">
        <v>0.60599999999999998</v>
      </c>
      <c r="AJ8" s="313">
        <v>0.60599999999999998</v>
      </c>
      <c r="AK8" s="313">
        <v>0.59599999999999997</v>
      </c>
      <c r="AL8" s="313">
        <v>0.60199999999999998</v>
      </c>
      <c r="AM8" s="313">
        <v>0.55900000000000005</v>
      </c>
      <c r="AN8" s="313">
        <v>0.57799999999999996</v>
      </c>
      <c r="AO8" s="313">
        <v>0.56999999999999995</v>
      </c>
      <c r="AP8" s="313">
        <v>0.56999999999999995</v>
      </c>
      <c r="AQ8" s="313">
        <v>0.56999999999999995</v>
      </c>
      <c r="AR8" s="313">
        <v>0.55900000000000005</v>
      </c>
      <c r="AS8" s="313">
        <v>0.56599999999999995</v>
      </c>
      <c r="AT8" s="313">
        <v>0.53900000000000003</v>
      </c>
      <c r="AU8" s="313">
        <v>0.55200000000000005</v>
      </c>
      <c r="AV8" s="313">
        <v>0.54700000000000004</v>
      </c>
      <c r="AW8" s="313">
        <v>0.55300000000000005</v>
      </c>
      <c r="AX8" s="313">
        <v>0.54900000000000004</v>
      </c>
      <c r="AY8" s="313">
        <v>0.54200000000000004</v>
      </c>
      <c r="AZ8" s="313">
        <v>0.54700000000000004</v>
      </c>
      <c r="BA8" s="313">
        <v>0.51100000000000001</v>
      </c>
      <c r="BB8" s="313">
        <v>0.53400000000000003</v>
      </c>
      <c r="BC8" s="313">
        <v>0.52500000000000002</v>
      </c>
      <c r="BD8" s="313">
        <v>0.52900000000000003</v>
      </c>
      <c r="BE8" s="313">
        <v>0.52600000000000002</v>
      </c>
      <c r="BF8" s="313">
        <v>0.51200000000000001</v>
      </c>
      <c r="BG8" s="313">
        <v>0.52100000000000002</v>
      </c>
      <c r="BH8" s="313">
        <v>0.499</v>
      </c>
      <c r="BI8" s="313">
        <v>0.52300000000000002</v>
      </c>
      <c r="BJ8" s="313">
        <v>0.51300000000000001</v>
      </c>
      <c r="BK8" s="313">
        <v>0.52400000000000002</v>
      </c>
      <c r="BL8" s="313">
        <v>0.51700000000000002</v>
      </c>
      <c r="BM8" s="313">
        <v>0.50700000000000001</v>
      </c>
      <c r="BN8" s="313">
        <v>0.51400000000000001</v>
      </c>
      <c r="BO8" s="313">
        <v>0.49</v>
      </c>
      <c r="BP8" s="313">
        <v>0.51</v>
      </c>
      <c r="BQ8" s="313">
        <v>0.502</v>
      </c>
      <c r="BR8" s="313">
        <v>0.50900000000000001</v>
      </c>
      <c r="BS8" s="313">
        <v>0.505</v>
      </c>
      <c r="BT8" s="313">
        <v>0.48399999999999999</v>
      </c>
      <c r="BU8" s="313">
        <v>0.497</v>
      </c>
      <c r="BV8" s="313">
        <v>0.47699999999999998</v>
      </c>
      <c r="BW8" s="313">
        <v>0.5</v>
      </c>
      <c r="BX8" s="313">
        <v>0.49</v>
      </c>
      <c r="BY8" s="313">
        <v>0.498</v>
      </c>
      <c r="BZ8" s="313">
        <v>0.49299999999999999</v>
      </c>
      <c r="CA8" s="313">
        <v>0.47899999999999998</v>
      </c>
      <c r="CB8" s="313">
        <v>0.48799999999999999</v>
      </c>
      <c r="CC8" s="313">
        <v>0.46600000000000003</v>
      </c>
      <c r="CD8" s="313">
        <v>0.496</v>
      </c>
      <c r="CE8" s="313">
        <v>0.48399999999999999</v>
      </c>
      <c r="CF8" s="313">
        <v>0.495</v>
      </c>
      <c r="CG8" s="313">
        <v>0.48699999999999999</v>
      </c>
      <c r="CH8" s="313">
        <f t="shared" ref="CH8:CM8" si="0">SUM(CH9:CH10)</f>
        <v>0.47321806337954964</v>
      </c>
      <c r="CI8" s="313">
        <f t="shared" si="0"/>
        <v>0.48253308794022576</v>
      </c>
      <c r="CJ8" s="313">
        <f t="shared" si="0"/>
        <v>0.44900000000000001</v>
      </c>
      <c r="CK8" s="313">
        <f t="shared" si="0"/>
        <v>0.46200000000000002</v>
      </c>
      <c r="CL8" s="313">
        <f t="shared" si="0"/>
        <v>0.45700000000000002</v>
      </c>
      <c r="CM8" s="313">
        <f t="shared" si="0"/>
        <v>0.45700000000000002</v>
      </c>
      <c r="CN8" s="313">
        <f t="shared" ref="CN8:CO8" si="1">SUM(CN9:CN10)</f>
        <v>0.45700000000000002</v>
      </c>
      <c r="CO8" s="313">
        <f t="shared" si="1"/>
        <v>0.443</v>
      </c>
      <c r="CP8" s="313">
        <f t="shared" ref="CP8" si="2">SUM(CP9:CP10)</f>
        <v>0.45200000000000001</v>
      </c>
      <c r="CQ8" s="313">
        <f t="shared" ref="CQ8:CU8" si="3">SUM(CQ9:CQ10)</f>
        <v>0.42899999999999999</v>
      </c>
      <c r="CR8" s="313">
        <f t="shared" si="3"/>
        <v>0.45469999999999999</v>
      </c>
      <c r="CS8" s="313">
        <f t="shared" si="3"/>
        <v>0.44400000000000001</v>
      </c>
      <c r="CT8" s="313">
        <f t="shared" si="3"/>
        <v>0.45229999999999998</v>
      </c>
      <c r="CU8" s="313">
        <f t="shared" si="3"/>
        <v>0.44700000000000001</v>
      </c>
      <c r="CV8" s="313">
        <f>CV9+CV10</f>
        <v>0.436</v>
      </c>
      <c r="CW8" s="313">
        <f>CW9+CW10</f>
        <v>0.442</v>
      </c>
      <c r="CX8" s="313">
        <f>CX9+CX10</f>
        <v>0.41899999999999998</v>
      </c>
      <c r="CY8" s="313">
        <f>CY9+CY10</f>
        <v>0.44800000000000001</v>
      </c>
      <c r="CZ8" s="313">
        <f t="shared" ref="CZ8" si="4">SUM(CZ9:CZ10)</f>
        <v>0.435</v>
      </c>
      <c r="DA8" s="313">
        <f t="shared" ref="DA8:DC8" si="5">SUM(DA9:DA10)</f>
        <v>0.44400000000000001</v>
      </c>
      <c r="DB8" s="313">
        <f t="shared" ref="DB8:DE8" si="6">SUM(DB9:DB10)</f>
        <v>0.438</v>
      </c>
      <c r="DC8" s="313">
        <f t="shared" si="5"/>
        <v>0.434</v>
      </c>
      <c r="DD8" s="313">
        <f t="shared" si="6"/>
        <v>0.437</v>
      </c>
      <c r="DE8" s="313">
        <f t="shared" si="6"/>
        <v>0.41699999999999998</v>
      </c>
      <c r="DF8" s="313">
        <f>DF9+DF10</f>
        <v>0.49300000000000005</v>
      </c>
      <c r="DG8" s="313">
        <f t="shared" ref="DG8:DI8" si="7">SUM(DG9:DG10)</f>
        <v>0.436</v>
      </c>
      <c r="DH8" s="313">
        <f>DH9+DH10</f>
        <v>0.40799999999999997</v>
      </c>
      <c r="DI8" s="313">
        <f t="shared" si="7"/>
        <v>0.42399999999999999</v>
      </c>
      <c r="DJ8" s="313">
        <f>DJ9+DJ10</f>
        <v>0.40099999999999997</v>
      </c>
      <c r="DK8" s="313">
        <f t="shared" ref="DK8:DP8" si="8">SUM(DK9:DK10)</f>
        <v>0.41399999999999998</v>
      </c>
      <c r="DL8" s="313">
        <f t="shared" si="8"/>
        <v>0.35573777217174885</v>
      </c>
      <c r="DM8" s="313">
        <f t="shared" si="8"/>
        <v>0.38</v>
      </c>
      <c r="DN8" s="313">
        <f t="shared" si="8"/>
        <v>0.372</v>
      </c>
      <c r="DO8" s="313">
        <f t="shared" si="8"/>
        <v>0.36</v>
      </c>
      <c r="DP8" s="313">
        <f t="shared" si="8"/>
        <v>0.36699999999999999</v>
      </c>
      <c r="DQ8" s="313">
        <f>SUM(DQ9:DQ10)</f>
        <v>0.36599999999999999</v>
      </c>
      <c r="DR8" s="313">
        <f t="shared" ref="DR8:DU8" si="9">SUM(DR9:DR10)</f>
        <v>0.36699999999999999</v>
      </c>
      <c r="DS8" s="313">
        <f t="shared" si="9"/>
        <v>0.34700000000000003</v>
      </c>
      <c r="DT8" s="313">
        <f t="shared" si="9"/>
        <v>0.35126944928622372</v>
      </c>
      <c r="DU8" s="313">
        <f t="shared" si="9"/>
        <v>0.36969999999999997</v>
      </c>
      <c r="DV8" s="313">
        <f t="shared" ref="DV8:DZ8" si="10">SUM(DV9:DV10)</f>
        <v>0.34326847858265103</v>
      </c>
      <c r="DW8" s="313">
        <f t="shared" si="10"/>
        <v>0.34762886622271616</v>
      </c>
      <c r="DX8" s="313">
        <f t="shared" si="10"/>
        <v>0.34300000000000003</v>
      </c>
      <c r="DY8" s="313">
        <f t="shared" si="10"/>
        <v>0.34500000000000003</v>
      </c>
      <c r="DZ8" s="313">
        <f t="shared" si="10"/>
        <v>0.30105363104868571</v>
      </c>
      <c r="EA8" s="313">
        <f t="shared" ref="EA8:EB8" si="11">SUM(EA9:EA10)</f>
        <v>0.3055296636756839</v>
      </c>
      <c r="EB8" s="313">
        <f t="shared" si="11"/>
        <v>0.30362817715617557</v>
      </c>
      <c r="EC8" s="313">
        <f t="shared" ref="EC8:ED8" si="12">SUM(EC9:EC10)</f>
        <v>0.28999443421486065</v>
      </c>
      <c r="ED8" s="313">
        <f t="shared" si="12"/>
        <v>0.29908141882216738</v>
      </c>
      <c r="EE8" s="313">
        <f t="shared" ref="EE8:EK8" si="13">SUM(EE9:EE10)</f>
        <v>0.28647087320029513</v>
      </c>
      <c r="EF8" s="313">
        <f t="shared" si="13"/>
        <v>0.29497919404051726</v>
      </c>
      <c r="EG8" s="313">
        <f t="shared" si="13"/>
        <v>0.28596135617796942</v>
      </c>
      <c r="EH8" s="313">
        <f t="shared" si="13"/>
        <v>0.30405181708600731</v>
      </c>
      <c r="EI8" s="313">
        <f t="shared" si="13"/>
        <v>0.29609176926103803</v>
      </c>
      <c r="EJ8" s="313">
        <f t="shared" si="13"/>
        <v>0.30370829612279898</v>
      </c>
      <c r="EK8" s="313">
        <f t="shared" si="13"/>
        <v>0.29874494452468903</v>
      </c>
      <c r="EL8" s="313">
        <f t="shared" ref="EL8" si="14">SUM(EL9:EL10)</f>
        <v>0.29560532643856191</v>
      </c>
      <c r="EM8" s="313">
        <f t="shared" ref="EM8:EN8" si="15">SUM(EM9:EM10)</f>
        <v>0.29771123188436649</v>
      </c>
      <c r="EN8" s="313">
        <f t="shared" si="15"/>
        <v>0.27716088318848081</v>
      </c>
      <c r="EO8" s="313">
        <v>0.28610767369628087</v>
      </c>
      <c r="EP8" s="313">
        <v>0.28231147200718326</v>
      </c>
      <c r="EQ8" s="313">
        <f t="shared" ref="EQ8:ER8" si="16">SUM(EQ9:EQ10)</f>
        <v>0.28725525135810143</v>
      </c>
      <c r="ER8" s="313">
        <f t="shared" si="16"/>
        <v>0.28391580967871943</v>
      </c>
      <c r="ES8" s="313">
        <f t="shared" ref="ES8:EU8" si="17">SUM(ES9:ES10)</f>
        <v>0.27830055087544858</v>
      </c>
      <c r="ET8" s="313">
        <f t="shared" si="17"/>
        <v>0.28215526087060255</v>
      </c>
      <c r="EU8" s="313">
        <f t="shared" si="17"/>
        <v>0.26724935762481722</v>
      </c>
      <c r="EV8" s="313">
        <f>SUM(EV9:EV10)</f>
        <v>0.27961686482306147</v>
      </c>
      <c r="EW8" s="313">
        <f>SUM(EW9:EW10)</f>
        <v>0.27467591796929247</v>
      </c>
    </row>
    <row r="9" spans="1:154" ht="16.350000000000001" customHeight="1">
      <c r="A9" s="174"/>
      <c r="B9" s="169" t="s">
        <v>524</v>
      </c>
      <c r="C9" s="169" t="s">
        <v>520</v>
      </c>
      <c r="D9" s="314" t="s">
        <v>37</v>
      </c>
      <c r="E9" s="314" t="s">
        <v>37</v>
      </c>
      <c r="F9" s="314" t="s">
        <v>37</v>
      </c>
      <c r="G9" s="314">
        <v>0.73699999999999999</v>
      </c>
      <c r="H9" s="314">
        <v>0.73299999999999998</v>
      </c>
      <c r="I9" s="314">
        <v>0.68700000000000006</v>
      </c>
      <c r="J9" s="314">
        <v>0.71499999999999997</v>
      </c>
      <c r="K9" s="314">
        <v>0.63300000000000001</v>
      </c>
      <c r="L9" s="314">
        <v>0.60099999999999998</v>
      </c>
      <c r="M9" s="314">
        <v>0.61299999999999999</v>
      </c>
      <c r="N9" s="314">
        <v>0.57499999999999996</v>
      </c>
      <c r="O9" s="314">
        <v>0.6</v>
      </c>
      <c r="P9" s="314">
        <v>0.53700000000000003</v>
      </c>
      <c r="Q9" s="314">
        <v>0.57699999999999996</v>
      </c>
      <c r="R9" s="314">
        <v>0.53300000000000003</v>
      </c>
      <c r="S9" s="314">
        <v>0.55700000000000005</v>
      </c>
      <c r="T9" s="314">
        <v>0.54700000000000004</v>
      </c>
      <c r="U9" s="314">
        <v>0.54200000000000004</v>
      </c>
      <c r="V9" s="314">
        <v>0.54600000000000004</v>
      </c>
      <c r="W9" s="314">
        <v>0.499</v>
      </c>
      <c r="X9" s="314">
        <v>0.52900000000000003</v>
      </c>
      <c r="Y9" s="314">
        <v>0.48599999999999999</v>
      </c>
      <c r="Z9" s="314">
        <v>0.48699999999999999</v>
      </c>
      <c r="AA9" s="314">
        <v>0.48599999999999999</v>
      </c>
      <c r="AB9" s="314">
        <v>0.48799999999999999</v>
      </c>
      <c r="AC9" s="314">
        <v>0.48699999999999999</v>
      </c>
      <c r="AD9" s="314">
        <v>0.503</v>
      </c>
      <c r="AE9" s="314">
        <v>0.49299999999999999</v>
      </c>
      <c r="AF9" s="314">
        <v>0.50600000000000001</v>
      </c>
      <c r="AG9" s="314">
        <v>0.49399999999999999</v>
      </c>
      <c r="AH9" s="314">
        <v>0.499</v>
      </c>
      <c r="AI9" s="314">
        <v>0.47599999999999998</v>
      </c>
      <c r="AJ9" s="314">
        <v>0.49099999999999999</v>
      </c>
      <c r="AK9" s="314">
        <v>0.46300000000000002</v>
      </c>
      <c r="AL9" s="314">
        <v>0.48099999999999998</v>
      </c>
      <c r="AM9" s="314">
        <v>0.435</v>
      </c>
      <c r="AN9" s="314">
        <v>0.44400000000000001</v>
      </c>
      <c r="AO9" s="314">
        <v>0.44</v>
      </c>
      <c r="AP9" s="314">
        <v>0.44</v>
      </c>
      <c r="AQ9" s="314">
        <v>0.44</v>
      </c>
      <c r="AR9" s="314">
        <v>0.42899999999999999</v>
      </c>
      <c r="AS9" s="314">
        <v>0.436</v>
      </c>
      <c r="AT9" s="314">
        <v>0.41799999999999998</v>
      </c>
      <c r="AU9" s="314">
        <v>0.43</v>
      </c>
      <c r="AV9" s="314">
        <v>0.42499999999999999</v>
      </c>
      <c r="AW9" s="314">
        <v>0.436</v>
      </c>
      <c r="AX9" s="314">
        <v>0.42899999999999999</v>
      </c>
      <c r="AY9" s="314">
        <v>0.42399999999999999</v>
      </c>
      <c r="AZ9" s="314">
        <v>0.42799999999999999</v>
      </c>
      <c r="BA9" s="314">
        <v>0.39500000000000002</v>
      </c>
      <c r="BB9" s="314">
        <v>0.40600000000000003</v>
      </c>
      <c r="BC9" s="314">
        <v>0.40200000000000002</v>
      </c>
      <c r="BD9" s="314">
        <v>0.41199999999999998</v>
      </c>
      <c r="BE9" s="314">
        <v>0.40500000000000003</v>
      </c>
      <c r="BF9" s="314">
        <v>0.39700000000000002</v>
      </c>
      <c r="BG9" s="314">
        <v>0.40200000000000002</v>
      </c>
      <c r="BH9" s="314">
        <v>0.38300000000000001</v>
      </c>
      <c r="BI9" s="314">
        <v>0.4</v>
      </c>
      <c r="BJ9" s="314">
        <v>0.39300000000000002</v>
      </c>
      <c r="BK9" s="314">
        <v>0.40400000000000003</v>
      </c>
      <c r="BL9" s="314">
        <v>0.39700000000000002</v>
      </c>
      <c r="BM9" s="314">
        <v>0.39200000000000002</v>
      </c>
      <c r="BN9" s="314">
        <v>0.39500000000000002</v>
      </c>
      <c r="BO9" s="314">
        <v>0.38400000000000001</v>
      </c>
      <c r="BP9" s="314">
        <v>0.39700000000000002</v>
      </c>
      <c r="BQ9" s="314">
        <v>0.39200000000000002</v>
      </c>
      <c r="BR9" s="314">
        <v>0.4</v>
      </c>
      <c r="BS9" s="314">
        <v>0.39500000000000002</v>
      </c>
      <c r="BT9" s="314">
        <v>0.38500000000000001</v>
      </c>
      <c r="BU9" s="314">
        <v>0.39100000000000001</v>
      </c>
      <c r="BV9" s="314">
        <v>0.38200000000000001</v>
      </c>
      <c r="BW9" s="314">
        <v>0.39800000000000002</v>
      </c>
      <c r="BX9" s="314">
        <v>0.39100000000000001</v>
      </c>
      <c r="BY9" s="314">
        <v>0.39700000000000002</v>
      </c>
      <c r="BZ9" s="314">
        <v>0.39300000000000002</v>
      </c>
      <c r="CA9" s="314">
        <v>0.38700000000000001</v>
      </c>
      <c r="CB9" s="314">
        <v>0.39100000000000001</v>
      </c>
      <c r="CC9" s="314">
        <v>0.38300000000000001</v>
      </c>
      <c r="CD9" s="314">
        <v>0.40699999999999997</v>
      </c>
      <c r="CE9" s="314">
        <v>0.39700000000000002</v>
      </c>
      <c r="CF9" s="314">
        <v>0.40356099956269031</v>
      </c>
      <c r="CG9" s="314">
        <v>0.39900000000000002</v>
      </c>
      <c r="CH9" s="314">
        <v>0.38807254872445468</v>
      </c>
      <c r="CI9" s="314">
        <v>0.39537386126025015</v>
      </c>
      <c r="CJ9" s="314">
        <v>0.371</v>
      </c>
      <c r="CK9" s="314">
        <v>0.38800000000000001</v>
      </c>
      <c r="CL9" s="314">
        <v>0.38200000000000001</v>
      </c>
      <c r="CM9" s="314">
        <v>0.38300000000000001</v>
      </c>
      <c r="CN9" s="314">
        <v>0.38400000000000001</v>
      </c>
      <c r="CO9" s="314">
        <v>0.371</v>
      </c>
      <c r="CP9" s="314">
        <v>0.376</v>
      </c>
      <c r="CQ9" s="314">
        <v>0.35899999999999999</v>
      </c>
      <c r="CR9" s="314">
        <v>0.3836</v>
      </c>
      <c r="CS9" s="314">
        <v>0.373</v>
      </c>
      <c r="CT9" s="314">
        <v>0.3861</v>
      </c>
      <c r="CU9" s="314">
        <v>0.378</v>
      </c>
      <c r="CV9" s="314">
        <v>0.374</v>
      </c>
      <c r="CW9" s="314">
        <v>0.376</v>
      </c>
      <c r="CX9" s="314">
        <v>0.35799999999999998</v>
      </c>
      <c r="CY9" s="314">
        <v>0.38</v>
      </c>
      <c r="CZ9" s="314">
        <v>0.37</v>
      </c>
      <c r="DA9" s="314">
        <v>0.38100000000000001</v>
      </c>
      <c r="DB9" s="314">
        <v>0.374</v>
      </c>
      <c r="DC9" s="314">
        <v>0.377</v>
      </c>
      <c r="DD9" s="314">
        <v>0.375</v>
      </c>
      <c r="DE9" s="314">
        <v>0.36399999999999999</v>
      </c>
      <c r="DF9" s="314">
        <v>0.46400000000000002</v>
      </c>
      <c r="DG9" s="314">
        <v>0.38900000000000001</v>
      </c>
      <c r="DH9" s="314">
        <v>0.36599999999999999</v>
      </c>
      <c r="DI9" s="314">
        <v>0.379</v>
      </c>
      <c r="DJ9" s="314">
        <v>0.36199999999999999</v>
      </c>
      <c r="DK9" s="314">
        <v>0.372</v>
      </c>
      <c r="DL9" s="314">
        <v>0.32401347316780887</v>
      </c>
      <c r="DM9" s="314">
        <v>0.34</v>
      </c>
      <c r="DN9" s="314">
        <v>0.33400000000000002</v>
      </c>
      <c r="DO9" s="314">
        <v>0.318</v>
      </c>
      <c r="DP9" s="314">
        <v>0.32800000000000001</v>
      </c>
      <c r="DQ9" s="314">
        <v>0.32800000000000001</v>
      </c>
      <c r="DR9" s="314">
        <v>0.32800000000000001</v>
      </c>
      <c r="DS9" s="314">
        <v>0.32400000000000001</v>
      </c>
      <c r="DT9" s="314">
        <v>0.32979993429548571</v>
      </c>
      <c r="DU9" s="314">
        <v>0.34739999999999999</v>
      </c>
      <c r="DV9" s="314">
        <v>0.32722512403016429</v>
      </c>
      <c r="DW9" s="314">
        <v>0.32735694092807244</v>
      </c>
      <c r="DX9" s="314">
        <v>0.32700000000000001</v>
      </c>
      <c r="DY9" s="315">
        <v>0.32700000000000001</v>
      </c>
      <c r="DZ9" s="314">
        <v>0.28982132649895637</v>
      </c>
      <c r="EA9" s="314">
        <v>0.29572617150627301</v>
      </c>
      <c r="EB9" s="314">
        <v>0.29321770382588241</v>
      </c>
      <c r="EC9" s="314">
        <v>0.2741878307334048</v>
      </c>
      <c r="ED9" s="314">
        <v>0.2868712467071356</v>
      </c>
      <c r="EE9" s="314">
        <v>0.27003582073765642</v>
      </c>
      <c r="EF9" s="314">
        <v>0.28139466356057857</v>
      </c>
      <c r="EG9" s="314">
        <v>0.26693694649696015</v>
      </c>
      <c r="EH9" s="314">
        <v>0.28322496755264664</v>
      </c>
      <c r="EI9" s="314">
        <v>0.27605801767577737</v>
      </c>
      <c r="EJ9" s="314">
        <v>0.28437118399149908</v>
      </c>
      <c r="EK9" s="314">
        <v>0.27895386346373402</v>
      </c>
      <c r="EL9" s="314">
        <v>0.27950700949309981</v>
      </c>
      <c r="EM9" s="314">
        <v>0.27913598562853681</v>
      </c>
      <c r="EN9" s="314">
        <v>0.2594483351209082</v>
      </c>
      <c r="EO9" s="314">
        <v>0.267386775057181</v>
      </c>
      <c r="EP9" s="314">
        <v>0.26401842536031422</v>
      </c>
      <c r="EQ9" s="314">
        <v>0.26889999408334087</v>
      </c>
      <c r="ER9" s="314">
        <v>0.26560257466040182</v>
      </c>
      <c r="ES9" s="314">
        <v>0.2634725561029701</v>
      </c>
      <c r="ET9" s="314">
        <v>0.26493475118797899</v>
      </c>
      <c r="EU9" s="314">
        <v>0.25065327307307594</v>
      </c>
      <c r="EV9" s="314">
        <v>0.26283529665957522</v>
      </c>
      <c r="EW9" s="314">
        <v>0.25795079796053688</v>
      </c>
    </row>
    <row r="10" spans="1:154" ht="16.350000000000001" customHeight="1">
      <c r="A10" s="174"/>
      <c r="B10" s="169" t="s">
        <v>525</v>
      </c>
      <c r="C10" s="169" t="s">
        <v>521</v>
      </c>
      <c r="D10" s="314">
        <v>0</v>
      </c>
      <c r="E10" s="314">
        <v>0</v>
      </c>
      <c r="F10" s="314">
        <v>0</v>
      </c>
      <c r="G10" s="314">
        <v>0.01</v>
      </c>
      <c r="H10" s="314">
        <v>3.0000000000000001E-3</v>
      </c>
      <c r="I10" s="314">
        <v>5.5E-2</v>
      </c>
      <c r="J10" s="314">
        <v>2.3E-2</v>
      </c>
      <c r="K10" s="314">
        <v>7.1999999999999995E-2</v>
      </c>
      <c r="L10" s="314">
        <v>0.127</v>
      </c>
      <c r="M10" s="314">
        <v>0.106</v>
      </c>
      <c r="N10" s="314">
        <v>0.14899999999999999</v>
      </c>
      <c r="O10" s="314">
        <v>0.121</v>
      </c>
      <c r="P10" s="314">
        <v>0.16200000000000001</v>
      </c>
      <c r="Q10" s="314">
        <v>0.13600000000000001</v>
      </c>
      <c r="R10" s="314">
        <v>0.13200000000000001</v>
      </c>
      <c r="S10" s="314">
        <v>0.13300000000000001</v>
      </c>
      <c r="T10" s="314">
        <v>0.13300000000000001</v>
      </c>
      <c r="U10" s="314">
        <v>0.13600000000000001</v>
      </c>
      <c r="V10" s="314">
        <v>0.13400000000000001</v>
      </c>
      <c r="W10" s="314">
        <v>0.158</v>
      </c>
      <c r="X10" s="314">
        <v>0.14299999999999999</v>
      </c>
      <c r="Y10" s="314">
        <v>0.13600000000000001</v>
      </c>
      <c r="Z10" s="314">
        <v>0.159</v>
      </c>
      <c r="AA10" s="314">
        <v>0.15</v>
      </c>
      <c r="AB10" s="314">
        <v>0.14799999999999999</v>
      </c>
      <c r="AC10" s="314">
        <v>0.14899999999999999</v>
      </c>
      <c r="AD10" s="314">
        <v>0.11600000000000001</v>
      </c>
      <c r="AE10" s="314">
        <v>0.13800000000000001</v>
      </c>
      <c r="AF10" s="314">
        <v>8.6999999999999994E-2</v>
      </c>
      <c r="AG10" s="314">
        <v>0.121</v>
      </c>
      <c r="AH10" s="314">
        <v>0.108</v>
      </c>
      <c r="AI10" s="314">
        <v>0.13</v>
      </c>
      <c r="AJ10" s="314">
        <v>0.115</v>
      </c>
      <c r="AK10" s="314">
        <v>0.13300000000000001</v>
      </c>
      <c r="AL10" s="314">
        <v>0.121</v>
      </c>
      <c r="AM10" s="314">
        <v>0.124</v>
      </c>
      <c r="AN10" s="314">
        <v>0.13400000000000001</v>
      </c>
      <c r="AO10" s="314">
        <v>0.13</v>
      </c>
      <c r="AP10" s="314">
        <v>0.13</v>
      </c>
      <c r="AQ10" s="314">
        <v>0.13</v>
      </c>
      <c r="AR10" s="314">
        <v>0.13</v>
      </c>
      <c r="AS10" s="314">
        <v>0.13</v>
      </c>
      <c r="AT10" s="314">
        <v>0.121</v>
      </c>
      <c r="AU10" s="314">
        <v>0.122</v>
      </c>
      <c r="AV10" s="314">
        <v>0.122</v>
      </c>
      <c r="AW10" s="314">
        <v>0.11700000000000001</v>
      </c>
      <c r="AX10" s="314">
        <v>0.12</v>
      </c>
      <c r="AY10" s="314">
        <v>0.11799999999999999</v>
      </c>
      <c r="AZ10" s="314">
        <v>0.11899999999999999</v>
      </c>
      <c r="BA10" s="314">
        <v>0.11600000000000001</v>
      </c>
      <c r="BB10" s="314">
        <v>0.128</v>
      </c>
      <c r="BC10" s="314">
        <v>0.123</v>
      </c>
      <c r="BD10" s="314">
        <v>0.11700000000000001</v>
      </c>
      <c r="BE10" s="314">
        <v>0.121</v>
      </c>
      <c r="BF10" s="314">
        <v>0.115</v>
      </c>
      <c r="BG10" s="314">
        <v>0.11899999999999999</v>
      </c>
      <c r="BH10" s="314">
        <v>0.11600000000000001</v>
      </c>
      <c r="BI10" s="314">
        <v>0.123</v>
      </c>
      <c r="BJ10" s="314">
        <v>0.12</v>
      </c>
      <c r="BK10" s="314">
        <v>0.12</v>
      </c>
      <c r="BL10" s="314">
        <v>0.12</v>
      </c>
      <c r="BM10" s="314">
        <v>0.115</v>
      </c>
      <c r="BN10" s="314">
        <v>0.11899999999999999</v>
      </c>
      <c r="BO10" s="314">
        <v>0.106</v>
      </c>
      <c r="BP10" s="314">
        <v>0.113</v>
      </c>
      <c r="BQ10" s="314">
        <v>0.11</v>
      </c>
      <c r="BR10" s="314">
        <v>0.109</v>
      </c>
      <c r="BS10" s="314">
        <v>0.11</v>
      </c>
      <c r="BT10" s="314">
        <v>9.9000000000000005E-2</v>
      </c>
      <c r="BU10" s="314">
        <v>0.106</v>
      </c>
      <c r="BV10" s="314">
        <v>9.5000000000000001E-2</v>
      </c>
      <c r="BW10" s="314">
        <v>0.10199999999999999</v>
      </c>
      <c r="BX10" s="314">
        <v>9.9000000000000005E-2</v>
      </c>
      <c r="BY10" s="314">
        <v>0.10100000000000001</v>
      </c>
      <c r="BZ10" s="314">
        <v>0.1</v>
      </c>
      <c r="CA10" s="314">
        <v>9.1999999999999998E-2</v>
      </c>
      <c r="CB10" s="314">
        <v>9.7000000000000003E-2</v>
      </c>
      <c r="CC10" s="314">
        <v>8.3000000000000004E-2</v>
      </c>
      <c r="CD10" s="314">
        <v>8.8999999999999996E-2</v>
      </c>
      <c r="CE10" s="314">
        <v>8.6999999999999994E-2</v>
      </c>
      <c r="CF10" s="314">
        <v>9.1056120665919796E-2</v>
      </c>
      <c r="CG10" s="314">
        <v>8.7999999999999995E-2</v>
      </c>
      <c r="CH10" s="314">
        <v>8.5145514655094984E-2</v>
      </c>
      <c r="CI10" s="314">
        <v>8.7159226679975624E-2</v>
      </c>
      <c r="CJ10" s="314">
        <v>7.8E-2</v>
      </c>
      <c r="CK10" s="314">
        <v>7.3999999999999996E-2</v>
      </c>
      <c r="CL10" s="314">
        <v>7.4999999999999997E-2</v>
      </c>
      <c r="CM10" s="314">
        <v>7.3999999999999996E-2</v>
      </c>
      <c r="CN10" s="314">
        <v>7.2999999999999995E-2</v>
      </c>
      <c r="CO10" s="314">
        <v>7.1999999999999995E-2</v>
      </c>
      <c r="CP10" s="314">
        <v>7.5999999999999998E-2</v>
      </c>
      <c r="CQ10" s="314">
        <v>7.0000000000000007E-2</v>
      </c>
      <c r="CR10" s="314">
        <v>7.1099999999999997E-2</v>
      </c>
      <c r="CS10" s="314">
        <v>7.0999999999999994E-2</v>
      </c>
      <c r="CT10" s="314">
        <v>6.6199999999999995E-2</v>
      </c>
      <c r="CU10" s="314">
        <v>6.9000000000000006E-2</v>
      </c>
      <c r="CV10" s="314">
        <v>6.2E-2</v>
      </c>
      <c r="CW10" s="314">
        <v>6.6000000000000003E-2</v>
      </c>
      <c r="CX10" s="314">
        <v>6.0999999999999999E-2</v>
      </c>
      <c r="CY10" s="314">
        <v>6.8000000000000005E-2</v>
      </c>
      <c r="CZ10" s="314">
        <v>6.5000000000000002E-2</v>
      </c>
      <c r="DA10" s="314">
        <v>6.3E-2</v>
      </c>
      <c r="DB10" s="314">
        <v>6.4000000000000001E-2</v>
      </c>
      <c r="DC10" s="314">
        <v>5.7000000000000002E-2</v>
      </c>
      <c r="DD10" s="314">
        <v>6.2E-2</v>
      </c>
      <c r="DE10" s="314">
        <v>5.2999999999999999E-2</v>
      </c>
      <c r="DF10" s="314">
        <v>2.9000000000000001E-2</v>
      </c>
      <c r="DG10" s="314">
        <v>4.7E-2</v>
      </c>
      <c r="DH10" s="314">
        <v>4.1999999999999996E-2</v>
      </c>
      <c r="DI10" s="314">
        <v>4.4999999999999998E-2</v>
      </c>
      <c r="DJ10" s="314">
        <v>3.9E-2</v>
      </c>
      <c r="DK10" s="314">
        <v>4.1999999999999996E-2</v>
      </c>
      <c r="DL10" s="314">
        <v>3.172429900393995E-2</v>
      </c>
      <c r="DM10" s="314">
        <v>0.04</v>
      </c>
      <c r="DN10" s="314">
        <v>3.7999999999999999E-2</v>
      </c>
      <c r="DO10" s="314">
        <v>4.2000000000000003E-2</v>
      </c>
      <c r="DP10" s="314">
        <v>3.9E-2</v>
      </c>
      <c r="DQ10" s="314">
        <v>3.7999999999999999E-2</v>
      </c>
      <c r="DR10" s="314">
        <v>3.9E-2</v>
      </c>
      <c r="DS10" s="314">
        <v>2.3E-2</v>
      </c>
      <c r="DT10" s="314">
        <v>2.1469514990738032E-2</v>
      </c>
      <c r="DU10" s="314">
        <v>2.23E-2</v>
      </c>
      <c r="DV10" s="314">
        <v>1.6043354552486754E-2</v>
      </c>
      <c r="DW10" s="314">
        <v>2.0271925294643708E-2</v>
      </c>
      <c r="DX10" s="314">
        <v>1.6E-2</v>
      </c>
      <c r="DY10" s="315">
        <v>1.7999999999999999E-2</v>
      </c>
      <c r="DZ10" s="314">
        <v>1.1232304549729351E-2</v>
      </c>
      <c r="EA10" s="314">
        <v>9.803492169410918E-3</v>
      </c>
      <c r="EB10" s="314">
        <v>1.0410473330293159E-2</v>
      </c>
      <c r="EC10" s="314">
        <v>1.580660348145585E-2</v>
      </c>
      <c r="ED10" s="314">
        <v>1.2210172115031772E-2</v>
      </c>
      <c r="EE10" s="314">
        <v>1.6435052462638711E-2</v>
      </c>
      <c r="EF10" s="314">
        <v>1.3584530479938657E-2</v>
      </c>
      <c r="EG10" s="314">
        <v>1.9024409681009255E-2</v>
      </c>
      <c r="EH10" s="314">
        <v>2.0826849533360652E-2</v>
      </c>
      <c r="EI10" s="314">
        <v>2.0033751585260679E-2</v>
      </c>
      <c r="EJ10" s="314">
        <v>1.9337112131299926E-2</v>
      </c>
      <c r="EK10" s="314">
        <v>1.9791081060954979E-2</v>
      </c>
      <c r="EL10" s="314">
        <v>1.6098316945462109E-2</v>
      </c>
      <c r="EM10" s="314">
        <v>1.857524625582968E-2</v>
      </c>
      <c r="EN10" s="314">
        <v>1.7712548067572605E-2</v>
      </c>
      <c r="EO10" s="314">
        <v>1.872089863909988E-2</v>
      </c>
      <c r="EP10" s="314">
        <v>1.8293046646869024E-2</v>
      </c>
      <c r="EQ10" s="314">
        <v>1.8355257274760537E-2</v>
      </c>
      <c r="ER10" s="314">
        <v>1.8313235018317626E-2</v>
      </c>
      <c r="ES10" s="314">
        <v>1.4827994772478491E-2</v>
      </c>
      <c r="ET10" s="314">
        <v>1.7220509682623564E-2</v>
      </c>
      <c r="EU10" s="314">
        <v>1.659608455174125E-2</v>
      </c>
      <c r="EV10" s="314">
        <v>1.6781568163486273E-2</v>
      </c>
      <c r="EW10" s="314">
        <v>1.6725120008755614E-2</v>
      </c>
    </row>
    <row r="11" spans="1:154" ht="16.350000000000001" customHeight="1">
      <c r="A11" s="174"/>
      <c r="B11" s="158" t="s">
        <v>526</v>
      </c>
      <c r="C11" s="158" t="s">
        <v>522</v>
      </c>
      <c r="D11" s="313">
        <v>0.191</v>
      </c>
      <c r="E11" s="313">
        <v>0.153</v>
      </c>
      <c r="F11" s="313">
        <v>0.16800000000000001</v>
      </c>
      <c r="G11" s="313">
        <v>0.155</v>
      </c>
      <c r="H11" s="313">
        <v>0.16300000000000001</v>
      </c>
      <c r="I11" s="313">
        <v>0.16500000000000001</v>
      </c>
      <c r="J11" s="313">
        <v>0.16400000000000001</v>
      </c>
      <c r="K11" s="313">
        <v>0.186</v>
      </c>
      <c r="L11" s="313">
        <v>0.158</v>
      </c>
      <c r="M11" s="313">
        <v>0.16900000000000001</v>
      </c>
      <c r="N11" s="313">
        <v>0.16900000000000001</v>
      </c>
      <c r="O11" s="313">
        <v>0.16900000000000001</v>
      </c>
      <c r="P11" s="313">
        <v>0.187</v>
      </c>
      <c r="Q11" s="313">
        <v>0.17499999999999999</v>
      </c>
      <c r="R11" s="313">
        <v>0.20799999999999999</v>
      </c>
      <c r="S11" s="313">
        <v>0.17499999999999999</v>
      </c>
      <c r="T11" s="313">
        <v>0.188</v>
      </c>
      <c r="U11" s="313">
        <v>0.191</v>
      </c>
      <c r="V11" s="313">
        <v>0.188</v>
      </c>
      <c r="W11" s="313">
        <v>0.20499999999999999</v>
      </c>
      <c r="X11" s="313">
        <v>0.19400000000000001</v>
      </c>
      <c r="Y11" s="313">
        <v>0.223</v>
      </c>
      <c r="Z11" s="313">
        <v>0.19500000000000001</v>
      </c>
      <c r="AA11" s="313">
        <v>0.20699999999999999</v>
      </c>
      <c r="AB11" s="313">
        <v>0.20699999999999999</v>
      </c>
      <c r="AC11" s="313">
        <v>0.20699999999999999</v>
      </c>
      <c r="AD11" s="313">
        <v>0.221</v>
      </c>
      <c r="AE11" s="313">
        <v>0.21099999999999999</v>
      </c>
      <c r="AF11" s="313">
        <v>0.23599999999999999</v>
      </c>
      <c r="AG11" s="313">
        <v>0.19900000000000001</v>
      </c>
      <c r="AH11" s="313">
        <v>0.21199999999999999</v>
      </c>
      <c r="AI11" s="313">
        <v>0.214</v>
      </c>
      <c r="AJ11" s="313">
        <v>0.21299999999999999</v>
      </c>
      <c r="AK11" s="313">
        <v>0.22700000000000001</v>
      </c>
      <c r="AL11" s="313">
        <v>0.219</v>
      </c>
      <c r="AM11" s="313">
        <v>0.246</v>
      </c>
      <c r="AN11" s="313">
        <v>0.214</v>
      </c>
      <c r="AO11" s="313">
        <v>0.22700000000000001</v>
      </c>
      <c r="AP11" s="313">
        <v>0.23100000000000001</v>
      </c>
      <c r="AQ11" s="313">
        <v>0.22800000000000001</v>
      </c>
      <c r="AR11" s="313">
        <v>0.24399999999999999</v>
      </c>
      <c r="AS11" s="313">
        <v>0.23400000000000001</v>
      </c>
      <c r="AT11" s="313">
        <v>0.249</v>
      </c>
      <c r="AU11" s="313">
        <v>0.22</v>
      </c>
      <c r="AV11" s="313">
        <v>0.23100000000000001</v>
      </c>
      <c r="AW11" s="313">
        <v>0.23400000000000001</v>
      </c>
      <c r="AX11" s="313">
        <v>0.23200000000000001</v>
      </c>
      <c r="AY11" s="313">
        <v>0.25</v>
      </c>
      <c r="AZ11" s="313">
        <v>0.23799999999999999</v>
      </c>
      <c r="BA11" s="313">
        <v>0.25800000000000001</v>
      </c>
      <c r="BB11" s="313">
        <v>0.22700000000000001</v>
      </c>
      <c r="BC11" s="313">
        <v>0.24</v>
      </c>
      <c r="BD11" s="313">
        <v>0.24299999999999999</v>
      </c>
      <c r="BE11" s="313">
        <v>0.24199999999999999</v>
      </c>
      <c r="BF11" s="313">
        <v>0.26200000000000001</v>
      </c>
      <c r="BG11" s="313">
        <v>0.249</v>
      </c>
      <c r="BH11" s="313">
        <v>0.26600000000000001</v>
      </c>
      <c r="BI11" s="313">
        <v>0.23699999999999999</v>
      </c>
      <c r="BJ11" s="313">
        <v>0.249</v>
      </c>
      <c r="BK11" s="313">
        <v>0.246</v>
      </c>
      <c r="BL11" s="313">
        <v>0.248</v>
      </c>
      <c r="BM11" s="313">
        <v>0.26500000000000001</v>
      </c>
      <c r="BN11" s="313">
        <v>0.254</v>
      </c>
      <c r="BO11" s="313">
        <v>0.27100000000000002</v>
      </c>
      <c r="BP11" s="313">
        <v>0.24199999999999999</v>
      </c>
      <c r="BQ11" s="313">
        <v>0.254</v>
      </c>
      <c r="BR11" s="313">
        <v>0.253</v>
      </c>
      <c r="BS11" s="313">
        <v>0.253</v>
      </c>
      <c r="BT11" s="313">
        <v>0.27800000000000002</v>
      </c>
      <c r="BU11" s="313">
        <v>0.26300000000000001</v>
      </c>
      <c r="BV11" s="313">
        <v>0.27800000000000002</v>
      </c>
      <c r="BW11" s="313">
        <v>0.247</v>
      </c>
      <c r="BX11" s="313">
        <v>0.26</v>
      </c>
      <c r="BY11" s="313">
        <v>0.254</v>
      </c>
      <c r="BZ11" s="313">
        <v>0.25800000000000001</v>
      </c>
      <c r="CA11" s="313">
        <v>0.27800000000000002</v>
      </c>
      <c r="CB11" s="313">
        <v>0.26500000000000001</v>
      </c>
      <c r="CC11" s="313">
        <v>0.28199999999999997</v>
      </c>
      <c r="CD11" s="313">
        <v>0.23997304856188809</v>
      </c>
      <c r="CE11" s="313">
        <v>0.25700000000000001</v>
      </c>
      <c r="CF11" s="313">
        <v>0.25344622780976489</v>
      </c>
      <c r="CG11" s="313">
        <v>0.25600000000000001</v>
      </c>
      <c r="CH11" s="313">
        <v>0.27663584191152252</v>
      </c>
      <c r="CI11" s="313">
        <v>0.26301737747349541</v>
      </c>
      <c r="CJ11" s="313">
        <v>0.28399999999999997</v>
      </c>
      <c r="CK11" s="313">
        <v>0.25900000000000001</v>
      </c>
      <c r="CL11" s="313">
        <v>0.27</v>
      </c>
      <c r="CM11" s="313">
        <v>0.26700000000000002</v>
      </c>
      <c r="CN11" s="313">
        <v>0.26900000000000002</v>
      </c>
      <c r="CO11" s="313">
        <v>0.28399999999999997</v>
      </c>
      <c r="CP11" s="313">
        <v>0.27400000000000002</v>
      </c>
      <c r="CQ11" s="313">
        <v>0.28599999999999998</v>
      </c>
      <c r="CR11" s="313">
        <v>0.24790000000000001</v>
      </c>
      <c r="CS11" s="313">
        <v>0.26400000000000001</v>
      </c>
      <c r="CT11" s="313">
        <v>0.25740000000000002</v>
      </c>
      <c r="CU11" s="313">
        <v>0.26200000000000001</v>
      </c>
      <c r="CV11" s="313">
        <v>0.27500000000000002</v>
      </c>
      <c r="CW11" s="313">
        <v>0.26700000000000002</v>
      </c>
      <c r="CX11" s="313">
        <v>0.27900000000000003</v>
      </c>
      <c r="CY11" s="313">
        <v>0.24199999999999999</v>
      </c>
      <c r="CZ11" s="313">
        <v>0.25900000000000001</v>
      </c>
      <c r="DA11" s="313">
        <v>0.249</v>
      </c>
      <c r="DB11" s="313">
        <v>0.255</v>
      </c>
      <c r="DC11" s="313">
        <v>0.26700000000000002</v>
      </c>
      <c r="DD11" s="313">
        <v>0.25900000000000001</v>
      </c>
      <c r="DE11" s="313">
        <v>0.27400000000000002</v>
      </c>
      <c r="DF11" s="313">
        <v>0.219</v>
      </c>
      <c r="DG11" s="313">
        <v>0.26</v>
      </c>
      <c r="DH11" s="313">
        <v>0.29399999999999998</v>
      </c>
      <c r="DI11" s="313">
        <v>0.27500000000000002</v>
      </c>
      <c r="DJ11" s="313">
        <v>0.311</v>
      </c>
      <c r="DK11" s="313">
        <v>0.29099999999999998</v>
      </c>
      <c r="DL11" s="313">
        <v>0.32526222782825126</v>
      </c>
      <c r="DM11" s="313">
        <v>0.28599999999999998</v>
      </c>
      <c r="DN11" s="313">
        <v>0.3</v>
      </c>
      <c r="DO11" s="313">
        <v>0.28899999999999998</v>
      </c>
      <c r="DP11" s="313">
        <v>0.29499999999999998</v>
      </c>
      <c r="DQ11" s="313">
        <v>0.27900000000000003</v>
      </c>
      <c r="DR11" s="313">
        <v>0.28899999999999998</v>
      </c>
      <c r="DS11" s="313">
        <v>0.28000000000000003</v>
      </c>
      <c r="DT11" s="313">
        <v>0.2523658013929776</v>
      </c>
      <c r="DU11" s="313">
        <v>0.23930000000000007</v>
      </c>
      <c r="DV11" s="313">
        <v>0.26599994096945528</v>
      </c>
      <c r="DW11" s="313">
        <v>0.25918113985644903</v>
      </c>
      <c r="DX11" s="313">
        <v>0.26100000000000001</v>
      </c>
      <c r="DY11" s="316">
        <v>0.26100000000000001</v>
      </c>
      <c r="DZ11" s="313">
        <v>0.30487405899928893</v>
      </c>
      <c r="EA11" s="313">
        <v>0.2606062573068384</v>
      </c>
      <c r="EB11" s="313">
        <v>0.26862708197468649</v>
      </c>
      <c r="EC11" s="313">
        <v>0.28226082491600141</v>
      </c>
      <c r="ED11" s="313">
        <v>0.27317384030869468</v>
      </c>
      <c r="EE11" s="313">
        <v>0.28473438670034817</v>
      </c>
      <c r="EF11" s="313">
        <v>0.27476264218288887</v>
      </c>
      <c r="EG11" s="313">
        <v>0.27088278518380188</v>
      </c>
      <c r="EH11" s="313">
        <v>0.25594672575533411</v>
      </c>
      <c r="EI11" s="313">
        <v>0.26252006332801775</v>
      </c>
      <c r="EJ11" s="313">
        <v>0.25847629424847102</v>
      </c>
      <c r="EK11" s="313">
        <v>0.26111143859807218</v>
      </c>
      <c r="EL11" s="313">
        <v>0.2746559285126306</v>
      </c>
      <c r="EM11" s="313">
        <v>0.2655709333669633</v>
      </c>
      <c r="EN11" s="313">
        <v>0.28429704970383268</v>
      </c>
      <c r="EO11" s="313">
        <v>0.25775848747939945</v>
      </c>
      <c r="EP11" s="313">
        <v>0.269019032213825</v>
      </c>
      <c r="EQ11" s="313">
        <v>0.26351260845772578</v>
      </c>
      <c r="ER11" s="313">
        <v>0.26685205013710778</v>
      </c>
      <c r="ES11" s="313">
        <v>0.28093136927183149</v>
      </c>
      <c r="ET11" s="313">
        <v>0.27126633083015378</v>
      </c>
      <c r="EU11" s="313">
        <v>0.28161837006336382</v>
      </c>
      <c r="EV11" s="313">
        <v>0.26925086286511957</v>
      </c>
      <c r="EW11" s="313">
        <v>0.27419180971888857</v>
      </c>
    </row>
    <row r="12" spans="1:154" ht="16.350000000000001" customHeight="1">
      <c r="A12" s="174"/>
      <c r="B12" s="208" t="s">
        <v>527</v>
      </c>
      <c r="C12" s="208" t="s">
        <v>523</v>
      </c>
      <c r="D12" s="317">
        <v>0.10100000000000001</v>
      </c>
      <c r="E12" s="317">
        <v>0.10299999999999999</v>
      </c>
      <c r="F12" s="317">
        <v>0.10299999999999999</v>
      </c>
      <c r="G12" s="317">
        <v>9.8000000000000004E-2</v>
      </c>
      <c r="H12" s="317">
        <v>0.10100000000000001</v>
      </c>
      <c r="I12" s="317">
        <v>9.2999999999999999E-2</v>
      </c>
      <c r="J12" s="317">
        <v>9.8000000000000004E-2</v>
      </c>
      <c r="K12" s="317">
        <v>0.109</v>
      </c>
      <c r="L12" s="317">
        <v>0.114</v>
      </c>
      <c r="M12" s="317">
        <v>0.112</v>
      </c>
      <c r="N12" s="317">
        <v>0.107</v>
      </c>
      <c r="O12" s="317">
        <v>0.11</v>
      </c>
      <c r="P12" s="317">
        <v>0.114</v>
      </c>
      <c r="Q12" s="317">
        <v>0.112</v>
      </c>
      <c r="R12" s="317">
        <v>0.127</v>
      </c>
      <c r="S12" s="317">
        <v>0.13500000000000001</v>
      </c>
      <c r="T12" s="317">
        <v>0.13200000000000001</v>
      </c>
      <c r="U12" s="317">
        <v>0.13100000000000001</v>
      </c>
      <c r="V12" s="317">
        <v>0.13200000000000001</v>
      </c>
      <c r="W12" s="317">
        <v>0.13800000000000001</v>
      </c>
      <c r="X12" s="317">
        <v>0.13400000000000001</v>
      </c>
      <c r="Y12" s="317">
        <v>0.155</v>
      </c>
      <c r="Z12" s="317">
        <v>0.159</v>
      </c>
      <c r="AA12" s="317">
        <v>0.157</v>
      </c>
      <c r="AB12" s="317">
        <v>0.157</v>
      </c>
      <c r="AC12" s="317">
        <v>0.157</v>
      </c>
      <c r="AD12" s="317">
        <v>0.16</v>
      </c>
      <c r="AE12" s="317">
        <v>0.158</v>
      </c>
      <c r="AF12" s="317">
        <v>0.17100000000000001</v>
      </c>
      <c r="AG12" s="317">
        <v>0.186</v>
      </c>
      <c r="AH12" s="317">
        <v>0.18099999999999999</v>
      </c>
      <c r="AI12" s="317">
        <v>0.18</v>
      </c>
      <c r="AJ12" s="317">
        <v>0.18099999999999999</v>
      </c>
      <c r="AK12" s="317">
        <v>0.17699999999999999</v>
      </c>
      <c r="AL12" s="317">
        <v>0.17899999999999999</v>
      </c>
      <c r="AM12" s="317">
        <v>0.19500000000000001</v>
      </c>
      <c r="AN12" s="317">
        <v>0.20799999999999999</v>
      </c>
      <c r="AO12" s="317">
        <v>0.20300000000000001</v>
      </c>
      <c r="AP12" s="317">
        <v>0.19900000000000001</v>
      </c>
      <c r="AQ12" s="317">
        <v>0.20200000000000001</v>
      </c>
      <c r="AR12" s="317">
        <v>0.19700000000000001</v>
      </c>
      <c r="AS12" s="317">
        <v>0.2</v>
      </c>
      <c r="AT12" s="317">
        <v>0.21199999999999999</v>
      </c>
      <c r="AU12" s="317">
        <v>0.22800000000000001</v>
      </c>
      <c r="AV12" s="317">
        <v>0.222</v>
      </c>
      <c r="AW12" s="317">
        <v>0.21299999999999999</v>
      </c>
      <c r="AX12" s="317">
        <v>0.219</v>
      </c>
      <c r="AY12" s="317">
        <v>0.20799999999999999</v>
      </c>
      <c r="AZ12" s="317">
        <v>0.215</v>
      </c>
      <c r="BA12" s="317">
        <v>0.23</v>
      </c>
      <c r="BB12" s="317">
        <v>0.23899999999999999</v>
      </c>
      <c r="BC12" s="317">
        <v>0.23499999999999999</v>
      </c>
      <c r="BD12" s="317">
        <v>0.22800000000000001</v>
      </c>
      <c r="BE12" s="317">
        <v>0.23200000000000001</v>
      </c>
      <c r="BF12" s="317">
        <v>0.22600000000000001</v>
      </c>
      <c r="BG12" s="317">
        <v>0.23</v>
      </c>
      <c r="BH12" s="317">
        <v>0.23499999999999999</v>
      </c>
      <c r="BI12" s="317">
        <v>0.24</v>
      </c>
      <c r="BJ12" s="317">
        <v>0.23799999999999999</v>
      </c>
      <c r="BK12" s="317">
        <v>0.23</v>
      </c>
      <c r="BL12" s="317">
        <v>0.23499999999999999</v>
      </c>
      <c r="BM12" s="317">
        <v>0.22800000000000001</v>
      </c>
      <c r="BN12" s="317">
        <v>0.23200000000000001</v>
      </c>
      <c r="BO12" s="317">
        <v>0.23899999999999999</v>
      </c>
      <c r="BP12" s="317">
        <v>0.248</v>
      </c>
      <c r="BQ12" s="317">
        <v>0.24399999999999999</v>
      </c>
      <c r="BR12" s="317">
        <v>0.23799999999999999</v>
      </c>
      <c r="BS12" s="317">
        <v>0.24199999999999999</v>
      </c>
      <c r="BT12" s="317">
        <v>0.23799999999999999</v>
      </c>
      <c r="BU12" s="317">
        <v>0.24</v>
      </c>
      <c r="BV12" s="317">
        <v>0.245</v>
      </c>
      <c r="BW12" s="317">
        <v>0.253</v>
      </c>
      <c r="BX12" s="317">
        <v>0.25</v>
      </c>
      <c r="BY12" s="317">
        <v>0.248</v>
      </c>
      <c r="BZ12" s="317">
        <v>0.249</v>
      </c>
      <c r="CA12" s="317">
        <v>0.24299999999999999</v>
      </c>
      <c r="CB12" s="317">
        <v>0.247</v>
      </c>
      <c r="CC12" s="317">
        <v>0.252</v>
      </c>
      <c r="CD12" s="317">
        <v>0.26357927055397817</v>
      </c>
      <c r="CE12" s="317">
        <v>0.25900000000000001</v>
      </c>
      <c r="CF12" s="317">
        <v>0.25203665196162506</v>
      </c>
      <c r="CG12" s="317">
        <v>0.25700000000000001</v>
      </c>
      <c r="CH12" s="317">
        <v>0.25014609470892774</v>
      </c>
      <c r="CI12" s="317">
        <v>0.25454953458627894</v>
      </c>
      <c r="CJ12" s="317">
        <v>0.26700000000000002</v>
      </c>
      <c r="CK12" s="317">
        <v>0.27900000000000003</v>
      </c>
      <c r="CL12" s="317">
        <v>0.27400000000000002</v>
      </c>
      <c r="CM12" s="317">
        <v>0.27600000000000002</v>
      </c>
      <c r="CN12" s="317">
        <v>0.27400000000000002</v>
      </c>
      <c r="CO12" s="317">
        <v>0.27300000000000002</v>
      </c>
      <c r="CP12" s="317">
        <v>0.27400000000000002</v>
      </c>
      <c r="CQ12" s="317">
        <v>0.28499999999999998</v>
      </c>
      <c r="CR12" s="317">
        <v>0.2974</v>
      </c>
      <c r="CS12" s="317">
        <v>0.29199999999999998</v>
      </c>
      <c r="CT12" s="317">
        <v>0.2903</v>
      </c>
      <c r="CU12" s="317">
        <v>0.29099999999999998</v>
      </c>
      <c r="CV12" s="317">
        <v>0.28899999999999998</v>
      </c>
      <c r="CW12" s="317">
        <v>0.29099999999999998</v>
      </c>
      <c r="CX12" s="317">
        <v>0.30199999999999999</v>
      </c>
      <c r="CY12" s="317">
        <v>0.31030000000000002</v>
      </c>
      <c r="CZ12" s="317">
        <v>0.307</v>
      </c>
      <c r="DA12" s="317">
        <v>0.308</v>
      </c>
      <c r="DB12" s="317">
        <v>0.307</v>
      </c>
      <c r="DC12" s="317">
        <v>0.29899999999999999</v>
      </c>
      <c r="DD12" s="317">
        <v>0.30399999999999999</v>
      </c>
      <c r="DE12" s="317">
        <v>0.309</v>
      </c>
      <c r="DF12" s="317">
        <v>0.28799999999999998</v>
      </c>
      <c r="DG12" s="317">
        <v>0.30399999999999999</v>
      </c>
      <c r="DH12" s="317">
        <v>0.29799999999999999</v>
      </c>
      <c r="DI12" s="317">
        <v>0.30099999999999999</v>
      </c>
      <c r="DJ12" s="317">
        <v>0.28799999999999998</v>
      </c>
      <c r="DK12" s="317">
        <v>0.29499999999999998</v>
      </c>
      <c r="DL12" s="317">
        <v>0.31900000000000001</v>
      </c>
      <c r="DM12" s="317">
        <v>0.33400000000000002</v>
      </c>
      <c r="DN12" s="317">
        <v>0.32800000000000001</v>
      </c>
      <c r="DO12" s="317">
        <v>0.35099999999999998</v>
      </c>
      <c r="DP12" s="317">
        <v>0.33700000000000002</v>
      </c>
      <c r="DQ12" s="317">
        <v>0.35499999999999998</v>
      </c>
      <c r="DR12" s="317">
        <v>0.34399999999999997</v>
      </c>
      <c r="DS12" s="317">
        <v>0.373</v>
      </c>
      <c r="DT12" s="317">
        <v>0.39636474932079863</v>
      </c>
      <c r="DU12" s="317">
        <v>0.39100000000000001</v>
      </c>
      <c r="DV12" s="317">
        <v>0.39073158044789363</v>
      </c>
      <c r="DW12" s="317">
        <v>0.39318999392083492</v>
      </c>
      <c r="DX12" s="317">
        <v>0.39600000000000002</v>
      </c>
      <c r="DY12" s="318">
        <v>0.39400000000000002</v>
      </c>
      <c r="DZ12" s="317">
        <v>0.3940723099520253</v>
      </c>
      <c r="EA12" s="317">
        <v>0.4338640790174777</v>
      </c>
      <c r="EB12" s="317">
        <v>0.42774474086913794</v>
      </c>
      <c r="EC12" s="317">
        <v>0.42774474086913794</v>
      </c>
      <c r="ED12" s="317">
        <v>0.42774474086913794</v>
      </c>
      <c r="EE12" s="317">
        <v>0.4287947400993567</v>
      </c>
      <c r="EF12" s="317">
        <v>0.43025816377659387</v>
      </c>
      <c r="EG12" s="317">
        <v>0.44315585863822865</v>
      </c>
      <c r="EH12" s="317">
        <f>1-SUM(EH9:EH11)</f>
        <v>0.44000145715865857</v>
      </c>
      <c r="EI12" s="317">
        <f>1-SUM(EI9:EI11)</f>
        <v>0.44138816741094422</v>
      </c>
      <c r="EJ12" s="317">
        <v>0.43781540962873</v>
      </c>
      <c r="EK12" s="317">
        <v>0.44014361687723874</v>
      </c>
      <c r="EL12" s="317">
        <v>0.42973874504880749</v>
      </c>
      <c r="EM12" s="317">
        <v>0.43671783474867026</v>
      </c>
      <c r="EN12" s="317">
        <v>0.43854206710768645</v>
      </c>
      <c r="EO12" s="317">
        <v>0.45613383882431963</v>
      </c>
      <c r="EP12" s="317">
        <v>0.44866949577899173</v>
      </c>
      <c r="EQ12" s="317">
        <v>0.44923214018417279</v>
      </c>
      <c r="ER12" s="317">
        <v>0.44923214018417279</v>
      </c>
      <c r="ES12" s="317">
        <f>1-SUM(ES9:ES11)</f>
        <v>0.44076807985271993</v>
      </c>
      <c r="ET12" s="317">
        <f>1-SUM(ET9:ET11)</f>
        <v>0.44657840829924367</v>
      </c>
      <c r="EU12" s="317">
        <v>0.45113227231181902</v>
      </c>
      <c r="EV12" s="317">
        <v>0.45113227231181902</v>
      </c>
      <c r="EW12" s="317">
        <v>0.45113227231181902</v>
      </c>
    </row>
    <row r="13" spans="1:154" ht="16.350000000000001" customHeight="1">
      <c r="A13" s="174"/>
      <c r="B13" s="319"/>
      <c r="C13" s="319"/>
      <c r="D13" s="320"/>
      <c r="E13" s="320"/>
      <c r="F13" s="321"/>
      <c r="G13" s="320"/>
      <c r="H13" s="321"/>
      <c r="I13" s="320"/>
      <c r="J13" s="320"/>
      <c r="K13" s="320"/>
      <c r="L13" s="320"/>
      <c r="M13" s="321"/>
      <c r="N13" s="320"/>
      <c r="O13" s="321"/>
      <c r="P13" s="320"/>
      <c r="Q13" s="320"/>
      <c r="R13" s="320"/>
      <c r="S13" s="321"/>
      <c r="T13" s="321"/>
      <c r="U13" s="321"/>
      <c r="V13" s="321"/>
      <c r="W13" s="321"/>
      <c r="X13" s="321"/>
      <c r="Y13" s="321"/>
      <c r="Z13" s="321"/>
      <c r="AA13" s="321"/>
      <c r="AB13" s="321"/>
      <c r="AC13" s="321"/>
      <c r="AD13" s="321"/>
      <c r="AE13" s="321"/>
      <c r="AF13" s="321"/>
      <c r="AG13" s="321"/>
      <c r="AH13" s="321"/>
      <c r="AI13" s="321"/>
      <c r="AJ13" s="321"/>
      <c r="AK13" s="321"/>
      <c r="AL13" s="321"/>
      <c r="AM13" s="321"/>
      <c r="AN13" s="321"/>
      <c r="AO13" s="321"/>
      <c r="AP13" s="321"/>
      <c r="AQ13" s="321"/>
      <c r="AR13" s="321"/>
      <c r="AS13" s="321"/>
      <c r="AT13" s="321"/>
      <c r="AU13" s="321"/>
      <c r="AV13" s="321"/>
      <c r="AW13" s="321"/>
      <c r="AX13" s="321"/>
      <c r="AY13" s="321"/>
      <c r="AZ13" s="321"/>
      <c r="BA13" s="321"/>
      <c r="BB13" s="321"/>
      <c r="BC13" s="321"/>
      <c r="BD13" s="321"/>
      <c r="BE13" s="321"/>
      <c r="BF13" s="321"/>
      <c r="BG13" s="321"/>
      <c r="BH13" s="321"/>
      <c r="BI13" s="321"/>
      <c r="BJ13" s="321"/>
      <c r="BK13" s="321"/>
      <c r="BL13" s="321"/>
      <c r="BM13" s="321"/>
      <c r="BN13" s="321"/>
      <c r="BO13" s="321"/>
      <c r="BP13" s="321"/>
      <c r="BQ13" s="321"/>
      <c r="BR13" s="321"/>
      <c r="BS13" s="321"/>
      <c r="BT13" s="321"/>
      <c r="BU13" s="321"/>
      <c r="BV13" s="321"/>
      <c r="BW13" s="321"/>
      <c r="BX13" s="321"/>
      <c r="BY13" s="321"/>
      <c r="BZ13" s="321"/>
      <c r="CA13" s="321"/>
      <c r="CB13" s="321"/>
      <c r="CC13" s="321"/>
      <c r="CD13" s="321"/>
      <c r="CE13" s="321"/>
      <c r="CF13" s="321"/>
      <c r="CG13" s="321"/>
      <c r="CH13" s="321"/>
      <c r="CI13" s="321"/>
      <c r="CJ13" s="321"/>
      <c r="CK13" s="321"/>
      <c r="CL13" s="321"/>
      <c r="CM13" s="321"/>
      <c r="CN13" s="321"/>
      <c r="CO13" s="321"/>
      <c r="CP13" s="321"/>
      <c r="CQ13" s="321"/>
      <c r="CR13" s="321"/>
      <c r="CS13" s="321"/>
      <c r="CT13" s="321"/>
      <c r="CU13" s="321"/>
      <c r="CV13" s="321"/>
      <c r="CW13" s="321"/>
      <c r="CX13" s="321"/>
      <c r="CY13" s="321"/>
      <c r="CZ13" s="321"/>
      <c r="DA13" s="321"/>
      <c r="DB13" s="321"/>
      <c r="DC13" s="321"/>
      <c r="DD13" s="321"/>
      <c r="DE13" s="321"/>
      <c r="DF13" s="321"/>
      <c r="DG13" s="321"/>
      <c r="DH13" s="321"/>
      <c r="DI13" s="321"/>
      <c r="DJ13" s="321"/>
      <c r="DK13" s="321"/>
      <c r="DL13" s="321"/>
      <c r="DM13" s="321"/>
      <c r="DN13" s="321"/>
      <c r="DO13" s="321"/>
      <c r="DP13" s="321"/>
      <c r="DQ13" s="321"/>
      <c r="DR13" s="321"/>
      <c r="DS13" s="321"/>
      <c r="DT13" s="321"/>
      <c r="DU13" s="321"/>
      <c r="DV13" s="321"/>
      <c r="DW13" s="321"/>
      <c r="DX13" s="321"/>
      <c r="DY13" s="321"/>
      <c r="DZ13" s="321"/>
      <c r="EA13" s="321"/>
      <c r="EB13" s="321"/>
      <c r="EG13" s="322"/>
      <c r="EH13" s="322"/>
      <c r="EI13" s="322"/>
      <c r="EJ13" s="322"/>
      <c r="EK13" s="322"/>
      <c r="EL13" s="322"/>
      <c r="EM13" s="322"/>
      <c r="EN13" s="321"/>
      <c r="EO13" s="322"/>
      <c r="EP13" s="322"/>
      <c r="EQ13" s="322"/>
      <c r="ER13" s="322"/>
      <c r="ES13" s="322"/>
      <c r="ET13" s="322"/>
      <c r="EU13" s="321"/>
      <c r="EV13" s="322"/>
      <c r="EW13" s="322"/>
    </row>
    <row r="14" spans="1:154" ht="16.350000000000001" customHeight="1">
      <c r="A14" s="174"/>
      <c r="B14" s="156" t="s">
        <v>441</v>
      </c>
      <c r="C14" s="156" t="s">
        <v>442</v>
      </c>
      <c r="D14" s="312"/>
      <c r="E14" s="312"/>
      <c r="F14" s="312"/>
      <c r="G14" s="312"/>
      <c r="H14" s="312"/>
      <c r="I14" s="312"/>
      <c r="J14" s="312"/>
      <c r="K14" s="312"/>
      <c r="L14" s="312"/>
      <c r="M14" s="312"/>
      <c r="N14" s="312"/>
      <c r="O14" s="312"/>
      <c r="P14" s="312"/>
      <c r="Q14" s="312"/>
      <c r="R14" s="312"/>
      <c r="S14" s="312"/>
      <c r="T14" s="312"/>
      <c r="U14" s="312"/>
      <c r="V14" s="312"/>
      <c r="W14" s="312"/>
      <c r="X14" s="312"/>
      <c r="Y14" s="312"/>
      <c r="Z14" s="312"/>
      <c r="AA14" s="312"/>
      <c r="AB14" s="312"/>
      <c r="AC14" s="312"/>
      <c r="AD14" s="312"/>
      <c r="AE14" s="312"/>
      <c r="AF14" s="312"/>
      <c r="AG14" s="312"/>
      <c r="AH14" s="312"/>
      <c r="AI14" s="312"/>
      <c r="AJ14" s="312"/>
      <c r="AK14" s="312"/>
      <c r="AL14" s="312"/>
      <c r="AM14" s="312"/>
      <c r="AN14" s="312"/>
      <c r="AO14" s="312"/>
      <c r="AP14" s="312"/>
      <c r="AQ14" s="312"/>
      <c r="AR14" s="312"/>
      <c r="AS14" s="312"/>
      <c r="AT14" s="312"/>
      <c r="AU14" s="312"/>
      <c r="AV14" s="312"/>
      <c r="AW14" s="312"/>
      <c r="AX14" s="312"/>
      <c r="AY14" s="312"/>
      <c r="AZ14" s="312"/>
      <c r="BA14" s="312"/>
      <c r="BB14" s="312"/>
      <c r="BC14" s="312"/>
      <c r="BD14" s="312"/>
      <c r="BE14" s="312"/>
      <c r="BF14" s="312"/>
      <c r="BG14" s="312"/>
      <c r="BH14" s="312"/>
      <c r="BI14" s="312"/>
      <c r="BJ14" s="312"/>
      <c r="BK14" s="312"/>
      <c r="BL14" s="312"/>
      <c r="BM14" s="312"/>
      <c r="BN14" s="312"/>
      <c r="BO14" s="312"/>
      <c r="BP14" s="312"/>
      <c r="BQ14" s="312"/>
      <c r="BR14" s="312"/>
      <c r="BS14" s="312"/>
      <c r="BT14" s="312"/>
      <c r="BU14" s="312"/>
      <c r="BV14" s="312"/>
      <c r="BW14" s="312"/>
      <c r="BX14" s="312"/>
      <c r="BY14" s="312"/>
      <c r="BZ14" s="312"/>
      <c r="CA14" s="312"/>
      <c r="CB14" s="312"/>
      <c r="CC14" s="312"/>
      <c r="CD14" s="312"/>
      <c r="CE14" s="312"/>
      <c r="CF14" s="312"/>
      <c r="CG14" s="312"/>
      <c r="CH14" s="312"/>
      <c r="CI14" s="312"/>
      <c r="CJ14" s="312"/>
      <c r="CK14" s="312"/>
      <c r="CL14" s="312"/>
      <c r="CM14" s="312"/>
      <c r="CN14" s="312"/>
      <c r="CO14" s="312"/>
      <c r="CP14" s="312"/>
      <c r="CQ14" s="312"/>
      <c r="CR14" s="312"/>
      <c r="CS14" s="312"/>
      <c r="CT14" s="312"/>
      <c r="CU14" s="312"/>
      <c r="CV14" s="312"/>
      <c r="CW14" s="312"/>
      <c r="CX14" s="312"/>
      <c r="CY14" s="312"/>
      <c r="CZ14" s="312"/>
      <c r="DA14" s="312"/>
      <c r="DB14" s="312"/>
      <c r="DC14" s="312"/>
      <c r="DD14" s="312"/>
      <c r="DE14" s="312"/>
      <c r="DF14" s="312"/>
      <c r="DG14" s="312"/>
      <c r="DH14" s="312"/>
      <c r="DI14" s="312"/>
      <c r="DJ14" s="312"/>
      <c r="DK14" s="312"/>
      <c r="DL14" s="312"/>
      <c r="DM14" s="312"/>
      <c r="DN14" s="312"/>
      <c r="DO14" s="312"/>
      <c r="DP14" s="312"/>
      <c r="DQ14" s="312"/>
      <c r="DR14" s="312"/>
      <c r="DS14" s="312"/>
      <c r="DT14" s="312"/>
      <c r="DU14" s="312"/>
      <c r="DV14" s="312"/>
      <c r="DW14" s="312"/>
      <c r="DX14" s="312"/>
      <c r="DY14" s="312"/>
      <c r="DZ14" s="312"/>
      <c r="EA14" s="312"/>
      <c r="EB14" s="312"/>
      <c r="EC14" s="312"/>
      <c r="ED14" s="312"/>
      <c r="EE14" s="312"/>
      <c r="EF14" s="312"/>
      <c r="EG14" s="312"/>
      <c r="EH14" s="312"/>
      <c r="EI14" s="312"/>
      <c r="EJ14" s="312"/>
      <c r="EK14" s="312"/>
      <c r="EL14" s="312"/>
      <c r="EM14" s="312"/>
      <c r="EN14" s="312"/>
      <c r="EO14" s="312"/>
      <c r="EP14" s="312"/>
      <c r="EQ14" s="312"/>
      <c r="ER14" s="312"/>
      <c r="ES14" s="312"/>
      <c r="ET14" s="312"/>
      <c r="EU14" s="312"/>
      <c r="EV14" s="312"/>
      <c r="EW14" s="312"/>
    </row>
    <row r="15" spans="1:154" ht="16.350000000000001" customHeight="1">
      <c r="A15" s="174"/>
      <c r="B15" s="158" t="s">
        <v>444</v>
      </c>
      <c r="C15" s="158" t="s">
        <v>443</v>
      </c>
      <c r="D15" s="323">
        <v>83.22</v>
      </c>
      <c r="E15" s="323">
        <v>99.94</v>
      </c>
      <c r="F15" s="323">
        <v>92.86</v>
      </c>
      <c r="G15" s="323">
        <v>92.42</v>
      </c>
      <c r="H15" s="323">
        <v>92.7</v>
      </c>
      <c r="I15" s="323">
        <v>106.06</v>
      </c>
      <c r="J15" s="323">
        <v>97.7</v>
      </c>
      <c r="K15" s="323">
        <v>89.56</v>
      </c>
      <c r="L15" s="323">
        <v>108.01</v>
      </c>
      <c r="M15" s="323">
        <v>100.13</v>
      </c>
      <c r="N15" s="323">
        <v>98.22</v>
      </c>
      <c r="O15" s="323">
        <v>99.45</v>
      </c>
      <c r="P15" s="323">
        <v>112.69</v>
      </c>
      <c r="Q15" s="323">
        <v>103.84</v>
      </c>
      <c r="R15" s="323">
        <v>93.57</v>
      </c>
      <c r="S15" s="323">
        <v>111.13</v>
      </c>
      <c r="T15" s="323">
        <v>103.71</v>
      </c>
      <c r="U15" s="323">
        <v>100.78</v>
      </c>
      <c r="V15" s="323">
        <v>102.68</v>
      </c>
      <c r="W15" s="323">
        <v>116.48</v>
      </c>
      <c r="X15" s="323">
        <v>107.12</v>
      </c>
      <c r="Y15" s="323">
        <v>101.35</v>
      </c>
      <c r="Z15" s="323">
        <v>117.3</v>
      </c>
      <c r="AA15" s="323">
        <v>107.84</v>
      </c>
      <c r="AB15" s="323">
        <v>107.3</v>
      </c>
      <c r="AC15" s="323">
        <v>109.51</v>
      </c>
      <c r="AD15" s="323">
        <v>121.09</v>
      </c>
      <c r="AE15" s="323">
        <v>112.97</v>
      </c>
      <c r="AF15" s="323">
        <v>102.93</v>
      </c>
      <c r="AG15" s="323">
        <v>128.53</v>
      </c>
      <c r="AH15" s="323">
        <v>117.63</v>
      </c>
      <c r="AI15" s="323">
        <v>116.96</v>
      </c>
      <c r="AJ15" s="323">
        <v>117.4</v>
      </c>
      <c r="AK15" s="323">
        <v>132.86000000000001</v>
      </c>
      <c r="AL15" s="323">
        <v>122.26</v>
      </c>
      <c r="AM15" s="323">
        <v>115.53</v>
      </c>
      <c r="AN15" s="323">
        <v>138.08000000000001</v>
      </c>
      <c r="AO15" s="323">
        <v>128.31</v>
      </c>
      <c r="AP15" s="323">
        <v>125.67</v>
      </c>
      <c r="AQ15" s="323">
        <v>127.38</v>
      </c>
      <c r="AR15" s="323">
        <v>142.74</v>
      </c>
      <c r="AS15" s="323">
        <v>132.16</v>
      </c>
      <c r="AT15" s="323">
        <v>128.19999999999999</v>
      </c>
      <c r="AU15" s="323">
        <v>155.47</v>
      </c>
      <c r="AV15" s="323">
        <v>143.32</v>
      </c>
      <c r="AW15" s="323">
        <v>136.34</v>
      </c>
      <c r="AX15" s="323">
        <v>140.9</v>
      </c>
      <c r="AY15" s="323">
        <v>155.78</v>
      </c>
      <c r="AZ15" s="323">
        <v>145.53</v>
      </c>
      <c r="BA15" s="323">
        <v>138.72</v>
      </c>
      <c r="BB15" s="323">
        <v>161.46</v>
      </c>
      <c r="BC15" s="323">
        <v>151.5</v>
      </c>
      <c r="BD15" s="323">
        <v>147.66</v>
      </c>
      <c r="BE15" s="323">
        <v>150.13</v>
      </c>
      <c r="BF15" s="323">
        <v>165.27</v>
      </c>
      <c r="BG15" s="323">
        <v>154.94999999999999</v>
      </c>
      <c r="BH15" s="323">
        <v>146.91</v>
      </c>
      <c r="BI15" s="323">
        <v>164.51369373976576</v>
      </c>
      <c r="BJ15" s="323">
        <v>156.78</v>
      </c>
      <c r="BK15" s="323">
        <v>156.96</v>
      </c>
      <c r="BL15" s="323">
        <v>156.84</v>
      </c>
      <c r="BM15" s="323">
        <v>178.51</v>
      </c>
      <c r="BN15" s="323">
        <v>163.68</v>
      </c>
      <c r="BO15" s="323">
        <v>155.62</v>
      </c>
      <c r="BP15" s="323">
        <v>180.39</v>
      </c>
      <c r="BQ15" s="323">
        <v>169.45</v>
      </c>
      <c r="BR15" s="323">
        <v>169.24</v>
      </c>
      <c r="BS15" s="323">
        <v>169.37</v>
      </c>
      <c r="BT15" s="323">
        <v>190.4</v>
      </c>
      <c r="BU15" s="323">
        <v>176.28</v>
      </c>
      <c r="BV15" s="323">
        <v>165.81</v>
      </c>
      <c r="BW15" s="323">
        <v>189.45</v>
      </c>
      <c r="BX15" s="323">
        <v>179.04</v>
      </c>
      <c r="BY15" s="323">
        <v>177.97</v>
      </c>
      <c r="BZ15" s="323">
        <v>178.67</v>
      </c>
      <c r="CA15" s="323">
        <v>197.43532572253767</v>
      </c>
      <c r="CB15" s="323">
        <v>184.4782844533562</v>
      </c>
      <c r="CC15" s="323">
        <v>170.82</v>
      </c>
      <c r="CD15" s="323">
        <v>200.60506327734862</v>
      </c>
      <c r="CE15" s="323">
        <v>187.51617876432178</v>
      </c>
      <c r="CF15" s="323">
        <v>182.02850332063497</v>
      </c>
      <c r="CG15" s="323">
        <v>185.65183123381024</v>
      </c>
      <c r="CH15" s="323">
        <v>204.28455966586452</v>
      </c>
      <c r="CI15" s="323">
        <v>191.4603833343017</v>
      </c>
      <c r="CJ15" s="323">
        <v>177.45723560951512</v>
      </c>
      <c r="CK15" s="323">
        <v>205.30062318697244</v>
      </c>
      <c r="CL15" s="323">
        <v>192.56211040891446</v>
      </c>
      <c r="CM15" s="323">
        <v>185.31255534216839</v>
      </c>
      <c r="CN15" s="323">
        <v>190.02146365236973</v>
      </c>
      <c r="CO15" s="323">
        <v>206.93391365890034</v>
      </c>
      <c r="CP15" s="323">
        <v>195.29190181805768</v>
      </c>
      <c r="CQ15" s="323">
        <v>180.11377850887143</v>
      </c>
      <c r="CR15" s="323">
        <v>207.77512643845563</v>
      </c>
      <c r="CS15" s="323">
        <v>195.21748185898176</v>
      </c>
      <c r="CT15" s="323">
        <v>192.06185320842073</v>
      </c>
      <c r="CU15" s="323">
        <v>194.08640003109772</v>
      </c>
      <c r="CV15" s="323">
        <v>217.05131744738847</v>
      </c>
      <c r="CW15" s="323">
        <v>201.40674371793489</v>
      </c>
      <c r="CX15" s="323">
        <v>185.43025245020934</v>
      </c>
      <c r="CY15" s="323">
        <v>213.86929599561523</v>
      </c>
      <c r="CZ15" s="323">
        <v>200.69112101095769</v>
      </c>
      <c r="DA15" s="323">
        <v>200.19885629559258</v>
      </c>
      <c r="DB15" s="323">
        <v>200.51840517035191</v>
      </c>
      <c r="DC15" s="323">
        <v>224.06785923154706</v>
      </c>
      <c r="DD15" s="323">
        <v>207.86185969238826</v>
      </c>
      <c r="DE15" s="323">
        <v>186.22044668715111</v>
      </c>
      <c r="DF15" s="323">
        <v>204.04178865394584</v>
      </c>
      <c r="DG15" s="323">
        <v>190.91694536467242</v>
      </c>
      <c r="DH15" s="323">
        <v>205.91840132651191</v>
      </c>
      <c r="DI15" s="323">
        <v>197.04099326455548</v>
      </c>
      <c r="DJ15" s="323">
        <v>234.20476261527722</v>
      </c>
      <c r="DK15" s="323">
        <v>211.49215146524429</v>
      </c>
      <c r="DL15" s="323">
        <v>199.08797950054526</v>
      </c>
      <c r="DM15" s="323">
        <v>252.57307833460303</v>
      </c>
      <c r="DN15" s="323">
        <v>230.63407330268106</v>
      </c>
      <c r="DO15" s="323">
        <v>218.9177268536063</v>
      </c>
      <c r="DP15" s="323">
        <v>217.08627156643357</v>
      </c>
      <c r="DQ15" s="323">
        <v>253.1222756611879</v>
      </c>
      <c r="DR15" s="323">
        <v>229.30078613271488</v>
      </c>
      <c r="DS15" s="323">
        <v>247.18801317537975</v>
      </c>
      <c r="DT15" s="323">
        <v>294.3679749544267</v>
      </c>
      <c r="DU15" s="323">
        <v>273.20831043642926</v>
      </c>
      <c r="DV15" s="323">
        <v>269.8212965360301</v>
      </c>
      <c r="DW15" s="323">
        <v>272.11671301633822</v>
      </c>
      <c r="DX15" s="323">
        <v>299.07593008821129</v>
      </c>
      <c r="DY15" s="323">
        <v>279.71941930901238</v>
      </c>
      <c r="DZ15" s="323">
        <v>258.9536560732106</v>
      </c>
      <c r="EA15" s="323">
        <v>293.92262363452181</v>
      </c>
      <c r="EB15" s="323">
        <v>278.1039617439634</v>
      </c>
      <c r="EC15" s="323">
        <v>273.97399494665422</v>
      </c>
      <c r="ED15" s="323">
        <v>276.7551386581444</v>
      </c>
      <c r="EE15" s="323">
        <v>295.97048771890508</v>
      </c>
      <c r="EF15" s="323">
        <v>282.55036504559286</v>
      </c>
      <c r="EG15" s="323">
        <v>273.75320123704495</v>
      </c>
      <c r="EH15" s="323">
        <v>299.73940314900426</v>
      </c>
      <c r="EI15" s="323">
        <v>288.11690717686298</v>
      </c>
      <c r="EJ15" s="323">
        <v>272.88876395966633</v>
      </c>
      <c r="EK15" s="323">
        <v>282.53353782722974</v>
      </c>
      <c r="EL15" s="323">
        <v>294.09291437365533</v>
      </c>
      <c r="EM15" s="323">
        <v>286.21124016312172</v>
      </c>
      <c r="EN15" s="323">
        <v>266.74239723153306</v>
      </c>
      <c r="EO15" s="323">
        <v>318.76584866736283</v>
      </c>
      <c r="EP15" s="323">
        <v>294.81391860469341</v>
      </c>
      <c r="EQ15" s="323">
        <v>289.91763426598487</v>
      </c>
      <c r="ER15" s="323">
        <v>293.18816942924582</v>
      </c>
      <c r="ES15" s="323">
        <v>308.88238057508403</v>
      </c>
      <c r="ET15" s="323">
        <v>297.86848479810266</v>
      </c>
      <c r="EU15" s="323">
        <v>281.1631306811986</v>
      </c>
      <c r="EV15" s="323">
        <v>315.43341569325815</v>
      </c>
      <c r="EW15" s="323">
        <v>300.08721226315635</v>
      </c>
      <c r="EX15" s="5"/>
    </row>
    <row r="16" spans="1:154" ht="16.350000000000001" customHeight="1">
      <c r="A16" s="174"/>
      <c r="B16" s="208" t="s">
        <v>446</v>
      </c>
      <c r="C16" s="208" t="s">
        <v>445</v>
      </c>
      <c r="D16" s="317" t="s">
        <v>37</v>
      </c>
      <c r="E16" s="317" t="s">
        <v>37</v>
      </c>
      <c r="F16" s="317" t="s">
        <v>37</v>
      </c>
      <c r="G16" s="317" t="s">
        <v>37</v>
      </c>
      <c r="H16" s="317" t="s">
        <v>37</v>
      </c>
      <c r="I16" s="317" t="s">
        <v>37</v>
      </c>
      <c r="J16" s="317" t="s">
        <v>37</v>
      </c>
      <c r="K16" s="317" t="s">
        <v>37</v>
      </c>
      <c r="L16" s="317" t="s">
        <v>37</v>
      </c>
      <c r="M16" s="317" t="s">
        <v>37</v>
      </c>
      <c r="N16" s="317" t="s">
        <v>37</v>
      </c>
      <c r="O16" s="317" t="s">
        <v>37</v>
      </c>
      <c r="P16" s="317" t="s">
        <v>37</v>
      </c>
      <c r="Q16" s="317" t="s">
        <v>37</v>
      </c>
      <c r="R16" s="324">
        <v>69.331023868122912</v>
      </c>
      <c r="S16" s="324">
        <v>85.390695867100348</v>
      </c>
      <c r="T16" s="324">
        <v>78.316622637138238</v>
      </c>
      <c r="U16" s="324">
        <v>77.098507482044354</v>
      </c>
      <c r="V16" s="324">
        <v>77.891987802942666</v>
      </c>
      <c r="W16" s="324">
        <v>86.696629710478007</v>
      </c>
      <c r="X16" s="324">
        <v>80.826518455252113</v>
      </c>
      <c r="Y16" s="324">
        <v>74.906983436297082</v>
      </c>
      <c r="Z16" s="324">
        <v>89.100046264349814</v>
      </c>
      <c r="AA16" s="324">
        <v>82.689481424994284</v>
      </c>
      <c r="AB16" s="324">
        <v>81.596006378137005</v>
      </c>
      <c r="AC16" s="324">
        <v>82.324844285818529</v>
      </c>
      <c r="AD16" s="324">
        <v>89.68125790012644</v>
      </c>
      <c r="AE16" s="324">
        <v>84.587569834935806</v>
      </c>
      <c r="AF16" s="324">
        <v>76.041396507494156</v>
      </c>
      <c r="AG16" s="324">
        <v>98.072986163514429</v>
      </c>
      <c r="AH16" s="324">
        <v>88.313999955867899</v>
      </c>
      <c r="AI16" s="324">
        <v>87.733101187758948</v>
      </c>
      <c r="AJ16" s="324">
        <v>88.111875336805099</v>
      </c>
      <c r="AK16" s="324">
        <v>97.226801382527341</v>
      </c>
      <c r="AL16" s="324">
        <v>91.06092976523118</v>
      </c>
      <c r="AM16" s="324">
        <v>85.067764104122418</v>
      </c>
      <c r="AN16" s="324">
        <v>104.26230616766367</v>
      </c>
      <c r="AO16" s="324">
        <v>95.679522762078676</v>
      </c>
      <c r="AP16" s="324">
        <v>93.484897141319834</v>
      </c>
      <c r="AQ16" s="324">
        <v>94.905170743794983</v>
      </c>
      <c r="AR16" s="324">
        <v>103.45536695990764</v>
      </c>
      <c r="AS16" s="324">
        <v>97.652102348624908</v>
      </c>
      <c r="AT16" s="324">
        <v>93.26542887035589</v>
      </c>
      <c r="AU16" s="324">
        <v>112.3088021063563</v>
      </c>
      <c r="AV16" s="324">
        <v>103.74493797574235</v>
      </c>
      <c r="AW16" s="324">
        <v>100.07</v>
      </c>
      <c r="AX16" s="324">
        <v>102.49</v>
      </c>
      <c r="AY16" s="324">
        <v>110.37</v>
      </c>
      <c r="AZ16" s="324">
        <v>105.01</v>
      </c>
      <c r="BA16" s="324">
        <v>99.21</v>
      </c>
      <c r="BB16" s="324">
        <v>118.94</v>
      </c>
      <c r="BC16" s="324">
        <v>109.97</v>
      </c>
      <c r="BD16" s="324">
        <v>108.16</v>
      </c>
      <c r="BE16" s="324">
        <v>109.33</v>
      </c>
      <c r="BF16" s="324">
        <v>117.09</v>
      </c>
      <c r="BG16" s="324">
        <v>111.9</v>
      </c>
      <c r="BH16" s="324">
        <v>105.41</v>
      </c>
      <c r="BI16" s="324">
        <v>120.98169739761998</v>
      </c>
      <c r="BJ16" s="324">
        <v>113.86</v>
      </c>
      <c r="BK16" s="324">
        <v>113.11</v>
      </c>
      <c r="BL16" s="324">
        <v>113.59</v>
      </c>
      <c r="BM16" s="324">
        <v>125.04</v>
      </c>
      <c r="BN16" s="324">
        <v>117.31</v>
      </c>
      <c r="BO16" s="324">
        <v>111.13</v>
      </c>
      <c r="BP16" s="324">
        <v>130.94999999999999</v>
      </c>
      <c r="BQ16" s="324">
        <v>121.92</v>
      </c>
      <c r="BR16" s="324">
        <v>122.96</v>
      </c>
      <c r="BS16" s="324">
        <v>122.28</v>
      </c>
      <c r="BT16" s="324">
        <v>134.79</v>
      </c>
      <c r="BU16" s="324">
        <v>126.56</v>
      </c>
      <c r="BV16" s="324">
        <v>119.44</v>
      </c>
      <c r="BW16" s="324">
        <v>139.77000000000001</v>
      </c>
      <c r="BX16" s="324">
        <v>130.44999999999999</v>
      </c>
      <c r="BY16" s="324">
        <v>130.62</v>
      </c>
      <c r="BZ16" s="324">
        <v>130.53</v>
      </c>
      <c r="CA16" s="324">
        <v>141.57426111621808</v>
      </c>
      <c r="CB16" s="324">
        <v>134.04259402294394</v>
      </c>
      <c r="CC16" s="324">
        <v>125.52</v>
      </c>
      <c r="CD16" s="324">
        <v>149.87078828439815</v>
      </c>
      <c r="CE16" s="324">
        <v>138.68278229320353</v>
      </c>
      <c r="CF16" s="324">
        <v>134.69651401421376</v>
      </c>
      <c r="CG16" s="324">
        <v>137.34723429385028</v>
      </c>
      <c r="CH16" s="324">
        <v>146.78480715810664</v>
      </c>
      <c r="CI16" s="324">
        <v>140.4048894519496</v>
      </c>
      <c r="CJ16" s="324">
        <v>129.40066812678808</v>
      </c>
      <c r="CK16" s="324">
        <v>153.30634346916466</v>
      </c>
      <c r="CL16" s="324">
        <v>142.05600994390525</v>
      </c>
      <c r="CM16" s="324">
        <v>139.30885082815092</v>
      </c>
      <c r="CN16" s="324">
        <v>141.10548461913632</v>
      </c>
      <c r="CO16" s="324">
        <v>150.26712261568767</v>
      </c>
      <c r="CP16" s="324">
        <v>144.06400711389867</v>
      </c>
      <c r="CQ16" s="324">
        <v>131.98921178505418</v>
      </c>
      <c r="CR16" s="324">
        <v>155.67411869665219</v>
      </c>
      <c r="CS16" s="324">
        <v>144.4533292608518</v>
      </c>
      <c r="CT16" s="324">
        <v>144.2920469620758</v>
      </c>
      <c r="CU16" s="324">
        <v>144.39679359236237</v>
      </c>
      <c r="CV16" s="324">
        <v>158.47793032747353</v>
      </c>
      <c r="CW16" s="325">
        <v>149.02214200544336</v>
      </c>
      <c r="CX16" s="324">
        <v>136.78946767695822</v>
      </c>
      <c r="CY16" s="324">
        <v>161.30292472794213</v>
      </c>
      <c r="CZ16" s="324">
        <v>149.40879063764945</v>
      </c>
      <c r="DA16" s="324">
        <v>150.73863979965392</v>
      </c>
      <c r="DB16" s="324">
        <v>149.86580712519816</v>
      </c>
      <c r="DC16" s="324">
        <v>164.57982734162505</v>
      </c>
      <c r="DD16" s="324">
        <v>154.53543554275558</v>
      </c>
      <c r="DE16" s="324">
        <v>141.21460206786799</v>
      </c>
      <c r="DF16" s="324">
        <v>147.61023140520234</v>
      </c>
      <c r="DG16" s="324">
        <v>142.75516010556967</v>
      </c>
      <c r="DH16" s="324">
        <v>142.71754477261777</v>
      </c>
      <c r="DI16" s="324">
        <v>142.73849673794732</v>
      </c>
      <c r="DJ16" s="324">
        <v>162.9716539662374</v>
      </c>
      <c r="DK16" s="324">
        <v>151.06251337628771</v>
      </c>
      <c r="DL16" s="324">
        <v>138.27926173562923</v>
      </c>
      <c r="DM16" s="324">
        <v>184.77595313612764</v>
      </c>
      <c r="DN16" s="324">
        <v>162.4242434236333</v>
      </c>
      <c r="DO16" s="324">
        <v>167.03855703889081</v>
      </c>
      <c r="DP16" s="324">
        <v>164.21427033553744</v>
      </c>
      <c r="DQ16" s="326">
        <v>189.00234112206735</v>
      </c>
      <c r="DR16" s="326">
        <v>172.70299507078903</v>
      </c>
      <c r="DS16" s="326">
        <v>175.7791514663557</v>
      </c>
      <c r="DT16" s="326">
        <v>215.64038568039476</v>
      </c>
      <c r="DU16" s="326">
        <v>197.35389249787863</v>
      </c>
      <c r="DV16" s="326">
        <v>195.61242425969724</v>
      </c>
      <c r="DW16" s="326">
        <v>196.78603134811647</v>
      </c>
      <c r="DX16" s="326">
        <v>210.95196935903388</v>
      </c>
      <c r="DY16" s="326">
        <v>200.95167834493824</v>
      </c>
      <c r="DZ16" s="326">
        <v>189.17222299844585</v>
      </c>
      <c r="EA16" s="326">
        <v>221.39646915703523</v>
      </c>
      <c r="EB16" s="326">
        <v>202.96962212732359</v>
      </c>
      <c r="EC16" s="326">
        <v>199.9450185384577</v>
      </c>
      <c r="ED16" s="326">
        <v>201.79689328971807</v>
      </c>
      <c r="EE16" s="326">
        <v>208.13708433590045</v>
      </c>
      <c r="EF16" s="326">
        <v>204.0329616645964</v>
      </c>
      <c r="EG16" s="326">
        <v>187.70856785163224</v>
      </c>
      <c r="EH16" s="326">
        <v>213.39255634198997</v>
      </c>
      <c r="EI16" s="326">
        <v>201.3373558988867</v>
      </c>
      <c r="EJ16" s="326">
        <v>198.75501099672115</v>
      </c>
      <c r="EK16" s="326">
        <v>205.98619179447741</v>
      </c>
      <c r="EL16" s="326">
        <v>209.28087771945812</v>
      </c>
      <c r="EM16" s="326">
        <v>204.79893711194165</v>
      </c>
      <c r="EN16" s="326">
        <v>193.47532826345321</v>
      </c>
      <c r="EO16" s="326">
        <v>226.87814999106203</v>
      </c>
      <c r="EP16" s="326">
        <v>211.38563356321004</v>
      </c>
      <c r="EQ16" s="326">
        <v>204.80393802714394</v>
      </c>
      <c r="ER16" s="326">
        <v>209.20092034658194</v>
      </c>
      <c r="ES16" s="326">
        <v>211.593412136859</v>
      </c>
      <c r="ET16" s="326">
        <v>209.94630708629322</v>
      </c>
      <c r="EU16" s="326">
        <v>202.01080879758624</v>
      </c>
      <c r="EV16" s="326">
        <v>228.82910023651772</v>
      </c>
      <c r="EW16" s="326">
        <v>216.40556935732133</v>
      </c>
      <c r="EX16" s="5"/>
    </row>
    <row r="17" spans="1:155" ht="16.350000000000001" customHeight="1">
      <c r="A17" s="174"/>
      <c r="B17" s="319"/>
      <c r="C17" s="319"/>
      <c r="D17" s="320"/>
      <c r="E17" s="320"/>
      <c r="F17" s="321"/>
      <c r="G17" s="320"/>
      <c r="H17" s="321"/>
      <c r="I17" s="320"/>
      <c r="J17" s="320"/>
      <c r="K17" s="320"/>
      <c r="L17" s="320"/>
      <c r="M17" s="321"/>
      <c r="N17" s="320"/>
      <c r="O17" s="321"/>
      <c r="P17" s="320"/>
      <c r="Q17" s="320"/>
      <c r="R17" s="320"/>
      <c r="S17" s="321"/>
      <c r="T17" s="321"/>
      <c r="U17" s="321"/>
      <c r="V17" s="321"/>
      <c r="W17" s="321"/>
      <c r="X17" s="321"/>
      <c r="Y17" s="321"/>
      <c r="Z17" s="321"/>
      <c r="AA17" s="321"/>
      <c r="AB17" s="321"/>
      <c r="AC17" s="321"/>
      <c r="AD17" s="321"/>
      <c r="AE17" s="321"/>
      <c r="AF17" s="321"/>
      <c r="AG17" s="321"/>
      <c r="AH17" s="321"/>
      <c r="AI17" s="321"/>
      <c r="AJ17" s="321"/>
      <c r="AK17" s="321"/>
      <c r="AL17" s="321"/>
      <c r="AM17" s="321"/>
      <c r="AN17" s="321"/>
      <c r="AO17" s="321"/>
      <c r="AP17" s="321"/>
      <c r="AQ17" s="321"/>
      <c r="AR17" s="321"/>
      <c r="AS17" s="321"/>
      <c r="AT17" s="321"/>
      <c r="AU17" s="321"/>
      <c r="AV17" s="321"/>
      <c r="AW17" s="321"/>
      <c r="AX17" s="321"/>
      <c r="AY17" s="321"/>
      <c r="AZ17" s="321"/>
      <c r="BA17" s="321"/>
      <c r="BB17" s="321"/>
      <c r="BC17" s="321"/>
      <c r="BD17" s="321"/>
      <c r="BE17" s="321"/>
      <c r="BF17" s="321"/>
      <c r="BG17" s="321"/>
      <c r="BH17" s="321"/>
      <c r="BI17" s="321"/>
      <c r="BJ17" s="321"/>
      <c r="BK17" s="321"/>
      <c r="BL17" s="321"/>
      <c r="BM17" s="321"/>
      <c r="BN17" s="321"/>
      <c r="BO17" s="321"/>
      <c r="BP17" s="321"/>
      <c r="BQ17" s="321"/>
      <c r="BR17" s="321"/>
      <c r="BS17" s="321"/>
      <c r="BT17" s="321"/>
      <c r="BU17" s="321"/>
      <c r="BV17" s="321"/>
      <c r="BW17" s="321"/>
      <c r="BX17" s="321"/>
      <c r="BY17" s="321"/>
      <c r="BZ17" s="321"/>
      <c r="CA17" s="321"/>
      <c r="CB17" s="321"/>
      <c r="CC17" s="321"/>
      <c r="CD17" s="321"/>
      <c r="CE17" s="321"/>
      <c r="CF17" s="321"/>
      <c r="CG17" s="321"/>
      <c r="CH17" s="321"/>
      <c r="CI17" s="321"/>
      <c r="CJ17" s="321"/>
      <c r="CK17" s="321"/>
      <c r="CL17" s="321"/>
      <c r="CM17" s="321"/>
      <c r="CN17" s="321"/>
      <c r="CO17" s="321"/>
      <c r="CP17" s="321"/>
      <c r="CQ17" s="321"/>
      <c r="CR17" s="321"/>
      <c r="CS17" s="321"/>
      <c r="CT17" s="321"/>
      <c r="CU17" s="321"/>
      <c r="CV17" s="321"/>
      <c r="CW17" s="321"/>
      <c r="CX17" s="321"/>
      <c r="CY17" s="321"/>
      <c r="CZ17" s="321"/>
      <c r="DA17" s="321"/>
      <c r="DB17" s="321"/>
      <c r="DC17" s="321"/>
      <c r="DD17" s="321"/>
      <c r="DE17" s="321"/>
      <c r="DF17" s="321"/>
      <c r="DG17" s="321"/>
      <c r="DH17" s="321"/>
      <c r="DI17" s="321"/>
      <c r="DJ17" s="321"/>
      <c r="DK17" s="321"/>
      <c r="DL17" s="321"/>
      <c r="DM17" s="321"/>
      <c r="DN17" s="321"/>
      <c r="DO17" s="321"/>
      <c r="DP17" s="321"/>
      <c r="DQ17" s="321"/>
      <c r="DR17" s="321"/>
      <c r="DS17" s="321"/>
      <c r="DT17" s="321"/>
      <c r="DU17" s="321"/>
      <c r="DV17" s="321"/>
      <c r="DW17" s="321"/>
      <c r="DX17" s="321"/>
      <c r="DY17" s="321"/>
      <c r="DZ17" s="321"/>
      <c r="EA17" s="321"/>
      <c r="EB17" s="321"/>
      <c r="ED17" s="322"/>
      <c r="EE17" s="322"/>
      <c r="EF17" s="322"/>
      <c r="EG17" s="322"/>
      <c r="EH17" s="322"/>
      <c r="EI17" s="322"/>
      <c r="EJ17" s="322"/>
      <c r="EK17" s="322"/>
      <c r="EL17" s="322"/>
      <c r="EM17" s="322"/>
      <c r="EN17" s="321"/>
      <c r="EO17" s="321"/>
      <c r="EP17" s="321"/>
      <c r="EQ17" s="321"/>
      <c r="ER17" s="321"/>
      <c r="ES17" s="321"/>
      <c r="ET17" s="321"/>
      <c r="EU17" s="321"/>
      <c r="EV17" s="321"/>
      <c r="EW17" s="321"/>
    </row>
    <row r="18" spans="1:155" ht="16.350000000000001" customHeight="1">
      <c r="A18" s="174"/>
      <c r="B18" s="156" t="s">
        <v>448</v>
      </c>
      <c r="C18" s="156" t="s">
        <v>447</v>
      </c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312"/>
      <c r="BC18" s="312"/>
      <c r="BD18" s="312"/>
      <c r="BE18" s="312"/>
      <c r="BF18" s="312"/>
      <c r="BG18" s="312"/>
      <c r="BH18" s="312"/>
      <c r="BI18" s="312"/>
      <c r="BJ18" s="312"/>
      <c r="BK18" s="312"/>
      <c r="BL18" s="312"/>
      <c r="BM18" s="312"/>
      <c r="BN18" s="312"/>
      <c r="BO18" s="312"/>
      <c r="BP18" s="312"/>
      <c r="BQ18" s="312"/>
      <c r="BR18" s="312"/>
      <c r="BS18" s="312"/>
      <c r="BT18" s="312"/>
      <c r="BU18" s="312"/>
      <c r="BV18" s="312"/>
      <c r="BW18" s="312"/>
      <c r="BX18" s="312"/>
      <c r="BY18" s="312"/>
      <c r="BZ18" s="312"/>
      <c r="CA18" s="312"/>
      <c r="CB18" s="312"/>
      <c r="CC18" s="312"/>
      <c r="CD18" s="312"/>
      <c r="CE18" s="312"/>
      <c r="CF18" s="312"/>
      <c r="CG18" s="312"/>
      <c r="CH18" s="312"/>
      <c r="CI18" s="312"/>
      <c r="CJ18" s="312"/>
      <c r="CK18" s="312"/>
      <c r="CL18" s="312"/>
      <c r="CM18" s="312"/>
      <c r="CN18" s="312"/>
      <c r="CO18" s="312"/>
      <c r="CP18" s="312"/>
      <c r="CQ18" s="312"/>
      <c r="CR18" s="312"/>
      <c r="CS18" s="312"/>
      <c r="CT18" s="312"/>
      <c r="CU18" s="312"/>
      <c r="CV18" s="312"/>
      <c r="CW18" s="312"/>
      <c r="CX18" s="312"/>
      <c r="CY18" s="312"/>
      <c r="CZ18" s="312"/>
      <c r="DA18" s="312"/>
      <c r="DB18" s="312"/>
      <c r="DC18" s="312"/>
      <c r="DD18" s="312"/>
      <c r="DE18" s="312"/>
      <c r="DF18" s="312"/>
      <c r="DG18" s="312"/>
      <c r="DH18" s="312"/>
      <c r="DI18" s="312"/>
      <c r="DJ18" s="312"/>
      <c r="DK18" s="312"/>
      <c r="DL18" s="312"/>
      <c r="DM18" s="312"/>
      <c r="DN18" s="312"/>
      <c r="DO18" s="312"/>
      <c r="DP18" s="312"/>
      <c r="DQ18" s="312"/>
      <c r="DR18" s="312"/>
      <c r="DS18" s="312"/>
      <c r="DT18" s="312"/>
      <c r="DU18" s="312"/>
      <c r="DV18" s="312"/>
      <c r="DW18" s="312"/>
      <c r="DX18" s="312"/>
      <c r="DY18" s="312"/>
      <c r="DZ18" s="312"/>
      <c r="EA18" s="312"/>
      <c r="EB18" s="312"/>
      <c r="EC18" s="312"/>
      <c r="ED18" s="312"/>
      <c r="EE18" s="312"/>
      <c r="EF18" s="312"/>
      <c r="EG18" s="312"/>
      <c r="EH18" s="312"/>
      <c r="EI18" s="312"/>
      <c r="EJ18" s="312"/>
      <c r="EK18" s="312"/>
      <c r="EL18" s="312"/>
      <c r="EM18" s="312"/>
      <c r="EN18" s="312"/>
      <c r="EO18" s="312"/>
      <c r="EP18" s="312"/>
      <c r="EQ18" s="312"/>
      <c r="ER18" s="312"/>
      <c r="ES18" s="312"/>
      <c r="ET18" s="312"/>
      <c r="EU18" s="312"/>
      <c r="EV18" s="312"/>
      <c r="EW18" s="312"/>
    </row>
    <row r="19" spans="1:155" ht="16.350000000000001" customHeight="1">
      <c r="A19" s="174"/>
      <c r="B19" s="303" t="s">
        <v>449</v>
      </c>
      <c r="C19" s="303" t="s">
        <v>450</v>
      </c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252"/>
      <c r="BT19" s="252"/>
      <c r="BU19" s="252"/>
      <c r="BV19" s="252"/>
      <c r="BW19" s="252"/>
      <c r="BX19" s="252"/>
      <c r="BY19" s="252"/>
      <c r="BZ19" s="252"/>
      <c r="CA19" s="252"/>
      <c r="CB19" s="252"/>
      <c r="CC19" s="252"/>
      <c r="CD19" s="252"/>
      <c r="CE19" s="252"/>
      <c r="CF19" s="252"/>
      <c r="CG19" s="252"/>
      <c r="CH19" s="252"/>
      <c r="CI19" s="252"/>
      <c r="CJ19" s="252"/>
      <c r="CK19" s="252"/>
      <c r="CL19" s="252"/>
      <c r="CM19" s="252"/>
      <c r="CN19" s="252"/>
      <c r="CO19" s="252"/>
      <c r="CP19" s="252"/>
      <c r="CQ19" s="252"/>
      <c r="CR19" s="248"/>
      <c r="CS19" s="248"/>
      <c r="CT19" s="327"/>
      <c r="CU19" s="327"/>
      <c r="CV19" s="327"/>
      <c r="CW19" s="327"/>
      <c r="CX19" s="327"/>
      <c r="CY19" s="327"/>
      <c r="CZ19" s="248"/>
      <c r="DA19" s="252"/>
      <c r="DB19" s="252"/>
      <c r="DC19" s="252"/>
      <c r="DD19" s="252"/>
      <c r="DE19" s="252"/>
      <c r="DF19" s="327"/>
      <c r="DG19" s="248"/>
      <c r="DH19" s="327"/>
      <c r="DI19" s="248"/>
      <c r="DJ19" s="327"/>
      <c r="DK19" s="248"/>
      <c r="DL19" s="252"/>
      <c r="DM19" s="252"/>
      <c r="DN19" s="248"/>
      <c r="DO19" s="327"/>
      <c r="DP19" s="248"/>
      <c r="DQ19" s="327"/>
      <c r="DR19" s="248"/>
      <c r="DS19" s="327"/>
      <c r="DT19" s="327"/>
      <c r="DU19" s="327"/>
      <c r="DV19" s="327"/>
      <c r="DW19" s="327"/>
      <c r="DX19" s="327"/>
      <c r="DY19" s="327"/>
      <c r="DZ19" s="327"/>
      <c r="EA19" s="327"/>
      <c r="EB19" s="327"/>
      <c r="EC19" s="327"/>
      <c r="ED19" s="327"/>
      <c r="EE19" s="327"/>
      <c r="EF19" s="327"/>
      <c r="EG19" s="327"/>
      <c r="EH19" s="327"/>
      <c r="EI19" s="327"/>
      <c r="EJ19" s="327"/>
      <c r="EK19" s="327"/>
      <c r="EL19" s="327"/>
      <c r="EM19" s="327"/>
      <c r="EN19" s="327"/>
      <c r="EO19" s="327"/>
      <c r="EP19" s="327"/>
      <c r="EQ19" s="327"/>
      <c r="ER19" s="327"/>
      <c r="ES19" s="327"/>
      <c r="ET19" s="327"/>
      <c r="EU19" s="327"/>
      <c r="EV19" s="327"/>
      <c r="EW19" s="327"/>
    </row>
    <row r="20" spans="1:155" ht="16.350000000000001" customHeight="1">
      <c r="A20" s="174"/>
      <c r="B20" s="328" t="s">
        <v>2357</v>
      </c>
      <c r="C20" s="328" t="s">
        <v>2349</v>
      </c>
      <c r="D20" s="90">
        <f t="shared" ref="D20:AI20" si="18">+D30+D41+D52</f>
        <v>62</v>
      </c>
      <c r="E20" s="90">
        <f t="shared" si="18"/>
        <v>64</v>
      </c>
      <c r="F20" s="90">
        <f t="shared" si="18"/>
        <v>64</v>
      </c>
      <c r="G20" s="90">
        <f t="shared" si="18"/>
        <v>64</v>
      </c>
      <c r="H20" s="90">
        <f t="shared" si="18"/>
        <v>64</v>
      </c>
      <c r="I20" s="90">
        <f t="shared" si="18"/>
        <v>66</v>
      </c>
      <c r="J20" s="90">
        <f t="shared" si="18"/>
        <v>66</v>
      </c>
      <c r="K20" s="90">
        <f t="shared" si="18"/>
        <v>68</v>
      </c>
      <c r="L20" s="90">
        <f t="shared" si="18"/>
        <v>72</v>
      </c>
      <c r="M20" s="90">
        <f t="shared" si="18"/>
        <v>72</v>
      </c>
      <c r="N20" s="90">
        <f t="shared" si="18"/>
        <v>75</v>
      </c>
      <c r="O20" s="90">
        <f t="shared" si="18"/>
        <v>75</v>
      </c>
      <c r="P20" s="90">
        <f t="shared" si="18"/>
        <v>81</v>
      </c>
      <c r="Q20" s="90">
        <f t="shared" si="18"/>
        <v>81</v>
      </c>
      <c r="R20" s="90">
        <f t="shared" si="18"/>
        <v>81</v>
      </c>
      <c r="S20" s="90">
        <f t="shared" si="18"/>
        <v>87</v>
      </c>
      <c r="T20" s="90">
        <f t="shared" si="18"/>
        <v>87</v>
      </c>
      <c r="U20" s="90">
        <f t="shared" si="18"/>
        <v>88</v>
      </c>
      <c r="V20" s="90">
        <f t="shared" si="18"/>
        <v>88</v>
      </c>
      <c r="W20" s="90">
        <f t="shared" si="18"/>
        <v>95</v>
      </c>
      <c r="X20" s="90">
        <f t="shared" si="18"/>
        <v>95</v>
      </c>
      <c r="Y20" s="90">
        <f t="shared" si="18"/>
        <v>96</v>
      </c>
      <c r="Z20" s="90">
        <f t="shared" si="18"/>
        <v>101</v>
      </c>
      <c r="AA20" s="90">
        <f t="shared" si="18"/>
        <v>101</v>
      </c>
      <c r="AB20" s="90">
        <f t="shared" si="18"/>
        <v>103</v>
      </c>
      <c r="AC20" s="90">
        <f t="shared" si="18"/>
        <v>103</v>
      </c>
      <c r="AD20" s="90">
        <f t="shared" si="18"/>
        <v>110</v>
      </c>
      <c r="AE20" s="90">
        <f t="shared" si="18"/>
        <v>110</v>
      </c>
      <c r="AF20" s="90">
        <f t="shared" si="18"/>
        <v>110</v>
      </c>
      <c r="AG20" s="90">
        <f t="shared" si="18"/>
        <v>115</v>
      </c>
      <c r="AH20" s="90">
        <f t="shared" si="18"/>
        <v>115</v>
      </c>
      <c r="AI20" s="90">
        <f t="shared" si="18"/>
        <v>116</v>
      </c>
      <c r="AJ20" s="90">
        <f t="shared" ref="AJ20:BO20" si="19">+AJ30+AJ41+AJ52</f>
        <v>116</v>
      </c>
      <c r="AK20" s="90">
        <f t="shared" si="19"/>
        <v>120</v>
      </c>
      <c r="AL20" s="90">
        <f t="shared" si="19"/>
        <v>120</v>
      </c>
      <c r="AM20" s="90">
        <f t="shared" si="19"/>
        <v>121</v>
      </c>
      <c r="AN20" s="90">
        <f t="shared" si="19"/>
        <v>125</v>
      </c>
      <c r="AO20" s="90">
        <f t="shared" si="19"/>
        <v>125</v>
      </c>
      <c r="AP20" s="90">
        <f t="shared" si="19"/>
        <v>126</v>
      </c>
      <c r="AQ20" s="90">
        <f t="shared" si="19"/>
        <v>126</v>
      </c>
      <c r="AR20" s="90">
        <f t="shared" si="19"/>
        <v>134</v>
      </c>
      <c r="AS20" s="90">
        <f t="shared" si="19"/>
        <v>134</v>
      </c>
      <c r="AT20" s="90">
        <f t="shared" si="19"/>
        <v>162</v>
      </c>
      <c r="AU20" s="90">
        <f t="shared" si="19"/>
        <v>172</v>
      </c>
      <c r="AV20" s="90">
        <f t="shared" si="19"/>
        <v>172</v>
      </c>
      <c r="AW20" s="90">
        <f t="shared" si="19"/>
        <v>174</v>
      </c>
      <c r="AX20" s="90">
        <f t="shared" si="19"/>
        <v>174</v>
      </c>
      <c r="AY20" s="90">
        <f t="shared" si="19"/>
        <v>197</v>
      </c>
      <c r="AZ20" s="90">
        <f t="shared" si="19"/>
        <v>197</v>
      </c>
      <c r="BA20" s="90">
        <f t="shared" si="19"/>
        <v>200</v>
      </c>
      <c r="BB20" s="90">
        <f t="shared" si="19"/>
        <v>207</v>
      </c>
      <c r="BC20" s="90">
        <f t="shared" si="19"/>
        <v>207</v>
      </c>
      <c r="BD20" s="90">
        <f t="shared" si="19"/>
        <v>211</v>
      </c>
      <c r="BE20" s="90">
        <f t="shared" si="19"/>
        <v>211</v>
      </c>
      <c r="BF20" s="90">
        <f t="shared" si="19"/>
        <v>232</v>
      </c>
      <c r="BG20" s="90">
        <f t="shared" si="19"/>
        <v>232</v>
      </c>
      <c r="BH20" s="90">
        <f t="shared" si="19"/>
        <v>234</v>
      </c>
      <c r="BI20" s="90">
        <f t="shared" si="19"/>
        <v>243</v>
      </c>
      <c r="BJ20" s="90">
        <f t="shared" si="19"/>
        <v>243</v>
      </c>
      <c r="BK20" s="90">
        <f t="shared" si="19"/>
        <v>260</v>
      </c>
      <c r="BL20" s="90">
        <f t="shared" si="19"/>
        <v>260</v>
      </c>
      <c r="BM20" s="90">
        <f t="shared" si="19"/>
        <v>278</v>
      </c>
      <c r="BN20" s="90">
        <f t="shared" si="19"/>
        <v>278</v>
      </c>
      <c r="BO20" s="90">
        <f t="shared" si="19"/>
        <v>281</v>
      </c>
      <c r="BP20" s="90">
        <f t="shared" ref="BP20:CU20" si="20">+BP30+BP41+BP52</f>
        <v>303</v>
      </c>
      <c r="BQ20" s="90">
        <f t="shared" si="20"/>
        <v>303</v>
      </c>
      <c r="BR20" s="90">
        <f t="shared" si="20"/>
        <v>313</v>
      </c>
      <c r="BS20" s="90">
        <f t="shared" si="20"/>
        <v>313</v>
      </c>
      <c r="BT20" s="90">
        <f t="shared" si="20"/>
        <v>332</v>
      </c>
      <c r="BU20" s="90">
        <f t="shared" si="20"/>
        <v>332</v>
      </c>
      <c r="BV20" s="90">
        <f t="shared" si="20"/>
        <v>332</v>
      </c>
      <c r="BW20" s="90">
        <f t="shared" si="20"/>
        <v>350</v>
      </c>
      <c r="BX20" s="90">
        <f t="shared" si="20"/>
        <v>350</v>
      </c>
      <c r="BY20" s="90">
        <f t="shared" si="20"/>
        <v>356</v>
      </c>
      <c r="BZ20" s="90">
        <f t="shared" si="20"/>
        <v>356</v>
      </c>
      <c r="CA20" s="90">
        <f t="shared" si="20"/>
        <v>380</v>
      </c>
      <c r="CB20" s="90">
        <f t="shared" si="20"/>
        <v>380</v>
      </c>
      <c r="CC20" s="90">
        <f t="shared" si="20"/>
        <v>387</v>
      </c>
      <c r="CD20" s="90">
        <f t="shared" si="20"/>
        <v>408</v>
      </c>
      <c r="CE20" s="90">
        <f t="shared" si="20"/>
        <v>408</v>
      </c>
      <c r="CF20" s="90">
        <f t="shared" si="20"/>
        <v>418</v>
      </c>
      <c r="CG20" s="90">
        <f t="shared" si="20"/>
        <v>418</v>
      </c>
      <c r="CH20" s="90">
        <f t="shared" si="20"/>
        <v>444</v>
      </c>
      <c r="CI20" s="90">
        <f t="shared" si="20"/>
        <v>444</v>
      </c>
      <c r="CJ20" s="90">
        <f t="shared" si="20"/>
        <v>451</v>
      </c>
      <c r="CK20" s="90">
        <f t="shared" si="20"/>
        <v>473</v>
      </c>
      <c r="CL20" s="90">
        <f t="shared" si="20"/>
        <v>473</v>
      </c>
      <c r="CM20" s="90">
        <f t="shared" si="20"/>
        <v>490</v>
      </c>
      <c r="CN20" s="90">
        <f t="shared" si="20"/>
        <v>490</v>
      </c>
      <c r="CO20" s="90">
        <f t="shared" si="20"/>
        <v>512</v>
      </c>
      <c r="CP20" s="90">
        <f t="shared" si="20"/>
        <v>512</v>
      </c>
      <c r="CQ20" s="90">
        <f t="shared" si="20"/>
        <v>509</v>
      </c>
      <c r="CR20" s="90">
        <f t="shared" si="20"/>
        <v>527</v>
      </c>
      <c r="CS20" s="90">
        <f t="shared" si="20"/>
        <v>527</v>
      </c>
      <c r="CT20" s="90">
        <f t="shared" si="20"/>
        <v>537</v>
      </c>
      <c r="CU20" s="90">
        <f t="shared" si="20"/>
        <v>537</v>
      </c>
      <c r="CV20" s="90">
        <f>CV30+CV41+CV52</f>
        <v>556</v>
      </c>
      <c r="CW20" s="90">
        <f>CV20</f>
        <v>556</v>
      </c>
      <c r="CX20" s="90">
        <f>CX30+CX41+CX52</f>
        <v>558</v>
      </c>
      <c r="CY20" s="90">
        <f>CY30+CY41+CY52</f>
        <v>570</v>
      </c>
      <c r="CZ20" s="90">
        <f t="shared" ref="CZ20:DE21" si="21">+CZ30+CZ41+CZ52</f>
        <v>570</v>
      </c>
      <c r="DA20" s="90">
        <f t="shared" si="21"/>
        <v>577</v>
      </c>
      <c r="DB20" s="90">
        <f t="shared" si="21"/>
        <v>577</v>
      </c>
      <c r="DC20" s="90">
        <f t="shared" si="21"/>
        <v>603</v>
      </c>
      <c r="DD20" s="90">
        <f t="shared" si="21"/>
        <v>603</v>
      </c>
      <c r="DE20" s="90">
        <f t="shared" si="21"/>
        <v>597</v>
      </c>
      <c r="DF20" s="90">
        <f>DF30+DF41+DF52</f>
        <v>597</v>
      </c>
      <c r="DG20" s="90">
        <f>+DG30+DG41+DG52</f>
        <v>597</v>
      </c>
      <c r="DH20" s="90">
        <f>DH30+DH41+DH52</f>
        <v>605</v>
      </c>
      <c r="DI20" s="90">
        <f>+DI30+DI41+DI52</f>
        <v>605</v>
      </c>
      <c r="DJ20" s="90">
        <f>DJ30+DJ41+DJ52</f>
        <v>606</v>
      </c>
      <c r="DK20" s="90">
        <f t="shared" ref="DK20:DN21" si="22">+DK30+DK41+DK52</f>
        <v>606</v>
      </c>
      <c r="DL20" s="90">
        <f t="shared" si="22"/>
        <v>606</v>
      </c>
      <c r="DM20" s="90">
        <f t="shared" si="22"/>
        <v>633</v>
      </c>
      <c r="DN20" s="90">
        <f t="shared" si="22"/>
        <v>633</v>
      </c>
      <c r="DO20" s="90">
        <f>DO30+DO41+DO52</f>
        <v>635</v>
      </c>
      <c r="DP20" s="90">
        <f>+DP30+DP41+DP52</f>
        <v>635</v>
      </c>
      <c r="DQ20" s="90">
        <f>DQ30+DQ41+DQ52</f>
        <v>636</v>
      </c>
      <c r="DR20" s="90">
        <f>+DR30+DR41+DR52</f>
        <v>636</v>
      </c>
      <c r="DS20" s="90">
        <f t="shared" ref="DS20:EN20" si="23">DS30+DS41+DS52</f>
        <v>638</v>
      </c>
      <c r="DT20" s="90">
        <f t="shared" si="23"/>
        <v>651</v>
      </c>
      <c r="DU20" s="90">
        <f t="shared" si="23"/>
        <v>651</v>
      </c>
      <c r="DV20" s="90">
        <f t="shared" si="23"/>
        <v>663</v>
      </c>
      <c r="DW20" s="90">
        <f t="shared" si="23"/>
        <v>663</v>
      </c>
      <c r="DX20" s="90">
        <f t="shared" si="23"/>
        <v>672</v>
      </c>
      <c r="DY20" s="90">
        <f t="shared" si="23"/>
        <v>672</v>
      </c>
      <c r="DZ20" s="90">
        <f t="shared" si="23"/>
        <v>652</v>
      </c>
      <c r="EA20" s="90">
        <f t="shared" si="23"/>
        <v>655</v>
      </c>
      <c r="EB20" s="90">
        <f t="shared" si="23"/>
        <v>655</v>
      </c>
      <c r="EC20" s="90">
        <f t="shared" si="23"/>
        <v>663</v>
      </c>
      <c r="ED20" s="90">
        <f t="shared" si="23"/>
        <v>663</v>
      </c>
      <c r="EE20" s="90">
        <f t="shared" si="23"/>
        <v>673</v>
      </c>
      <c r="EF20" s="90">
        <f t="shared" si="23"/>
        <v>673</v>
      </c>
      <c r="EG20" s="90">
        <f t="shared" si="23"/>
        <v>666</v>
      </c>
      <c r="EH20" s="90">
        <f t="shared" si="23"/>
        <v>671</v>
      </c>
      <c r="EI20" s="90">
        <f t="shared" si="23"/>
        <v>671</v>
      </c>
      <c r="EJ20" s="90">
        <f t="shared" si="23"/>
        <v>675</v>
      </c>
      <c r="EK20" s="90">
        <f t="shared" si="23"/>
        <v>675</v>
      </c>
      <c r="EL20" s="90">
        <f t="shared" si="23"/>
        <v>686</v>
      </c>
      <c r="EM20" s="90">
        <f t="shared" si="23"/>
        <v>686</v>
      </c>
      <c r="EN20" s="90">
        <f t="shared" si="23"/>
        <v>686</v>
      </c>
      <c r="EO20" s="90">
        <v>691</v>
      </c>
      <c r="EP20" s="90">
        <v>691</v>
      </c>
      <c r="EQ20" s="90">
        <f t="shared" ref="EQ20:ER20" si="24">EQ30+EQ41+EQ52</f>
        <v>694</v>
      </c>
      <c r="ER20" s="90">
        <f t="shared" si="24"/>
        <v>694</v>
      </c>
      <c r="ES20" s="90">
        <f t="shared" ref="ES20:EW20" si="25">ES30+ES41+ES52</f>
        <v>717</v>
      </c>
      <c r="ET20" s="90">
        <f t="shared" si="25"/>
        <v>717</v>
      </c>
      <c r="EU20" s="90">
        <f t="shared" si="25"/>
        <v>715</v>
      </c>
      <c r="EV20" s="90">
        <f t="shared" si="25"/>
        <v>723</v>
      </c>
      <c r="EW20" s="90">
        <f t="shared" si="25"/>
        <v>723</v>
      </c>
    </row>
    <row r="21" spans="1:155" ht="16.350000000000001" customHeight="1">
      <c r="A21" s="174"/>
      <c r="B21" s="160" t="s">
        <v>2358</v>
      </c>
      <c r="C21" s="160" t="s">
        <v>2350</v>
      </c>
      <c r="D21" s="90">
        <f t="shared" ref="D21:AI21" si="26">+D31+D42+D53</f>
        <v>0</v>
      </c>
      <c r="E21" s="90">
        <f t="shared" si="26"/>
        <v>2</v>
      </c>
      <c r="F21" s="90">
        <f t="shared" si="26"/>
        <v>2</v>
      </c>
      <c r="G21" s="90">
        <f t="shared" si="26"/>
        <v>0</v>
      </c>
      <c r="H21" s="90">
        <f t="shared" si="26"/>
        <v>2</v>
      </c>
      <c r="I21" s="90">
        <f t="shared" si="26"/>
        <v>2</v>
      </c>
      <c r="J21" s="90">
        <f t="shared" si="26"/>
        <v>4</v>
      </c>
      <c r="K21" s="90">
        <f t="shared" si="26"/>
        <v>2</v>
      </c>
      <c r="L21" s="90">
        <f t="shared" si="26"/>
        <v>4</v>
      </c>
      <c r="M21" s="90">
        <f t="shared" si="26"/>
        <v>6</v>
      </c>
      <c r="N21" s="90">
        <f t="shared" si="26"/>
        <v>3</v>
      </c>
      <c r="O21" s="90">
        <f t="shared" si="26"/>
        <v>9</v>
      </c>
      <c r="P21" s="90">
        <f t="shared" si="26"/>
        <v>6</v>
      </c>
      <c r="Q21" s="90">
        <f t="shared" si="26"/>
        <v>15</v>
      </c>
      <c r="R21" s="90">
        <f t="shared" si="26"/>
        <v>0</v>
      </c>
      <c r="S21" s="90">
        <f t="shared" si="26"/>
        <v>6</v>
      </c>
      <c r="T21" s="90">
        <f t="shared" si="26"/>
        <v>6</v>
      </c>
      <c r="U21" s="90">
        <f t="shared" si="26"/>
        <v>1</v>
      </c>
      <c r="V21" s="90">
        <f t="shared" si="26"/>
        <v>7</v>
      </c>
      <c r="W21" s="90">
        <f t="shared" si="26"/>
        <v>7</v>
      </c>
      <c r="X21" s="90">
        <f t="shared" si="26"/>
        <v>14</v>
      </c>
      <c r="Y21" s="90">
        <f t="shared" si="26"/>
        <v>1</v>
      </c>
      <c r="Z21" s="90">
        <f t="shared" si="26"/>
        <v>5</v>
      </c>
      <c r="AA21" s="90">
        <f t="shared" si="26"/>
        <v>6</v>
      </c>
      <c r="AB21" s="90">
        <f t="shared" si="26"/>
        <v>2</v>
      </c>
      <c r="AC21" s="90">
        <f t="shared" si="26"/>
        <v>8</v>
      </c>
      <c r="AD21" s="90">
        <f t="shared" si="26"/>
        <v>7</v>
      </c>
      <c r="AE21" s="90">
        <f t="shared" si="26"/>
        <v>15</v>
      </c>
      <c r="AF21" s="90">
        <f t="shared" si="26"/>
        <v>0</v>
      </c>
      <c r="AG21" s="90">
        <f t="shared" si="26"/>
        <v>5</v>
      </c>
      <c r="AH21" s="90">
        <f t="shared" si="26"/>
        <v>5</v>
      </c>
      <c r="AI21" s="90">
        <f t="shared" si="26"/>
        <v>1</v>
      </c>
      <c r="AJ21" s="90">
        <f t="shared" ref="AJ21:BO21" si="27">+AJ31+AJ42+AJ53</f>
        <v>6</v>
      </c>
      <c r="AK21" s="90">
        <f t="shared" si="27"/>
        <v>4</v>
      </c>
      <c r="AL21" s="90">
        <f t="shared" si="27"/>
        <v>10</v>
      </c>
      <c r="AM21" s="90">
        <f t="shared" si="27"/>
        <v>1</v>
      </c>
      <c r="AN21" s="90">
        <f t="shared" si="27"/>
        <v>4</v>
      </c>
      <c r="AO21" s="90">
        <f t="shared" si="27"/>
        <v>5</v>
      </c>
      <c r="AP21" s="90">
        <f t="shared" si="27"/>
        <v>1</v>
      </c>
      <c r="AQ21" s="90">
        <f t="shared" si="27"/>
        <v>6</v>
      </c>
      <c r="AR21" s="90">
        <f t="shared" si="27"/>
        <v>8</v>
      </c>
      <c r="AS21" s="90">
        <f t="shared" si="27"/>
        <v>14</v>
      </c>
      <c r="AT21" s="90">
        <f t="shared" si="27"/>
        <v>28</v>
      </c>
      <c r="AU21" s="90">
        <f t="shared" si="27"/>
        <v>10</v>
      </c>
      <c r="AV21" s="90">
        <f t="shared" si="27"/>
        <v>38</v>
      </c>
      <c r="AW21" s="90">
        <f t="shared" si="27"/>
        <v>2</v>
      </c>
      <c r="AX21" s="90">
        <f t="shared" si="27"/>
        <v>40</v>
      </c>
      <c r="AY21" s="90">
        <f t="shared" si="27"/>
        <v>23</v>
      </c>
      <c r="AZ21" s="90">
        <f t="shared" si="27"/>
        <v>63</v>
      </c>
      <c r="BA21" s="90">
        <f t="shared" si="27"/>
        <v>3</v>
      </c>
      <c r="BB21" s="90">
        <f t="shared" si="27"/>
        <v>7</v>
      </c>
      <c r="BC21" s="90">
        <f t="shared" si="27"/>
        <v>10</v>
      </c>
      <c r="BD21" s="90">
        <f t="shared" si="27"/>
        <v>4</v>
      </c>
      <c r="BE21" s="90">
        <f t="shared" si="27"/>
        <v>14</v>
      </c>
      <c r="BF21" s="90">
        <f t="shared" si="27"/>
        <v>21</v>
      </c>
      <c r="BG21" s="90">
        <f t="shared" si="27"/>
        <v>35</v>
      </c>
      <c r="BH21" s="90">
        <f t="shared" si="27"/>
        <v>2</v>
      </c>
      <c r="BI21" s="90">
        <f t="shared" si="27"/>
        <v>9</v>
      </c>
      <c r="BJ21" s="90">
        <f t="shared" si="27"/>
        <v>11</v>
      </c>
      <c r="BK21" s="90">
        <f t="shared" si="27"/>
        <v>17</v>
      </c>
      <c r="BL21" s="90">
        <f t="shared" si="27"/>
        <v>28</v>
      </c>
      <c r="BM21" s="90">
        <f t="shared" si="27"/>
        <v>18</v>
      </c>
      <c r="BN21" s="90">
        <f t="shared" si="27"/>
        <v>46</v>
      </c>
      <c r="BO21" s="90">
        <f t="shared" si="27"/>
        <v>3</v>
      </c>
      <c r="BP21" s="90">
        <f t="shared" ref="BP21:CU21" si="28">+BP31+BP42+BP53</f>
        <v>22</v>
      </c>
      <c r="BQ21" s="90">
        <f t="shared" si="28"/>
        <v>25</v>
      </c>
      <c r="BR21" s="90">
        <f t="shared" si="28"/>
        <v>10</v>
      </c>
      <c r="BS21" s="90">
        <f t="shared" si="28"/>
        <v>35</v>
      </c>
      <c r="BT21" s="90">
        <f t="shared" si="28"/>
        <v>19</v>
      </c>
      <c r="BU21" s="90">
        <f t="shared" si="28"/>
        <v>54</v>
      </c>
      <c r="BV21" s="90">
        <f t="shared" si="28"/>
        <v>0</v>
      </c>
      <c r="BW21" s="90">
        <f t="shared" si="28"/>
        <v>18</v>
      </c>
      <c r="BX21" s="90">
        <f t="shared" si="28"/>
        <v>18</v>
      </c>
      <c r="BY21" s="90">
        <f t="shared" si="28"/>
        <v>6</v>
      </c>
      <c r="BZ21" s="90">
        <f t="shared" si="28"/>
        <v>24</v>
      </c>
      <c r="CA21" s="90">
        <f t="shared" si="28"/>
        <v>24</v>
      </c>
      <c r="CB21" s="90">
        <f t="shared" si="28"/>
        <v>48</v>
      </c>
      <c r="CC21" s="90">
        <f t="shared" si="28"/>
        <v>7</v>
      </c>
      <c r="CD21" s="90">
        <f t="shared" si="28"/>
        <v>21</v>
      </c>
      <c r="CE21" s="90">
        <f t="shared" si="28"/>
        <v>28</v>
      </c>
      <c r="CF21" s="90">
        <f t="shared" si="28"/>
        <v>10</v>
      </c>
      <c r="CG21" s="90">
        <f t="shared" si="28"/>
        <v>38</v>
      </c>
      <c r="CH21" s="90">
        <f t="shared" si="28"/>
        <v>26</v>
      </c>
      <c r="CI21" s="90">
        <f t="shared" si="28"/>
        <v>64</v>
      </c>
      <c r="CJ21" s="90">
        <f t="shared" si="28"/>
        <v>7</v>
      </c>
      <c r="CK21" s="90">
        <f t="shared" si="28"/>
        <v>22</v>
      </c>
      <c r="CL21" s="90">
        <f t="shared" si="28"/>
        <v>29</v>
      </c>
      <c r="CM21" s="90">
        <f t="shared" si="28"/>
        <v>17</v>
      </c>
      <c r="CN21" s="90">
        <f t="shared" si="28"/>
        <v>46</v>
      </c>
      <c r="CO21" s="90">
        <f t="shared" si="28"/>
        <v>22</v>
      </c>
      <c r="CP21" s="90">
        <f t="shared" si="28"/>
        <v>68</v>
      </c>
      <c r="CQ21" s="90">
        <f t="shared" si="28"/>
        <v>-3</v>
      </c>
      <c r="CR21" s="90">
        <f t="shared" si="28"/>
        <v>18</v>
      </c>
      <c r="CS21" s="90">
        <f t="shared" si="28"/>
        <v>15</v>
      </c>
      <c r="CT21" s="90">
        <f t="shared" si="28"/>
        <v>10</v>
      </c>
      <c r="CU21" s="90">
        <f t="shared" si="28"/>
        <v>25</v>
      </c>
      <c r="CV21" s="90">
        <f>+CV31+CV42+CV53</f>
        <v>19</v>
      </c>
      <c r="CW21" s="90">
        <f>CU21+CV21</f>
        <v>44</v>
      </c>
      <c r="CX21" s="90">
        <f>+CX31+CX42+CX53</f>
        <v>2</v>
      </c>
      <c r="CY21" s="90">
        <f>+CY31+CY42+CY53</f>
        <v>12</v>
      </c>
      <c r="CZ21" s="90">
        <f t="shared" si="21"/>
        <v>14</v>
      </c>
      <c r="DA21" s="90">
        <f t="shared" si="21"/>
        <v>7</v>
      </c>
      <c r="DB21" s="90">
        <f t="shared" si="21"/>
        <v>21</v>
      </c>
      <c r="DC21" s="90">
        <f t="shared" si="21"/>
        <v>26</v>
      </c>
      <c r="DD21" s="90">
        <f t="shared" si="21"/>
        <v>47</v>
      </c>
      <c r="DE21" s="90">
        <f t="shared" si="21"/>
        <v>-6</v>
      </c>
      <c r="DF21" s="90">
        <f>+DF31+DF42+DF53</f>
        <v>0</v>
      </c>
      <c r="DG21" s="90">
        <f>+DG31+DG42+DG53</f>
        <v>-5</v>
      </c>
      <c r="DH21" s="90">
        <f>+DH31+DH42+DH53</f>
        <v>8</v>
      </c>
      <c r="DI21" s="90">
        <f>+DI31+DI42+DI53</f>
        <v>2</v>
      </c>
      <c r="DJ21" s="90">
        <f>+DJ31+DJ42+DJ53</f>
        <v>1</v>
      </c>
      <c r="DK21" s="90">
        <f t="shared" si="22"/>
        <v>3</v>
      </c>
      <c r="DL21" s="90">
        <f t="shared" si="22"/>
        <v>0</v>
      </c>
      <c r="DM21" s="90">
        <f t="shared" si="22"/>
        <v>27</v>
      </c>
      <c r="DN21" s="90">
        <f t="shared" si="22"/>
        <v>27</v>
      </c>
      <c r="DO21" s="90">
        <f>+DO31+DO42+DO53</f>
        <v>2</v>
      </c>
      <c r="DP21" s="90">
        <f>+DP31+DP42+DP53</f>
        <v>29</v>
      </c>
      <c r="DQ21" s="90">
        <f>+DQ31+DQ42+DQ53</f>
        <v>1</v>
      </c>
      <c r="DR21" s="90">
        <f>+DR31+DR42+DR53</f>
        <v>30</v>
      </c>
      <c r="DS21" s="90">
        <f t="shared" ref="DS21:EM21" si="29">+DS31+DS42+DS53</f>
        <v>2</v>
      </c>
      <c r="DT21" s="90">
        <f t="shared" si="29"/>
        <v>13</v>
      </c>
      <c r="DU21" s="90">
        <f t="shared" si="29"/>
        <v>15</v>
      </c>
      <c r="DV21" s="90">
        <f t="shared" si="29"/>
        <v>12</v>
      </c>
      <c r="DW21" s="90">
        <f t="shared" si="29"/>
        <v>27</v>
      </c>
      <c r="DX21" s="90">
        <f t="shared" si="29"/>
        <v>9</v>
      </c>
      <c r="DY21" s="90">
        <f t="shared" si="29"/>
        <v>36</v>
      </c>
      <c r="DZ21" s="90">
        <f t="shared" si="29"/>
        <v>-20</v>
      </c>
      <c r="EA21" s="90">
        <f t="shared" si="29"/>
        <v>3</v>
      </c>
      <c r="EB21" s="90">
        <f t="shared" si="29"/>
        <v>-17</v>
      </c>
      <c r="EC21" s="90">
        <f t="shared" si="29"/>
        <v>8</v>
      </c>
      <c r="ED21" s="90">
        <f t="shared" si="29"/>
        <v>-9</v>
      </c>
      <c r="EE21" s="90">
        <f t="shared" si="29"/>
        <v>10</v>
      </c>
      <c r="EF21" s="90">
        <f t="shared" si="29"/>
        <v>1</v>
      </c>
      <c r="EG21" s="90">
        <f t="shared" si="29"/>
        <v>-7</v>
      </c>
      <c r="EH21" s="90">
        <f t="shared" si="29"/>
        <v>5</v>
      </c>
      <c r="EI21" s="90">
        <f t="shared" si="29"/>
        <v>-2</v>
      </c>
      <c r="EJ21" s="90">
        <f t="shared" si="29"/>
        <v>4</v>
      </c>
      <c r="EK21" s="90">
        <f t="shared" si="29"/>
        <v>2</v>
      </c>
      <c r="EL21" s="90">
        <f t="shared" si="29"/>
        <v>11</v>
      </c>
      <c r="EM21" s="90">
        <f t="shared" si="29"/>
        <v>13</v>
      </c>
      <c r="EN21" s="80">
        <f>EN31+EN42+EN53</f>
        <v>0</v>
      </c>
      <c r="EO21" s="90">
        <v>5</v>
      </c>
      <c r="EP21" s="90">
        <v>5</v>
      </c>
      <c r="EQ21" s="90">
        <f t="shared" ref="EQ21:ER21" si="30">+EQ31+EQ42+EQ53</f>
        <v>3</v>
      </c>
      <c r="ER21" s="90">
        <f t="shared" si="30"/>
        <v>8</v>
      </c>
      <c r="ES21" s="90">
        <f t="shared" ref="ES21:EW21" si="31">+ES31+ES42+ES53</f>
        <v>23</v>
      </c>
      <c r="ET21" s="90">
        <f t="shared" si="31"/>
        <v>31</v>
      </c>
      <c r="EU21" s="90">
        <f t="shared" si="31"/>
        <v>-2</v>
      </c>
      <c r="EV21" s="90">
        <f t="shared" si="31"/>
        <v>8</v>
      </c>
      <c r="EW21" s="90">
        <f t="shared" si="31"/>
        <v>6</v>
      </c>
    </row>
    <row r="22" spans="1:155" ht="16.350000000000001" customHeight="1">
      <c r="A22" s="174"/>
      <c r="B22" s="160" t="s">
        <v>2359</v>
      </c>
      <c r="C22" s="160" t="s">
        <v>2351</v>
      </c>
      <c r="D22" s="329">
        <f t="shared" ref="D22:AI22" si="32">D32+D43+D54</f>
        <v>143.1</v>
      </c>
      <c r="E22" s="329">
        <f t="shared" si="32"/>
        <v>147</v>
      </c>
      <c r="F22" s="329">
        <f t="shared" si="32"/>
        <v>147</v>
      </c>
      <c r="G22" s="329">
        <f t="shared" si="32"/>
        <v>147</v>
      </c>
      <c r="H22" s="329">
        <f t="shared" si="32"/>
        <v>147</v>
      </c>
      <c r="I22" s="329">
        <f t="shared" si="32"/>
        <v>150.69999999999999</v>
      </c>
      <c r="J22" s="329">
        <f t="shared" si="32"/>
        <v>150.69999999999999</v>
      </c>
      <c r="K22" s="329">
        <f t="shared" si="32"/>
        <v>154.69999999999999</v>
      </c>
      <c r="L22" s="329">
        <f t="shared" si="32"/>
        <v>161.30000000000001</v>
      </c>
      <c r="M22" s="329">
        <f t="shared" si="32"/>
        <v>161.30000000000001</v>
      </c>
      <c r="N22" s="329">
        <f t="shared" si="32"/>
        <v>167.5</v>
      </c>
      <c r="O22" s="329">
        <f t="shared" si="32"/>
        <v>167.5</v>
      </c>
      <c r="P22" s="329">
        <f t="shared" si="32"/>
        <v>178</v>
      </c>
      <c r="Q22" s="329">
        <f t="shared" si="32"/>
        <v>178</v>
      </c>
      <c r="R22" s="329">
        <f t="shared" si="32"/>
        <v>178</v>
      </c>
      <c r="S22" s="329">
        <f t="shared" si="32"/>
        <v>187.5</v>
      </c>
      <c r="T22" s="329">
        <f t="shared" si="32"/>
        <v>187.5</v>
      </c>
      <c r="U22" s="329">
        <f t="shared" si="32"/>
        <v>190</v>
      </c>
      <c r="V22" s="329">
        <f t="shared" si="32"/>
        <v>190</v>
      </c>
      <c r="W22" s="329">
        <f t="shared" si="32"/>
        <v>203.5</v>
      </c>
      <c r="X22" s="329">
        <f t="shared" si="32"/>
        <v>203.5</v>
      </c>
      <c r="Y22" s="329">
        <f t="shared" si="32"/>
        <v>205.4</v>
      </c>
      <c r="Z22" s="329">
        <f t="shared" si="32"/>
        <v>214.3</v>
      </c>
      <c r="AA22" s="329">
        <f t="shared" si="32"/>
        <v>214.3</v>
      </c>
      <c r="AB22" s="329">
        <f t="shared" si="32"/>
        <v>217.6</v>
      </c>
      <c r="AC22" s="329">
        <f t="shared" si="32"/>
        <v>217.6</v>
      </c>
      <c r="AD22" s="329">
        <f t="shared" si="32"/>
        <v>229.7</v>
      </c>
      <c r="AE22" s="329">
        <f t="shared" si="32"/>
        <v>229.7</v>
      </c>
      <c r="AF22" s="329">
        <f t="shared" si="32"/>
        <v>229.7</v>
      </c>
      <c r="AG22" s="329">
        <f t="shared" si="32"/>
        <v>240.6</v>
      </c>
      <c r="AH22" s="329">
        <f t="shared" si="32"/>
        <v>240.6</v>
      </c>
      <c r="AI22" s="329">
        <f t="shared" si="32"/>
        <v>242.5</v>
      </c>
      <c r="AJ22" s="329">
        <f t="shared" ref="AJ22:BO22" si="33">AJ32+AJ43+AJ54</f>
        <v>242.5</v>
      </c>
      <c r="AK22" s="329">
        <f t="shared" si="33"/>
        <v>249.7</v>
      </c>
      <c r="AL22" s="329">
        <f t="shared" si="33"/>
        <v>249.7</v>
      </c>
      <c r="AM22" s="329">
        <f t="shared" si="33"/>
        <v>252.2</v>
      </c>
      <c r="AN22" s="329">
        <f t="shared" si="33"/>
        <v>259.39999999999998</v>
      </c>
      <c r="AO22" s="329">
        <f t="shared" si="33"/>
        <v>259.39999999999998</v>
      </c>
      <c r="AP22" s="329">
        <f t="shared" si="33"/>
        <v>261.10000000000002</v>
      </c>
      <c r="AQ22" s="329">
        <f t="shared" si="33"/>
        <v>261.10000000000002</v>
      </c>
      <c r="AR22" s="329">
        <f t="shared" si="33"/>
        <v>274.7</v>
      </c>
      <c r="AS22" s="329">
        <f t="shared" si="33"/>
        <v>274.7</v>
      </c>
      <c r="AT22" s="329">
        <f t="shared" si="33"/>
        <v>290.358</v>
      </c>
      <c r="AU22" s="329">
        <f t="shared" si="33"/>
        <v>304.52800000000002</v>
      </c>
      <c r="AV22" s="329">
        <f t="shared" si="33"/>
        <v>304.52800000000002</v>
      </c>
      <c r="AW22" s="329">
        <f t="shared" si="33"/>
        <v>306.22800000000001</v>
      </c>
      <c r="AX22" s="329">
        <f t="shared" si="33"/>
        <v>306.12799999999999</v>
      </c>
      <c r="AY22" s="329">
        <f t="shared" si="33"/>
        <v>334.8</v>
      </c>
      <c r="AZ22" s="329">
        <f t="shared" si="33"/>
        <v>334.8</v>
      </c>
      <c r="BA22" s="329">
        <f t="shared" si="33"/>
        <v>338.58</v>
      </c>
      <c r="BB22" s="329">
        <f t="shared" si="33"/>
        <v>348.42599999999999</v>
      </c>
      <c r="BC22" s="329">
        <f t="shared" si="33"/>
        <v>348.42599999999999</v>
      </c>
      <c r="BD22" s="329">
        <f t="shared" si="33"/>
        <v>353.13400000000001</v>
      </c>
      <c r="BE22" s="329">
        <f t="shared" si="33"/>
        <v>353.13400000000001</v>
      </c>
      <c r="BF22" s="329">
        <f t="shared" si="33"/>
        <v>382.00900000000001</v>
      </c>
      <c r="BG22" s="329">
        <f t="shared" si="33"/>
        <v>382.00900000000001</v>
      </c>
      <c r="BH22" s="329">
        <f t="shared" si="33"/>
        <v>384.58600000000001</v>
      </c>
      <c r="BI22" s="329">
        <f t="shared" si="33"/>
        <v>393.38600000000002</v>
      </c>
      <c r="BJ22" s="329">
        <f t="shared" si="33"/>
        <v>393.38600000000002</v>
      </c>
      <c r="BK22" s="329">
        <f t="shared" si="33"/>
        <v>403.57689999999997</v>
      </c>
      <c r="BL22" s="329">
        <f t="shared" si="33"/>
        <v>404.9769</v>
      </c>
      <c r="BM22" s="329">
        <f t="shared" si="33"/>
        <v>436.28800000000001</v>
      </c>
      <c r="BN22" s="329">
        <f t="shared" si="33"/>
        <v>436.28800000000001</v>
      </c>
      <c r="BO22" s="329">
        <f t="shared" si="33"/>
        <v>437.76740000000012</v>
      </c>
      <c r="BP22" s="329">
        <f t="shared" ref="BP22:EA23" si="34">BP32+BP43+BP54</f>
        <v>455.65085000000022</v>
      </c>
      <c r="BQ22" s="329">
        <f t="shared" si="34"/>
        <v>455.65085000000022</v>
      </c>
      <c r="BR22" s="329">
        <f t="shared" si="34"/>
        <v>462.66593000000012</v>
      </c>
      <c r="BS22" s="329">
        <f t="shared" si="34"/>
        <v>462.66593000000012</v>
      </c>
      <c r="BT22" s="329">
        <f t="shared" si="34"/>
        <v>486.57194999999996</v>
      </c>
      <c r="BU22" s="329">
        <f t="shared" si="34"/>
        <v>486.57194999999996</v>
      </c>
      <c r="BV22" s="329">
        <f t="shared" si="34"/>
        <v>489.64956000000024</v>
      </c>
      <c r="BW22" s="329">
        <f t="shared" si="34"/>
        <v>505.48716000000036</v>
      </c>
      <c r="BX22" s="329">
        <f t="shared" si="34"/>
        <v>505.48716000000036</v>
      </c>
      <c r="BY22" s="329">
        <f t="shared" si="34"/>
        <v>513.84717000000023</v>
      </c>
      <c r="BZ22" s="329">
        <f t="shared" si="34"/>
        <v>513.84717000000023</v>
      </c>
      <c r="CA22" s="329">
        <f t="shared" si="34"/>
        <v>533.63846999999998</v>
      </c>
      <c r="CB22" s="329">
        <f t="shared" si="34"/>
        <v>533.63846999999998</v>
      </c>
      <c r="CC22" s="329">
        <f t="shared" si="34"/>
        <v>537.12637000000029</v>
      </c>
      <c r="CD22" s="329">
        <f t="shared" si="34"/>
        <v>552.13897000000031</v>
      </c>
      <c r="CE22" s="329">
        <f t="shared" si="34"/>
        <v>552.13897000000031</v>
      </c>
      <c r="CF22" s="329">
        <f t="shared" si="34"/>
        <v>561.5462600000003</v>
      </c>
      <c r="CG22" s="329">
        <f t="shared" si="34"/>
        <v>561.5462600000003</v>
      </c>
      <c r="CH22" s="329">
        <f t="shared" si="34"/>
        <v>584.64344000000028</v>
      </c>
      <c r="CI22" s="329">
        <f t="shared" si="34"/>
        <v>584.64344000000028</v>
      </c>
      <c r="CJ22" s="329">
        <f t="shared" si="34"/>
        <v>588.08306000000027</v>
      </c>
      <c r="CK22" s="329">
        <f t="shared" si="34"/>
        <v>602.85142000000042</v>
      </c>
      <c r="CL22" s="329">
        <f t="shared" si="34"/>
        <v>602.85142000000042</v>
      </c>
      <c r="CM22" s="329">
        <f t="shared" si="34"/>
        <v>634.77670000000001</v>
      </c>
      <c r="CN22" s="329">
        <f t="shared" si="34"/>
        <v>634.77670000000001</v>
      </c>
      <c r="CO22" s="329">
        <f t="shared" si="34"/>
        <v>655.02002999999991</v>
      </c>
      <c r="CP22" s="329">
        <f t="shared" si="34"/>
        <v>655.02002999999991</v>
      </c>
      <c r="CQ22" s="329">
        <f t="shared" si="34"/>
        <v>650.71604000000013</v>
      </c>
      <c r="CR22" s="329">
        <f t="shared" si="34"/>
        <v>664.51052000000004</v>
      </c>
      <c r="CS22" s="329">
        <f t="shared" si="34"/>
        <v>664.51052000000004</v>
      </c>
      <c r="CT22" s="329">
        <f t="shared" si="34"/>
        <v>674.22220000000016</v>
      </c>
      <c r="CU22" s="329">
        <f t="shared" si="34"/>
        <v>674.22220000000016</v>
      </c>
      <c r="CV22" s="329">
        <f t="shared" si="34"/>
        <v>694.94020000000012</v>
      </c>
      <c r="CW22" s="329">
        <f t="shared" si="34"/>
        <v>694.94020000000012</v>
      </c>
      <c r="CX22" s="329">
        <f t="shared" si="34"/>
        <v>698.27448000000004</v>
      </c>
      <c r="CY22" s="329">
        <f t="shared" si="34"/>
        <v>715.01068000000021</v>
      </c>
      <c r="CZ22" s="329">
        <f t="shared" si="34"/>
        <v>715.01068000000021</v>
      </c>
      <c r="DA22" s="329">
        <f t="shared" si="34"/>
        <v>723.63549000000012</v>
      </c>
      <c r="DB22" s="329">
        <f t="shared" si="34"/>
        <v>723.63549000000012</v>
      </c>
      <c r="DC22" s="329">
        <f t="shared" si="34"/>
        <v>749.09878000000015</v>
      </c>
      <c r="DD22" s="329">
        <f t="shared" si="34"/>
        <v>749.09878000000015</v>
      </c>
      <c r="DE22" s="329">
        <f t="shared" si="34"/>
        <v>747.32701000000009</v>
      </c>
      <c r="DF22" s="329">
        <f t="shared" si="34"/>
        <v>747.32701000000009</v>
      </c>
      <c r="DG22" s="329">
        <f t="shared" si="34"/>
        <v>747.32701000000009</v>
      </c>
      <c r="DH22" s="329">
        <f t="shared" si="34"/>
        <v>754.21541000000013</v>
      </c>
      <c r="DI22" s="329">
        <f t="shared" si="34"/>
        <v>754.21541000000013</v>
      </c>
      <c r="DJ22" s="329">
        <f t="shared" si="34"/>
        <v>754.92131000000006</v>
      </c>
      <c r="DK22" s="329">
        <f t="shared" si="34"/>
        <v>754.92131000000006</v>
      </c>
      <c r="DL22" s="329">
        <f t="shared" si="34"/>
        <v>754.36040000000014</v>
      </c>
      <c r="DM22" s="329">
        <f t="shared" si="34"/>
        <v>779.06297000000006</v>
      </c>
      <c r="DN22" s="329">
        <f t="shared" si="34"/>
        <v>779.06297000000006</v>
      </c>
      <c r="DO22" s="329">
        <f t="shared" si="34"/>
        <v>780.0806</v>
      </c>
      <c r="DP22" s="329">
        <f t="shared" si="34"/>
        <v>780.0806</v>
      </c>
      <c r="DQ22" s="329">
        <f t="shared" si="34"/>
        <v>781.22660000000008</v>
      </c>
      <c r="DR22" s="329">
        <f t="shared" si="34"/>
        <v>781.22660000000008</v>
      </c>
      <c r="DS22" s="329">
        <f t="shared" si="34"/>
        <v>782.23196999999993</v>
      </c>
      <c r="DT22" s="329">
        <f t="shared" si="34"/>
        <v>790.46582000000001</v>
      </c>
      <c r="DU22" s="329">
        <f t="shared" si="34"/>
        <v>790.46582000000001</v>
      </c>
      <c r="DV22" s="329">
        <f t="shared" si="34"/>
        <v>800.69111000000021</v>
      </c>
      <c r="DW22" s="329">
        <f t="shared" si="34"/>
        <v>800.69111000000021</v>
      </c>
      <c r="DX22" s="329">
        <f t="shared" si="34"/>
        <v>806.82942000000003</v>
      </c>
      <c r="DY22" s="329">
        <f t="shared" si="34"/>
        <v>806.82942000000003</v>
      </c>
      <c r="DZ22" s="329">
        <f t="shared" si="34"/>
        <v>794.65359000000012</v>
      </c>
      <c r="EA22" s="329">
        <f t="shared" si="34"/>
        <v>792.73784999999998</v>
      </c>
      <c r="EB22" s="329">
        <f t="shared" ref="EB22:EN23" si="35">EB32+EB43+EB54</f>
        <v>792.73784999999998</v>
      </c>
      <c r="EC22" s="329">
        <f t="shared" si="35"/>
        <v>793.50613999999973</v>
      </c>
      <c r="ED22" s="329">
        <f t="shared" si="35"/>
        <v>793.50613999999973</v>
      </c>
      <c r="EE22" s="329">
        <f t="shared" si="35"/>
        <v>801.64318999999989</v>
      </c>
      <c r="EF22" s="329">
        <f t="shared" si="35"/>
        <v>801.64318999999989</v>
      </c>
      <c r="EG22" s="329">
        <f t="shared" si="35"/>
        <v>801.35279000000037</v>
      </c>
      <c r="EH22" s="329">
        <f t="shared" si="35"/>
        <v>799.14818000000014</v>
      </c>
      <c r="EI22" s="329">
        <f t="shared" si="35"/>
        <v>799.14818000000014</v>
      </c>
      <c r="EJ22" s="329">
        <f t="shared" si="35"/>
        <v>796.32528000000013</v>
      </c>
      <c r="EK22" s="329">
        <f t="shared" si="35"/>
        <v>796.32528000000013</v>
      </c>
      <c r="EL22" s="329">
        <f t="shared" si="35"/>
        <v>803.59787000000006</v>
      </c>
      <c r="EM22" s="329">
        <f t="shared" si="35"/>
        <v>803.59787000000006</v>
      </c>
      <c r="EN22" s="329">
        <v>804.54476999999986</v>
      </c>
      <c r="EO22" s="329">
        <v>804.56208000000004</v>
      </c>
      <c r="EP22" s="329">
        <v>804.56208000000004</v>
      </c>
      <c r="EQ22" s="329">
        <f t="shared" ref="EQ22:ER22" si="36">EQ32+EQ43+EQ54</f>
        <v>806.18200999999988</v>
      </c>
      <c r="ER22" s="329">
        <f t="shared" si="36"/>
        <v>806.18200999999988</v>
      </c>
      <c r="ES22" s="329">
        <f t="shared" ref="ES22:EU22" si="37">ES32+ES43+ES54</f>
        <v>819.82060999999999</v>
      </c>
      <c r="ET22" s="329">
        <f t="shared" si="37"/>
        <v>819.82060999999999</v>
      </c>
      <c r="EU22" s="329">
        <f t="shared" si="37"/>
        <v>820.28711999999985</v>
      </c>
      <c r="EV22" s="329">
        <f t="shared" ref="EV22:EW22" si="38">EV32+EV43+EV54</f>
        <v>823.15868</v>
      </c>
      <c r="EW22" s="329">
        <f t="shared" si="38"/>
        <v>823.15868</v>
      </c>
    </row>
    <row r="23" spans="1:155" ht="16.350000000000001" customHeight="1">
      <c r="A23" s="174"/>
      <c r="B23" s="160" t="s">
        <v>2360</v>
      </c>
      <c r="C23" s="160" t="s">
        <v>2352</v>
      </c>
      <c r="D23" s="329">
        <f>D22</f>
        <v>143.1</v>
      </c>
      <c r="E23" s="329">
        <f>AVERAGE(D22,E22)</f>
        <v>145.05000000000001</v>
      </c>
      <c r="F23" s="329">
        <f>E23</f>
        <v>145.05000000000001</v>
      </c>
      <c r="G23" s="329">
        <f>AVERAGE(F22,G22)</f>
        <v>147</v>
      </c>
      <c r="H23" s="329">
        <f>AVERAGE(D22,E22,G22)</f>
        <v>145.70000000000002</v>
      </c>
      <c r="I23" s="329">
        <f>AVERAGE(H22,I22)</f>
        <v>148.85</v>
      </c>
      <c r="J23" s="329">
        <f>AVERAGE(D22,E22,G22,I22)</f>
        <v>146.94999999999999</v>
      </c>
      <c r="K23" s="329">
        <f>K22</f>
        <v>154.69999999999999</v>
      </c>
      <c r="L23" s="329">
        <f>AVERAGE(K22,L22)</f>
        <v>158</v>
      </c>
      <c r="M23" s="329">
        <f>L23</f>
        <v>158</v>
      </c>
      <c r="N23" s="329">
        <f>AVERAGE(M22,N22)</f>
        <v>164.4</v>
      </c>
      <c r="O23" s="329">
        <f>AVERAGE(K22,L22,N22)</f>
        <v>161.16666666666666</v>
      </c>
      <c r="P23" s="329">
        <f>AVERAGE(O22,P22)</f>
        <v>172.75</v>
      </c>
      <c r="Q23" s="329">
        <f>AVERAGE(K22,L22,N22,P22)</f>
        <v>165.375</v>
      </c>
      <c r="R23" s="329">
        <f>R22</f>
        <v>178</v>
      </c>
      <c r="S23" s="329">
        <f>AVERAGE(R22,S22)</f>
        <v>182.75</v>
      </c>
      <c r="T23" s="329">
        <f>S23</f>
        <v>182.75</v>
      </c>
      <c r="U23" s="329">
        <f>AVERAGE(T22,U22)</f>
        <v>188.75</v>
      </c>
      <c r="V23" s="329">
        <f>AVERAGE(R22,S22,U22)</f>
        <v>185.16666666666666</v>
      </c>
      <c r="W23" s="329">
        <f>AVERAGE(V22,W22)</f>
        <v>196.75</v>
      </c>
      <c r="X23" s="329">
        <f>AVERAGE(R22,S22,U22,W22)</f>
        <v>189.75</v>
      </c>
      <c r="Y23" s="329">
        <f>Y22</f>
        <v>205.4</v>
      </c>
      <c r="Z23" s="329">
        <f>AVERAGE(Y22,Z22)</f>
        <v>209.85000000000002</v>
      </c>
      <c r="AA23" s="329">
        <f>Z23</f>
        <v>209.85000000000002</v>
      </c>
      <c r="AB23" s="329">
        <f>AVERAGE(AA22,AB22)</f>
        <v>215.95</v>
      </c>
      <c r="AC23" s="329">
        <f>AVERAGE(Y22,Z22,AB22)</f>
        <v>212.43333333333337</v>
      </c>
      <c r="AD23" s="329">
        <f>AVERAGE(AC22,AD22)</f>
        <v>223.64999999999998</v>
      </c>
      <c r="AE23" s="329">
        <f>AVERAGE(Y22,Z22,AB22,AD22)</f>
        <v>216.75</v>
      </c>
      <c r="AF23" s="329">
        <f>AF22</f>
        <v>229.7</v>
      </c>
      <c r="AG23" s="329">
        <f>AVERAGE(AF22,AG22)</f>
        <v>235.14999999999998</v>
      </c>
      <c r="AH23" s="329">
        <f>AG23</f>
        <v>235.14999999999998</v>
      </c>
      <c r="AI23" s="329">
        <f>AVERAGE(AH22,AI22)</f>
        <v>241.55</v>
      </c>
      <c r="AJ23" s="329">
        <f>AVERAGE(AF22,AG22,AI22)</f>
        <v>237.6</v>
      </c>
      <c r="AK23" s="329">
        <f>AVERAGE(AJ22,AK22)</f>
        <v>246.1</v>
      </c>
      <c r="AL23" s="329">
        <f>AVERAGE(AF22,AG22,AI22,AK22)</f>
        <v>240.625</v>
      </c>
      <c r="AM23" s="329">
        <f>AM22</f>
        <v>252.2</v>
      </c>
      <c r="AN23" s="329">
        <f>AVERAGE(AM22,AN22)</f>
        <v>255.79999999999998</v>
      </c>
      <c r="AO23" s="329">
        <f>AN23</f>
        <v>255.79999999999998</v>
      </c>
      <c r="AP23" s="329">
        <f>AVERAGE(AO22,AP22)</f>
        <v>260.25</v>
      </c>
      <c r="AQ23" s="329">
        <f>AVERAGE(AM22,AN22,AP22)</f>
        <v>257.56666666666666</v>
      </c>
      <c r="AR23" s="329">
        <f>AVERAGE(AQ22,AR22)</f>
        <v>267.89999999999998</v>
      </c>
      <c r="AS23" s="329">
        <f>AVERAGE(AM22,AN22,AP22,AR22)</f>
        <v>261.85000000000002</v>
      </c>
      <c r="AT23" s="329">
        <f>AT22</f>
        <v>290.358</v>
      </c>
      <c r="AU23" s="329">
        <f>AVERAGE(AT22,AU22)</f>
        <v>297.44299999999998</v>
      </c>
      <c r="AV23" s="329">
        <f>AU23</f>
        <v>297.44299999999998</v>
      </c>
      <c r="AW23" s="329">
        <f>AVERAGE(AV22,AW22)</f>
        <v>305.37800000000004</v>
      </c>
      <c r="AX23" s="329">
        <f>AVERAGE(AT22,AU22,AW22)</f>
        <v>300.37133333333333</v>
      </c>
      <c r="AY23" s="329">
        <f>AVERAGE(AX22,AY22)</f>
        <v>320.464</v>
      </c>
      <c r="AZ23" s="329">
        <f>AVERAGE(AT22,AU22,AW22,AY22)</f>
        <v>308.9785</v>
      </c>
      <c r="BA23" s="329">
        <f>BA22</f>
        <v>338.58</v>
      </c>
      <c r="BB23" s="329">
        <f>AVERAGE(BA22,BB22)</f>
        <v>343.50299999999999</v>
      </c>
      <c r="BC23" s="329">
        <f>BB23</f>
        <v>343.50299999999999</v>
      </c>
      <c r="BD23" s="329">
        <f>AVERAGE(BC22,BD22)</f>
        <v>350.78</v>
      </c>
      <c r="BE23" s="329">
        <f>AVERAGE(BA22,BB22,BD22)</f>
        <v>346.71333333333331</v>
      </c>
      <c r="BF23" s="329">
        <f>AVERAGE(BE22,BF22)</f>
        <v>367.57150000000001</v>
      </c>
      <c r="BG23" s="329">
        <f>AVERAGE(BA22,BB22,BD22,BF22)</f>
        <v>355.53724999999997</v>
      </c>
      <c r="BH23" s="329">
        <f>BH22</f>
        <v>384.58600000000001</v>
      </c>
      <c r="BI23" s="329">
        <f>AVERAGE(BH22,BI22)</f>
        <v>388.98599999999999</v>
      </c>
      <c r="BJ23" s="329">
        <f>BI23</f>
        <v>388.98599999999999</v>
      </c>
      <c r="BK23" s="329">
        <f>AVERAGE(BJ22,BK22)</f>
        <v>398.48145</v>
      </c>
      <c r="BL23" s="329">
        <f>AVERAGE(BH22,BI22,BK22)</f>
        <v>393.84963333333332</v>
      </c>
      <c r="BM23" s="329">
        <f>AVERAGE(BL22,BM22)</f>
        <v>420.63245000000001</v>
      </c>
      <c r="BN23" s="329">
        <f>AVERAGE(BH22,BI22,BK22,BM22)</f>
        <v>404.459225</v>
      </c>
      <c r="BO23" s="329">
        <f>BO33+BO44+BO55</f>
        <v>436.75146000000012</v>
      </c>
      <c r="BP23" s="329">
        <f t="shared" si="34"/>
        <v>451.34667333333351</v>
      </c>
      <c r="BQ23" s="329">
        <f t="shared" si="34"/>
        <v>444.04906666666676</v>
      </c>
      <c r="BR23" s="329">
        <f t="shared" si="34"/>
        <v>460.3997500000001</v>
      </c>
      <c r="BS23" s="329">
        <f t="shared" si="34"/>
        <v>449.49929444444456</v>
      </c>
      <c r="BT23" s="329">
        <f t="shared" si="34"/>
        <v>478.54661333333337</v>
      </c>
      <c r="BU23" s="329">
        <f t="shared" si="34"/>
        <v>456.76112416666689</v>
      </c>
      <c r="BV23" s="329">
        <f t="shared" si="34"/>
        <v>489.24386333333359</v>
      </c>
      <c r="BW23" s="329">
        <f t="shared" si="34"/>
        <v>503.34182666666698</v>
      </c>
      <c r="BX23" s="329">
        <f t="shared" si="34"/>
        <v>496.29284500000028</v>
      </c>
      <c r="BY23" s="329">
        <f t="shared" si="34"/>
        <v>510.15272333333343</v>
      </c>
      <c r="BZ23" s="329">
        <f t="shared" si="34"/>
        <v>500.91280444444465</v>
      </c>
      <c r="CA23" s="329">
        <f t="shared" si="34"/>
        <v>527.39372666666657</v>
      </c>
      <c r="CB23" s="329">
        <f t="shared" si="34"/>
        <v>507.5330350000001</v>
      </c>
      <c r="CC23" s="329">
        <f t="shared" si="34"/>
        <v>534.82235666666702</v>
      </c>
      <c r="CD23" s="329">
        <f t="shared" si="34"/>
        <v>550.12863666666692</v>
      </c>
      <c r="CE23" s="329">
        <f t="shared" si="34"/>
        <v>542.47549666666703</v>
      </c>
      <c r="CF23" s="329">
        <f t="shared" si="34"/>
        <v>557.65531666666698</v>
      </c>
      <c r="CG23" s="329">
        <f t="shared" si="34"/>
        <v>547.5354366666669</v>
      </c>
      <c r="CH23" s="329">
        <f t="shared" si="34"/>
        <v>581.70792333333361</v>
      </c>
      <c r="CI23" s="329">
        <f t="shared" si="34"/>
        <v>556.0785583333336</v>
      </c>
      <c r="CJ23" s="329">
        <f t="shared" si="34"/>
        <v>585.39062333333356</v>
      </c>
      <c r="CK23" s="329">
        <f t="shared" si="34"/>
        <v>596.29720000000032</v>
      </c>
      <c r="CL23" s="329">
        <f t="shared" si="34"/>
        <v>590.84391166666694</v>
      </c>
      <c r="CM23" s="329">
        <f t="shared" si="34"/>
        <v>617.29851666666661</v>
      </c>
      <c r="CN23" s="329">
        <f t="shared" si="34"/>
        <v>599.66211333333365</v>
      </c>
      <c r="CO23" s="329">
        <f t="shared" si="34"/>
        <v>648.92484000000013</v>
      </c>
      <c r="CP23" s="329">
        <f t="shared" si="34"/>
        <v>611.97779500000024</v>
      </c>
      <c r="CQ23" s="329">
        <f t="shared" si="34"/>
        <v>651.32083333333344</v>
      </c>
      <c r="CR23" s="329">
        <f t="shared" si="34"/>
        <v>662.16208000000006</v>
      </c>
      <c r="CS23" s="329">
        <f t="shared" si="34"/>
        <v>656.74145666666664</v>
      </c>
      <c r="CT23" s="329">
        <f t="shared" si="34"/>
        <v>670.87019000000009</v>
      </c>
      <c r="CU23" s="329">
        <f t="shared" si="34"/>
        <v>661.45103444444453</v>
      </c>
      <c r="CV23" s="329">
        <f t="shared" si="34"/>
        <v>686.69557666666674</v>
      </c>
      <c r="CW23" s="329">
        <f t="shared" si="34"/>
        <v>667.76217000000008</v>
      </c>
      <c r="CX23" s="329">
        <f t="shared" si="34"/>
        <v>697.45268666666675</v>
      </c>
      <c r="CY23" s="329">
        <f t="shared" si="34"/>
        <v>706.90313666666691</v>
      </c>
      <c r="CZ23" s="329">
        <f t="shared" si="34"/>
        <v>702.17791166666666</v>
      </c>
      <c r="DA23" s="329">
        <f t="shared" si="34"/>
        <v>720.29954666666674</v>
      </c>
      <c r="DB23" s="329">
        <f t="shared" si="34"/>
        <v>708.21845666666673</v>
      </c>
      <c r="DC23" s="329">
        <f t="shared" si="34"/>
        <v>735.75814000000014</v>
      </c>
      <c r="DD23" s="329">
        <f t="shared" si="34"/>
        <v>715.10337750000008</v>
      </c>
      <c r="DE23" s="329">
        <f t="shared" si="34"/>
        <v>747.3029466666668</v>
      </c>
      <c r="DF23" s="329">
        <f t="shared" si="34"/>
        <v>747.39014500000008</v>
      </c>
      <c r="DG23" s="329">
        <f t="shared" si="34"/>
        <v>702.72966000000008</v>
      </c>
      <c r="DH23" s="329">
        <f t="shared" si="34"/>
        <v>720.3818500000001</v>
      </c>
      <c r="DI23" s="329">
        <f t="shared" si="34"/>
        <v>708.63476833333334</v>
      </c>
      <c r="DJ23" s="329">
        <f t="shared" si="34"/>
        <v>754.48120333333338</v>
      </c>
      <c r="DK23" s="329">
        <f t="shared" si="34"/>
        <v>715.26224083333329</v>
      </c>
      <c r="DL23" s="329">
        <f t="shared" si="34"/>
        <v>753.07714666666664</v>
      </c>
      <c r="DM23" s="329">
        <f t="shared" si="34"/>
        <v>773.13335333333339</v>
      </c>
      <c r="DN23" s="329">
        <f t="shared" si="34"/>
        <v>763.10525000000007</v>
      </c>
      <c r="DO23" s="329">
        <f t="shared" si="34"/>
        <v>780.01461333333339</v>
      </c>
      <c r="DP23" s="329">
        <f t="shared" si="34"/>
        <v>768.74170444444451</v>
      </c>
      <c r="DQ23" s="329">
        <f t="shared" si="34"/>
        <v>781.22660000000008</v>
      </c>
      <c r="DR23" s="329">
        <f t="shared" si="34"/>
        <v>771.86292833333357</v>
      </c>
      <c r="DS23" s="329">
        <f t="shared" si="34"/>
        <v>781.35250333333329</v>
      </c>
      <c r="DT23" s="329">
        <f t="shared" si="34"/>
        <v>789.14407999999992</v>
      </c>
      <c r="DU23" s="329">
        <f t="shared" si="34"/>
        <v>785.24829166666666</v>
      </c>
      <c r="DV23" s="329">
        <f t="shared" si="34"/>
        <v>796.60256666666703</v>
      </c>
      <c r="DW23" s="329">
        <f t="shared" si="34"/>
        <v>789.03305000000023</v>
      </c>
      <c r="DX23" s="329">
        <f t="shared" si="34"/>
        <v>803.72180666666679</v>
      </c>
      <c r="DY23" s="329">
        <f t="shared" si="34"/>
        <v>792.70523916666673</v>
      </c>
      <c r="DZ23" s="329">
        <f t="shared" si="34"/>
        <v>797.60915999999997</v>
      </c>
      <c r="EA23" s="329">
        <f t="shared" si="34"/>
        <v>794.74722999999994</v>
      </c>
      <c r="EB23" s="329">
        <f t="shared" si="35"/>
        <v>796.17819499999996</v>
      </c>
      <c r="EC23" s="329">
        <f t="shared" si="35"/>
        <v>793.17765333333307</v>
      </c>
      <c r="ED23" s="329">
        <f t="shared" si="35"/>
        <v>795.17801444444433</v>
      </c>
      <c r="EE23" s="329">
        <f t="shared" si="35"/>
        <v>798.98691666666639</v>
      </c>
      <c r="EF23" s="329">
        <f t="shared" si="35"/>
        <v>796.13023999999996</v>
      </c>
      <c r="EG23" s="329">
        <f t="shared" si="35"/>
        <v>800.97032333333368</v>
      </c>
      <c r="EH23" s="329">
        <f t="shared" si="35"/>
        <v>799.54939999999999</v>
      </c>
      <c r="EI23" s="329">
        <f t="shared" si="35"/>
        <v>800.25986166666701</v>
      </c>
      <c r="EJ23" s="329">
        <f t="shared" si="35"/>
        <v>796.94474000000002</v>
      </c>
      <c r="EK23" s="329">
        <f t="shared" si="35"/>
        <v>799.15482111111135</v>
      </c>
      <c r="EL23" s="329">
        <f t="shared" si="35"/>
        <v>801.47021333333362</v>
      </c>
      <c r="EM23" s="329">
        <f t="shared" si="35"/>
        <v>792.74500250000006</v>
      </c>
      <c r="EN23" s="329">
        <f t="shared" si="35"/>
        <v>804.34072333333324</v>
      </c>
      <c r="EO23" s="329">
        <v>804.48775999999998</v>
      </c>
      <c r="EP23" s="329">
        <v>804.32782166666652</v>
      </c>
      <c r="EQ23" s="329">
        <f t="shared" ref="EQ23:ER23" si="39">EQ33+EQ44+EQ55</f>
        <v>805.79617999999982</v>
      </c>
      <c r="ER23" s="329">
        <f t="shared" si="39"/>
        <v>804.96433888888873</v>
      </c>
      <c r="ES23" s="329">
        <f t="shared" ref="ES23:EU23" si="40">ES33+ES44+ES55</f>
        <v>811.72944666666683</v>
      </c>
      <c r="ET23" s="329">
        <f t="shared" si="40"/>
        <v>806.65561583333329</v>
      </c>
      <c r="EU23" s="329">
        <f t="shared" si="40"/>
        <v>819.80820666666659</v>
      </c>
      <c r="EV23" s="329">
        <f t="shared" ref="EV23:EW23" si="41">EV33+EV44+EV55</f>
        <v>822.53606333333323</v>
      </c>
      <c r="EW23" s="329">
        <f t="shared" si="41"/>
        <v>821.1721349999998</v>
      </c>
    </row>
    <row r="24" spans="1:155" ht="16.350000000000001" customHeight="1">
      <c r="A24" s="174"/>
      <c r="B24" s="160" t="s">
        <v>2361</v>
      </c>
      <c r="C24" s="160" t="s">
        <v>2353</v>
      </c>
      <c r="D24" s="329">
        <f>'Income Statement'!D14/1000</f>
        <v>198.012</v>
      </c>
      <c r="E24" s="329">
        <f>'Income Statement'!E14/1000</f>
        <v>279.14800000000002</v>
      </c>
      <c r="F24" s="329">
        <f>'Income Statement'!F14/1000</f>
        <v>477.16</v>
      </c>
      <c r="G24" s="329">
        <f>'Income Statement'!G14/1000</f>
        <v>255.41300000000001</v>
      </c>
      <c r="H24" s="329">
        <f>'Income Statement'!H14/1000</f>
        <v>732.57299999999998</v>
      </c>
      <c r="I24" s="329">
        <f>'Income Statement'!I14/1000</f>
        <v>403.86099999999999</v>
      </c>
      <c r="J24" s="329">
        <f>'Income Statement'!J14/1000</f>
        <v>1136.434</v>
      </c>
      <c r="K24" s="329">
        <f>'Income Statement'!K14/1000</f>
        <v>250.995</v>
      </c>
      <c r="L24" s="329">
        <f>'Income Statement'!L14/1000</f>
        <v>357.709</v>
      </c>
      <c r="M24" s="329">
        <f>'Income Statement'!M14/1000</f>
        <v>608.70399999999995</v>
      </c>
      <c r="N24" s="329">
        <f>'Income Statement'!N14/1000</f>
        <v>320.52300000000002</v>
      </c>
      <c r="O24" s="329">
        <f>'Income Statement'!O14/1000</f>
        <v>929.22699999999998</v>
      </c>
      <c r="P24" s="329">
        <f>'Income Statement'!P14/1000</f>
        <v>506.87900000000002</v>
      </c>
      <c r="Q24" s="329">
        <f>'Income Statement'!Q14/1000</f>
        <v>1436.106</v>
      </c>
      <c r="R24" s="329">
        <f>'Income Statement'!R14/1000</f>
        <v>310.29300000000001</v>
      </c>
      <c r="S24" s="329">
        <f>'Income Statement'!S14/1000</f>
        <v>444.35500000000002</v>
      </c>
      <c r="T24" s="329">
        <f>'Income Statement'!T14/1000</f>
        <v>754.64800000000002</v>
      </c>
      <c r="U24" s="329">
        <f>'Income Statement'!U14/1000</f>
        <v>395.358</v>
      </c>
      <c r="V24" s="329">
        <f>'Income Statement'!V14/1000</f>
        <v>1150.0060000000001</v>
      </c>
      <c r="W24" s="329">
        <f>'Income Statement'!W14/1000</f>
        <v>601.72199999999998</v>
      </c>
      <c r="X24" s="329">
        <f>'Income Statement'!X14/1000</f>
        <v>1751.7280000000001</v>
      </c>
      <c r="Y24" s="329">
        <f>'Income Statement'!Y14/1000</f>
        <v>383.38299999999998</v>
      </c>
      <c r="Z24" s="329">
        <f>'Income Statement'!Z14/1000</f>
        <v>510.24599999999998</v>
      </c>
      <c r="AA24" s="329">
        <f>'Income Statement'!AA14/1000</f>
        <v>893.62900000000002</v>
      </c>
      <c r="AB24" s="329">
        <f>'Income Statement'!AB14/1000</f>
        <v>449.03399999999999</v>
      </c>
      <c r="AC24" s="329">
        <f>'Income Statement'!AC14/1000</f>
        <v>1342.664</v>
      </c>
      <c r="AD24" s="329">
        <f>'Income Statement'!AD14/1000</f>
        <v>613.75800000000004</v>
      </c>
      <c r="AE24" s="329">
        <f>'Income Statement'!AE14/1000</f>
        <v>1956.421</v>
      </c>
      <c r="AF24" s="329">
        <f>'Income Statement'!AF14/1000</f>
        <v>362.649</v>
      </c>
      <c r="AG24" s="329">
        <f>'Income Statement'!AG14/1000</f>
        <v>554.73199999999997</v>
      </c>
      <c r="AH24" s="329">
        <f>'Income Statement'!AH14/1000</f>
        <v>917.38099999999997</v>
      </c>
      <c r="AI24" s="329">
        <f>'Income Statement'!AI14/1000</f>
        <v>486.73</v>
      </c>
      <c r="AJ24" s="329">
        <f>'Income Statement'!AJ14/1000</f>
        <v>1404.1110000000001</v>
      </c>
      <c r="AK24" s="329">
        <f>'Income Statement'!AK14/1000</f>
        <v>711.85799999999995</v>
      </c>
      <c r="AL24" s="329">
        <f>'Income Statement'!AL14/1000</f>
        <v>2115.9690000000001</v>
      </c>
      <c r="AM24" s="329">
        <f>'Income Statement'!AM14/1000</f>
        <v>440.24599999999998</v>
      </c>
      <c r="AN24" s="329">
        <f>'Income Statement'!AN14/1000</f>
        <v>629.98900000000003</v>
      </c>
      <c r="AO24" s="329">
        <f>'Income Statement'!AO14/1000</f>
        <v>1070.2349999999999</v>
      </c>
      <c r="AP24" s="329">
        <f>'Income Statement'!AP14/1000</f>
        <v>568.74</v>
      </c>
      <c r="AQ24" s="329">
        <f>'Income Statement'!AQ14/1000</f>
        <v>1638.9749999999999</v>
      </c>
      <c r="AR24" s="329">
        <f>'Income Statement'!AR14/1000</f>
        <v>823.70899999999995</v>
      </c>
      <c r="AS24" s="329">
        <f>'Income Statement'!AS14/1000</f>
        <v>2462.6840000000002</v>
      </c>
      <c r="AT24" s="329">
        <f>'Income Statement'!AT14/1000</f>
        <v>517.70699999999999</v>
      </c>
      <c r="AU24" s="329">
        <f>'Income Statement'!AU14/1000</f>
        <v>749.65300000000002</v>
      </c>
      <c r="AV24" s="329">
        <f>'Income Statement'!AV14/1000</f>
        <v>1267.3599999999999</v>
      </c>
      <c r="AW24" s="329">
        <f>'Income Statement'!AW14/1000</f>
        <v>657.07600000000002</v>
      </c>
      <c r="AX24" s="329">
        <f>'Income Statement'!AX14/1000</f>
        <v>1924.4359999999999</v>
      </c>
      <c r="AY24" s="329">
        <f>'Income Statement'!AY14/1000</f>
        <v>972.18</v>
      </c>
      <c r="AZ24" s="329">
        <f>'Income Statement'!AZ14/1000</f>
        <v>2896.616</v>
      </c>
      <c r="BA24" s="329">
        <f>'Income Statement'!BA14/1000</f>
        <v>619.19899999999996</v>
      </c>
      <c r="BB24" s="329">
        <f>'Income Statement'!BB14/1000</f>
        <v>855.16899999999998</v>
      </c>
      <c r="BC24" s="329">
        <f>'Income Statement'!BC14/1000</f>
        <v>1474.3679999999999</v>
      </c>
      <c r="BD24" s="329">
        <f>'Income Statement'!BD14/1000</f>
        <v>803.26</v>
      </c>
      <c r="BE24" s="329">
        <f>'Income Statement'!BE14/1000</f>
        <v>2277.6280000000002</v>
      </c>
      <c r="BF24" s="329">
        <f>'Income Statement'!BF14/1000</f>
        <v>1184.3320000000001</v>
      </c>
      <c r="BG24" s="329">
        <f>'Income Statement'!BG14/1000</f>
        <v>3461.96</v>
      </c>
      <c r="BH24" s="329">
        <f>'Income Statement'!BH14/1000</f>
        <v>726.73099999999999</v>
      </c>
      <c r="BI24" s="329">
        <f>'Income Statement'!BI14/1000</f>
        <v>947.20299999999997</v>
      </c>
      <c r="BJ24" s="329">
        <f>'Income Statement'!BJ14/1000</f>
        <v>1673.934</v>
      </c>
      <c r="BK24" s="329">
        <f>'Income Statement'!BK14/1000</f>
        <v>906.91800000000001</v>
      </c>
      <c r="BL24" s="329">
        <f>'Income Statement'!BL14/1000</f>
        <v>2580.8519999999999</v>
      </c>
      <c r="BM24" s="329">
        <f>'Income Statement'!BM14/1000</f>
        <v>1332.954</v>
      </c>
      <c r="BN24" s="329">
        <f>'Income Statement'!BN14/1000</f>
        <v>3913.806</v>
      </c>
      <c r="BO24" s="329">
        <f>'Income Statement'!BO14/1000</f>
        <v>814.51599999999996</v>
      </c>
      <c r="BP24" s="329">
        <f>'Income Statement'!BP14/1000</f>
        <v>1111.1980000000001</v>
      </c>
      <c r="BQ24" s="329">
        <f>'Income Statement'!BQ14/1000</f>
        <v>1925.7139999999999</v>
      </c>
      <c r="BR24" s="329">
        <f>'Income Statement'!BR14/1000</f>
        <v>1047.0909999999999</v>
      </c>
      <c r="BS24" s="329">
        <f>'Income Statement'!BS14/1000</f>
        <v>2972.8049999999998</v>
      </c>
      <c r="BT24" s="329">
        <f>'Income Statement'!BT14/1000</f>
        <v>1669.807</v>
      </c>
      <c r="BU24" s="329">
        <f>'Income Statement'!BU14/1000</f>
        <v>4642.6120000000001</v>
      </c>
      <c r="BV24" s="329">
        <f>'Income Statement'!BV14/1000</f>
        <v>1010.895</v>
      </c>
      <c r="BW24" s="329">
        <f>'Income Statement'!BW14/1000</f>
        <v>1354.2260000000001</v>
      </c>
      <c r="BX24" s="329">
        <f>'Income Statement'!BX14/1000</f>
        <v>2365.1210000000001</v>
      </c>
      <c r="BY24" s="329">
        <f>'Income Statement'!BY14/1000</f>
        <v>1248.365</v>
      </c>
      <c r="BZ24" s="329">
        <f>'Income Statement'!BZ14/1000</f>
        <v>3613.4859999999999</v>
      </c>
      <c r="CA24" s="329">
        <f>'Income Statement'!CA14/1000</f>
        <v>1837.366</v>
      </c>
      <c r="CB24" s="329">
        <f>'Income Statement'!CB14/1000</f>
        <v>5450.8519999999999</v>
      </c>
      <c r="CC24" s="329">
        <f>'Income Statement'!CC14/1000</f>
        <v>1076.1479999999999</v>
      </c>
      <c r="CD24" s="329">
        <f>'Income Statement'!CD14/1000</f>
        <v>1464.6880000000001</v>
      </c>
      <c r="CE24" s="329">
        <f>'Income Statement'!CE14/1000</f>
        <v>2540.8359999999998</v>
      </c>
      <c r="CF24" s="329">
        <f>'Income Statement'!CF14/1000</f>
        <v>1260.4179999999999</v>
      </c>
      <c r="CG24" s="329">
        <f>'Income Statement'!CG14/1000</f>
        <v>3801.2539999999999</v>
      </c>
      <c r="CH24" s="329">
        <f>'Income Statement'!CH14/1000</f>
        <v>1920.5039999999999</v>
      </c>
      <c r="CI24" s="329">
        <f>'Income Statement'!CI14/1000</f>
        <v>5721.7579999999998</v>
      </c>
      <c r="CJ24" s="329">
        <f>'Income Statement'!CJ14/1000</f>
        <v>1234.684</v>
      </c>
      <c r="CK24" s="329">
        <f>'Income Statement'!CK14/1000</f>
        <v>1630.4559999999999</v>
      </c>
      <c r="CL24" s="329">
        <f>'Income Statement'!CL14/1000</f>
        <v>2865.14</v>
      </c>
      <c r="CM24" s="329">
        <f>'Income Statement'!CM14/1000</f>
        <v>1512.578</v>
      </c>
      <c r="CN24" s="329">
        <f>'Income Statement'!CN14/1000</f>
        <v>4377.7179999999998</v>
      </c>
      <c r="CO24" s="329">
        <f>'Income Statement'!CO14/1000</f>
        <v>2222.355</v>
      </c>
      <c r="CP24" s="329">
        <f>'Income Statement'!CP14/1000</f>
        <v>6600.0730000000003</v>
      </c>
      <c r="CQ24" s="329">
        <f>'Income Statement'!CQ14/1000</f>
        <v>1398.819</v>
      </c>
      <c r="CR24" s="329">
        <f>'Income Statement'!CR14/1000</f>
        <v>1780.0309999999999</v>
      </c>
      <c r="CS24" s="329">
        <f>'Income Statement'!CS14/1000</f>
        <v>3178.85</v>
      </c>
      <c r="CT24" s="329">
        <f>'Income Statement'!CT14/1000</f>
        <v>1711.461</v>
      </c>
      <c r="CU24" s="329">
        <f>'Income Statement'!CU14/1000</f>
        <v>4890.3109999999997</v>
      </c>
      <c r="CV24" s="329">
        <f>'Income Statement'!CV14/1000</f>
        <v>2595.1219999999998</v>
      </c>
      <c r="CW24" s="329">
        <f>'Income Statement'!CW14/1000</f>
        <v>7485.433</v>
      </c>
      <c r="CX24" s="329">
        <f>'Income Statement'!CX14/1000</f>
        <v>1650.337</v>
      </c>
      <c r="CY24" s="329">
        <f>'Income Statement'!CY14/1000</f>
        <v>2019.374</v>
      </c>
      <c r="CZ24" s="329">
        <f>'Income Statement'!CZ14/1000</f>
        <v>3669.7109999999998</v>
      </c>
      <c r="DA24" s="329">
        <f>'Income Statement'!DA14/1000</f>
        <v>1931.924</v>
      </c>
      <c r="DB24" s="329">
        <f>'Income Statement'!DB14/1000</f>
        <v>5601.6350000000002</v>
      </c>
      <c r="DC24" s="329">
        <f>'Income Statement'!DC14/1000</f>
        <v>2873.058</v>
      </c>
      <c r="DD24" s="329">
        <f>'Income Statement'!DD14/1000</f>
        <v>8474.6929999999993</v>
      </c>
      <c r="DE24" s="329">
        <f>'Income Statement'!DE14/1000</f>
        <v>1550.18</v>
      </c>
      <c r="DF24" s="329">
        <f>'Income Statement'!DF14/1000</f>
        <v>539.63599999999997</v>
      </c>
      <c r="DG24" s="329">
        <f>'Income Statement'!DG14/1000</f>
        <v>2089.8159999999998</v>
      </c>
      <c r="DH24" s="329">
        <f>'Income Statement'!DH14/1000</f>
        <v>1651.1969999999999</v>
      </c>
      <c r="DI24" s="329">
        <f>'Income Statement'!DI14/1000</f>
        <v>3741.0129999999999</v>
      </c>
      <c r="DJ24" s="329">
        <f>'Income Statement'!DJ14/1000</f>
        <v>2919.558</v>
      </c>
      <c r="DK24" s="329">
        <f>'Income Statement'!DK14/1000</f>
        <v>6660.5709999999999</v>
      </c>
      <c r="DL24" s="329">
        <f>'Income Statement'!DL14/1000</f>
        <v>1364.4169999999999</v>
      </c>
      <c r="DM24" s="329">
        <f>'Income Statement'!DM14/1000</f>
        <v>2258.7240000000002</v>
      </c>
      <c r="DN24" s="329">
        <f>'Income Statement'!DN14/1000</f>
        <v>3623.1410000000001</v>
      </c>
      <c r="DO24" s="329">
        <f>'Income Statement'!DO14/1000</f>
        <v>2371.8319999999999</v>
      </c>
      <c r="DP24" s="329">
        <f>'Income Statement'!DP14/1000</f>
        <v>5994.973</v>
      </c>
      <c r="DQ24" s="329">
        <f>'Income Statement'!DQ14/1000</f>
        <v>3560.46</v>
      </c>
      <c r="DR24" s="329">
        <f>'Income Statement'!DR14/1000</f>
        <v>9555.4330000000009</v>
      </c>
      <c r="DS24" s="329">
        <f>'Income Statement'!DS14/1000</f>
        <v>2229.665</v>
      </c>
      <c r="DT24" s="329">
        <f>'Income Statement'!DT14/1000</f>
        <v>3175.7460000000001</v>
      </c>
      <c r="DU24" s="329">
        <f>'Income Statement'!DU14/1000</f>
        <v>5405.4110000000001</v>
      </c>
      <c r="DV24" s="329">
        <f>'Income Statement'!DV14/1000</f>
        <v>2615.5210000000002</v>
      </c>
      <c r="DW24" s="329">
        <f>'Income Statement'!DW14/1000</f>
        <v>8020.9319999999998</v>
      </c>
      <c r="DX24" s="329">
        <f>'Income Statement'!DX14/1000</f>
        <v>3554.864</v>
      </c>
      <c r="DY24" s="329">
        <f>'Income Statement'!DY14/1000</f>
        <v>11575.796</v>
      </c>
      <c r="DZ24" s="329">
        <f>'Income Statement'!DZ14/1000</f>
        <v>2277.9989999999998</v>
      </c>
      <c r="EA24" s="329">
        <f>'Income Statement'!EA14/1000</f>
        <v>2985.3040000000001</v>
      </c>
      <c r="EB24" s="329">
        <f>'Income Statement'!EB14/1000</f>
        <v>5263.3029999999999</v>
      </c>
      <c r="EC24" s="329">
        <f>'Income Statement'!EC14/1000</f>
        <v>2636.1060000000002</v>
      </c>
      <c r="ED24" s="329">
        <f>'Income Statement'!ED14/1000</f>
        <v>7899.4089999999997</v>
      </c>
      <c r="EE24" s="329">
        <f>'Income Statement'!EE14/1000</f>
        <v>3806.931</v>
      </c>
      <c r="EF24" s="329">
        <f>'Income Statement'!EF14/1000</f>
        <v>11706.34</v>
      </c>
      <c r="EG24" s="329">
        <f>'Income Statement'!EG14/1000</f>
        <v>2461.2959999999998</v>
      </c>
      <c r="EH24" s="329">
        <f>'Income Statement'!EH14/1000</f>
        <v>3079.9229999999998</v>
      </c>
      <c r="EI24" s="329">
        <f>'Income Statement'!EI14/1000</f>
        <v>5541.2190000000001</v>
      </c>
      <c r="EJ24" s="329">
        <f>'Income Statement'!EJ14/1000</f>
        <v>2955.9520000000002</v>
      </c>
      <c r="EK24" s="329">
        <f>EI24+EJ24</f>
        <v>8497.1710000000003</v>
      </c>
      <c r="EL24" s="329">
        <f>'Income Statement'!EL14/1000</f>
        <v>4174.7790000000005</v>
      </c>
      <c r="EM24" s="329">
        <f>EK24+EL24</f>
        <v>12671.95</v>
      </c>
      <c r="EN24" s="329">
        <f>'Income Statement'!EN14/1000</f>
        <v>2756.84</v>
      </c>
      <c r="EO24" s="329">
        <v>3649.6689999999999</v>
      </c>
      <c r="EP24" s="329">
        <v>6406.509</v>
      </c>
      <c r="EQ24" s="329">
        <f>'Income Statement'!EQ14/1000</f>
        <v>3079.1489999999999</v>
      </c>
      <c r="ER24" s="329">
        <f>'Income Statement'!ER14/1000</f>
        <v>9485.6579999999994</v>
      </c>
      <c r="ES24" s="329">
        <f>'Income Statement'!ES14/1000</f>
        <v>4352.5219999999999</v>
      </c>
      <c r="ET24" s="329">
        <f>'Income Statement'!ET14/1000</f>
        <v>13838.18</v>
      </c>
      <c r="EU24" s="329">
        <f>'Income Statement'!EU14/1000</f>
        <v>2875.9290000000001</v>
      </c>
      <c r="EV24" s="329">
        <f>'Income Statement'!EV14/1000</f>
        <v>3689.2379999999998</v>
      </c>
      <c r="EW24" s="329">
        <f>'Income Statement'!EW14/1000</f>
        <v>6565.1670000000004</v>
      </c>
    </row>
    <row r="25" spans="1:155" ht="16.350000000000001" customHeight="1">
      <c r="A25" s="174"/>
      <c r="B25" s="160" t="s">
        <v>2362</v>
      </c>
      <c r="C25" s="160" t="s">
        <v>2354</v>
      </c>
      <c r="D25" s="126" t="s">
        <v>624</v>
      </c>
      <c r="E25" s="126" t="s">
        <v>624</v>
      </c>
      <c r="F25" s="126" t="s">
        <v>624</v>
      </c>
      <c r="G25" s="126" t="s">
        <v>624</v>
      </c>
      <c r="H25" s="126" t="s">
        <v>624</v>
      </c>
      <c r="I25" s="126" t="s">
        <v>624</v>
      </c>
      <c r="J25" s="126" t="s">
        <v>624</v>
      </c>
      <c r="K25" s="126">
        <f t="shared" ref="K25" si="42">+K24/D24-1</f>
        <v>0.26757469244288234</v>
      </c>
      <c r="L25" s="126">
        <f t="shared" ref="L25" si="43">+L24/E24-1</f>
        <v>0.28143135541003339</v>
      </c>
      <c r="M25" s="126">
        <f t="shared" ref="M25" si="44">+M24/F24-1</f>
        <v>0.27568111325341582</v>
      </c>
      <c r="N25" s="126">
        <f t="shared" ref="N25" si="45">+N24/G24-1</f>
        <v>0.25492046215345354</v>
      </c>
      <c r="O25" s="126">
        <f t="shared" ref="O25" si="46">+O24/H24-1</f>
        <v>0.26844287190491589</v>
      </c>
      <c r="P25" s="126">
        <f t="shared" ref="P25" si="47">+P24/I24-1</f>
        <v>0.25508281314610737</v>
      </c>
      <c r="Q25" s="126">
        <f t="shared" ref="Q25" si="48">+Q24/J24-1</f>
        <v>0.26369503200361843</v>
      </c>
      <c r="R25" s="126">
        <f t="shared" ref="R25" si="49">+R24/K24-1</f>
        <v>0.23625171816171631</v>
      </c>
      <c r="S25" s="126">
        <f t="shared" ref="S25" si="50">+S24/L24-1</f>
        <v>0.24222482520708177</v>
      </c>
      <c r="T25" s="126">
        <f t="shared" ref="T25" si="51">+T24/M24-1</f>
        <v>0.23976185469456435</v>
      </c>
      <c r="U25" s="126">
        <f t="shared" ref="U25" si="52">+U24/N24-1</f>
        <v>0.23347778474555647</v>
      </c>
      <c r="V25" s="126">
        <f t="shared" ref="V25" si="53">+V24/O24-1</f>
        <v>0.23759425845353199</v>
      </c>
      <c r="W25" s="126">
        <f t="shared" ref="W25" si="54">+W24/P24-1</f>
        <v>0.18711171699754758</v>
      </c>
      <c r="X25" s="126">
        <f t="shared" ref="X25" si="55">+X24/Q24-1</f>
        <v>0.21977625607023432</v>
      </c>
      <c r="Y25" s="126">
        <f t="shared" ref="Y25" si="56">+Y24/R24-1</f>
        <v>0.23555155933263072</v>
      </c>
      <c r="Z25" s="126">
        <f t="shared" ref="Z25" si="57">+Z24/S24-1</f>
        <v>0.1482845922741951</v>
      </c>
      <c r="AA25" s="126">
        <f t="shared" ref="AA25" si="58">+AA24/T24-1</f>
        <v>0.18416665783252584</v>
      </c>
      <c r="AB25" s="126">
        <f t="shared" ref="AB25" si="59">+AB24/U24-1</f>
        <v>0.13576555931586043</v>
      </c>
      <c r="AC25" s="126">
        <f t="shared" ref="AC25" si="60">+AC24/V24-1</f>
        <v>0.16752782159397417</v>
      </c>
      <c r="AD25" s="126">
        <f t="shared" ref="AD25" si="61">+AD24/W24-1</f>
        <v>2.000259255935477E-2</v>
      </c>
      <c r="AE25" s="126">
        <f t="shared" ref="AE25" si="62">+AE24/X24-1</f>
        <v>0.11685204552304929</v>
      </c>
      <c r="AF25" s="126">
        <f t="shared" ref="AF25" si="63">+AF24/Y24-1</f>
        <v>-5.4081688546440465E-2</v>
      </c>
      <c r="AG25" s="126">
        <f t="shared" ref="AG25" si="64">+AG24/Z24-1</f>
        <v>8.7185396847794916E-2</v>
      </c>
      <c r="AH25" s="126">
        <f t="shared" ref="AH25" si="65">+AH24/AA24-1</f>
        <v>2.6579262758930078E-2</v>
      </c>
      <c r="AI25" s="126">
        <f t="shared" ref="AI25" si="66">+AI24/AB24-1</f>
        <v>8.3949099622745882E-2</v>
      </c>
      <c r="AJ25" s="126">
        <f t="shared" ref="AJ25" si="67">+AJ24/AC24-1</f>
        <v>4.5764986623608062E-2</v>
      </c>
      <c r="AK25" s="126">
        <f t="shared" ref="AK25" si="68">+AK24/AD24-1</f>
        <v>0.15983498382098471</v>
      </c>
      <c r="AL25" s="126">
        <f t="shared" ref="AL25" si="69">+AL24/AE24-1</f>
        <v>8.1550954523591734E-2</v>
      </c>
      <c r="AM25" s="126">
        <f t="shared" ref="AM25" si="70">+AM24/AF24-1</f>
        <v>0.21397273948087547</v>
      </c>
      <c r="AN25" s="126">
        <f t="shared" ref="AN25" si="71">+AN24/AG24-1</f>
        <v>0.13566370788056226</v>
      </c>
      <c r="AO25" s="126">
        <f t="shared" ref="AO25" si="72">+AO24/AH24-1</f>
        <v>0.16661997577887488</v>
      </c>
      <c r="AP25" s="126">
        <f t="shared" ref="AP25" si="73">+AP24/AI24-1</f>
        <v>0.16849177161876194</v>
      </c>
      <c r="AQ25" s="126">
        <f t="shared" ref="AQ25" si="74">+AQ24/AJ24-1</f>
        <v>0.16726882703717849</v>
      </c>
      <c r="AR25" s="126">
        <f t="shared" ref="AR25" si="75">+AR24/AK24-1</f>
        <v>0.15712543793846523</v>
      </c>
      <c r="AS25" s="126">
        <f t="shared" ref="AS25" si="76">+AS24/AL24-1</f>
        <v>0.16385637029654032</v>
      </c>
      <c r="AT25" s="126">
        <f t="shared" ref="AT25" si="77">+AT24/AM24-1</f>
        <v>0.17594935558755798</v>
      </c>
      <c r="AU25" s="126">
        <f t="shared" ref="AU25" si="78">+AU24/AN24-1</f>
        <v>0.18994617366334965</v>
      </c>
      <c r="AV25" s="126">
        <f t="shared" ref="AV25" si="79">+AV24/AO24-1</f>
        <v>0.18418851934388236</v>
      </c>
      <c r="AW25" s="126">
        <f t="shared" ref="AW25" si="80">+AW24/AP24-1</f>
        <v>0.15531877483560153</v>
      </c>
      <c r="AX25" s="126">
        <f t="shared" ref="AX25" si="81">+AX24/AQ24-1</f>
        <v>0.17417044189203623</v>
      </c>
      <c r="AY25" s="126">
        <f t="shared" ref="AY25" si="82">+AY24/AR24-1</f>
        <v>0.18024690758508166</v>
      </c>
      <c r="AZ25" s="126">
        <f t="shared" ref="AZ25" si="83">+AZ24/AS24-1</f>
        <v>0.17620287458723882</v>
      </c>
      <c r="BA25" s="126">
        <f t="shared" ref="BA25" si="84">+BA24/AT24-1</f>
        <v>0.19604139020720202</v>
      </c>
      <c r="BB25" s="126">
        <f t="shared" ref="BB25" si="85">+BB24/AU24-1</f>
        <v>0.14075312177767585</v>
      </c>
      <c r="BC25" s="126">
        <f t="shared" ref="BC25" si="86">+BC24/AV24-1</f>
        <v>0.16333796237848763</v>
      </c>
      <c r="BD25" s="126">
        <f t="shared" ref="BD25" si="87">+BD24/AW24-1</f>
        <v>0.22247654761397451</v>
      </c>
      <c r="BE25" s="126">
        <f t="shared" ref="BE25" si="88">+BE24/AX24-1</f>
        <v>0.18353013558258113</v>
      </c>
      <c r="BF25" s="126">
        <f t="shared" ref="BF25" si="89">+BF24/AY24-1</f>
        <v>0.21822296282581433</v>
      </c>
      <c r="BG25" s="126">
        <f t="shared" ref="BG25" si="90">+BG24/AZ24-1</f>
        <v>0.19517395471129073</v>
      </c>
      <c r="BH25" s="126">
        <f t="shared" ref="BH25" si="91">+BH24/BA24-1</f>
        <v>0.17366307116129076</v>
      </c>
      <c r="BI25" s="126">
        <f t="shared" ref="BI25" si="92">+BI24/BB24-1</f>
        <v>0.10762083284122781</v>
      </c>
      <c r="BJ25" s="126">
        <f t="shared" ref="BJ25" si="93">+BJ24/BC24-1</f>
        <v>0.13535698007553076</v>
      </c>
      <c r="BK25" s="126">
        <f t="shared" ref="BK25" si="94">+BK24/BD24-1</f>
        <v>0.12904663496252766</v>
      </c>
      <c r="BL25" s="126">
        <f t="shared" ref="BL25" si="95">+BL24/BE24-1</f>
        <v>0.13313148591429314</v>
      </c>
      <c r="BM25" s="126">
        <f t="shared" ref="BM25" si="96">+BM24/BF24-1</f>
        <v>0.12549014972153061</v>
      </c>
      <c r="BN25" s="126">
        <f t="shared" ref="BN25" si="97">+BN24/BG24-1</f>
        <v>0.13051739477059243</v>
      </c>
      <c r="BO25" s="126">
        <f t="shared" ref="BO25" si="98">+BO24/BH24-1</f>
        <v>0.12079435169271702</v>
      </c>
      <c r="BP25" s="126">
        <f t="shared" ref="BP25" si="99">+BP24/BI24-1</f>
        <v>0.17313606481398414</v>
      </c>
      <c r="BQ25" s="126">
        <f t="shared" ref="BQ25" si="100">+BQ24/BJ24-1</f>
        <v>0.15041214289213323</v>
      </c>
      <c r="BR25" s="126">
        <f t="shared" ref="BR25" si="101">+BR24/BK24-1</f>
        <v>0.15455972866345125</v>
      </c>
      <c r="BS25" s="126">
        <f t="shared" ref="BS25" si="102">+BS24/BL24-1</f>
        <v>0.1518696151503458</v>
      </c>
      <c r="BT25" s="126">
        <f t="shared" ref="BT25" si="103">+BT24/BM24-1</f>
        <v>0.25271164646341893</v>
      </c>
      <c r="BU25" s="126">
        <f t="shared" ref="BU25" si="104">+BU24/BN24-1</f>
        <v>0.18621413529439113</v>
      </c>
      <c r="BV25" s="126">
        <f t="shared" ref="BV25" si="105">+BV24/BO24-1</f>
        <v>0.24109900849093213</v>
      </c>
      <c r="BW25" s="126">
        <f t="shared" ref="BW25" si="106">+BW24/BP24-1</f>
        <v>0.21870809702681249</v>
      </c>
      <c r="BX25" s="126">
        <f t="shared" ref="BX25" si="107">+BX24/BQ24-1</f>
        <v>0.22817874305322605</v>
      </c>
      <c r="BY25" s="126">
        <f t="shared" ref="BY25" si="108">+BY24/BR24-1</f>
        <v>0.19222207047907025</v>
      </c>
      <c r="BZ25" s="126">
        <f t="shared" ref="BZ25" si="109">+BZ24/BS24-1</f>
        <v>0.2155139674482518</v>
      </c>
      <c r="CA25" s="126">
        <f t="shared" ref="CA25" si="110">+CA24/BT24-1</f>
        <v>0.10034632744981908</v>
      </c>
      <c r="CB25" s="126">
        <f t="shared" ref="CB25" si="111">+CB24/BU24-1</f>
        <v>0.17409165357777034</v>
      </c>
      <c r="CC25" s="126">
        <f t="shared" ref="CC25" si="112">+CC24/BV24-1</f>
        <v>6.4549730684195561E-2</v>
      </c>
      <c r="CD25" s="126">
        <f t="shared" ref="CD25" si="113">+CD24/BW24-1</f>
        <v>8.1568364512274893E-2</v>
      </c>
      <c r="CE25" s="126">
        <f t="shared" ref="CE25" si="114">+CE24/BX24-1</f>
        <v>7.4294296148061711E-2</v>
      </c>
      <c r="CF25" s="126">
        <f t="shared" ref="CF25" si="115">+CF24/BY24-1</f>
        <v>9.6550287776411281E-3</v>
      </c>
      <c r="CG25" s="126">
        <f t="shared" ref="CG25" si="116">+CG24/BZ24-1</f>
        <v>5.1963118163457667E-2</v>
      </c>
      <c r="CH25" s="126">
        <f t="shared" ref="CH25" si="117">+CH24/CA24-1</f>
        <v>4.5248469820384107E-2</v>
      </c>
      <c r="CI25" s="126">
        <f t="shared" ref="CI25" si="118">+CI24/CB24-1</f>
        <v>4.9699753359658372E-2</v>
      </c>
      <c r="CJ25" s="126">
        <f t="shared" ref="CJ25" si="119">+CJ24/CC24-1</f>
        <v>0.14731802688849505</v>
      </c>
      <c r="CK25" s="126">
        <f t="shared" ref="CK25" si="120">+CK24/CD24-1</f>
        <v>0.11317632151010981</v>
      </c>
      <c r="CL25" s="126">
        <f t="shared" ref="CL25" si="121">+CL24/CE24-1</f>
        <v>0.12763673058788538</v>
      </c>
      <c r="CM25" s="126">
        <f t="shared" ref="CM25" si="122">+CM24/CF24-1</f>
        <v>0.20006061481191173</v>
      </c>
      <c r="CN25" s="126">
        <f t="shared" ref="CN25" si="123">+CN24/CG24-1</f>
        <v>0.1516510077990052</v>
      </c>
      <c r="CO25" s="126">
        <f t="shared" ref="CO25" si="124">+CO24/CH24-1</f>
        <v>0.15717280463878236</v>
      </c>
      <c r="CP25" s="126">
        <f t="shared" ref="CP25" si="125">+CP24/CI24-1</f>
        <v>0.15350439497790713</v>
      </c>
      <c r="CQ25" s="126">
        <f t="shared" ref="CQ25" si="126">+CQ24/CJ24-1</f>
        <v>0.13293684861875588</v>
      </c>
      <c r="CR25" s="126">
        <f t="shared" ref="CR25" si="127">+CR24/CK24-1</f>
        <v>9.1738139514344397E-2</v>
      </c>
      <c r="CS25" s="126">
        <f t="shared" ref="CS25" si="128">+CS24/CL24-1</f>
        <v>0.1094920318029835</v>
      </c>
      <c r="CT25" s="126">
        <f t="shared" ref="CT25" si="129">+CT24/CM24-1</f>
        <v>0.13148611179059855</v>
      </c>
      <c r="CU25" s="126">
        <f t="shared" ref="CU25" si="130">+CU24/CN24-1</f>
        <v>0.11709137043546436</v>
      </c>
      <c r="CV25" s="126">
        <f t="shared" ref="CV25" si="131">+CV24/CO24-1</f>
        <v>0.16773512782611233</v>
      </c>
      <c r="CW25" s="126">
        <f t="shared" ref="CW25" si="132">+CW24/CP24-1</f>
        <v>0.13414397083183771</v>
      </c>
      <c r="CX25" s="126">
        <f t="shared" ref="CX25" si="133">+CX24/CQ24-1</f>
        <v>0.17980739466650086</v>
      </c>
      <c r="CY25" s="126">
        <f t="shared" ref="CY25" si="134">+CY24/CR24-1</f>
        <v>0.13446001783115014</v>
      </c>
      <c r="CZ25" s="126">
        <f t="shared" ref="CZ25" si="135">+CZ24/CS24-1</f>
        <v>0.15441464680623485</v>
      </c>
      <c r="DA25" s="126">
        <f t="shared" ref="DA25" si="136">+DA24/CT24-1</f>
        <v>0.12881567269134386</v>
      </c>
      <c r="DB25" s="126">
        <f t="shared" ref="DB25" si="137">+DB24/CU24-1</f>
        <v>0.14545577980623325</v>
      </c>
      <c r="DC25" s="126">
        <f t="shared" ref="DC25" si="138">+DC24/CV24-1</f>
        <v>0.10709939648309419</v>
      </c>
      <c r="DD25" s="126">
        <f t="shared" ref="DD25" si="139">+DD24/CW24-1</f>
        <v>0.13215801944924221</v>
      </c>
      <c r="DE25" s="126">
        <f t="shared" ref="DE25" si="140">+DE24/CX24-1</f>
        <v>-6.0688816890126063E-2</v>
      </c>
      <c r="DF25" s="126">
        <f t="shared" ref="DF25" si="141">+DF24/CY24-1</f>
        <v>-0.73277065070660519</v>
      </c>
      <c r="DG25" s="126">
        <f t="shared" ref="DG25" si="142">+DG24/CZ24-1</f>
        <v>-0.43052300303756896</v>
      </c>
      <c r="DH25" s="126">
        <f t="shared" ref="DH25" si="143">+DH24/DA24-1</f>
        <v>-0.14530954633826176</v>
      </c>
      <c r="DI25" s="126">
        <f t="shared" ref="DI25" si="144">+DI24/DB24-1</f>
        <v>-0.33215695060460027</v>
      </c>
      <c r="DJ25" s="126">
        <f t="shared" ref="DJ25" si="145">+DJ24/DC24-1</f>
        <v>1.6184845554806149E-2</v>
      </c>
      <c r="DK25" s="126">
        <f t="shared" ref="DK25" si="146">+DK24/DD24-1</f>
        <v>-0.21406344749007422</v>
      </c>
      <c r="DL25" s="126">
        <f t="shared" ref="DL25" si="147">+DL24/DE24-1</f>
        <v>-0.11983318066289084</v>
      </c>
      <c r="DM25" s="126">
        <f t="shared" ref="DM25" si="148">+DM24/DF24-1</f>
        <v>3.1856436560941086</v>
      </c>
      <c r="DN25" s="126">
        <f t="shared" ref="DN25" si="149">+DN24/DG24-1</f>
        <v>0.7337129201805328</v>
      </c>
      <c r="DO25" s="126">
        <f t="shared" ref="DO25" si="150">+DO24/DH24-1</f>
        <v>0.43643187336217304</v>
      </c>
      <c r="DP25" s="126">
        <f t="shared" ref="DP25" si="151">+DP24/DI24-1</f>
        <v>0.60249991112033019</v>
      </c>
      <c r="DQ25" s="126">
        <f t="shared" ref="DQ25" si="152">+DQ24/DJ24-1</f>
        <v>0.21952021504625008</v>
      </c>
      <c r="DR25" s="126">
        <f t="shared" ref="DR25" si="153">+DR24/DK24-1</f>
        <v>0.43462670092398992</v>
      </c>
      <c r="DS25" s="126">
        <f t="shared" ref="DS25" si="154">+DS24/DL24-1</f>
        <v>0.63415216902164073</v>
      </c>
      <c r="DT25" s="126">
        <f t="shared" ref="DT25" si="155">+DT24/DM24-1</f>
        <v>0.40599117023593845</v>
      </c>
      <c r="DU25" s="126">
        <f t="shared" ref="DU25" si="156">+DU24/DN24-1</f>
        <v>0.49191295618911868</v>
      </c>
      <c r="DV25" s="126">
        <f t="shared" ref="DV25" si="157">+DV24/DO24-1</f>
        <v>0.10274294300776798</v>
      </c>
      <c r="DW25" s="126">
        <f t="shared" ref="DW25" si="158">+DW24/DP24-1</f>
        <v>0.3379429732210637</v>
      </c>
      <c r="DX25" s="126">
        <f t="shared" ref="DX25" si="159">+DX24/DQ24-1</f>
        <v>-1.5717070266201283E-3</v>
      </c>
      <c r="DY25" s="126">
        <f t="shared" ref="DY25" si="160">+DY24/DR24-1</f>
        <v>0.21143604899955859</v>
      </c>
      <c r="DZ25" s="126">
        <f t="shared" ref="DZ25" si="161">+DZ24/DS24-1</f>
        <v>2.1677695976749733E-2</v>
      </c>
      <c r="EA25" s="126">
        <f t="shared" ref="EA25" si="162">+EA24/DT24-1</f>
        <v>-5.9967642248466957E-2</v>
      </c>
      <c r="EB25" s="126">
        <f t="shared" ref="EB25" si="163">+EB24/DU24-1</f>
        <v>-2.6289952789898874E-2</v>
      </c>
      <c r="EC25" s="126">
        <f t="shared" ref="EC25" si="164">+EC24/DV24-1</f>
        <v>7.8703248798230874E-3</v>
      </c>
      <c r="ED25" s="126">
        <f t="shared" ref="ED25" si="165">+ED24/DW24-1</f>
        <v>-1.515073310682602E-2</v>
      </c>
      <c r="EE25" s="126">
        <f t="shared" ref="EE25" si="166">+EE24/DX24-1</f>
        <v>7.0907635285063053E-2</v>
      </c>
      <c r="EF25" s="126">
        <f t="shared" ref="EF25" si="167">+EF24/DY24-1</f>
        <v>1.1277323822914687E-2</v>
      </c>
      <c r="EG25" s="126">
        <f t="shared" ref="EG25" si="168">+EG24/DZ24-1</f>
        <v>8.0464038834082041E-2</v>
      </c>
      <c r="EH25" s="126">
        <f t="shared" ref="EH25" si="169">+EH24/EA24-1</f>
        <v>3.1694929561612462E-2</v>
      </c>
      <c r="EI25" s="126">
        <f t="shared" ref="EI25" si="170">+EI24/EB24-1</f>
        <v>5.2802584232752636E-2</v>
      </c>
      <c r="EJ25" s="126">
        <f t="shared" ref="EJ25" si="171">+EJ24/EC24-1</f>
        <v>0.12133275369048135</v>
      </c>
      <c r="EK25" s="126">
        <f t="shared" ref="EK25" si="172">+EK24/ED24-1</f>
        <v>7.5671736961588021E-2</v>
      </c>
      <c r="EL25" s="126">
        <f t="shared" ref="EL25" si="173">+EL24/EE24-1</f>
        <v>9.6625864771386905E-2</v>
      </c>
      <c r="EM25" s="126">
        <f t="shared" ref="EM25" si="174">+EM24/EF24-1</f>
        <v>8.2486071650063275E-2</v>
      </c>
      <c r="EN25" s="126">
        <f t="shared" ref="EN25" si="175">+EN24/EG24-1</f>
        <v>0.12007657754288803</v>
      </c>
      <c r="EO25" s="126">
        <v>0.18498709220977272</v>
      </c>
      <c r="EP25" s="126">
        <v>0.15615517091094944</v>
      </c>
      <c r="EQ25" s="126">
        <f t="shared" ref="EQ25" si="176">+EQ24/EJ24-1</f>
        <v>4.1677605049067035E-2</v>
      </c>
      <c r="ER25" s="126">
        <f t="shared" ref="ER25" si="177">+ER24/EK24-1</f>
        <v>0.11633130603114838</v>
      </c>
      <c r="ES25" s="126">
        <f t="shared" ref="ES25" si="178">+ES24/EL24-1</f>
        <v>4.2575427345974415E-2</v>
      </c>
      <c r="ET25" s="126">
        <f t="shared" ref="ET25:EW25" si="179">+ET24/EM24-1</f>
        <v>9.2032402274314418E-2</v>
      </c>
      <c r="EU25" s="126">
        <f t="shared" si="179"/>
        <v>4.3197646580867888E-2</v>
      </c>
      <c r="EV25" s="126">
        <f t="shared" si="179"/>
        <v>1.0841805106161617E-2</v>
      </c>
      <c r="EW25" s="126">
        <f t="shared" si="179"/>
        <v>2.4765125593361415E-2</v>
      </c>
    </row>
    <row r="26" spans="1:155" ht="16.350000000000001" customHeight="1">
      <c r="A26" s="174"/>
      <c r="B26" s="160" t="s">
        <v>2363</v>
      </c>
      <c r="C26" s="160" t="s">
        <v>2355</v>
      </c>
      <c r="D26" s="323" t="s">
        <v>624</v>
      </c>
      <c r="E26" s="323" t="s">
        <v>624</v>
      </c>
      <c r="F26" s="323" t="s">
        <v>624</v>
      </c>
      <c r="G26" s="323" t="s">
        <v>624</v>
      </c>
      <c r="H26" s="323" t="s">
        <v>624</v>
      </c>
      <c r="I26" s="323" t="s">
        <v>624</v>
      </c>
      <c r="J26" s="323" t="s">
        <v>624</v>
      </c>
      <c r="K26" s="323" t="s">
        <v>624</v>
      </c>
      <c r="L26" s="323" t="s">
        <v>624</v>
      </c>
      <c r="M26" s="323" t="s">
        <v>624</v>
      </c>
      <c r="N26" s="323" t="s">
        <v>624</v>
      </c>
      <c r="O26" s="323" t="s">
        <v>624</v>
      </c>
      <c r="P26" s="323" t="s">
        <v>624</v>
      </c>
      <c r="Q26" s="323" t="s">
        <v>624</v>
      </c>
      <c r="R26" s="323" t="s">
        <v>624</v>
      </c>
      <c r="S26" s="323" t="s">
        <v>624</v>
      </c>
      <c r="T26" s="323" t="s">
        <v>624</v>
      </c>
      <c r="U26" s="323" t="s">
        <v>624</v>
      </c>
      <c r="V26" s="323" t="s">
        <v>624</v>
      </c>
      <c r="W26" s="323" t="s">
        <v>624</v>
      </c>
      <c r="X26" s="323" t="s">
        <v>624</v>
      </c>
      <c r="Y26" s="323" t="s">
        <v>624</v>
      </c>
      <c r="Z26" s="323" t="s">
        <v>624</v>
      </c>
      <c r="AA26" s="323" t="s">
        <v>624</v>
      </c>
      <c r="AB26" s="323" t="s">
        <v>624</v>
      </c>
      <c r="AC26" s="323" t="s">
        <v>624</v>
      </c>
      <c r="AD26" s="323" t="s">
        <v>624</v>
      </c>
      <c r="AE26" s="323" t="s">
        <v>624</v>
      </c>
      <c r="AF26" s="323" t="s">
        <v>624</v>
      </c>
      <c r="AG26" s="323" t="s">
        <v>624</v>
      </c>
      <c r="AH26" s="323" t="s">
        <v>624</v>
      </c>
      <c r="AI26" s="323" t="s">
        <v>624</v>
      </c>
      <c r="AJ26" s="323" t="s">
        <v>624</v>
      </c>
      <c r="AK26" s="323" t="s">
        <v>624</v>
      </c>
      <c r="AL26" s="323" t="s">
        <v>624</v>
      </c>
      <c r="AM26" s="323" t="s">
        <v>624</v>
      </c>
      <c r="AN26" s="323" t="s">
        <v>624</v>
      </c>
      <c r="AO26" s="323" t="s">
        <v>624</v>
      </c>
      <c r="AP26" s="323" t="s">
        <v>624</v>
      </c>
      <c r="AQ26" s="323" t="s">
        <v>624</v>
      </c>
      <c r="AR26" s="323" t="s">
        <v>624</v>
      </c>
      <c r="AS26" s="323" t="s">
        <v>624</v>
      </c>
      <c r="AT26" s="323" t="s">
        <v>624</v>
      </c>
      <c r="AU26" s="323" t="s">
        <v>624</v>
      </c>
      <c r="AV26" s="323" t="s">
        <v>624</v>
      </c>
      <c r="AW26" s="323" t="s">
        <v>624</v>
      </c>
      <c r="AX26" s="323" t="s">
        <v>624</v>
      </c>
      <c r="AY26" s="323" t="s">
        <v>624</v>
      </c>
      <c r="AZ26" s="323" t="s">
        <v>624</v>
      </c>
      <c r="BA26" s="323" t="s">
        <v>624</v>
      </c>
      <c r="BB26" s="323" t="s">
        <v>624</v>
      </c>
      <c r="BC26" s="323" t="s">
        <v>624</v>
      </c>
      <c r="BD26" s="323" t="s">
        <v>624</v>
      </c>
      <c r="BE26" s="323" t="s">
        <v>624</v>
      </c>
      <c r="BF26" s="323" t="s">
        <v>624</v>
      </c>
      <c r="BG26" s="323" t="s">
        <v>624</v>
      </c>
      <c r="BH26" s="323" t="s">
        <v>624</v>
      </c>
      <c r="BI26" s="323" t="s">
        <v>624</v>
      </c>
      <c r="BJ26" s="323" t="s">
        <v>624</v>
      </c>
      <c r="BK26" s="323" t="s">
        <v>624</v>
      </c>
      <c r="BL26" s="323" t="s">
        <v>624</v>
      </c>
      <c r="BM26" s="323" t="s">
        <v>624</v>
      </c>
      <c r="BN26" s="323" t="s">
        <v>624</v>
      </c>
      <c r="BO26" s="323">
        <f t="shared" ref="BO26:BU26" si="180">BO24/BO23</f>
        <v>1.8649416764399591</v>
      </c>
      <c r="BP26" s="323">
        <f t="shared" si="180"/>
        <v>2.4619612055484144</v>
      </c>
      <c r="BQ26" s="323">
        <f t="shared" si="180"/>
        <v>4.336714441166861</v>
      </c>
      <c r="BR26" s="323">
        <f t="shared" si="180"/>
        <v>2.2743083592030615</v>
      </c>
      <c r="BS26" s="323">
        <f t="shared" si="180"/>
        <v>6.6135921385020566</v>
      </c>
      <c r="BT26" s="323">
        <f t="shared" si="180"/>
        <v>3.4893298865264142</v>
      </c>
      <c r="BU26" s="323">
        <f t="shared" si="180"/>
        <v>10.164201273631081</v>
      </c>
      <c r="BV26" s="323">
        <f t="shared" ref="BV26:EG26" si="181">BV24/BV23</f>
        <v>2.0662395090917123</v>
      </c>
      <c r="BW26" s="323">
        <f t="shared" si="181"/>
        <v>2.6904698323368677</v>
      </c>
      <c r="BX26" s="323">
        <f t="shared" si="181"/>
        <v>4.7655754537424349</v>
      </c>
      <c r="BY26" s="323">
        <f t="shared" si="181"/>
        <v>2.4470417247666423</v>
      </c>
      <c r="BZ26" s="323">
        <f t="shared" si="181"/>
        <v>7.2138024181826745</v>
      </c>
      <c r="CA26" s="323">
        <f t="shared" si="181"/>
        <v>3.4838601733336261</v>
      </c>
      <c r="CB26" s="323">
        <f t="shared" si="181"/>
        <v>10.73989597544128</v>
      </c>
      <c r="CC26" s="323">
        <f t="shared" si="181"/>
        <v>2.0121597135676943</v>
      </c>
      <c r="CD26" s="323">
        <f t="shared" si="181"/>
        <v>2.662446385039726</v>
      </c>
      <c r="CE26" s="323">
        <f t="shared" si="181"/>
        <v>4.683780217931683</v>
      </c>
      <c r="CF26" s="323">
        <f t="shared" si="181"/>
        <v>2.2602097789258635</v>
      </c>
      <c r="CG26" s="323">
        <f t="shared" si="181"/>
        <v>6.9424803317600761</v>
      </c>
      <c r="CH26" s="323">
        <f t="shared" si="181"/>
        <v>3.3014919050698603</v>
      </c>
      <c r="CI26" s="323">
        <f t="shared" si="181"/>
        <v>10.289477834119566</v>
      </c>
      <c r="CJ26" s="323">
        <f t="shared" si="181"/>
        <v>2.1091625844115125</v>
      </c>
      <c r="CK26" s="323">
        <f t="shared" si="181"/>
        <v>2.7343009492581869</v>
      </c>
      <c r="CL26" s="323">
        <f t="shared" si="181"/>
        <v>4.8492333481408698</v>
      </c>
      <c r="CM26" s="323">
        <f t="shared" si="181"/>
        <v>2.4503185398334155</v>
      </c>
      <c r="CN26" s="323">
        <f t="shared" si="181"/>
        <v>7.3003077944438379</v>
      </c>
      <c r="CO26" s="323">
        <f t="shared" si="181"/>
        <v>3.4246724166083697</v>
      </c>
      <c r="CP26" s="323">
        <f t="shared" si="181"/>
        <v>10.78482430886238</v>
      </c>
      <c r="CQ26" s="323">
        <f t="shared" si="181"/>
        <v>2.1476650652200333</v>
      </c>
      <c r="CR26" s="323">
        <f t="shared" si="181"/>
        <v>2.68821041519019</v>
      </c>
      <c r="CS26" s="323">
        <f t="shared" si="181"/>
        <v>4.8403370424252747</v>
      </c>
      <c r="CT26" s="323">
        <f t="shared" si="181"/>
        <v>2.5511060492939772</v>
      </c>
      <c r="CU26" s="323">
        <f t="shared" si="181"/>
        <v>7.3933076604943135</v>
      </c>
      <c r="CV26" s="323">
        <f t="shared" si="181"/>
        <v>3.7791447741620074</v>
      </c>
      <c r="CW26" s="323">
        <f t="shared" si="181"/>
        <v>11.209729056678965</v>
      </c>
      <c r="CX26" s="323">
        <f t="shared" si="181"/>
        <v>2.366235060169386</v>
      </c>
      <c r="CY26" s="323">
        <f t="shared" si="181"/>
        <v>2.8566488041376674</v>
      </c>
      <c r="CZ26" s="323">
        <f t="shared" si="181"/>
        <v>5.2261840468460381</v>
      </c>
      <c r="DA26" s="323">
        <f t="shared" si="181"/>
        <v>2.6821119198816281</v>
      </c>
      <c r="DB26" s="323">
        <f t="shared" si="181"/>
        <v>7.9094733373158768</v>
      </c>
      <c r="DC26" s="323">
        <f t="shared" si="181"/>
        <v>3.9048946165923484</v>
      </c>
      <c r="DD26" s="323">
        <f t="shared" si="181"/>
        <v>11.851004017947039</v>
      </c>
      <c r="DE26" s="323">
        <f t="shared" si="181"/>
        <v>2.0743662351587853</v>
      </c>
      <c r="DF26" s="323">
        <f t="shared" si="181"/>
        <v>0.72202718166694568</v>
      </c>
      <c r="DG26" s="323">
        <f t="shared" si="181"/>
        <v>2.9738548391425512</v>
      </c>
      <c r="DH26" s="323">
        <f t="shared" si="181"/>
        <v>2.2921135506120813</v>
      </c>
      <c r="DI26" s="323">
        <f t="shared" si="181"/>
        <v>5.2791835331459094</v>
      </c>
      <c r="DJ26" s="323">
        <f t="shared" si="181"/>
        <v>3.8696232419061678</v>
      </c>
      <c r="DK26" s="323">
        <f t="shared" si="181"/>
        <v>9.3120685250208979</v>
      </c>
      <c r="DL26" s="323">
        <f t="shared" si="181"/>
        <v>1.8117891454272608</v>
      </c>
      <c r="DM26" s="323">
        <f t="shared" si="181"/>
        <v>2.9215192828786942</v>
      </c>
      <c r="DN26" s="323">
        <f t="shared" si="181"/>
        <v>4.7478915916251392</v>
      </c>
      <c r="DO26" s="323">
        <f t="shared" si="181"/>
        <v>3.0407532877674628</v>
      </c>
      <c r="DP26" s="323">
        <f t="shared" si="181"/>
        <v>7.7984230143107123</v>
      </c>
      <c r="DQ26" s="323">
        <f t="shared" si="181"/>
        <v>4.5575253069979951</v>
      </c>
      <c r="DR26" s="323">
        <f t="shared" si="181"/>
        <v>12.379701951268517</v>
      </c>
      <c r="DS26" s="323">
        <f t="shared" si="181"/>
        <v>2.8535967959250286</v>
      </c>
      <c r="DT26" s="323">
        <f t="shared" si="181"/>
        <v>4.0242917364342397</v>
      </c>
      <c r="DU26" s="323">
        <f t="shared" si="181"/>
        <v>6.8836966057285807</v>
      </c>
      <c r="DV26" s="323">
        <f t="shared" si="181"/>
        <v>3.2833449318955652</v>
      </c>
      <c r="DW26" s="323">
        <f t="shared" si="181"/>
        <v>10.165520949977948</v>
      </c>
      <c r="DX26" s="323">
        <f t="shared" si="181"/>
        <v>4.423003047215234</v>
      </c>
      <c r="DY26" s="323">
        <f t="shared" si="181"/>
        <v>14.602900836342501</v>
      </c>
      <c r="DZ26" s="323">
        <f t="shared" si="181"/>
        <v>2.8560341508615572</v>
      </c>
      <c r="EA26" s="323">
        <f t="shared" si="181"/>
        <v>3.7562936834646159</v>
      </c>
      <c r="EB26" s="323">
        <f t="shared" si="181"/>
        <v>6.6107098047315906</v>
      </c>
      <c r="EC26" s="323">
        <f t="shared" si="181"/>
        <v>3.3234748721446596</v>
      </c>
      <c r="ED26" s="323">
        <f t="shared" si="181"/>
        <v>9.9341390940228234</v>
      </c>
      <c r="EE26" s="323">
        <f t="shared" si="181"/>
        <v>4.7646975445884978</v>
      </c>
      <c r="EF26" s="323">
        <f t="shared" si="181"/>
        <v>14.704051437614028</v>
      </c>
      <c r="EG26" s="323">
        <f t="shared" si="181"/>
        <v>3.0728928754276721</v>
      </c>
      <c r="EH26" s="323">
        <f t="shared" ref="EH26:EM26" si="182">EH24/EH23</f>
        <v>3.85207343035965</v>
      </c>
      <c r="EI26" s="323">
        <f t="shared" si="182"/>
        <v>6.9242745580910929</v>
      </c>
      <c r="EJ26" s="323">
        <f t="shared" si="182"/>
        <v>3.7091053515203578</v>
      </c>
      <c r="EK26" s="323">
        <f t="shared" si="182"/>
        <v>10.632696913704269</v>
      </c>
      <c r="EL26" s="323">
        <f t="shared" si="182"/>
        <v>5.2089010053623772</v>
      </c>
      <c r="EM26" s="323">
        <f t="shared" si="182"/>
        <v>15.984900516607167</v>
      </c>
      <c r="EN26" s="323">
        <f>EN24/EN23</f>
        <v>3.4274529686563144</v>
      </c>
      <c r="EO26" s="323">
        <v>4.5366370769892139</v>
      </c>
      <c r="EP26" s="323">
        <v>7.9650471206192055</v>
      </c>
      <c r="EQ26" s="323">
        <f t="shared" ref="EQ26:ER26" si="183">EQ24/EQ23</f>
        <v>3.821250430847166</v>
      </c>
      <c r="ER26" s="323">
        <f t="shared" si="183"/>
        <v>11.783948110165076</v>
      </c>
      <c r="ES26" s="323">
        <f t="shared" ref="ES26:EU26" si="184">ES24/ES23</f>
        <v>5.3620353651988975</v>
      </c>
      <c r="ET26" s="323">
        <f t="shared" si="184"/>
        <v>17.155003607957486</v>
      </c>
      <c r="EU26" s="323">
        <f t="shared" si="184"/>
        <v>3.5080510009694872</v>
      </c>
      <c r="EV26" s="323">
        <f t="shared" ref="EV26:EW26" si="185">EV24/EV23</f>
        <v>4.4851990866507867</v>
      </c>
      <c r="EW26" s="323">
        <f t="shared" si="185"/>
        <v>7.9948730846791358</v>
      </c>
    </row>
    <row r="27" spans="1:155" ht="16.350000000000001" customHeight="1">
      <c r="A27" s="174"/>
      <c r="B27" s="160" t="s">
        <v>2364</v>
      </c>
      <c r="C27" s="160" t="s">
        <v>2356</v>
      </c>
      <c r="D27" s="126" t="s">
        <v>624</v>
      </c>
      <c r="E27" s="126" t="s">
        <v>624</v>
      </c>
      <c r="F27" s="126" t="s">
        <v>624</v>
      </c>
      <c r="G27" s="126" t="s">
        <v>624</v>
      </c>
      <c r="H27" s="126" t="s">
        <v>624</v>
      </c>
      <c r="I27" s="126" t="s">
        <v>624</v>
      </c>
      <c r="J27" s="126" t="s">
        <v>624</v>
      </c>
      <c r="K27" s="126" t="s">
        <v>624</v>
      </c>
      <c r="L27" s="126" t="s">
        <v>624</v>
      </c>
      <c r="M27" s="126" t="s">
        <v>624</v>
      </c>
      <c r="N27" s="126" t="s">
        <v>624</v>
      </c>
      <c r="O27" s="126" t="s">
        <v>624</v>
      </c>
      <c r="P27" s="126" t="s">
        <v>624</v>
      </c>
      <c r="Q27" s="126" t="s">
        <v>624</v>
      </c>
      <c r="R27" s="126" t="s">
        <v>624</v>
      </c>
      <c r="S27" s="126" t="s">
        <v>624</v>
      </c>
      <c r="T27" s="126" t="s">
        <v>624</v>
      </c>
      <c r="U27" s="126" t="s">
        <v>624</v>
      </c>
      <c r="V27" s="126" t="s">
        <v>624</v>
      </c>
      <c r="W27" s="126" t="s">
        <v>624</v>
      </c>
      <c r="X27" s="126" t="s">
        <v>624</v>
      </c>
      <c r="Y27" s="126" t="s">
        <v>624</v>
      </c>
      <c r="Z27" s="126" t="s">
        <v>624</v>
      </c>
      <c r="AA27" s="126" t="s">
        <v>624</v>
      </c>
      <c r="AB27" s="126" t="s">
        <v>624</v>
      </c>
      <c r="AC27" s="126" t="s">
        <v>624</v>
      </c>
      <c r="AD27" s="126" t="s">
        <v>624</v>
      </c>
      <c r="AE27" s="126" t="s">
        <v>624</v>
      </c>
      <c r="AF27" s="126" t="s">
        <v>624</v>
      </c>
      <c r="AG27" s="126" t="s">
        <v>624</v>
      </c>
      <c r="AH27" s="126" t="s">
        <v>624</v>
      </c>
      <c r="AI27" s="126" t="s">
        <v>624</v>
      </c>
      <c r="AJ27" s="126" t="s">
        <v>624</v>
      </c>
      <c r="AK27" s="126" t="s">
        <v>624</v>
      </c>
      <c r="AL27" s="126" t="s">
        <v>624</v>
      </c>
      <c r="AM27" s="126" t="s">
        <v>624</v>
      </c>
      <c r="AN27" s="126" t="s">
        <v>624</v>
      </c>
      <c r="AO27" s="126" t="s">
        <v>624</v>
      </c>
      <c r="AP27" s="126" t="s">
        <v>624</v>
      </c>
      <c r="AQ27" s="126" t="s">
        <v>624</v>
      </c>
      <c r="AR27" s="126" t="s">
        <v>624</v>
      </c>
      <c r="AS27" s="126" t="s">
        <v>624</v>
      </c>
      <c r="AT27" s="126" t="s">
        <v>624</v>
      </c>
      <c r="AU27" s="126" t="s">
        <v>624</v>
      </c>
      <c r="AV27" s="126" t="s">
        <v>624</v>
      </c>
      <c r="AW27" s="126" t="s">
        <v>624</v>
      </c>
      <c r="AX27" s="126" t="s">
        <v>624</v>
      </c>
      <c r="AY27" s="126" t="s">
        <v>624</v>
      </c>
      <c r="AZ27" s="126" t="s">
        <v>624</v>
      </c>
      <c r="BA27" s="126" t="s">
        <v>624</v>
      </c>
      <c r="BB27" s="126" t="s">
        <v>624</v>
      </c>
      <c r="BC27" s="126" t="s">
        <v>624</v>
      </c>
      <c r="BD27" s="126" t="s">
        <v>624</v>
      </c>
      <c r="BE27" s="126" t="s">
        <v>624</v>
      </c>
      <c r="BF27" s="126" t="s">
        <v>624</v>
      </c>
      <c r="BG27" s="126" t="s">
        <v>624</v>
      </c>
      <c r="BH27" s="126" t="s">
        <v>624</v>
      </c>
      <c r="BI27" s="126" t="s">
        <v>624</v>
      </c>
      <c r="BJ27" s="126" t="s">
        <v>624</v>
      </c>
      <c r="BK27" s="126" t="s">
        <v>624</v>
      </c>
      <c r="BL27" s="126" t="s">
        <v>624</v>
      </c>
      <c r="BM27" s="126" t="s">
        <v>624</v>
      </c>
      <c r="BN27" s="126" t="s">
        <v>624</v>
      </c>
      <c r="BO27" s="126" t="s">
        <v>624</v>
      </c>
      <c r="BP27" s="126" t="s">
        <v>624</v>
      </c>
      <c r="BQ27" s="126" t="s">
        <v>624</v>
      </c>
      <c r="BR27" s="126" t="s">
        <v>624</v>
      </c>
      <c r="BS27" s="126" t="s">
        <v>624</v>
      </c>
      <c r="BT27" s="126" t="s">
        <v>624</v>
      </c>
      <c r="BU27" s="126" t="s">
        <v>624</v>
      </c>
      <c r="BV27" s="126">
        <f t="shared" ref="BV27" si="186">+BV26/BO26-1</f>
        <v>0.1079378702265994</v>
      </c>
      <c r="BW27" s="126">
        <f t="shared" ref="BW27" si="187">+BW26/BP26-1</f>
        <v>9.2815689489124997E-2</v>
      </c>
      <c r="BX27" s="126">
        <f t="shared" ref="BX27" si="188">+BX26/BQ26-1</f>
        <v>9.8890765899767752E-2</v>
      </c>
      <c r="BY27" s="126">
        <f t="shared" ref="BY27" si="189">+BY26/BR26-1</f>
        <v>7.5949844208508255E-2</v>
      </c>
      <c r="BZ27" s="126">
        <f t="shared" ref="BZ27" si="190">+BZ26/BS26-1</f>
        <v>9.0754051219215759E-2</v>
      </c>
      <c r="CA27" s="126">
        <f t="shared" ref="CA27" si="191">+CA26/BT26-1</f>
        <v>-1.5675540492484652E-3</v>
      </c>
      <c r="CB27" s="126">
        <f t="shared" ref="CB27" si="192">+CB26/BU26-1</f>
        <v>5.6639443308124982E-2</v>
      </c>
      <c r="CC27" s="126">
        <f t="shared" ref="CC27" si="193">+CC26/BV26-1</f>
        <v>-2.6173052681482512E-2</v>
      </c>
      <c r="CD27" s="126">
        <f t="shared" ref="CD27" si="194">+CD26/BW26-1</f>
        <v>-1.0415819185306097E-2</v>
      </c>
      <c r="CE27" s="126">
        <f t="shared" ref="CE27" si="195">+CE26/BX26-1</f>
        <v>-1.716376890990523E-2</v>
      </c>
      <c r="CF27" s="126">
        <f t="shared" ref="CF27" si="196">+CF26/BY26-1</f>
        <v>-7.6350126746856262E-2</v>
      </c>
      <c r="CG27" s="126">
        <f t="shared" ref="CG27" si="197">+CG26/BZ26-1</f>
        <v>-3.7611521732106246E-2</v>
      </c>
      <c r="CH27" s="126">
        <f t="shared" ref="CH27" si="198">+CH26/CA26-1</f>
        <v>-5.2346609562479052E-2</v>
      </c>
      <c r="CI27" s="126">
        <f t="shared" ref="CI27" si="199">+CI26/CB26-1</f>
        <v>-4.1938780631737727E-2</v>
      </c>
      <c r="CJ27" s="126">
        <f t="shared" ref="CJ27" si="200">+CJ26/CC26-1</f>
        <v>4.8208335645397504E-2</v>
      </c>
      <c r="CK27" s="126">
        <f t="shared" ref="CK27" si="201">+CK26/CD26-1</f>
        <v>2.6988173216261346E-2</v>
      </c>
      <c r="CL27" s="126">
        <f t="shared" ref="CL27" si="202">+CL26/CE26-1</f>
        <v>3.5324699817415706E-2</v>
      </c>
      <c r="CM27" s="126">
        <f t="shared" ref="CM27" si="203">+CM26/CF26-1</f>
        <v>8.4111113348911637E-2</v>
      </c>
      <c r="CN27" s="126">
        <f t="shared" ref="CN27" si="204">+CN26/CG26-1</f>
        <v>5.1541732289365205E-2</v>
      </c>
      <c r="CO27" s="126">
        <f t="shared" ref="CO27" si="205">+CO26/CH26-1</f>
        <v>3.7310559916669872E-2</v>
      </c>
      <c r="CP27" s="126">
        <f t="shared" ref="CP27" si="206">+CP26/CI26-1</f>
        <v>4.8141070200886205E-2</v>
      </c>
      <c r="CQ27" s="126">
        <f t="shared" ref="CQ27" si="207">+CQ26/CJ26-1</f>
        <v>1.8254866217088495E-2</v>
      </c>
      <c r="CR27" s="126">
        <f t="shared" ref="CR27" si="208">+CR26/CK26-1</f>
        <v>-1.685642324064629E-2</v>
      </c>
      <c r="CS27" s="126">
        <f t="shared" ref="CS27" si="209">+CS26/CL26-1</f>
        <v>-1.8345798349765907E-3</v>
      </c>
      <c r="CT27" s="126">
        <f t="shared" ref="CT27" si="210">+CT26/CM26-1</f>
        <v>4.1132411081301168E-2</v>
      </c>
      <c r="CU27" s="126">
        <f t="shared" ref="CU27" si="211">+CU26/CN26-1</f>
        <v>1.2739170548569989E-2</v>
      </c>
      <c r="CV27" s="126">
        <f t="shared" ref="CV27" si="212">+CV26/CO26-1</f>
        <v>0.1035054786071159</v>
      </c>
      <c r="CW27" s="126">
        <f t="shared" ref="CW27" si="213">+CW26/CP26-1</f>
        <v>3.9398393116837571E-2</v>
      </c>
      <c r="CX27" s="126">
        <f t="shared" ref="CX27" si="214">+CX26/CQ26-1</f>
        <v>0.10177098770611126</v>
      </c>
      <c r="CY27" s="126">
        <f t="shared" ref="CY27" si="215">+CY26/CR26-1</f>
        <v>6.2658186277267491E-2</v>
      </c>
      <c r="CZ27" s="126">
        <f t="shared" ref="CZ27" si="216">+CZ26/CS26-1</f>
        <v>7.971490436282358E-2</v>
      </c>
      <c r="DA27" s="126">
        <f t="shared" ref="DA27" si="217">+DA26/CT26-1</f>
        <v>5.1352577296387647E-2</v>
      </c>
      <c r="DB27" s="126">
        <f t="shared" ref="DB27" si="218">+DB26/CU26-1</f>
        <v>6.9815257327875413E-2</v>
      </c>
      <c r="DC27" s="126">
        <f t="shared" ref="DC27" si="219">+DC26/CV26-1</f>
        <v>3.3274682486390095E-2</v>
      </c>
      <c r="DD27" s="126">
        <f t="shared" ref="DD27" si="220">+DD26/CW26-1</f>
        <v>5.72069992080666E-2</v>
      </c>
      <c r="DE27" s="126">
        <f t="shared" ref="DE27" si="221">+DE26/CX26-1</f>
        <v>-0.12334735036412969</v>
      </c>
      <c r="DF27" s="126">
        <f t="shared" ref="DF27" si="222">+DF26/CY26-1</f>
        <v>-0.74724678069591999</v>
      </c>
      <c r="DG27" s="126">
        <f t="shared" ref="DG27" si="223">+DG26/CZ26-1</f>
        <v>-0.43097012801582257</v>
      </c>
      <c r="DH27" s="126">
        <f t="shared" ref="DH27" si="224">+DH26/DA26-1</f>
        <v>-0.14540719437493077</v>
      </c>
      <c r="DI27" s="126">
        <f t="shared" ref="DI27" si="225">+DI26/DB26-1</f>
        <v>-0.3325492977845439</v>
      </c>
      <c r="DJ27" s="126">
        <f t="shared" ref="DJ27" si="226">+DJ26/DC26-1</f>
        <v>-9.0326060366158201E-3</v>
      </c>
      <c r="DK27" s="126">
        <f t="shared" ref="DK27" si="227">+DK26/DD26-1</f>
        <v>-0.21423800794271974</v>
      </c>
      <c r="DL27" s="126">
        <f t="shared" ref="DL27" si="228">+DL26/DE26-1</f>
        <v>-0.12658183751791796</v>
      </c>
      <c r="DM27" s="126">
        <f t="shared" ref="DM27" si="229">+DM26/DF26-1</f>
        <v>3.0462732665185488</v>
      </c>
      <c r="DN27" s="126">
        <f t="shared" ref="DN27" si="230">+DN26/DG26-1</f>
        <v>0.59654450147744753</v>
      </c>
      <c r="DO27" s="126">
        <f t="shared" ref="DO27" si="231">+DO26/DH26-1</f>
        <v>0.32661546674049635</v>
      </c>
      <c r="DP27" s="126">
        <f t="shared" ref="DP27" si="232">+DP26/DI26-1</f>
        <v>0.47720248128285236</v>
      </c>
      <c r="DQ27" s="126">
        <f t="shared" ref="DQ27" si="233">+DQ26/DJ26-1</f>
        <v>0.177769778112292</v>
      </c>
      <c r="DR27" s="126">
        <f t="shared" ref="DR27" si="234">+DR26/DK26-1</f>
        <v>0.32942556404144741</v>
      </c>
      <c r="DS27" s="126">
        <f t="shared" ref="DS27" si="235">+DS26/DL26-1</f>
        <v>0.57501594660016919</v>
      </c>
      <c r="DT27" s="126">
        <f t="shared" ref="DT27" si="236">+DT26/DM26-1</f>
        <v>0.37746540302446263</v>
      </c>
      <c r="DU27" s="126">
        <f t="shared" ref="DU27" si="237">+DU26/DN26-1</f>
        <v>0.44984283505352418</v>
      </c>
      <c r="DV27" s="126">
        <f t="shared" ref="DV27" si="238">+DV26/DO26-1</f>
        <v>7.9780114060557183E-2</v>
      </c>
      <c r="DW27" s="126">
        <f t="shared" ref="DW27" si="239">+DW26/DP26-1</f>
        <v>0.30353546240354312</v>
      </c>
      <c r="DX27" s="126">
        <f t="shared" ref="DX27" si="240">+DX26/DQ26-1</f>
        <v>-2.9516514055600407E-2</v>
      </c>
      <c r="DY27" s="126">
        <f t="shared" ref="DY27" si="241">+DY26/DR26-1</f>
        <v>0.17958420112417794</v>
      </c>
      <c r="DZ27" s="126">
        <f t="shared" ref="DZ27" si="242">+DZ26/DS26-1</f>
        <v>8.5413431218084312E-4</v>
      </c>
      <c r="EA27" s="126">
        <f t="shared" ref="EA27" si="243">+EA26/DT26-1</f>
        <v>-6.6595085675146826E-2</v>
      </c>
      <c r="EB27" s="126">
        <f t="shared" ref="EB27" si="244">+EB26/DU26-1</f>
        <v>-3.9657006494128733E-2</v>
      </c>
      <c r="EC27" s="126">
        <f t="shared" ref="EC27" si="245">+EC26/DV26-1</f>
        <v>1.2222273651256721E-2</v>
      </c>
      <c r="ED27" s="126">
        <f t="shared" ref="ED27" si="246">+ED26/DW26-1</f>
        <v>-2.2761436142200497E-2</v>
      </c>
      <c r="EE27" s="126">
        <f t="shared" ref="EE27" si="247">+EE26/DX26-1</f>
        <v>7.7253959295460639E-2</v>
      </c>
      <c r="EF27" s="126">
        <f t="shared" ref="EF27" si="248">+EF26/DY26-1</f>
        <v>6.9267471172433925E-3</v>
      </c>
      <c r="EG27" s="126">
        <f t="shared" ref="EG27" si="249">+EG26/DZ26-1</f>
        <v>7.5930018028914859E-2</v>
      </c>
      <c r="EH27" s="126">
        <f t="shared" ref="EH27" si="250">+EH26/EA26-1</f>
        <v>2.5498471356662389E-2</v>
      </c>
      <c r="EI27" s="126">
        <f t="shared" ref="EI27" si="251">+EI26/EB26-1</f>
        <v>4.7432841952171234E-2</v>
      </c>
      <c r="EJ27" s="126">
        <f t="shared" ref="EJ27" si="252">+EJ26/EC26-1</f>
        <v>0.11603231383147139</v>
      </c>
      <c r="EK27" s="126">
        <f t="shared" ref="EK27" si="253">+EK26/ED26-1</f>
        <v>7.0318908671386904E-2</v>
      </c>
      <c r="EL27" s="126">
        <f t="shared" ref="EL27" si="254">+EL26/EE26-1</f>
        <v>9.3228049968960391E-2</v>
      </c>
      <c r="EM27" s="126">
        <f t="shared" ref="EM27" si="255">+EM26/EF26-1</f>
        <v>8.710858258538412E-2</v>
      </c>
      <c r="EN27" s="126">
        <f t="shared" ref="EN27" si="256">+EN26/EG26-1</f>
        <v>0.11538316095034595</v>
      </c>
      <c r="EO27" s="126">
        <v>0.17771303143763006</v>
      </c>
      <c r="EP27" s="126">
        <v>0.15030781257972481</v>
      </c>
      <c r="EQ27" s="126">
        <f t="shared" ref="EQ27" si="257">+EQ26/EJ26-1</f>
        <v>3.0235075226655361E-2</v>
      </c>
      <c r="ER27" s="126">
        <f>+ER26/EK26-1</f>
        <v>0.10827461798304272</v>
      </c>
      <c r="ES27" s="126">
        <f t="shared" ref="ES27" si="258">+ES26/EL26-1</f>
        <v>2.9398592846912264E-2</v>
      </c>
      <c r="ET27" s="126">
        <f>+ET26/EM26-1</f>
        <v>7.3200523840274423E-2</v>
      </c>
      <c r="EU27" s="126">
        <f>+EU26/EN26-1</f>
        <v>2.3515430569064799E-2</v>
      </c>
      <c r="EV27" s="126">
        <f>+EV26/EO26-1</f>
        <v>-1.1338352498887705E-2</v>
      </c>
      <c r="EW27" s="126">
        <f>+EW26/EP26-1</f>
        <v>3.7446061031729538E-3</v>
      </c>
    </row>
    <row r="28" spans="1:155" ht="16.350000000000001" customHeight="1">
      <c r="A28" s="174"/>
      <c r="B28" s="158"/>
      <c r="C28" s="158"/>
      <c r="D28" s="90"/>
      <c r="E28" s="90"/>
      <c r="F28" s="90"/>
      <c r="G28" s="90"/>
      <c r="H28" s="90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330"/>
      <c r="DF28" s="90"/>
      <c r="DG28" s="90"/>
      <c r="DH28" s="90"/>
      <c r="DI28" s="90"/>
      <c r="DJ28" s="90"/>
      <c r="DK28" s="90"/>
      <c r="DL28" s="331"/>
      <c r="DM28" s="331"/>
      <c r="DN28" s="331"/>
      <c r="DO28" s="331"/>
      <c r="DP28" s="331"/>
      <c r="DQ28" s="331"/>
      <c r="DR28" s="331"/>
      <c r="DS28" s="331"/>
      <c r="DT28" s="331"/>
      <c r="DU28" s="331"/>
      <c r="DV28" s="331"/>
      <c r="DW28" s="331"/>
      <c r="DX28" s="331"/>
      <c r="DY28" s="331"/>
      <c r="DZ28" s="331"/>
      <c r="EA28" s="331"/>
      <c r="EB28" s="331"/>
      <c r="EC28" s="331"/>
      <c r="ED28" s="331"/>
      <c r="EE28" s="331"/>
      <c r="EF28" s="331"/>
      <c r="EG28" s="331"/>
      <c r="EH28" s="126"/>
      <c r="EI28" s="331"/>
      <c r="EJ28" s="331"/>
      <c r="EK28" s="331"/>
      <c r="EL28" s="331"/>
      <c r="EM28" s="331"/>
      <c r="EN28" s="323"/>
      <c r="EO28" s="126"/>
      <c r="EP28" s="331"/>
      <c r="EQ28" s="126"/>
      <c r="ER28" s="331"/>
      <c r="ES28" s="331"/>
      <c r="ET28" s="331"/>
      <c r="EU28" s="323"/>
      <c r="EV28" s="126"/>
      <c r="EW28" s="331"/>
    </row>
    <row r="29" spans="1:155" ht="16.350000000000001" customHeight="1">
      <c r="A29" s="174"/>
      <c r="B29" s="303" t="s">
        <v>116</v>
      </c>
      <c r="C29" s="303" t="s">
        <v>116</v>
      </c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252"/>
      <c r="AI29" s="252"/>
      <c r="AJ29" s="252"/>
      <c r="AK29" s="252"/>
      <c r="AL29" s="252"/>
      <c r="AM29" s="252"/>
      <c r="AN29" s="252"/>
      <c r="AO29" s="252"/>
      <c r="AP29" s="252"/>
      <c r="AQ29" s="252"/>
      <c r="AR29" s="252"/>
      <c r="AS29" s="252"/>
      <c r="AT29" s="252"/>
      <c r="AU29" s="252"/>
      <c r="AV29" s="252"/>
      <c r="AW29" s="252"/>
      <c r="AX29" s="252"/>
      <c r="AY29" s="252"/>
      <c r="AZ29" s="252"/>
      <c r="BA29" s="252"/>
      <c r="BB29" s="252"/>
      <c r="BC29" s="252"/>
      <c r="BD29" s="252"/>
      <c r="BE29" s="252"/>
      <c r="BF29" s="252"/>
      <c r="BG29" s="252"/>
      <c r="BH29" s="252"/>
      <c r="BI29" s="252"/>
      <c r="BJ29" s="252"/>
      <c r="BK29" s="252"/>
      <c r="BL29" s="252"/>
      <c r="BM29" s="252"/>
      <c r="BN29" s="252"/>
      <c r="BO29" s="252"/>
      <c r="BP29" s="252"/>
      <c r="BQ29" s="252"/>
      <c r="BR29" s="252"/>
      <c r="BS29" s="252"/>
      <c r="BT29" s="252"/>
      <c r="BU29" s="252"/>
      <c r="BV29" s="252"/>
      <c r="BW29" s="252"/>
      <c r="BX29" s="252"/>
      <c r="BY29" s="252"/>
      <c r="BZ29" s="252"/>
      <c r="CA29" s="252"/>
      <c r="CB29" s="252"/>
      <c r="CC29" s="252"/>
      <c r="CD29" s="252"/>
      <c r="CE29" s="252"/>
      <c r="CF29" s="252"/>
      <c r="CG29" s="252"/>
      <c r="CH29" s="252"/>
      <c r="CI29" s="252"/>
      <c r="CJ29" s="252"/>
      <c r="CK29" s="252"/>
      <c r="CL29" s="252"/>
      <c r="CM29" s="252"/>
      <c r="CN29" s="252"/>
      <c r="CO29" s="252"/>
      <c r="CP29" s="252"/>
      <c r="CQ29" s="252"/>
      <c r="CR29" s="248"/>
      <c r="CS29" s="248"/>
      <c r="CT29" s="327"/>
      <c r="CU29" s="327"/>
      <c r="CV29" s="327"/>
      <c r="CW29" s="327"/>
      <c r="CX29" s="327"/>
      <c r="CY29" s="327"/>
      <c r="CZ29" s="248"/>
      <c r="DA29" s="252"/>
      <c r="DB29" s="252"/>
      <c r="DC29" s="252"/>
      <c r="DD29" s="252"/>
      <c r="DE29" s="252"/>
      <c r="DF29" s="327"/>
      <c r="DG29" s="248"/>
      <c r="DH29" s="327"/>
      <c r="DI29" s="248"/>
      <c r="DJ29" s="327"/>
      <c r="DK29" s="248"/>
      <c r="DL29" s="252"/>
      <c r="DM29" s="252"/>
      <c r="DN29" s="248"/>
      <c r="DO29" s="327"/>
      <c r="DP29" s="248"/>
      <c r="DQ29" s="327"/>
      <c r="DR29" s="248"/>
      <c r="DS29" s="327"/>
      <c r="DT29" s="327"/>
      <c r="DU29" s="327"/>
      <c r="DV29" s="327"/>
      <c r="DW29" s="327"/>
      <c r="DX29" s="327"/>
      <c r="DY29" s="327"/>
      <c r="DZ29" s="327"/>
      <c r="EA29" s="327"/>
      <c r="EB29" s="327"/>
      <c r="EC29" s="327"/>
      <c r="ED29" s="327"/>
      <c r="EE29" s="327"/>
      <c r="EF29" s="332"/>
      <c r="EG29" s="332"/>
      <c r="EH29" s="332"/>
      <c r="EI29" s="332"/>
      <c r="EJ29" s="332"/>
      <c r="EK29" s="332"/>
      <c r="EL29" s="332"/>
      <c r="EM29" s="332"/>
      <c r="EN29" s="332"/>
      <c r="EO29" s="332"/>
      <c r="EP29" s="332"/>
      <c r="EQ29" s="332"/>
      <c r="ER29" s="332"/>
      <c r="ES29" s="332"/>
      <c r="ET29" s="332"/>
      <c r="EU29" s="435"/>
      <c r="EV29" s="332"/>
      <c r="EW29" s="332"/>
    </row>
    <row r="30" spans="1:155" ht="16.350000000000001" customHeight="1">
      <c r="A30" s="250"/>
      <c r="B30" s="328" t="s">
        <v>622</v>
      </c>
      <c r="C30" s="328" t="s">
        <v>620</v>
      </c>
      <c r="D30" s="80">
        <v>62</v>
      </c>
      <c r="E30" s="80">
        <v>64</v>
      </c>
      <c r="F30" s="80">
        <v>64</v>
      </c>
      <c r="G30" s="80">
        <v>64</v>
      </c>
      <c r="H30" s="80">
        <v>64</v>
      </c>
      <c r="I30" s="80">
        <v>66</v>
      </c>
      <c r="J30" s="80">
        <v>66</v>
      </c>
      <c r="K30" s="80">
        <v>68</v>
      </c>
      <c r="L30" s="80">
        <v>72</v>
      </c>
      <c r="M30" s="80">
        <v>72</v>
      </c>
      <c r="N30" s="80">
        <v>75</v>
      </c>
      <c r="O30" s="80">
        <v>75</v>
      </c>
      <c r="P30" s="80">
        <v>81</v>
      </c>
      <c r="Q30" s="80">
        <v>81</v>
      </c>
      <c r="R30" s="80">
        <v>81</v>
      </c>
      <c r="S30" s="80">
        <v>87</v>
      </c>
      <c r="T30" s="80">
        <v>87</v>
      </c>
      <c r="U30" s="80">
        <v>88</v>
      </c>
      <c r="V30" s="80">
        <v>88</v>
      </c>
      <c r="W30" s="80">
        <v>95</v>
      </c>
      <c r="X30" s="80">
        <v>95</v>
      </c>
      <c r="Y30" s="80">
        <v>96</v>
      </c>
      <c r="Z30" s="80">
        <v>101</v>
      </c>
      <c r="AA30" s="80">
        <v>101</v>
      </c>
      <c r="AB30" s="80">
        <v>103</v>
      </c>
      <c r="AC30" s="80">
        <v>103</v>
      </c>
      <c r="AD30" s="80">
        <v>110</v>
      </c>
      <c r="AE30" s="80">
        <v>110</v>
      </c>
      <c r="AF30" s="80">
        <v>110</v>
      </c>
      <c r="AG30" s="80">
        <v>115</v>
      </c>
      <c r="AH30" s="80">
        <v>115</v>
      </c>
      <c r="AI30" s="80">
        <v>116</v>
      </c>
      <c r="AJ30" s="80">
        <v>116</v>
      </c>
      <c r="AK30" s="80">
        <v>120</v>
      </c>
      <c r="AL30" s="80">
        <v>120</v>
      </c>
      <c r="AM30" s="80">
        <v>121</v>
      </c>
      <c r="AN30" s="80">
        <v>125</v>
      </c>
      <c r="AO30" s="80">
        <v>125</v>
      </c>
      <c r="AP30" s="80">
        <v>126</v>
      </c>
      <c r="AQ30" s="80">
        <v>126</v>
      </c>
      <c r="AR30" s="80">
        <v>134</v>
      </c>
      <c r="AS30" s="80">
        <v>134</v>
      </c>
      <c r="AT30" s="80">
        <v>135</v>
      </c>
      <c r="AU30" s="80">
        <v>144</v>
      </c>
      <c r="AV30" s="80">
        <v>144</v>
      </c>
      <c r="AW30" s="80">
        <v>146</v>
      </c>
      <c r="AX30" s="80">
        <v>146</v>
      </c>
      <c r="AY30" s="80">
        <v>167</v>
      </c>
      <c r="AZ30" s="80">
        <v>167</v>
      </c>
      <c r="BA30" s="80">
        <v>169</v>
      </c>
      <c r="BB30" s="80">
        <v>174</v>
      </c>
      <c r="BC30" s="80">
        <v>174</v>
      </c>
      <c r="BD30" s="80">
        <v>176</v>
      </c>
      <c r="BE30" s="80">
        <v>176</v>
      </c>
      <c r="BF30" s="80">
        <v>192</v>
      </c>
      <c r="BG30" s="80">
        <v>192</v>
      </c>
      <c r="BH30" s="80">
        <v>193</v>
      </c>
      <c r="BI30" s="80">
        <v>202</v>
      </c>
      <c r="BJ30" s="80">
        <v>202</v>
      </c>
      <c r="BK30" s="80">
        <v>209</v>
      </c>
      <c r="BL30" s="80">
        <v>209</v>
      </c>
      <c r="BM30" s="80">
        <v>217</v>
      </c>
      <c r="BN30" s="80">
        <v>217</v>
      </c>
      <c r="BO30" s="80">
        <v>218</v>
      </c>
      <c r="BP30" s="80">
        <v>228</v>
      </c>
      <c r="BQ30" s="80">
        <v>228</v>
      </c>
      <c r="BR30" s="80">
        <v>232</v>
      </c>
      <c r="BS30" s="80">
        <f>BR30</f>
        <v>232</v>
      </c>
      <c r="BT30" s="80">
        <v>248</v>
      </c>
      <c r="BU30" s="80">
        <v>248</v>
      </c>
      <c r="BV30" s="80">
        <v>249</v>
      </c>
      <c r="BW30" s="80">
        <v>259</v>
      </c>
      <c r="BX30" s="80">
        <f>BW30</f>
        <v>259</v>
      </c>
      <c r="BY30" s="80">
        <v>264</v>
      </c>
      <c r="BZ30" s="80">
        <f>BY30</f>
        <v>264</v>
      </c>
      <c r="CA30" s="80">
        <v>275</v>
      </c>
      <c r="CB30" s="80">
        <f>CA30</f>
        <v>275</v>
      </c>
      <c r="CC30" s="80">
        <v>277</v>
      </c>
      <c r="CD30" s="80">
        <v>284</v>
      </c>
      <c r="CE30" s="80">
        <f>CD30</f>
        <v>284</v>
      </c>
      <c r="CF30" s="80">
        <v>290</v>
      </c>
      <c r="CG30" s="80">
        <f>CF30</f>
        <v>290</v>
      </c>
      <c r="CH30" s="80">
        <v>300</v>
      </c>
      <c r="CI30" s="80">
        <f>CH30</f>
        <v>300</v>
      </c>
      <c r="CJ30" s="80">
        <v>303</v>
      </c>
      <c r="CK30" s="80">
        <v>310</v>
      </c>
      <c r="CL30" s="80">
        <f>CK30</f>
        <v>310</v>
      </c>
      <c r="CM30" s="80">
        <v>318</v>
      </c>
      <c r="CN30" s="80">
        <f>CM30</f>
        <v>318</v>
      </c>
      <c r="CO30" s="80">
        <v>330</v>
      </c>
      <c r="CP30" s="80">
        <f>CO30</f>
        <v>330</v>
      </c>
      <c r="CQ30" s="80">
        <v>326</v>
      </c>
      <c r="CR30" s="80">
        <v>334</v>
      </c>
      <c r="CS30" s="80">
        <f>CR30</f>
        <v>334</v>
      </c>
      <c r="CT30" s="80">
        <v>340</v>
      </c>
      <c r="CU30" s="80">
        <f>CT30</f>
        <v>340</v>
      </c>
      <c r="CV30" s="80">
        <v>354</v>
      </c>
      <c r="CW30" s="80">
        <f>CV30</f>
        <v>354</v>
      </c>
      <c r="CX30" s="80">
        <v>354</v>
      </c>
      <c r="CY30" s="80">
        <v>360</v>
      </c>
      <c r="CZ30" s="80">
        <f>CY30</f>
        <v>360</v>
      </c>
      <c r="DA30" s="80">
        <v>368</v>
      </c>
      <c r="DB30" s="80">
        <f>DA30</f>
        <v>368</v>
      </c>
      <c r="DC30" s="80">
        <v>388</v>
      </c>
      <c r="DD30" s="80">
        <f>DC30</f>
        <v>388</v>
      </c>
      <c r="DE30" s="80">
        <v>387</v>
      </c>
      <c r="DF30" s="80">
        <f>DE30</f>
        <v>387</v>
      </c>
      <c r="DG30" s="80">
        <f>DF30</f>
        <v>387</v>
      </c>
      <c r="DH30" s="80">
        <v>392</v>
      </c>
      <c r="DI30" s="80">
        <f>DH30</f>
        <v>392</v>
      </c>
      <c r="DJ30" s="80">
        <v>393</v>
      </c>
      <c r="DK30" s="80">
        <f>DJ30</f>
        <v>393</v>
      </c>
      <c r="DL30" s="80">
        <v>394</v>
      </c>
      <c r="DM30" s="80">
        <v>411</v>
      </c>
      <c r="DN30" s="80">
        <f>DM30</f>
        <v>411</v>
      </c>
      <c r="DO30" s="80">
        <v>412</v>
      </c>
      <c r="DP30" s="80">
        <f>DO30</f>
        <v>412</v>
      </c>
      <c r="DQ30" s="80">
        <v>413</v>
      </c>
      <c r="DR30" s="80">
        <f>DQ30</f>
        <v>413</v>
      </c>
      <c r="DS30" s="80">
        <v>414</v>
      </c>
      <c r="DT30" s="80">
        <v>419</v>
      </c>
      <c r="DU30" s="80">
        <f>DT30</f>
        <v>419</v>
      </c>
      <c r="DV30" s="80">
        <v>427</v>
      </c>
      <c r="DW30" s="80">
        <f>DV30</f>
        <v>427</v>
      </c>
      <c r="DX30" s="80">
        <v>435</v>
      </c>
      <c r="DY30" s="80">
        <f>DX30</f>
        <v>435</v>
      </c>
      <c r="DZ30" s="80">
        <v>431</v>
      </c>
      <c r="EA30" s="80">
        <v>431</v>
      </c>
      <c r="EB30" s="80">
        <f>EA30</f>
        <v>431</v>
      </c>
      <c r="EC30" s="80">
        <v>438</v>
      </c>
      <c r="ED30" s="80">
        <f>EC30</f>
        <v>438</v>
      </c>
      <c r="EE30" s="80">
        <v>442</v>
      </c>
      <c r="EF30" s="80">
        <v>442</v>
      </c>
      <c r="EG30" s="80">
        <v>438</v>
      </c>
      <c r="EH30" s="80">
        <v>439</v>
      </c>
      <c r="EI30" s="80">
        <f>EH30</f>
        <v>439</v>
      </c>
      <c r="EJ30" s="80">
        <v>442</v>
      </c>
      <c r="EK30" s="80">
        <f>EJ30</f>
        <v>442</v>
      </c>
      <c r="EL30" s="80">
        <v>448</v>
      </c>
      <c r="EM30" s="80">
        <f>EL30</f>
        <v>448</v>
      </c>
      <c r="EN30" s="80">
        <v>449</v>
      </c>
      <c r="EO30" s="80">
        <v>450</v>
      </c>
      <c r="EP30" s="80">
        <v>450</v>
      </c>
      <c r="EQ30" s="80">
        <v>450</v>
      </c>
      <c r="ER30" s="80">
        <f>EQ30</f>
        <v>450</v>
      </c>
      <c r="ES30" s="80">
        <v>461</v>
      </c>
      <c r="ET30" s="80">
        <f>ES30</f>
        <v>461</v>
      </c>
      <c r="EU30" s="80">
        <v>461</v>
      </c>
      <c r="EV30" s="80">
        <f>EU30+EV31</f>
        <v>462</v>
      </c>
      <c r="EW30" s="80">
        <f>EV30</f>
        <v>462</v>
      </c>
    </row>
    <row r="31" spans="1:155" ht="16.350000000000001" customHeight="1">
      <c r="A31" s="174"/>
      <c r="B31" s="160" t="s">
        <v>623</v>
      </c>
      <c r="C31" s="160" t="s">
        <v>621</v>
      </c>
      <c r="D31" s="80">
        <v>0</v>
      </c>
      <c r="E31" s="80">
        <v>2</v>
      </c>
      <c r="F31" s="80">
        <v>2</v>
      </c>
      <c r="G31" s="80">
        <v>0</v>
      </c>
      <c r="H31" s="80">
        <v>2</v>
      </c>
      <c r="I31" s="80">
        <v>2</v>
      </c>
      <c r="J31" s="80">
        <v>4</v>
      </c>
      <c r="K31" s="80">
        <f>+K30-J30</f>
        <v>2</v>
      </c>
      <c r="L31" s="80">
        <f>+L30-K30</f>
        <v>4</v>
      </c>
      <c r="M31" s="80">
        <f>+M30-J30</f>
        <v>6</v>
      </c>
      <c r="N31" s="80">
        <f>+N30-M30</f>
        <v>3</v>
      </c>
      <c r="O31" s="80">
        <f>+O30-J30</f>
        <v>9</v>
      </c>
      <c r="P31" s="80">
        <f>+P30-O30</f>
        <v>6</v>
      </c>
      <c r="Q31" s="80">
        <f>+Q30-J30</f>
        <v>15</v>
      </c>
      <c r="R31" s="80">
        <f>+R30-Q30</f>
        <v>0</v>
      </c>
      <c r="S31" s="80">
        <f>+S30-R30</f>
        <v>6</v>
      </c>
      <c r="T31" s="80">
        <f>+T30-Q30</f>
        <v>6</v>
      </c>
      <c r="U31" s="80">
        <f>+U30-T30</f>
        <v>1</v>
      </c>
      <c r="V31" s="80">
        <f>+V30-Q30</f>
        <v>7</v>
      </c>
      <c r="W31" s="80">
        <f>+W30-V30</f>
        <v>7</v>
      </c>
      <c r="X31" s="80">
        <f>+X30-Q30</f>
        <v>14</v>
      </c>
      <c r="Y31" s="80">
        <f>+Y30-X30</f>
        <v>1</v>
      </c>
      <c r="Z31" s="80">
        <f>+Z30-Y30</f>
        <v>5</v>
      </c>
      <c r="AA31" s="80">
        <f>+AA30-X30</f>
        <v>6</v>
      </c>
      <c r="AB31" s="80">
        <f>+AB30-AA30</f>
        <v>2</v>
      </c>
      <c r="AC31" s="80">
        <f>+AC30-X30</f>
        <v>8</v>
      </c>
      <c r="AD31" s="80">
        <f>+AD30-AC30</f>
        <v>7</v>
      </c>
      <c r="AE31" s="80">
        <f>+AE30-X30</f>
        <v>15</v>
      </c>
      <c r="AF31" s="80">
        <f>+AF30-AE30</f>
        <v>0</v>
      </c>
      <c r="AG31" s="80">
        <f>+AG30-AF30</f>
        <v>5</v>
      </c>
      <c r="AH31" s="80">
        <f>+AH30-AE30</f>
        <v>5</v>
      </c>
      <c r="AI31" s="80">
        <f>+AI30-AH30</f>
        <v>1</v>
      </c>
      <c r="AJ31" s="80">
        <f>+AJ30-AE30</f>
        <v>6</v>
      </c>
      <c r="AK31" s="80">
        <f>+AK30-AJ30</f>
        <v>4</v>
      </c>
      <c r="AL31" s="80">
        <f>+AL30-AE30</f>
        <v>10</v>
      </c>
      <c r="AM31" s="80">
        <f>+AM30-AL30</f>
        <v>1</v>
      </c>
      <c r="AN31" s="80">
        <f>+AN30-AM30</f>
        <v>4</v>
      </c>
      <c r="AO31" s="80">
        <f>+AO30-AL30</f>
        <v>5</v>
      </c>
      <c r="AP31" s="80">
        <f>+AP30-AO30</f>
        <v>1</v>
      </c>
      <c r="AQ31" s="80">
        <f>+AQ30-AL30</f>
        <v>6</v>
      </c>
      <c r="AR31" s="80">
        <f>+AR30-AQ30</f>
        <v>8</v>
      </c>
      <c r="AS31" s="80">
        <f>+AS30-AL30</f>
        <v>14</v>
      </c>
      <c r="AT31" s="80">
        <f>+AT30-AS30</f>
        <v>1</v>
      </c>
      <c r="AU31" s="80">
        <f>+AU30-AT30</f>
        <v>9</v>
      </c>
      <c r="AV31" s="80">
        <f>+AV30-AS30</f>
        <v>10</v>
      </c>
      <c r="AW31" s="80">
        <f>+AW30-AV30</f>
        <v>2</v>
      </c>
      <c r="AX31" s="80">
        <f>+AX30-AS30</f>
        <v>12</v>
      </c>
      <c r="AY31" s="80">
        <f>+AY30-AX30</f>
        <v>21</v>
      </c>
      <c r="AZ31" s="80">
        <f>+AZ30-AS30</f>
        <v>33</v>
      </c>
      <c r="BA31" s="80">
        <f>+BA30-AZ30</f>
        <v>2</v>
      </c>
      <c r="BB31" s="80">
        <f>+BB30-BA30</f>
        <v>5</v>
      </c>
      <c r="BC31" s="80">
        <f>+BC30-AZ30</f>
        <v>7</v>
      </c>
      <c r="BD31" s="80">
        <f>+BD30-BC30</f>
        <v>2</v>
      </c>
      <c r="BE31" s="80">
        <f>+BE30-AZ30</f>
        <v>9</v>
      </c>
      <c r="BF31" s="80">
        <f>+BF30-BE30</f>
        <v>16</v>
      </c>
      <c r="BG31" s="80">
        <f>+BG30-AZ30</f>
        <v>25</v>
      </c>
      <c r="BH31" s="80">
        <f>+BH30-BG30</f>
        <v>1</v>
      </c>
      <c r="BI31" s="80">
        <f>+BI30-BH30</f>
        <v>9</v>
      </c>
      <c r="BJ31" s="80">
        <f>+BJ30-BG30</f>
        <v>10</v>
      </c>
      <c r="BK31" s="80">
        <f>+BK30-BJ30</f>
        <v>7</v>
      </c>
      <c r="BL31" s="80">
        <f>+BL30-BG30</f>
        <v>17</v>
      </c>
      <c r="BM31" s="80">
        <f>+BM30-BL30</f>
        <v>8</v>
      </c>
      <c r="BN31" s="80">
        <f>+BN30-BG30</f>
        <v>25</v>
      </c>
      <c r="BO31" s="80">
        <f>+BO30-BN30</f>
        <v>1</v>
      </c>
      <c r="BP31" s="80">
        <f>+BP30-BO30</f>
        <v>10</v>
      </c>
      <c r="BQ31" s="80">
        <f>+BQ30-BN30</f>
        <v>11</v>
      </c>
      <c r="BR31" s="80">
        <f>+BR30-BQ30</f>
        <v>4</v>
      </c>
      <c r="BS31" s="80">
        <f>+BS30-BN30</f>
        <v>15</v>
      </c>
      <c r="BT31" s="80">
        <f>+BT30-BS30</f>
        <v>16</v>
      </c>
      <c r="BU31" s="80">
        <f>+BU30-BN30</f>
        <v>31</v>
      </c>
      <c r="BV31" s="80">
        <f>+BV30-BU30</f>
        <v>1</v>
      </c>
      <c r="BW31" s="80">
        <f>+BW30-BV30</f>
        <v>10</v>
      </c>
      <c r="BX31" s="80">
        <f>+BX30-BU30</f>
        <v>11</v>
      </c>
      <c r="BY31" s="80">
        <f>+BY30-BX30</f>
        <v>5</v>
      </c>
      <c r="BZ31" s="80">
        <f>+BZ30-BU30</f>
        <v>16</v>
      </c>
      <c r="CA31" s="80">
        <f>+CA30-BZ30</f>
        <v>11</v>
      </c>
      <c r="CB31" s="80">
        <f>+CB30-BU30</f>
        <v>27</v>
      </c>
      <c r="CC31" s="80">
        <f>+CC30-CB30</f>
        <v>2</v>
      </c>
      <c r="CD31" s="80">
        <f>+CD30-CC30</f>
        <v>7</v>
      </c>
      <c r="CE31" s="80">
        <f>+CE30-CB30</f>
        <v>9</v>
      </c>
      <c r="CF31" s="80">
        <f>+CF30-CE30</f>
        <v>6</v>
      </c>
      <c r="CG31" s="80">
        <f>+CG30-CB30</f>
        <v>15</v>
      </c>
      <c r="CH31" s="80">
        <f>+CH30-CG30</f>
        <v>10</v>
      </c>
      <c r="CI31" s="80">
        <f>+CI30-CB30</f>
        <v>25</v>
      </c>
      <c r="CJ31" s="80">
        <f>+CJ30-CI30</f>
        <v>3</v>
      </c>
      <c r="CK31" s="80">
        <f>+CK30-CJ30</f>
        <v>7</v>
      </c>
      <c r="CL31" s="80">
        <f>+CL30-CI30</f>
        <v>10</v>
      </c>
      <c r="CM31" s="80">
        <f>+CM30-CL30</f>
        <v>8</v>
      </c>
      <c r="CN31" s="80">
        <f>+CN30-CI30</f>
        <v>18</v>
      </c>
      <c r="CO31" s="80">
        <v>12</v>
      </c>
      <c r="CP31" s="80">
        <f>+CP30-CI30</f>
        <v>30</v>
      </c>
      <c r="CQ31" s="80">
        <f>+CQ30-CP30</f>
        <v>-4</v>
      </c>
      <c r="CR31" s="80">
        <f>+CR30-CQ30</f>
        <v>8</v>
      </c>
      <c r="CS31" s="80">
        <f>+CS30-CP30</f>
        <v>4</v>
      </c>
      <c r="CT31" s="80">
        <f>+CT30-CS30</f>
        <v>6</v>
      </c>
      <c r="CU31" s="80">
        <f>CS31+CT31</f>
        <v>10</v>
      </c>
      <c r="CV31" s="80">
        <f>+CV30-CT30</f>
        <v>14</v>
      </c>
      <c r="CW31" s="80">
        <f>CU31+CV31</f>
        <v>24</v>
      </c>
      <c r="CX31" s="80">
        <f>+CX30-CV30</f>
        <v>0</v>
      </c>
      <c r="CY31" s="80">
        <f>+CY30-CW30</f>
        <v>6</v>
      </c>
      <c r="CZ31" s="80">
        <f>+CZ30-CW30</f>
        <v>6</v>
      </c>
      <c r="DA31" s="80">
        <f>+DA30-CZ30</f>
        <v>8</v>
      </c>
      <c r="DB31" s="80">
        <f>+DB30-CW30</f>
        <v>14</v>
      </c>
      <c r="DC31" s="80">
        <f>+DC30-DB30</f>
        <v>20</v>
      </c>
      <c r="DD31" s="80">
        <f>+DD30-CW30</f>
        <v>34</v>
      </c>
      <c r="DE31" s="80">
        <f>+DE30-DD30</f>
        <v>-1</v>
      </c>
      <c r="DF31" s="80">
        <f>+DF30-DE30</f>
        <v>0</v>
      </c>
      <c r="DG31" s="80">
        <f>+DG30-DE30</f>
        <v>0</v>
      </c>
      <c r="DH31" s="80">
        <f>+DH30-DG30</f>
        <v>5</v>
      </c>
      <c r="DI31" s="80">
        <f>+DI30-DD30</f>
        <v>4</v>
      </c>
      <c r="DJ31" s="80">
        <f>+DJ30-DI30</f>
        <v>1</v>
      </c>
      <c r="DK31" s="80">
        <f>+DK30-DD30</f>
        <v>5</v>
      </c>
      <c r="DL31" s="80">
        <f>+DL30-DK30</f>
        <v>1</v>
      </c>
      <c r="DM31" s="80">
        <f>+DM30-DL30</f>
        <v>17</v>
      </c>
      <c r="DN31" s="80">
        <f>+DN30-DK30</f>
        <v>18</v>
      </c>
      <c r="DO31" s="80">
        <f>+DO30-DN30</f>
        <v>1</v>
      </c>
      <c r="DP31" s="80">
        <f>+DP30-DK30</f>
        <v>19</v>
      </c>
      <c r="DQ31" s="80">
        <f>+DQ30-DP30</f>
        <v>1</v>
      </c>
      <c r="DR31" s="80">
        <f>+DR30-DK30</f>
        <v>20</v>
      </c>
      <c r="DS31" s="80">
        <f>DS30-DR30</f>
        <v>1</v>
      </c>
      <c r="DT31" s="80">
        <f>DT30-DS30</f>
        <v>5</v>
      </c>
      <c r="DU31" s="80">
        <f>+DU30-DR30</f>
        <v>6</v>
      </c>
      <c r="DV31" s="80">
        <f>DV30-DU30</f>
        <v>8</v>
      </c>
      <c r="DW31" s="80">
        <f>+DW30-DR30</f>
        <v>14</v>
      </c>
      <c r="DX31" s="80">
        <f>DX30-DW30</f>
        <v>8</v>
      </c>
      <c r="DY31" s="80">
        <f>SUM(DW31:DX31)</f>
        <v>22</v>
      </c>
      <c r="DZ31" s="80">
        <f>DZ30-DY30</f>
        <v>-4</v>
      </c>
      <c r="EA31" s="80">
        <f>EA30-DZ30</f>
        <v>0</v>
      </c>
      <c r="EB31" s="80">
        <f>+EB30-DY30</f>
        <v>-4</v>
      </c>
      <c r="EC31" s="80">
        <f>EC30-EB30</f>
        <v>7</v>
      </c>
      <c r="ED31" s="80">
        <f>+ED30-DY30</f>
        <v>3</v>
      </c>
      <c r="EE31" s="80">
        <f>+EE30-ED30</f>
        <v>4</v>
      </c>
      <c r="EF31" s="80">
        <f>+EF30-DY30</f>
        <v>7</v>
      </c>
      <c r="EG31" s="80">
        <f>EG30-EF30</f>
        <v>-4</v>
      </c>
      <c r="EH31" s="80">
        <f>EH30-EG30</f>
        <v>1</v>
      </c>
      <c r="EI31" s="80">
        <f>+EI30-EF30</f>
        <v>-3</v>
      </c>
      <c r="EJ31" s="80">
        <f>EJ30-EI30</f>
        <v>3</v>
      </c>
      <c r="EK31" s="80">
        <f>+EK30-EF30</f>
        <v>0</v>
      </c>
      <c r="EL31" s="80">
        <f>EL30-EK30</f>
        <v>6</v>
      </c>
      <c r="EM31" s="80">
        <f>+EM30-EF30</f>
        <v>6</v>
      </c>
      <c r="EN31" s="80">
        <f>EN30-EM30</f>
        <v>1</v>
      </c>
      <c r="EO31" s="80">
        <f>EO30-EN30</f>
        <v>1</v>
      </c>
      <c r="EP31" s="80">
        <f>SUM(EN31:EO31)</f>
        <v>2</v>
      </c>
      <c r="EQ31" s="80">
        <f>EQ30-EP30</f>
        <v>0</v>
      </c>
      <c r="ER31" s="80">
        <f>SUM(EP31:EQ31)</f>
        <v>2</v>
      </c>
      <c r="ES31" s="80">
        <f>ES30-ER30</f>
        <v>11</v>
      </c>
      <c r="ET31" s="80">
        <f>SUM(ER31:ES31)</f>
        <v>13</v>
      </c>
      <c r="EU31" s="80">
        <f>EU30-ET30</f>
        <v>0</v>
      </c>
      <c r="EV31" s="80">
        <f>2-1</f>
        <v>1</v>
      </c>
      <c r="EW31" s="80">
        <f>SUM(EU31:EV31)</f>
        <v>1</v>
      </c>
    </row>
    <row r="32" spans="1:155" ht="16.350000000000001" customHeight="1">
      <c r="A32" s="174"/>
      <c r="B32" s="160" t="s">
        <v>2338</v>
      </c>
      <c r="C32" s="160" t="s">
        <v>2339</v>
      </c>
      <c r="D32" s="323">
        <v>143.1</v>
      </c>
      <c r="E32" s="323">
        <v>147</v>
      </c>
      <c r="F32" s="323">
        <v>147</v>
      </c>
      <c r="G32" s="323">
        <v>147</v>
      </c>
      <c r="H32" s="323">
        <v>147</v>
      </c>
      <c r="I32" s="323">
        <v>150.69999999999999</v>
      </c>
      <c r="J32" s="323">
        <v>150.69999999999999</v>
      </c>
      <c r="K32" s="323">
        <v>154.69999999999999</v>
      </c>
      <c r="L32" s="323">
        <v>161.30000000000001</v>
      </c>
      <c r="M32" s="323">
        <v>161.30000000000001</v>
      </c>
      <c r="N32" s="323">
        <v>167.5</v>
      </c>
      <c r="O32" s="323">
        <v>167.5</v>
      </c>
      <c r="P32" s="323">
        <v>178</v>
      </c>
      <c r="Q32" s="323">
        <v>178</v>
      </c>
      <c r="R32" s="323">
        <v>178</v>
      </c>
      <c r="S32" s="323">
        <v>187.5</v>
      </c>
      <c r="T32" s="323">
        <v>187.5</v>
      </c>
      <c r="U32" s="323">
        <v>190</v>
      </c>
      <c r="V32" s="323">
        <v>190</v>
      </c>
      <c r="W32" s="323">
        <v>203.5</v>
      </c>
      <c r="X32" s="323">
        <v>203.5</v>
      </c>
      <c r="Y32" s="323">
        <v>205.4</v>
      </c>
      <c r="Z32" s="323">
        <v>214.3</v>
      </c>
      <c r="AA32" s="323">
        <v>214.3</v>
      </c>
      <c r="AB32" s="323">
        <v>217.6</v>
      </c>
      <c r="AC32" s="323">
        <v>217.6</v>
      </c>
      <c r="AD32" s="323">
        <v>229.7</v>
      </c>
      <c r="AE32" s="323">
        <v>229.7</v>
      </c>
      <c r="AF32" s="323">
        <v>229.7</v>
      </c>
      <c r="AG32" s="323">
        <v>240.6</v>
      </c>
      <c r="AH32" s="323">
        <v>240.6</v>
      </c>
      <c r="AI32" s="323">
        <v>242.5</v>
      </c>
      <c r="AJ32" s="323">
        <v>242.5</v>
      </c>
      <c r="AK32" s="323">
        <v>249.7</v>
      </c>
      <c r="AL32" s="323">
        <v>249.7</v>
      </c>
      <c r="AM32" s="323">
        <v>252.2</v>
      </c>
      <c r="AN32" s="323">
        <v>259.39999999999998</v>
      </c>
      <c r="AO32" s="323">
        <v>259.39999999999998</v>
      </c>
      <c r="AP32" s="323">
        <v>261.10000000000002</v>
      </c>
      <c r="AQ32" s="323">
        <v>261.10000000000002</v>
      </c>
      <c r="AR32" s="323">
        <v>274.7</v>
      </c>
      <c r="AS32" s="323">
        <v>274.7</v>
      </c>
      <c r="AT32" s="323">
        <v>275.10000000000002</v>
      </c>
      <c r="AU32" s="323">
        <v>288.8</v>
      </c>
      <c r="AV32" s="323">
        <v>288.8</v>
      </c>
      <c r="AW32" s="323">
        <v>290.5</v>
      </c>
      <c r="AX32" s="323">
        <v>290.39999999999998</v>
      </c>
      <c r="AY32" s="323">
        <v>318</v>
      </c>
      <c r="AZ32" s="323">
        <v>318</v>
      </c>
      <c r="BA32" s="323">
        <v>321.2</v>
      </c>
      <c r="BB32" s="323">
        <v>330.2</v>
      </c>
      <c r="BC32" s="323">
        <v>330.2</v>
      </c>
      <c r="BD32" s="323">
        <v>334.1</v>
      </c>
      <c r="BE32" s="323">
        <f>BD32</f>
        <v>334.1</v>
      </c>
      <c r="BF32" s="323">
        <v>361.3</v>
      </c>
      <c r="BG32" s="323">
        <v>361.3</v>
      </c>
      <c r="BH32" s="323">
        <v>363.5</v>
      </c>
      <c r="BI32" s="323">
        <v>372.3</v>
      </c>
      <c r="BJ32" s="323">
        <v>372.3</v>
      </c>
      <c r="BK32" s="323">
        <v>380.7</v>
      </c>
      <c r="BL32" s="323">
        <v>382.1</v>
      </c>
      <c r="BM32" s="323">
        <v>411.1</v>
      </c>
      <c r="BN32" s="323">
        <v>411.1</v>
      </c>
      <c r="BO32" s="323">
        <v>411.94510000000014</v>
      </c>
      <c r="BP32" s="323">
        <v>426.94938000000019</v>
      </c>
      <c r="BQ32" s="323">
        <f>BP32</f>
        <v>426.94938000000019</v>
      </c>
      <c r="BR32" s="323">
        <v>432.41693000000015</v>
      </c>
      <c r="BS32" s="323">
        <f>BR32</f>
        <v>432.41693000000015</v>
      </c>
      <c r="BT32" s="323">
        <v>455.70294999999999</v>
      </c>
      <c r="BU32" s="323">
        <f>BT32</f>
        <v>455.70294999999999</v>
      </c>
      <c r="BV32" s="323">
        <v>459.70040000000023</v>
      </c>
      <c r="BW32" s="323">
        <v>472.75216000000034</v>
      </c>
      <c r="BX32" s="323">
        <f>BW32</f>
        <v>472.75216000000034</v>
      </c>
      <c r="BY32" s="323">
        <v>481.09286000000026</v>
      </c>
      <c r="BZ32" s="323">
        <f>BY32</f>
        <v>481.09286000000026</v>
      </c>
      <c r="CA32" s="323">
        <v>497.57499999999999</v>
      </c>
      <c r="CB32" s="323">
        <f>CA32</f>
        <v>497.57499999999999</v>
      </c>
      <c r="CC32" s="323">
        <v>499.93832000000032</v>
      </c>
      <c r="CD32" s="323">
        <v>511.62744000000026</v>
      </c>
      <c r="CE32" s="323">
        <f>CD32</f>
        <v>511.62744000000026</v>
      </c>
      <c r="CF32" s="323">
        <v>519.67007000000024</v>
      </c>
      <c r="CG32" s="323">
        <f>CF32</f>
        <v>519.67007000000024</v>
      </c>
      <c r="CH32" s="323">
        <v>538.43799000000035</v>
      </c>
      <c r="CI32" s="323">
        <f>CH32</f>
        <v>538.43799000000035</v>
      </c>
      <c r="CJ32" s="323">
        <v>542.05771000000027</v>
      </c>
      <c r="CK32" s="323">
        <v>552.40247000000045</v>
      </c>
      <c r="CL32" s="323">
        <f>CK32</f>
        <v>552.40247000000045</v>
      </c>
      <c r="CM32" s="323">
        <v>581.76556000000005</v>
      </c>
      <c r="CN32" s="323">
        <f>CM32</f>
        <v>581.76556000000005</v>
      </c>
      <c r="CO32" s="323">
        <v>599.84322999999995</v>
      </c>
      <c r="CP32" s="323">
        <f>CO32</f>
        <v>599.84322999999995</v>
      </c>
      <c r="CQ32" s="323">
        <v>595.06790000000012</v>
      </c>
      <c r="CR32" s="323">
        <v>606.24898000000007</v>
      </c>
      <c r="CS32" s="323">
        <f>CR32</f>
        <v>606.24898000000007</v>
      </c>
      <c r="CT32" s="323">
        <v>613.24337000000014</v>
      </c>
      <c r="CU32" s="323">
        <f>CT32</f>
        <v>613.24337000000014</v>
      </c>
      <c r="CV32" s="323">
        <v>632.71015000000011</v>
      </c>
      <c r="CW32" s="323">
        <f>CV32</f>
        <v>632.71015000000011</v>
      </c>
      <c r="CX32" s="323">
        <v>635.25535000000002</v>
      </c>
      <c r="CY32" s="323">
        <v>649.8562800000002</v>
      </c>
      <c r="CZ32" s="323">
        <f>CY32</f>
        <v>649.8562800000002</v>
      </c>
      <c r="DA32" s="323">
        <v>659.40043000000014</v>
      </c>
      <c r="DB32" s="323">
        <f>DA32</f>
        <v>659.40043000000014</v>
      </c>
      <c r="DC32" s="323">
        <v>683.66242000000011</v>
      </c>
      <c r="DD32" s="323">
        <f>DC32</f>
        <v>683.66242000000011</v>
      </c>
      <c r="DE32" s="323">
        <v>683.10942000000011</v>
      </c>
      <c r="DF32" s="323">
        <v>683.10942000000011</v>
      </c>
      <c r="DG32" s="323">
        <f>DF32</f>
        <v>683.10942000000011</v>
      </c>
      <c r="DH32" s="323">
        <v>689.60000000000014</v>
      </c>
      <c r="DI32" s="323">
        <f>DH32</f>
        <v>689.60000000000014</v>
      </c>
      <c r="DJ32" s="323">
        <v>690.30590000000007</v>
      </c>
      <c r="DK32" s="323">
        <f>DJ32</f>
        <v>690.30590000000007</v>
      </c>
      <c r="DL32" s="323">
        <v>690.39508000000012</v>
      </c>
      <c r="DM32" s="323">
        <v>711.71590000000003</v>
      </c>
      <c r="DN32" s="323">
        <f>DM32</f>
        <v>711.71590000000003</v>
      </c>
      <c r="DO32" s="323">
        <v>712.61189999999999</v>
      </c>
      <c r="DP32" s="323">
        <f>DO32</f>
        <v>712.61189999999999</v>
      </c>
      <c r="DQ32" s="323">
        <v>713.75790000000006</v>
      </c>
      <c r="DR32" s="323">
        <f>DQ32</f>
        <v>713.75790000000006</v>
      </c>
      <c r="DS32" s="323">
        <v>714.27171999999996</v>
      </c>
      <c r="DT32" s="323">
        <v>720.92460000000005</v>
      </c>
      <c r="DU32" s="323">
        <f>DT32</f>
        <v>720.92460000000005</v>
      </c>
      <c r="DV32" s="323">
        <v>729.60674000000017</v>
      </c>
      <c r="DW32" s="323">
        <f>DV32</f>
        <v>729.60674000000017</v>
      </c>
      <c r="DX32" s="323">
        <v>735.6</v>
      </c>
      <c r="DY32" s="323">
        <f>DX32</f>
        <v>735.6</v>
      </c>
      <c r="DZ32" s="323">
        <v>727.22980000000007</v>
      </c>
      <c r="EA32" s="323">
        <v>726.20931999999993</v>
      </c>
      <c r="EB32" s="323">
        <f>EA32</f>
        <v>726.20931999999993</v>
      </c>
      <c r="EC32" s="323">
        <v>726.91210999999976</v>
      </c>
      <c r="ED32" s="323">
        <f>EC32</f>
        <v>726.91210999999976</v>
      </c>
      <c r="EE32" s="323">
        <v>733.99677999999983</v>
      </c>
      <c r="EF32" s="323">
        <f>EE32</f>
        <v>733.99677999999983</v>
      </c>
      <c r="EG32" s="323">
        <v>733.95087000000035</v>
      </c>
      <c r="EH32" s="323">
        <v>731.38387000000012</v>
      </c>
      <c r="EI32" s="323">
        <f>EH32</f>
        <v>731.38387000000012</v>
      </c>
      <c r="EJ32" s="323">
        <v>728.52803000000006</v>
      </c>
      <c r="EK32" s="323">
        <f>EJ32</f>
        <v>728.52803000000006</v>
      </c>
      <c r="EL32" s="323">
        <v>735.63887000000011</v>
      </c>
      <c r="EM32" s="323">
        <f>EL32</f>
        <v>735.63887000000011</v>
      </c>
      <c r="EN32" s="323">
        <v>736.91523999999993</v>
      </c>
      <c r="EO32" s="323">
        <v>736.07884999999999</v>
      </c>
      <c r="EP32" s="323">
        <v>736.07884999999999</v>
      </c>
      <c r="EQ32" s="323">
        <v>736.13859999999988</v>
      </c>
      <c r="ER32" s="323">
        <f>EQ32</f>
        <v>736.13859999999988</v>
      </c>
      <c r="ES32" s="323">
        <v>746.97299999999996</v>
      </c>
      <c r="ET32" s="323">
        <f>ES32</f>
        <v>746.97299999999996</v>
      </c>
      <c r="EU32" s="323">
        <v>747.64380999999992</v>
      </c>
      <c r="EV32" s="323">
        <v>749.47686999999996</v>
      </c>
      <c r="EW32" s="323">
        <f>EV32</f>
        <v>749.47686999999996</v>
      </c>
      <c r="EY32" s="338"/>
    </row>
    <row r="33" spans="1:155" ht="16.350000000000001" customHeight="1">
      <c r="A33" s="174"/>
      <c r="B33" s="160" t="s">
        <v>2340</v>
      </c>
      <c r="C33" s="160" t="s">
        <v>2341</v>
      </c>
      <c r="D33" s="323" t="s">
        <v>624</v>
      </c>
      <c r="E33" s="323" t="s">
        <v>624</v>
      </c>
      <c r="F33" s="323" t="s">
        <v>624</v>
      </c>
      <c r="G33" s="323" t="s">
        <v>624</v>
      </c>
      <c r="H33" s="323" t="s">
        <v>624</v>
      </c>
      <c r="I33" s="323" t="s">
        <v>624</v>
      </c>
      <c r="J33" s="323" t="s">
        <v>624</v>
      </c>
      <c r="K33" s="323" t="s">
        <v>624</v>
      </c>
      <c r="L33" s="323" t="s">
        <v>624</v>
      </c>
      <c r="M33" s="323" t="s">
        <v>624</v>
      </c>
      <c r="N33" s="323" t="s">
        <v>624</v>
      </c>
      <c r="O33" s="323" t="s">
        <v>624</v>
      </c>
      <c r="P33" s="323" t="s">
        <v>624</v>
      </c>
      <c r="Q33" s="323" t="s">
        <v>624</v>
      </c>
      <c r="R33" s="323" t="s">
        <v>624</v>
      </c>
      <c r="S33" s="323" t="s">
        <v>624</v>
      </c>
      <c r="T33" s="323" t="s">
        <v>624</v>
      </c>
      <c r="U33" s="323" t="s">
        <v>624</v>
      </c>
      <c r="V33" s="323" t="s">
        <v>624</v>
      </c>
      <c r="W33" s="323" t="s">
        <v>624</v>
      </c>
      <c r="X33" s="323" t="s">
        <v>624</v>
      </c>
      <c r="Y33" s="323" t="s">
        <v>624</v>
      </c>
      <c r="Z33" s="323" t="s">
        <v>624</v>
      </c>
      <c r="AA33" s="323" t="s">
        <v>624</v>
      </c>
      <c r="AB33" s="323" t="s">
        <v>624</v>
      </c>
      <c r="AC33" s="323" t="s">
        <v>624</v>
      </c>
      <c r="AD33" s="323" t="s">
        <v>624</v>
      </c>
      <c r="AE33" s="323" t="s">
        <v>624</v>
      </c>
      <c r="AF33" s="323" t="s">
        <v>624</v>
      </c>
      <c r="AG33" s="323" t="s">
        <v>624</v>
      </c>
      <c r="AH33" s="323" t="s">
        <v>624</v>
      </c>
      <c r="AI33" s="323" t="s">
        <v>624</v>
      </c>
      <c r="AJ33" s="323" t="s">
        <v>624</v>
      </c>
      <c r="AK33" s="323" t="s">
        <v>624</v>
      </c>
      <c r="AL33" s="323" t="s">
        <v>624</v>
      </c>
      <c r="AM33" s="323" t="s">
        <v>624</v>
      </c>
      <c r="AN33" s="323" t="s">
        <v>624</v>
      </c>
      <c r="AO33" s="323" t="s">
        <v>624</v>
      </c>
      <c r="AP33" s="323" t="s">
        <v>624</v>
      </c>
      <c r="AQ33" s="323" t="s">
        <v>624</v>
      </c>
      <c r="AR33" s="323" t="s">
        <v>624</v>
      </c>
      <c r="AS33" s="323" t="s">
        <v>624</v>
      </c>
      <c r="AT33" s="323" t="s">
        <v>624</v>
      </c>
      <c r="AU33" s="323" t="s">
        <v>624</v>
      </c>
      <c r="AV33" s="323" t="s">
        <v>624</v>
      </c>
      <c r="AW33" s="323" t="s">
        <v>624</v>
      </c>
      <c r="AX33" s="323" t="s">
        <v>624</v>
      </c>
      <c r="AY33" s="323" t="s">
        <v>624</v>
      </c>
      <c r="AZ33" s="323" t="s">
        <v>624</v>
      </c>
      <c r="BA33" s="323" t="s">
        <v>624</v>
      </c>
      <c r="BB33" s="323" t="s">
        <v>624</v>
      </c>
      <c r="BC33" s="323" t="s">
        <v>624</v>
      </c>
      <c r="BD33" s="323" t="s">
        <v>624</v>
      </c>
      <c r="BE33" s="323" t="s">
        <v>624</v>
      </c>
      <c r="BF33" s="323" t="s">
        <v>624</v>
      </c>
      <c r="BG33" s="323" t="s">
        <v>624</v>
      </c>
      <c r="BH33" s="323" t="s">
        <v>624</v>
      </c>
      <c r="BI33" s="323" t="s">
        <v>624</v>
      </c>
      <c r="BJ33" s="323" t="s">
        <v>624</v>
      </c>
      <c r="BK33" s="323" t="s">
        <v>624</v>
      </c>
      <c r="BL33" s="323" t="s">
        <v>624</v>
      </c>
      <c r="BM33" s="323" t="s">
        <v>624</v>
      </c>
      <c r="BN33" s="323" t="s">
        <v>624</v>
      </c>
      <c r="BO33" s="323">
        <v>411.37248000000017</v>
      </c>
      <c r="BP33" s="323">
        <v>423.03795000000019</v>
      </c>
      <c r="BQ33" s="323">
        <v>417.20521500000012</v>
      </c>
      <c r="BR33" s="323">
        <v>430.60675000000015</v>
      </c>
      <c r="BS33" s="323">
        <v>421.6723933333335</v>
      </c>
      <c r="BT33" s="323">
        <v>447.88428000000005</v>
      </c>
      <c r="BU33" s="323">
        <v>428.22536500000018</v>
      </c>
      <c r="BV33" s="323">
        <v>459.29470333333359</v>
      </c>
      <c r="BW33" s="323">
        <v>471.38249333333363</v>
      </c>
      <c r="BX33" s="323">
        <v>465.33859833333361</v>
      </c>
      <c r="BY33" s="323">
        <v>477.58095333333341</v>
      </c>
      <c r="BZ33" s="323">
        <v>469.41938333333354</v>
      </c>
      <c r="CA33" s="323">
        <v>491.96566666666666</v>
      </c>
      <c r="CB33" s="323">
        <v>475.05595416666682</v>
      </c>
      <c r="CC33" s="323">
        <v>498.36279333333363</v>
      </c>
      <c r="CD33" s="323">
        <v>510.48956000000021</v>
      </c>
      <c r="CE33" s="323">
        <v>504.42617666666695</v>
      </c>
      <c r="CF33" s="323">
        <v>516.13184666666689</v>
      </c>
      <c r="CG33" s="323">
        <v>508.32806666666693</v>
      </c>
      <c r="CH33" s="323">
        <v>536.48220000000026</v>
      </c>
      <c r="CI33" s="323">
        <v>515.36660000000029</v>
      </c>
      <c r="CJ33" s="323">
        <v>539.64456333333362</v>
      </c>
      <c r="CK33" s="323">
        <v>547.63004333333367</v>
      </c>
      <c r="CL33" s="323">
        <v>543.63730333333365</v>
      </c>
      <c r="CM33" s="323">
        <v>565.01152000000002</v>
      </c>
      <c r="CN33" s="323">
        <v>550.76204222222259</v>
      </c>
      <c r="CO33" s="323">
        <v>594.20533666666677</v>
      </c>
      <c r="CP33" s="323">
        <v>561.62286583333355</v>
      </c>
      <c r="CQ33" s="323">
        <v>596.04685333333339</v>
      </c>
      <c r="CR33" s="323">
        <v>604.1729600000001</v>
      </c>
      <c r="CS33" s="323">
        <v>600.10990666666669</v>
      </c>
      <c r="CT33" s="323">
        <v>610.45470333333344</v>
      </c>
      <c r="CU33" s="323">
        <v>603.55817222222231</v>
      </c>
      <c r="CV33" s="323">
        <v>624.5721400000001</v>
      </c>
      <c r="CW33" s="323">
        <v>608.81166416666679</v>
      </c>
      <c r="CX33" s="323">
        <v>634.8056866666667</v>
      </c>
      <c r="CY33" s="323">
        <v>642.24251666666692</v>
      </c>
      <c r="CZ33" s="323">
        <v>638.52410166666675</v>
      </c>
      <c r="DA33" s="323">
        <v>656.03165333333345</v>
      </c>
      <c r="DB33" s="323">
        <v>644.3599522222222</v>
      </c>
      <c r="DC33" s="323">
        <v>670.46611333333351</v>
      </c>
      <c r="DD33" s="323">
        <v>650.88649250000003</v>
      </c>
      <c r="DE33" s="323">
        <v>683.10942000000011</v>
      </c>
      <c r="DF33" s="323">
        <v>683.10942000000011</v>
      </c>
      <c r="DG33" s="323">
        <v>638.52410166666675</v>
      </c>
      <c r="DH33" s="323">
        <v>656.03165333333345</v>
      </c>
      <c r="DI33" s="323">
        <v>644.3599522222222</v>
      </c>
      <c r="DJ33" s="323">
        <v>689.86579333333339</v>
      </c>
      <c r="DK33" s="323">
        <v>650.88649250000003</v>
      </c>
      <c r="DL33" s="323">
        <v>689.06191999999999</v>
      </c>
      <c r="DM33" s="323">
        <v>706.37290000000007</v>
      </c>
      <c r="DN33" s="323">
        <v>697.71741000000009</v>
      </c>
      <c r="DO33" s="323">
        <v>712.61189999999999</v>
      </c>
      <c r="DP33" s="323">
        <v>702.68224000000009</v>
      </c>
      <c r="DQ33" s="323">
        <v>713.75790000000006</v>
      </c>
      <c r="DR33" s="323">
        <v>705.4511550000002</v>
      </c>
      <c r="DS33" s="323">
        <v>713.71995333333325</v>
      </c>
      <c r="DT33" s="323">
        <v>720.14015333333327</v>
      </c>
      <c r="DU33" s="323">
        <v>716.93005333333338</v>
      </c>
      <c r="DV33" s="323">
        <v>726.0752600000003</v>
      </c>
      <c r="DW33" s="323">
        <v>719.9784555555558</v>
      </c>
      <c r="DX33" s="323">
        <v>732.54073666666682</v>
      </c>
      <c r="DY33" s="323">
        <v>723.11902583333347</v>
      </c>
      <c r="DZ33" s="323">
        <v>728.50043333333326</v>
      </c>
      <c r="EA33" s="323">
        <v>728.37651333333326</v>
      </c>
      <c r="EB33" s="323">
        <v>728.43847333333326</v>
      </c>
      <c r="EC33" s="323">
        <v>726.43528999999967</v>
      </c>
      <c r="ED33" s="323">
        <v>727.77074555555544</v>
      </c>
      <c r="EE33" s="323">
        <v>731.68517999999972</v>
      </c>
      <c r="EF33" s="323">
        <v>728.74935416666654</v>
      </c>
      <c r="EG33" s="323">
        <v>733.35220666666703</v>
      </c>
      <c r="EH33" s="323">
        <v>732.05984333333333</v>
      </c>
      <c r="EI33" s="323">
        <v>732.7060250000003</v>
      </c>
      <c r="EJ33" s="323">
        <v>729.20684666666671</v>
      </c>
      <c r="EK33" s="323">
        <v>731.53963222222239</v>
      </c>
      <c r="EL33" s="323">
        <v>733.31218666666689</v>
      </c>
      <c r="EM33" s="323">
        <v>730.67126416666679</v>
      </c>
      <c r="EN33" s="323">
        <v>736.06420666666656</v>
      </c>
      <c r="EO33" s="323">
        <v>736.47140333333334</v>
      </c>
      <c r="EP33" s="323">
        <v>736.26780499999984</v>
      </c>
      <c r="EQ33" s="323">
        <v>736.09904666666648</v>
      </c>
      <c r="ER33" s="323">
        <v>736.21155222222205</v>
      </c>
      <c r="ES33" s="323">
        <v>740.12426000000016</v>
      </c>
      <c r="ET33" s="323">
        <v>737.18972916666655</v>
      </c>
      <c r="EU33" s="323">
        <v>747.09480999999994</v>
      </c>
      <c r="EV33" s="323">
        <v>749.18351666666661</v>
      </c>
      <c r="EW33" s="323">
        <v>748.13916333333316</v>
      </c>
      <c r="EY33" s="338"/>
    </row>
    <row r="34" spans="1:155" ht="16.350000000000001" customHeight="1">
      <c r="A34" s="174"/>
      <c r="B34" s="160" t="s">
        <v>2342</v>
      </c>
      <c r="C34" s="160" t="s">
        <v>625</v>
      </c>
      <c r="D34" s="323">
        <f t="shared" ref="D34:AI34" si="259">D24-D45-D56</f>
        <v>198.012</v>
      </c>
      <c r="E34" s="323">
        <f t="shared" si="259"/>
        <v>279.14800000000002</v>
      </c>
      <c r="F34" s="323">
        <f t="shared" si="259"/>
        <v>477.16</v>
      </c>
      <c r="G34" s="323">
        <f t="shared" si="259"/>
        <v>255.41300000000001</v>
      </c>
      <c r="H34" s="323">
        <f t="shared" si="259"/>
        <v>732.57299999999998</v>
      </c>
      <c r="I34" s="323">
        <f t="shared" si="259"/>
        <v>403.86099999999999</v>
      </c>
      <c r="J34" s="323">
        <f t="shared" si="259"/>
        <v>1136.434</v>
      </c>
      <c r="K34" s="323">
        <f t="shared" si="259"/>
        <v>250.995</v>
      </c>
      <c r="L34" s="323">
        <f t="shared" si="259"/>
        <v>357.709</v>
      </c>
      <c r="M34" s="323">
        <f t="shared" si="259"/>
        <v>608.70399999999995</v>
      </c>
      <c r="N34" s="323">
        <f t="shared" si="259"/>
        <v>320.52300000000002</v>
      </c>
      <c r="O34" s="323">
        <f t="shared" si="259"/>
        <v>929.22699999999998</v>
      </c>
      <c r="P34" s="323">
        <f t="shared" si="259"/>
        <v>506.87900000000002</v>
      </c>
      <c r="Q34" s="323">
        <f t="shared" si="259"/>
        <v>1436.106</v>
      </c>
      <c r="R34" s="323">
        <f t="shared" si="259"/>
        <v>310.29300000000001</v>
      </c>
      <c r="S34" s="323">
        <f t="shared" si="259"/>
        <v>444.35500000000002</v>
      </c>
      <c r="T34" s="323">
        <f t="shared" si="259"/>
        <v>754.64800000000002</v>
      </c>
      <c r="U34" s="323">
        <f t="shared" si="259"/>
        <v>395.358</v>
      </c>
      <c r="V34" s="323">
        <f t="shared" si="259"/>
        <v>1150.0060000000001</v>
      </c>
      <c r="W34" s="323">
        <f t="shared" si="259"/>
        <v>601.72199999999998</v>
      </c>
      <c r="X34" s="323">
        <f t="shared" si="259"/>
        <v>1751.7280000000001</v>
      </c>
      <c r="Y34" s="323">
        <f t="shared" si="259"/>
        <v>383.38299999999998</v>
      </c>
      <c r="Z34" s="323">
        <f t="shared" si="259"/>
        <v>510.24599999999998</v>
      </c>
      <c r="AA34" s="323">
        <f t="shared" si="259"/>
        <v>893.62900000000002</v>
      </c>
      <c r="AB34" s="323">
        <f t="shared" si="259"/>
        <v>449.03399999999999</v>
      </c>
      <c r="AC34" s="323">
        <f t="shared" si="259"/>
        <v>1342.664</v>
      </c>
      <c r="AD34" s="323">
        <f t="shared" si="259"/>
        <v>613.75800000000004</v>
      </c>
      <c r="AE34" s="323">
        <f t="shared" si="259"/>
        <v>1956.421</v>
      </c>
      <c r="AF34" s="323">
        <f t="shared" si="259"/>
        <v>362.649</v>
      </c>
      <c r="AG34" s="323">
        <f t="shared" si="259"/>
        <v>554.73199999999997</v>
      </c>
      <c r="AH34" s="323">
        <f t="shared" si="259"/>
        <v>917.38099999999997</v>
      </c>
      <c r="AI34" s="323">
        <f t="shared" si="259"/>
        <v>486.73</v>
      </c>
      <c r="AJ34" s="323">
        <f t="shared" ref="AJ34:BO34" si="260">AJ24-AJ45-AJ56</f>
        <v>1404.1110000000001</v>
      </c>
      <c r="AK34" s="323">
        <f t="shared" si="260"/>
        <v>711.85799999999995</v>
      </c>
      <c r="AL34" s="323">
        <f t="shared" si="260"/>
        <v>2115.9690000000001</v>
      </c>
      <c r="AM34" s="323">
        <f t="shared" si="260"/>
        <v>440.24599999999998</v>
      </c>
      <c r="AN34" s="323">
        <f t="shared" si="260"/>
        <v>629.98900000000003</v>
      </c>
      <c r="AO34" s="323">
        <f t="shared" si="260"/>
        <v>1070.2349999999999</v>
      </c>
      <c r="AP34" s="323">
        <f t="shared" si="260"/>
        <v>568.74</v>
      </c>
      <c r="AQ34" s="323">
        <f t="shared" si="260"/>
        <v>1638.9749999999999</v>
      </c>
      <c r="AR34" s="323">
        <f t="shared" si="260"/>
        <v>823.70899999999995</v>
      </c>
      <c r="AS34" s="323">
        <f t="shared" si="260"/>
        <v>2462.6840000000002</v>
      </c>
      <c r="AT34" s="323">
        <f t="shared" si="260"/>
        <v>517.70699999999999</v>
      </c>
      <c r="AU34" s="323">
        <f t="shared" si="260"/>
        <v>749.65300000000002</v>
      </c>
      <c r="AV34" s="323">
        <f t="shared" si="260"/>
        <v>1267.3599999999999</v>
      </c>
      <c r="AW34" s="323">
        <f t="shared" si="260"/>
        <v>657.07600000000002</v>
      </c>
      <c r="AX34" s="323">
        <f t="shared" si="260"/>
        <v>1924.4359999999999</v>
      </c>
      <c r="AY34" s="323">
        <f t="shared" si="260"/>
        <v>972.18</v>
      </c>
      <c r="AZ34" s="323">
        <f t="shared" si="260"/>
        <v>2896.616</v>
      </c>
      <c r="BA34" s="323">
        <f t="shared" si="260"/>
        <v>619.19899999999996</v>
      </c>
      <c r="BB34" s="323">
        <f t="shared" si="260"/>
        <v>855.16899999999998</v>
      </c>
      <c r="BC34" s="323">
        <f t="shared" si="260"/>
        <v>1474.3679999999999</v>
      </c>
      <c r="BD34" s="323">
        <f t="shared" si="260"/>
        <v>803.26</v>
      </c>
      <c r="BE34" s="323">
        <f t="shared" si="260"/>
        <v>2277.6280000000002</v>
      </c>
      <c r="BF34" s="323">
        <f t="shared" si="260"/>
        <v>1184.3320000000001</v>
      </c>
      <c r="BG34" s="323">
        <f t="shared" si="260"/>
        <v>3461.96</v>
      </c>
      <c r="BH34" s="323">
        <f t="shared" si="260"/>
        <v>684.36936297</v>
      </c>
      <c r="BI34" s="323">
        <f t="shared" si="260"/>
        <v>900.8672310799999</v>
      </c>
      <c r="BJ34" s="323">
        <f t="shared" si="260"/>
        <v>1585.2365940499999</v>
      </c>
      <c r="BK34" s="323">
        <f t="shared" si="260"/>
        <v>858.57802122999999</v>
      </c>
      <c r="BL34" s="323">
        <f t="shared" si="260"/>
        <v>2443.81461528</v>
      </c>
      <c r="BM34" s="323">
        <f t="shared" si="260"/>
        <v>1267.1057536999999</v>
      </c>
      <c r="BN34" s="323">
        <f t="shared" si="260"/>
        <v>3710.9201912900003</v>
      </c>
      <c r="BO34" s="323">
        <f t="shared" si="260"/>
        <v>766.77021142000001</v>
      </c>
      <c r="BP34" s="323">
        <f t="shared" ref="BP34:CU34" si="261">BP24-BP45-BP56</f>
        <v>1051.9342490900001</v>
      </c>
      <c r="BQ34" s="323">
        <f t="shared" si="261"/>
        <v>1818.70446051</v>
      </c>
      <c r="BR34" s="323">
        <f t="shared" si="261"/>
        <v>989.59266278999985</v>
      </c>
      <c r="BS34" s="323">
        <f t="shared" si="261"/>
        <v>2808.2971232999998</v>
      </c>
      <c r="BT34" s="323">
        <f t="shared" si="261"/>
        <v>1581.2135022799998</v>
      </c>
      <c r="BU34" s="323">
        <f t="shared" si="261"/>
        <v>4390.0706255799996</v>
      </c>
      <c r="BV34" s="323">
        <f t="shared" si="261"/>
        <v>948.61239796000007</v>
      </c>
      <c r="BW34" s="323">
        <f t="shared" si="261"/>
        <v>1280.38805037</v>
      </c>
      <c r="BX34" s="323">
        <f t="shared" si="261"/>
        <v>2229.0004483299999</v>
      </c>
      <c r="BY34" s="323">
        <f t="shared" si="261"/>
        <v>1168.51343554</v>
      </c>
      <c r="BZ34" s="323">
        <f t="shared" si="261"/>
        <v>3397.5138838699995</v>
      </c>
      <c r="CA34" s="323">
        <f t="shared" si="261"/>
        <v>1716.86500189</v>
      </c>
      <c r="CB34" s="323">
        <f t="shared" si="261"/>
        <v>5114.3788857599993</v>
      </c>
      <c r="CC34" s="323">
        <f t="shared" si="261"/>
        <v>998.24199999999996</v>
      </c>
      <c r="CD34" s="323">
        <f t="shared" si="261"/>
        <v>1364.127</v>
      </c>
      <c r="CE34" s="323">
        <f t="shared" si="261"/>
        <v>2362.3889999999997</v>
      </c>
      <c r="CF34" s="323">
        <f t="shared" si="261"/>
        <v>1161.0996024799997</v>
      </c>
      <c r="CG34" s="323">
        <f t="shared" si="261"/>
        <v>3523.4979363000002</v>
      </c>
      <c r="CH34" s="323">
        <f t="shared" si="261"/>
        <v>1767.8629028099999</v>
      </c>
      <c r="CI34" s="323">
        <f t="shared" si="261"/>
        <v>5291.3514400900003</v>
      </c>
      <c r="CJ34" s="323">
        <f t="shared" si="261"/>
        <v>1129.0529999999999</v>
      </c>
      <c r="CK34" s="323">
        <f t="shared" si="261"/>
        <v>1498.4299999999998</v>
      </c>
      <c r="CL34" s="323">
        <f t="shared" si="261"/>
        <v>2627.4819999999995</v>
      </c>
      <c r="CM34" s="323">
        <f t="shared" si="261"/>
        <v>1376.2179999999998</v>
      </c>
      <c r="CN34" s="323">
        <f t="shared" si="261"/>
        <v>4003.69903871</v>
      </c>
      <c r="CO34" s="323">
        <f t="shared" si="261"/>
        <v>2027.9665420099998</v>
      </c>
      <c r="CP34" s="323">
        <f t="shared" si="261"/>
        <v>6031.6663969800002</v>
      </c>
      <c r="CQ34" s="323">
        <f t="shared" si="261"/>
        <v>1268.5329031799999</v>
      </c>
      <c r="CR34" s="323">
        <f t="shared" si="261"/>
        <v>1626.8407521099998</v>
      </c>
      <c r="CS34" s="323">
        <f t="shared" si="261"/>
        <v>2895.37365529</v>
      </c>
      <c r="CT34" s="323">
        <f t="shared" si="261"/>
        <v>1551.91839347</v>
      </c>
      <c r="CU34" s="323">
        <f t="shared" si="261"/>
        <v>4447.2921013499999</v>
      </c>
      <c r="CV34" s="323">
        <f t="shared" ref="CV34:DY34" si="262">CV24-CV45-CV56</f>
        <v>2353.5721319899999</v>
      </c>
      <c r="CW34" s="323">
        <f t="shared" si="262"/>
        <v>6800.8642333400003</v>
      </c>
      <c r="CX34" s="323">
        <f t="shared" si="262"/>
        <v>1497.5671409399999</v>
      </c>
      <c r="CY34" s="323">
        <f t="shared" si="262"/>
        <v>1853.5920999500001</v>
      </c>
      <c r="CZ34" s="323">
        <f t="shared" si="262"/>
        <v>3351.1592408899996</v>
      </c>
      <c r="DA34" s="323">
        <f t="shared" si="262"/>
        <v>1767.55890881</v>
      </c>
      <c r="DB34" s="323">
        <f t="shared" si="262"/>
        <v>5118.7181497000001</v>
      </c>
      <c r="DC34" s="323">
        <f t="shared" si="262"/>
        <v>2609.6405596600002</v>
      </c>
      <c r="DD34" s="323">
        <f t="shared" si="262"/>
        <v>7728.358709359999</v>
      </c>
      <c r="DE34" s="323">
        <f t="shared" si="262"/>
        <v>1404.8932918</v>
      </c>
      <c r="DF34" s="323">
        <f t="shared" si="262"/>
        <v>480.87254520999994</v>
      </c>
      <c r="DG34" s="323">
        <f t="shared" si="262"/>
        <v>1885.7656735299997</v>
      </c>
      <c r="DH34" s="323">
        <f t="shared" si="262"/>
        <v>1470.1046349600001</v>
      </c>
      <c r="DI34" s="323">
        <f t="shared" si="262"/>
        <v>3355.8703084900003</v>
      </c>
      <c r="DJ34" s="323">
        <f t="shared" si="262"/>
        <v>2625.1758276099999</v>
      </c>
      <c r="DK34" s="323">
        <f t="shared" si="262"/>
        <v>5981.0461360999998</v>
      </c>
      <c r="DL34" s="323">
        <f t="shared" si="262"/>
        <v>1228.8510884499999</v>
      </c>
      <c r="DM34" s="323">
        <f t="shared" si="262"/>
        <v>2045.6939278599996</v>
      </c>
      <c r="DN34" s="323">
        <f t="shared" si="262"/>
        <v>3274.5450163099995</v>
      </c>
      <c r="DO34" s="323">
        <f t="shared" si="262"/>
        <v>2127.2783807199999</v>
      </c>
      <c r="DP34" s="323">
        <f t="shared" si="262"/>
        <v>5401.8233970299998</v>
      </c>
      <c r="DQ34" s="323">
        <f t="shared" si="262"/>
        <v>3211.8090150400003</v>
      </c>
      <c r="DR34" s="323">
        <f t="shared" si="262"/>
        <v>8613.632412070001</v>
      </c>
      <c r="DS34" s="323">
        <f t="shared" si="262"/>
        <v>2019.9498450799999</v>
      </c>
      <c r="DT34" s="323">
        <f t="shared" si="262"/>
        <v>2941.9426294500004</v>
      </c>
      <c r="DU34" s="323">
        <f t="shared" si="262"/>
        <v>4961.8924745300001</v>
      </c>
      <c r="DV34" s="323">
        <f t="shared" si="262"/>
        <v>2400.1764013800002</v>
      </c>
      <c r="DW34" s="323">
        <f t="shared" si="262"/>
        <v>7362.0688759100003</v>
      </c>
      <c r="DX34" s="323">
        <f t="shared" si="262"/>
        <v>3240.7597993100003</v>
      </c>
      <c r="DY34" s="323">
        <f t="shared" si="262"/>
        <v>10602.82867522</v>
      </c>
      <c r="DZ34" s="323">
        <v>2082.5605861200002</v>
      </c>
      <c r="EA34" s="323">
        <v>2775.2538649599996</v>
      </c>
      <c r="EB34" s="323">
        <f>EB24-EB45-EB56</f>
        <v>4857.8151341999992</v>
      </c>
      <c r="EC34" s="323">
        <v>2425.5215631799997</v>
      </c>
      <c r="ED34" s="323">
        <f>ED24-ED45-ED56</f>
        <v>7283.3365937399994</v>
      </c>
      <c r="EE34" s="323">
        <v>3474.4335661600003</v>
      </c>
      <c r="EF34" s="323">
        <f t="shared" ref="EF34" si="263">ED34+EE34</f>
        <v>10757.770159899999</v>
      </c>
      <c r="EG34" s="323">
        <v>2252.9150843799998</v>
      </c>
      <c r="EH34" s="323">
        <v>2841.9739362699997</v>
      </c>
      <c r="EI34" s="323">
        <f t="shared" ref="EI34:EK34" si="264">EG34+EH34</f>
        <v>5094.88902065</v>
      </c>
      <c r="EJ34" s="323">
        <v>2705.7344747599996</v>
      </c>
      <c r="EK34" s="323">
        <f t="shared" si="264"/>
        <v>7800.62349541</v>
      </c>
      <c r="EL34" s="323">
        <v>3790.1</v>
      </c>
      <c r="EM34" s="323">
        <f t="shared" ref="EM34" si="265">EK34+EL34</f>
        <v>11590.72349541</v>
      </c>
      <c r="EN34" s="323">
        <f>EN24-EN45-EN56</f>
        <v>2522.5218989300001</v>
      </c>
      <c r="EO34" s="323">
        <v>3376.7700307999999</v>
      </c>
      <c r="EP34" s="323">
        <v>5899.2919297299995</v>
      </c>
      <c r="EQ34" s="323">
        <f t="shared" ref="EQ34:EW34" si="266">EQ24-EQ45-EQ56</f>
        <v>2822.09330112</v>
      </c>
      <c r="ER34" s="323">
        <f t="shared" si="266"/>
        <v>8721.3852308500009</v>
      </c>
      <c r="ES34" s="323">
        <f t="shared" si="266"/>
        <v>3950.4717705999997</v>
      </c>
      <c r="ET34" s="323">
        <f t="shared" si="266"/>
        <v>12671.857001450002</v>
      </c>
      <c r="EU34" s="323">
        <f t="shared" si="266"/>
        <v>2623.55808966</v>
      </c>
      <c r="EV34" s="323">
        <f t="shared" si="266"/>
        <v>3414.1475478999996</v>
      </c>
      <c r="EW34" s="323">
        <f t="shared" si="266"/>
        <v>6037.7056375600005</v>
      </c>
    </row>
    <row r="35" spans="1:155" ht="16.350000000000001" customHeight="1">
      <c r="A35" s="174"/>
      <c r="B35" s="160" t="s">
        <v>2343</v>
      </c>
      <c r="C35" s="160" t="s">
        <v>626</v>
      </c>
      <c r="D35" s="126" t="s">
        <v>624</v>
      </c>
      <c r="E35" s="126" t="s">
        <v>624</v>
      </c>
      <c r="F35" s="126" t="s">
        <v>624</v>
      </c>
      <c r="G35" s="126" t="s">
        <v>624</v>
      </c>
      <c r="H35" s="126" t="s">
        <v>624</v>
      </c>
      <c r="I35" s="126" t="s">
        <v>624</v>
      </c>
      <c r="J35" s="126" t="s">
        <v>624</v>
      </c>
      <c r="K35" s="126">
        <f t="shared" ref="K35:BS35" si="267">+K34/D34-1</f>
        <v>0.26757469244288234</v>
      </c>
      <c r="L35" s="126">
        <f t="shared" si="267"/>
        <v>0.28143135541003339</v>
      </c>
      <c r="M35" s="126">
        <f t="shared" si="267"/>
        <v>0.27568111325341582</v>
      </c>
      <c r="N35" s="126">
        <f t="shared" si="267"/>
        <v>0.25492046215345354</v>
      </c>
      <c r="O35" s="126">
        <f t="shared" si="267"/>
        <v>0.26844287190491589</v>
      </c>
      <c r="P35" s="126">
        <f t="shared" si="267"/>
        <v>0.25508281314610737</v>
      </c>
      <c r="Q35" s="126">
        <f t="shared" si="267"/>
        <v>0.26369503200361843</v>
      </c>
      <c r="R35" s="126">
        <f t="shared" si="267"/>
        <v>0.23625171816171631</v>
      </c>
      <c r="S35" s="126">
        <f t="shared" si="267"/>
        <v>0.24222482520708177</v>
      </c>
      <c r="T35" s="126">
        <f t="shared" si="267"/>
        <v>0.23976185469456435</v>
      </c>
      <c r="U35" s="126">
        <f t="shared" si="267"/>
        <v>0.23347778474555647</v>
      </c>
      <c r="V35" s="126">
        <f t="shared" si="267"/>
        <v>0.23759425845353199</v>
      </c>
      <c r="W35" s="126">
        <f t="shared" si="267"/>
        <v>0.18711171699754758</v>
      </c>
      <c r="X35" s="126">
        <f t="shared" si="267"/>
        <v>0.21977625607023432</v>
      </c>
      <c r="Y35" s="126">
        <f t="shared" si="267"/>
        <v>0.23555155933263072</v>
      </c>
      <c r="Z35" s="126">
        <f t="shared" si="267"/>
        <v>0.1482845922741951</v>
      </c>
      <c r="AA35" s="126">
        <f t="shared" si="267"/>
        <v>0.18416665783252584</v>
      </c>
      <c r="AB35" s="126">
        <f t="shared" si="267"/>
        <v>0.13576555931586043</v>
      </c>
      <c r="AC35" s="126">
        <f t="shared" si="267"/>
        <v>0.16752782159397417</v>
      </c>
      <c r="AD35" s="126">
        <f t="shared" si="267"/>
        <v>2.000259255935477E-2</v>
      </c>
      <c r="AE35" s="126">
        <f t="shared" si="267"/>
        <v>0.11685204552304929</v>
      </c>
      <c r="AF35" s="126">
        <f t="shared" si="267"/>
        <v>-5.4081688546440465E-2</v>
      </c>
      <c r="AG35" s="126">
        <f t="shared" si="267"/>
        <v>8.7185396847794916E-2</v>
      </c>
      <c r="AH35" s="126">
        <f t="shared" si="267"/>
        <v>2.6579262758930078E-2</v>
      </c>
      <c r="AI35" s="126">
        <f t="shared" si="267"/>
        <v>8.3949099622745882E-2</v>
      </c>
      <c r="AJ35" s="126">
        <f t="shared" si="267"/>
        <v>4.5764986623608062E-2</v>
      </c>
      <c r="AK35" s="126">
        <f t="shared" si="267"/>
        <v>0.15983498382098471</v>
      </c>
      <c r="AL35" s="126">
        <f t="shared" si="267"/>
        <v>8.1550954523591734E-2</v>
      </c>
      <c r="AM35" s="126">
        <f t="shared" si="267"/>
        <v>0.21397273948087547</v>
      </c>
      <c r="AN35" s="126">
        <f t="shared" si="267"/>
        <v>0.13566370788056226</v>
      </c>
      <c r="AO35" s="126">
        <f t="shared" si="267"/>
        <v>0.16661997577887488</v>
      </c>
      <c r="AP35" s="126">
        <f t="shared" si="267"/>
        <v>0.16849177161876194</v>
      </c>
      <c r="AQ35" s="126">
        <f t="shared" si="267"/>
        <v>0.16726882703717849</v>
      </c>
      <c r="AR35" s="126">
        <f t="shared" si="267"/>
        <v>0.15712543793846523</v>
      </c>
      <c r="AS35" s="126">
        <f t="shared" si="267"/>
        <v>0.16385637029654032</v>
      </c>
      <c r="AT35" s="126">
        <f t="shared" si="267"/>
        <v>0.17594935558755798</v>
      </c>
      <c r="AU35" s="126">
        <f t="shared" si="267"/>
        <v>0.18994617366334965</v>
      </c>
      <c r="AV35" s="126">
        <f t="shared" si="267"/>
        <v>0.18418851934388236</v>
      </c>
      <c r="AW35" s="126">
        <f t="shared" si="267"/>
        <v>0.15531877483560153</v>
      </c>
      <c r="AX35" s="126">
        <f t="shared" si="267"/>
        <v>0.17417044189203623</v>
      </c>
      <c r="AY35" s="126">
        <f t="shared" si="267"/>
        <v>0.18024690758508166</v>
      </c>
      <c r="AZ35" s="126">
        <f t="shared" si="267"/>
        <v>0.17620287458723882</v>
      </c>
      <c r="BA35" s="126">
        <f t="shared" si="267"/>
        <v>0.19604139020720202</v>
      </c>
      <c r="BB35" s="126">
        <f t="shared" si="267"/>
        <v>0.14075312177767585</v>
      </c>
      <c r="BC35" s="126">
        <f t="shared" si="267"/>
        <v>0.16333796237848763</v>
      </c>
      <c r="BD35" s="126">
        <f t="shared" si="267"/>
        <v>0.22247654761397451</v>
      </c>
      <c r="BE35" s="126">
        <f t="shared" si="267"/>
        <v>0.18353013558258113</v>
      </c>
      <c r="BF35" s="126">
        <f t="shared" si="267"/>
        <v>0.21822296282581433</v>
      </c>
      <c r="BG35" s="126">
        <f t="shared" si="267"/>
        <v>0.19517395471129073</v>
      </c>
      <c r="BH35" s="126">
        <f t="shared" si="267"/>
        <v>0.10524946417872139</v>
      </c>
      <c r="BI35" s="126">
        <f t="shared" si="267"/>
        <v>5.3437660953565835E-2</v>
      </c>
      <c r="BJ35" s="126">
        <f t="shared" si="267"/>
        <v>7.5197368669151832E-2</v>
      </c>
      <c r="BK35" s="126">
        <f t="shared" si="267"/>
        <v>6.8866893944675489E-2</v>
      </c>
      <c r="BL35" s="126">
        <f t="shared" si="267"/>
        <v>7.2964775318884234E-2</v>
      </c>
      <c r="BM35" s="126">
        <f t="shared" si="267"/>
        <v>6.9890667228445835E-2</v>
      </c>
      <c r="BN35" s="126">
        <f t="shared" si="267"/>
        <v>7.1913075624790546E-2</v>
      </c>
      <c r="BO35" s="126">
        <f t="shared" si="267"/>
        <v>0.12040405796717724</v>
      </c>
      <c r="BP35" s="126">
        <f t="shared" si="267"/>
        <v>0.16769065717807741</v>
      </c>
      <c r="BQ35" s="126">
        <f t="shared" si="267"/>
        <v>0.14727635441693332</v>
      </c>
      <c r="BR35" s="126">
        <f t="shared" si="267"/>
        <v>0.15259491661841995</v>
      </c>
      <c r="BS35" s="126">
        <f t="shared" si="267"/>
        <v>0.14914490884090204</v>
      </c>
      <c r="BT35" s="126">
        <f t="shared" ref="BT35:EC35" si="268">+BT34/BM34-1</f>
        <v>0.24789386968119476</v>
      </c>
      <c r="BU35" s="126">
        <f t="shared" si="268"/>
        <v>0.183014023282972</v>
      </c>
      <c r="BV35" s="126">
        <f t="shared" si="268"/>
        <v>0.23715343114756915</v>
      </c>
      <c r="BW35" s="126">
        <f t="shared" si="268"/>
        <v>0.21717498168505212</v>
      </c>
      <c r="BX35" s="126">
        <f t="shared" si="268"/>
        <v>0.22559794443179904</v>
      </c>
      <c r="BY35" s="126">
        <f t="shared" si="268"/>
        <v>0.18080244476102059</v>
      </c>
      <c r="BZ35" s="126">
        <f t="shared" si="268"/>
        <v>0.20981282773868926</v>
      </c>
      <c r="CA35" s="126">
        <f t="shared" si="268"/>
        <v>8.5789489790214946E-2</v>
      </c>
      <c r="CB35" s="126">
        <f t="shared" si="268"/>
        <v>0.16498783777181414</v>
      </c>
      <c r="CC35" s="126">
        <f t="shared" si="268"/>
        <v>5.2318103945013572E-2</v>
      </c>
      <c r="CD35" s="126">
        <f t="shared" si="268"/>
        <v>6.5401227077839019E-2</v>
      </c>
      <c r="CE35" s="126">
        <f t="shared" si="268"/>
        <v>5.9842317111213017E-2</v>
      </c>
      <c r="CF35" s="126">
        <f t="shared" si="268"/>
        <v>-6.3446707881233966E-3</v>
      </c>
      <c r="CG35" s="126">
        <f t="shared" si="268"/>
        <v>3.7081247269693751E-2</v>
      </c>
      <c r="CH35" s="126">
        <f t="shared" si="268"/>
        <v>2.9704083235349898E-2</v>
      </c>
      <c r="CI35" s="126">
        <f t="shared" si="268"/>
        <v>3.460294168325051E-2</v>
      </c>
      <c r="CJ35" s="126">
        <f t="shared" si="268"/>
        <v>0.13104137072974287</v>
      </c>
      <c r="CK35" s="126">
        <f t="shared" si="268"/>
        <v>9.8453443117832773E-2</v>
      </c>
      <c r="CL35" s="126">
        <f t="shared" si="268"/>
        <v>0.11221394952313091</v>
      </c>
      <c r="CM35" s="126">
        <f t="shared" si="268"/>
        <v>0.18527126963141449</v>
      </c>
      <c r="CN35" s="126">
        <f t="shared" si="268"/>
        <v>0.13628533664312448</v>
      </c>
      <c r="CO35" s="126">
        <f t="shared" si="268"/>
        <v>0.14712885189601965</v>
      </c>
      <c r="CP35" s="126">
        <f t="shared" si="268"/>
        <v>0.13991037361098213</v>
      </c>
      <c r="CQ35" s="126">
        <f t="shared" si="268"/>
        <v>0.12353707326405416</v>
      </c>
      <c r="CR35" s="126">
        <f t="shared" si="268"/>
        <v>8.5696864124450212E-2</v>
      </c>
      <c r="CS35" s="126">
        <f t="shared" si="268"/>
        <v>0.10195756061887407</v>
      </c>
      <c r="CT35" s="126">
        <f t="shared" si="268"/>
        <v>0.12766901280901721</v>
      </c>
      <c r="CU35" s="126">
        <f t="shared" si="268"/>
        <v>0.11079580616602147</v>
      </c>
      <c r="CV35" s="126">
        <f t="shared" si="268"/>
        <v>0.1605576735291101</v>
      </c>
      <c r="CW35" s="126">
        <f t="shared" si="268"/>
        <v>0.12752658813244877</v>
      </c>
      <c r="CX35" s="126">
        <f t="shared" si="268"/>
        <v>0.18055049040182514</v>
      </c>
      <c r="CY35" s="126">
        <f t="shared" si="268"/>
        <v>0.13938140383187814</v>
      </c>
      <c r="CZ35" s="126">
        <f t="shared" si="268"/>
        <v>0.15741857178511509</v>
      </c>
      <c r="DA35" s="126">
        <f t="shared" si="268"/>
        <v>0.13895093727050956</v>
      </c>
      <c r="DB35" s="126">
        <f t="shared" si="268"/>
        <v>0.15097412831196433</v>
      </c>
      <c r="DC35" s="126">
        <f t="shared" si="268"/>
        <v>0.10879990640163162</v>
      </c>
      <c r="DD35" s="126">
        <f t="shared" si="268"/>
        <v>0.13637891364940447</v>
      </c>
      <c r="DE35" s="126">
        <f t="shared" si="268"/>
        <v>-6.1882934398406975E-2</v>
      </c>
      <c r="DF35" s="126">
        <f t="shared" si="268"/>
        <v>-0.74057261831069998</v>
      </c>
      <c r="DG35" s="126">
        <f t="shared" si="268"/>
        <v>-0.43727959849822629</v>
      </c>
      <c r="DH35" s="126">
        <f t="shared" si="268"/>
        <v>-0.16828535239612441</v>
      </c>
      <c r="DI35" s="126">
        <f t="shared" si="268"/>
        <v>-0.34439244155557136</v>
      </c>
      <c r="DJ35" s="126">
        <f t="shared" si="268"/>
        <v>5.953029773580587E-3</v>
      </c>
      <c r="DK35" s="126">
        <f t="shared" si="268"/>
        <v>-0.22609102902325007</v>
      </c>
      <c r="DL35" s="126">
        <f t="shared" si="268"/>
        <v>-0.1253064587734265</v>
      </c>
      <c r="DM35" s="126">
        <f t="shared" si="268"/>
        <v>3.254129182955606</v>
      </c>
      <c r="DN35" s="126">
        <f t="shared" si="268"/>
        <v>0.73645382471106169</v>
      </c>
      <c r="DO35" s="126">
        <f t="shared" si="268"/>
        <v>0.44702515054507042</v>
      </c>
      <c r="DP35" s="126">
        <f t="shared" si="268"/>
        <v>0.6096639322931976</v>
      </c>
      <c r="DQ35" s="126">
        <f t="shared" si="268"/>
        <v>0.22346434142054417</v>
      </c>
      <c r="DR35" s="126">
        <f t="shared" si="268"/>
        <v>0.44015481841552972</v>
      </c>
      <c r="DS35" s="126">
        <f t="shared" si="268"/>
        <v>0.64377105091540843</v>
      </c>
      <c r="DT35" s="126">
        <f t="shared" si="268"/>
        <v>0.43811475870565175</v>
      </c>
      <c r="DU35" s="126">
        <f t="shared" si="268"/>
        <v>0.51529218557557921</v>
      </c>
      <c r="DV35" s="126">
        <f t="shared" si="268"/>
        <v>0.12828505339655405</v>
      </c>
      <c r="DW35" s="126">
        <f t="shared" si="268"/>
        <v>0.36288588774630659</v>
      </c>
      <c r="DX35" s="126">
        <f t="shared" si="268"/>
        <v>9.0138560961849912E-3</v>
      </c>
      <c r="DY35" s="126">
        <f t="shared" si="268"/>
        <v>0.23093581987113865</v>
      </c>
      <c r="DZ35" s="126">
        <f t="shared" si="268"/>
        <v>3.0996185965954215E-2</v>
      </c>
      <c r="EA35" s="126">
        <f t="shared" si="268"/>
        <v>-5.6659420486783407E-2</v>
      </c>
      <c r="EB35" s="126">
        <f t="shared" si="268"/>
        <v>-2.0975331663118935E-2</v>
      </c>
      <c r="EC35" s="126">
        <f t="shared" si="268"/>
        <v>1.0559707938727847E-2</v>
      </c>
      <c r="ED35" s="126">
        <f>+ED34/DW34-1</f>
        <v>-1.0694314804310934E-2</v>
      </c>
      <c r="EE35" s="126">
        <f>+EE34/DX34-1</f>
        <v>7.2104624014329044E-2</v>
      </c>
      <c r="EF35" s="126">
        <f>+EF34/DY34-1</f>
        <v>1.4613221568138268E-2</v>
      </c>
      <c r="EG35" s="126">
        <f t="shared" ref="EG35" si="269">+EG34/DZ34-1</f>
        <v>8.1800500497027917E-2</v>
      </c>
      <c r="EH35" s="126">
        <f t="shared" ref="EH35:EJ35" si="270">+EH34/EA34-1</f>
        <v>2.4041069594533004E-2</v>
      </c>
      <c r="EI35" s="126">
        <f t="shared" ref="EI35:EK35" si="271">+EI34/EB34-1</f>
        <v>4.8802574799718723E-2</v>
      </c>
      <c r="EJ35" s="126">
        <f t="shared" si="270"/>
        <v>0.11552686887377095</v>
      </c>
      <c r="EK35" s="126">
        <f t="shared" si="271"/>
        <v>7.1023341433184228E-2</v>
      </c>
      <c r="EL35" s="126">
        <f t="shared" ref="EL35:EN35" si="272">+EL34/EE34-1</f>
        <v>9.0854070981382762E-2</v>
      </c>
      <c r="EM35" s="126">
        <f t="shared" ref="EM35" si="273">+EM34/EF34-1</f>
        <v>7.7428065772855659E-2</v>
      </c>
      <c r="EN35" s="126">
        <f t="shared" si="272"/>
        <v>0.11967020702167108</v>
      </c>
      <c r="EO35" s="126">
        <v>0.18817769146465246</v>
      </c>
      <c r="EP35" s="126">
        <v>0.15788428478416106</v>
      </c>
      <c r="EQ35" s="126">
        <f t="shared" ref="EQ35" si="274">+EQ34/EJ34-1</f>
        <v>4.3004525183618192E-2</v>
      </c>
      <c r="ER35" s="126">
        <f t="shared" ref="ER35" si="275">+ER34/EK34-1</f>
        <v>0.11803694101911089</v>
      </c>
      <c r="ES35" s="126">
        <f t="shared" ref="ES35" si="276">+ES34/EL34-1</f>
        <v>4.2313334898815169E-2</v>
      </c>
      <c r="ET35" s="126">
        <f t="shared" ref="ET35:EW35" si="277">+ET34/EM34-1</f>
        <v>9.327575681260436E-2</v>
      </c>
      <c r="EU35" s="126">
        <f t="shared" si="277"/>
        <v>4.0053642655335286E-2</v>
      </c>
      <c r="EV35" s="126">
        <f t="shared" si="277"/>
        <v>1.1069014697203006E-2</v>
      </c>
      <c r="EW35" s="126">
        <f t="shared" si="277"/>
        <v>2.3462766291061588E-2</v>
      </c>
    </row>
    <row r="36" spans="1:155" ht="16.350000000000001" customHeight="1">
      <c r="A36" s="174"/>
      <c r="B36" s="160" t="s">
        <v>627</v>
      </c>
      <c r="C36" s="160" t="s">
        <v>2344</v>
      </c>
      <c r="D36" s="126">
        <v>0</v>
      </c>
      <c r="E36" s="126">
        <v>0</v>
      </c>
      <c r="F36" s="126">
        <v>0</v>
      </c>
      <c r="G36" s="126">
        <v>0</v>
      </c>
      <c r="H36" s="126">
        <v>0</v>
      </c>
      <c r="I36" s="126">
        <v>0</v>
      </c>
      <c r="J36" s="126">
        <v>0</v>
      </c>
      <c r="K36" s="126">
        <v>0</v>
      </c>
      <c r="L36" s="126">
        <v>0</v>
      </c>
      <c r="M36" s="126">
        <v>0</v>
      </c>
      <c r="N36" s="126">
        <v>0</v>
      </c>
      <c r="O36" s="126">
        <v>0</v>
      </c>
      <c r="P36" s="126">
        <v>0</v>
      </c>
      <c r="Q36" s="126">
        <v>0</v>
      </c>
      <c r="R36" s="126">
        <v>0</v>
      </c>
      <c r="S36" s="126">
        <v>0</v>
      </c>
      <c r="T36" s="126">
        <v>0</v>
      </c>
      <c r="U36" s="126">
        <v>0</v>
      </c>
      <c r="V36" s="126">
        <v>0</v>
      </c>
      <c r="W36" s="126">
        <v>0</v>
      </c>
      <c r="X36" s="126">
        <v>0</v>
      </c>
      <c r="Y36" s="126">
        <v>0</v>
      </c>
      <c r="Z36" s="126">
        <v>0</v>
      </c>
      <c r="AA36" s="126">
        <v>0</v>
      </c>
      <c r="AB36" s="126">
        <v>0</v>
      </c>
      <c r="AC36" s="126">
        <v>0</v>
      </c>
      <c r="AD36" s="126">
        <v>0</v>
      </c>
      <c r="AE36" s="126">
        <v>0</v>
      </c>
      <c r="AF36" s="126">
        <v>0</v>
      </c>
      <c r="AG36" s="126">
        <v>0</v>
      </c>
      <c r="AH36" s="126">
        <v>0</v>
      </c>
      <c r="AI36" s="126">
        <v>0</v>
      </c>
      <c r="AJ36" s="126">
        <v>0</v>
      </c>
      <c r="AK36" s="126">
        <v>0</v>
      </c>
      <c r="AL36" s="126">
        <v>0</v>
      </c>
      <c r="AM36" s="126">
        <v>0</v>
      </c>
      <c r="AN36" s="126">
        <v>0</v>
      </c>
      <c r="AO36" s="126">
        <v>0</v>
      </c>
      <c r="AP36" s="126">
        <v>0</v>
      </c>
      <c r="AQ36" s="126">
        <v>0</v>
      </c>
      <c r="AR36" s="126">
        <v>0</v>
      </c>
      <c r="AS36" s="126">
        <v>0</v>
      </c>
      <c r="AT36" s="126">
        <v>0</v>
      </c>
      <c r="AU36" s="126">
        <v>0</v>
      </c>
      <c r="AV36" s="126">
        <v>0</v>
      </c>
      <c r="AW36" s="126">
        <v>0</v>
      </c>
      <c r="AX36" s="126">
        <v>0</v>
      </c>
      <c r="AY36" s="126">
        <v>0</v>
      </c>
      <c r="AZ36" s="126">
        <v>0</v>
      </c>
      <c r="BA36" s="126">
        <v>0</v>
      </c>
      <c r="BB36" s="126">
        <v>0</v>
      </c>
      <c r="BC36" s="126">
        <v>0</v>
      </c>
      <c r="BD36" s="126">
        <v>0</v>
      </c>
      <c r="BE36" s="126">
        <v>0</v>
      </c>
      <c r="BF36" s="126">
        <v>0</v>
      </c>
      <c r="BG36" s="126">
        <v>0</v>
      </c>
      <c r="BH36" s="126">
        <v>0.51863927022500744</v>
      </c>
      <c r="BI36" s="126">
        <v>0.54179364409935382</v>
      </c>
      <c r="BJ36" s="126">
        <v>0.53179755746641555</v>
      </c>
      <c r="BK36" s="126">
        <v>0.50334390385373051</v>
      </c>
      <c r="BL36" s="126">
        <v>0.52180103439014058</v>
      </c>
      <c r="BM36" s="126">
        <v>0.55223576523448481</v>
      </c>
      <c r="BN36" s="126">
        <v>0.53219305503200254</v>
      </c>
      <c r="BO36" s="126">
        <v>0.52300000000000002</v>
      </c>
      <c r="BP36" s="126">
        <v>0.54702861803735603</v>
      </c>
      <c r="BQ36" s="126">
        <v>0.53682366706802331</v>
      </c>
      <c r="BR36" s="126">
        <v>0.52488136929090012</v>
      </c>
      <c r="BS36" s="126">
        <v>0.53261457466311768</v>
      </c>
      <c r="BT36" s="126">
        <v>0.56074556030978639</v>
      </c>
      <c r="BU36" s="126">
        <v>0.54274678041134228</v>
      </c>
      <c r="BV36" s="126">
        <v>0.54902096141715284</v>
      </c>
      <c r="BW36" s="126">
        <v>0.55779054545643891</v>
      </c>
      <c r="BX36" s="126">
        <v>0.55405841081580687</v>
      </c>
      <c r="BY36" s="126">
        <v>0.53518274059627213</v>
      </c>
      <c r="BZ36" s="126">
        <v>0.54756646383267737</v>
      </c>
      <c r="CA36" s="126">
        <v>0.56057652017399306</v>
      </c>
      <c r="CB36" s="126">
        <v>0.55193385984332199</v>
      </c>
      <c r="CC36" s="126">
        <v>0.55700000000000005</v>
      </c>
      <c r="CD36" s="126">
        <v>0.57599999999999996</v>
      </c>
      <c r="CE36" s="126">
        <v>0.56799999999999995</v>
      </c>
      <c r="CF36" s="126">
        <v>0.53700000000000003</v>
      </c>
      <c r="CG36" s="126">
        <v>0.55800000000000005</v>
      </c>
      <c r="CH36" s="126">
        <v>0.55846055251423432</v>
      </c>
      <c r="CI36" s="126">
        <v>0.55798492933230626</v>
      </c>
      <c r="CJ36" s="126">
        <v>0.54400000000000004</v>
      </c>
      <c r="CK36" s="126">
        <v>0.56799999999999995</v>
      </c>
      <c r="CL36" s="126">
        <v>0.55800000000000005</v>
      </c>
      <c r="CM36" s="126">
        <v>0.53885812386689846</v>
      </c>
      <c r="CN36" s="126">
        <v>0.55121880477654561</v>
      </c>
      <c r="CO36" s="126">
        <v>0.56948545236428927</v>
      </c>
      <c r="CP36" s="126">
        <v>0.55736041660709756</v>
      </c>
      <c r="CQ36" s="126">
        <v>0.56492036761788222</v>
      </c>
      <c r="CR36" s="126">
        <v>0.57899999999999996</v>
      </c>
      <c r="CS36" s="126">
        <v>0.57258641080477812</v>
      </c>
      <c r="CT36" s="126">
        <v>0.54296622986835086</v>
      </c>
      <c r="CU36" s="126">
        <v>0.56225021091916505</v>
      </c>
      <c r="CV36" s="126">
        <v>0.57628001511804805</v>
      </c>
      <c r="CW36" s="126">
        <v>0.56710549713452962</v>
      </c>
      <c r="CX36" s="126">
        <v>0.55255375743334734</v>
      </c>
      <c r="CY36" s="126">
        <v>0.56499999999999995</v>
      </c>
      <c r="CZ36" s="126">
        <v>0.56000000000000005</v>
      </c>
      <c r="DA36" s="126">
        <v>0.54398448518017906</v>
      </c>
      <c r="DB36" s="126">
        <v>0.55424123072115361</v>
      </c>
      <c r="DC36" s="126">
        <v>0.58337693737153173</v>
      </c>
      <c r="DD36" s="126">
        <v>0.56407950654935191</v>
      </c>
      <c r="DE36" s="126">
        <v>0.55522455695517403</v>
      </c>
      <c r="DF36" s="126">
        <v>0.43964663111043101</v>
      </c>
      <c r="DG36" s="126">
        <v>0.52572967280401728</v>
      </c>
      <c r="DH36" s="126">
        <v>0.47228401254339486</v>
      </c>
      <c r="DI36" s="126">
        <v>0.50186712374145293</v>
      </c>
      <c r="DJ36" s="126">
        <v>0.53997280774388356</v>
      </c>
      <c r="DK36" s="126">
        <v>0.51946331263311851</v>
      </c>
      <c r="DL36" s="126">
        <v>0.52408193228466704</v>
      </c>
      <c r="DM36" s="126">
        <v>0.55095941176395957</v>
      </c>
      <c r="DN36" s="126">
        <v>0.54087289410283657</v>
      </c>
      <c r="DO36" s="126">
        <v>0.53619453775048609</v>
      </c>
      <c r="DP36" s="126">
        <v>0.53903099752387873</v>
      </c>
      <c r="DQ36" s="126">
        <v>0.55744462288358576</v>
      </c>
      <c r="DR36" s="126">
        <v>0.54592754883515315</v>
      </c>
      <c r="DS36" s="126">
        <v>0.5540304983382266</v>
      </c>
      <c r="DT36" s="126">
        <v>0.56018162033734387</v>
      </c>
      <c r="DU36" s="126">
        <v>0.55767754459603913</v>
      </c>
      <c r="DV36" s="126">
        <v>0.53539302433268687</v>
      </c>
      <c r="DW36" s="126">
        <v>0.54941477510781078</v>
      </c>
      <c r="DX36" s="126">
        <v>0.55622035686216686</v>
      </c>
      <c r="DY36" s="126">
        <v>0.5526463763017343</v>
      </c>
      <c r="DZ36" s="126">
        <v>0.54146940569969271</v>
      </c>
      <c r="EA36" s="126">
        <v>0.53590550963215622</v>
      </c>
      <c r="EB36" s="126">
        <v>0.53829118137244747</v>
      </c>
      <c r="EC36" s="126">
        <v>0.53352929322688714</v>
      </c>
      <c r="ED36" s="126">
        <v>0.53670536103463873</v>
      </c>
      <c r="EE36" s="126">
        <v>0.55723932421301092</v>
      </c>
      <c r="EF36" s="126">
        <v>0.54335505510444226</v>
      </c>
      <c r="EG36" s="126">
        <v>0.54530254655296428</v>
      </c>
      <c r="EH36" s="126">
        <v>0.55944777499498832</v>
      </c>
      <c r="EI36" s="126">
        <v>0.55319845421292813</v>
      </c>
      <c r="EJ36" s="126">
        <v>0.54351696387002046</v>
      </c>
      <c r="EK36" s="126">
        <v>0.54984031980184223</v>
      </c>
      <c r="EL36" s="126">
        <v>0.55409035211029212</v>
      </c>
      <c r="EM36" s="126">
        <v>0.55123005438151285</v>
      </c>
      <c r="EN36" s="126">
        <v>0.54844462099103797</v>
      </c>
      <c r="EO36" s="126">
        <v>0.5688605062636003</v>
      </c>
      <c r="EP36" s="126">
        <v>0.56012603585462484</v>
      </c>
      <c r="EQ36" s="126">
        <v>0.54792925058788322</v>
      </c>
      <c r="ER36" s="126">
        <v>0.55617936148794556</v>
      </c>
      <c r="ES36" s="126">
        <v>0.56242339186912216</v>
      </c>
      <c r="ET36" s="126">
        <v>0.55812594794485626</v>
      </c>
      <c r="EU36" s="126">
        <v>0.56523896190352529</v>
      </c>
      <c r="EV36" s="126">
        <v>0.57226247421982057</v>
      </c>
      <c r="EW36" s="126">
        <v>0.56921055469042758</v>
      </c>
    </row>
    <row r="37" spans="1:155" ht="16.350000000000001" customHeight="1">
      <c r="A37" s="174"/>
      <c r="B37" s="160" t="s">
        <v>2345</v>
      </c>
      <c r="C37" s="160" t="s">
        <v>2346</v>
      </c>
      <c r="D37" s="323">
        <f t="shared" ref="D37:AI37" si="278">D34/D32</f>
        <v>1.3837316561844863</v>
      </c>
      <c r="E37" s="323">
        <f t="shared" si="278"/>
        <v>1.898965986394558</v>
      </c>
      <c r="F37" s="323">
        <f t="shared" si="278"/>
        <v>3.2459863945578231</v>
      </c>
      <c r="G37" s="323">
        <f t="shared" si="278"/>
        <v>1.7375034013605444</v>
      </c>
      <c r="H37" s="323">
        <f t="shared" si="278"/>
        <v>4.9834897959183673</v>
      </c>
      <c r="I37" s="323">
        <f t="shared" si="278"/>
        <v>2.679900464499005</v>
      </c>
      <c r="J37" s="323">
        <f t="shared" si="278"/>
        <v>7.5410351692103523</v>
      </c>
      <c r="K37" s="323">
        <f t="shared" si="278"/>
        <v>1.6224628312863609</v>
      </c>
      <c r="L37" s="323">
        <f t="shared" si="278"/>
        <v>2.2176627402355855</v>
      </c>
      <c r="M37" s="323">
        <f t="shared" si="278"/>
        <v>3.7737383756974574</v>
      </c>
      <c r="N37" s="323">
        <f t="shared" si="278"/>
        <v>1.9135701492537316</v>
      </c>
      <c r="O37" s="323">
        <f t="shared" si="278"/>
        <v>5.5476238805970146</v>
      </c>
      <c r="P37" s="323">
        <f t="shared" si="278"/>
        <v>2.8476348314606743</v>
      </c>
      <c r="Q37" s="323">
        <f t="shared" si="278"/>
        <v>8.0680112359550566</v>
      </c>
      <c r="R37" s="323">
        <f t="shared" si="278"/>
        <v>1.7432191011235956</v>
      </c>
      <c r="S37" s="323">
        <f t="shared" si="278"/>
        <v>2.3698933333333336</v>
      </c>
      <c r="T37" s="323">
        <f t="shared" si="278"/>
        <v>4.0247893333333336</v>
      </c>
      <c r="U37" s="323">
        <f t="shared" si="278"/>
        <v>2.0808315789473686</v>
      </c>
      <c r="V37" s="323">
        <f t="shared" si="278"/>
        <v>6.0526631578947372</v>
      </c>
      <c r="W37" s="323">
        <f t="shared" si="278"/>
        <v>2.9568648648648646</v>
      </c>
      <c r="X37" s="323">
        <f t="shared" si="278"/>
        <v>8.6080000000000005</v>
      </c>
      <c r="Y37" s="323">
        <f t="shared" si="278"/>
        <v>1.866518987341772</v>
      </c>
      <c r="Z37" s="323">
        <f t="shared" si="278"/>
        <v>2.3809892673821742</v>
      </c>
      <c r="AA37" s="323">
        <f t="shared" si="278"/>
        <v>4.1699906672888476</v>
      </c>
      <c r="AB37" s="323">
        <f t="shared" si="278"/>
        <v>2.0635753676470587</v>
      </c>
      <c r="AC37" s="323">
        <f t="shared" si="278"/>
        <v>6.1703308823529417</v>
      </c>
      <c r="AD37" s="323">
        <f t="shared" si="278"/>
        <v>2.6719982585981716</v>
      </c>
      <c r="AE37" s="323">
        <f t="shared" si="278"/>
        <v>8.5172877666521565</v>
      </c>
      <c r="AF37" s="323">
        <f t="shared" si="278"/>
        <v>1.5787940792337833</v>
      </c>
      <c r="AG37" s="323">
        <f t="shared" si="278"/>
        <v>2.3056192851205322</v>
      </c>
      <c r="AH37" s="323">
        <f t="shared" si="278"/>
        <v>3.8128886118038237</v>
      </c>
      <c r="AI37" s="323">
        <f t="shared" si="278"/>
        <v>2.0071340206185568</v>
      </c>
      <c r="AJ37" s="323">
        <f t="shared" ref="AJ37:BN37" si="279">AJ34/AJ32</f>
        <v>5.7901484536082481</v>
      </c>
      <c r="AK37" s="323">
        <f t="shared" si="279"/>
        <v>2.8508530236283538</v>
      </c>
      <c r="AL37" s="323">
        <f t="shared" si="279"/>
        <v>8.4740448538245907</v>
      </c>
      <c r="AM37" s="323">
        <f t="shared" si="279"/>
        <v>1.7456225218080887</v>
      </c>
      <c r="AN37" s="323">
        <f t="shared" si="279"/>
        <v>2.4286391673091754</v>
      </c>
      <c r="AO37" s="323">
        <f t="shared" si="279"/>
        <v>4.1258095605242868</v>
      </c>
      <c r="AP37" s="323">
        <f t="shared" si="279"/>
        <v>2.1782458828035236</v>
      </c>
      <c r="AQ37" s="323">
        <f t="shared" si="279"/>
        <v>6.2771926464955943</v>
      </c>
      <c r="AR37" s="323">
        <f t="shared" si="279"/>
        <v>2.9985766290498725</v>
      </c>
      <c r="AS37" s="323">
        <f t="shared" si="279"/>
        <v>8.9649945394976349</v>
      </c>
      <c r="AT37" s="323">
        <f t="shared" si="279"/>
        <v>1.8818865866957468</v>
      </c>
      <c r="AU37" s="323">
        <f t="shared" si="279"/>
        <v>2.595751385041551</v>
      </c>
      <c r="AV37" s="323">
        <f t="shared" si="279"/>
        <v>4.3883656509695284</v>
      </c>
      <c r="AW37" s="323">
        <f t="shared" si="279"/>
        <v>2.261879518072289</v>
      </c>
      <c r="AX37" s="323">
        <f t="shared" si="279"/>
        <v>6.6268457300275481</v>
      </c>
      <c r="AY37" s="323">
        <f t="shared" si="279"/>
        <v>3.0571698113207546</v>
      </c>
      <c r="AZ37" s="323">
        <f t="shared" si="279"/>
        <v>9.1088553459119499</v>
      </c>
      <c r="BA37" s="323">
        <f t="shared" si="279"/>
        <v>1.9277677459526774</v>
      </c>
      <c r="BB37" s="323">
        <f t="shared" si="279"/>
        <v>2.5898516050878255</v>
      </c>
      <c r="BC37" s="323">
        <f t="shared" si="279"/>
        <v>4.4650757116898845</v>
      </c>
      <c r="BD37" s="323">
        <f t="shared" si="279"/>
        <v>2.4042502244836874</v>
      </c>
      <c r="BE37" s="323">
        <f t="shared" si="279"/>
        <v>6.8172044298114338</v>
      </c>
      <c r="BF37" s="323">
        <f t="shared" si="279"/>
        <v>3.2779739828397454</v>
      </c>
      <c r="BG37" s="323">
        <f t="shared" si="279"/>
        <v>9.5819540548021038</v>
      </c>
      <c r="BH37" s="323">
        <f t="shared" si="279"/>
        <v>1.8827217688308115</v>
      </c>
      <c r="BI37" s="323">
        <f t="shared" si="279"/>
        <v>2.4197347060972332</v>
      </c>
      <c r="BJ37" s="323">
        <f t="shared" si="279"/>
        <v>4.25795485911899</v>
      </c>
      <c r="BK37" s="323">
        <f t="shared" si="279"/>
        <v>2.2552614164171265</v>
      </c>
      <c r="BL37" s="323">
        <f t="shared" si="279"/>
        <v>6.3957461797435222</v>
      </c>
      <c r="BM37" s="323">
        <f t="shared" si="279"/>
        <v>3.082232434200924</v>
      </c>
      <c r="BN37" s="323">
        <f t="shared" si="279"/>
        <v>9.0268065952079795</v>
      </c>
      <c r="BO37" s="323">
        <f>BO34/BO33</f>
        <v>1.8639317132249578</v>
      </c>
      <c r="BP37" s="323">
        <f t="shared" ref="BP37:EA37" si="280">BP34/BP33</f>
        <v>2.486619106134567</v>
      </c>
      <c r="BQ37" s="323">
        <f t="shared" si="280"/>
        <v>4.3592562967123971</v>
      </c>
      <c r="BR37" s="323">
        <f t="shared" si="280"/>
        <v>2.2981355094642608</v>
      </c>
      <c r="BS37" s="323">
        <f t="shared" si="280"/>
        <v>6.6599027294633233</v>
      </c>
      <c r="BT37" s="323">
        <f t="shared" si="280"/>
        <v>3.5304063412986935</v>
      </c>
      <c r="BU37" s="323">
        <f t="shared" si="280"/>
        <v>10.251776247724134</v>
      </c>
      <c r="BV37" s="323">
        <f t="shared" si="280"/>
        <v>2.0653675974824899</v>
      </c>
      <c r="BW37" s="323">
        <f t="shared" si="280"/>
        <v>2.7162401414525714</v>
      </c>
      <c r="BX37" s="323">
        <f t="shared" si="280"/>
        <v>4.7900613796350315</v>
      </c>
      <c r="BY37" s="323">
        <f t="shared" si="280"/>
        <v>2.4467337471987118</v>
      </c>
      <c r="BZ37" s="323">
        <f t="shared" si="280"/>
        <v>7.2376940631303954</v>
      </c>
      <c r="CA37" s="323">
        <f t="shared" si="280"/>
        <v>3.4898065418318489</v>
      </c>
      <c r="CB37" s="323">
        <f t="shared" si="280"/>
        <v>10.765845246022725</v>
      </c>
      <c r="CC37" s="323">
        <f t="shared" si="280"/>
        <v>2.0030427900188736</v>
      </c>
      <c r="CD37" s="323">
        <f t="shared" si="280"/>
        <v>2.6721937271351823</v>
      </c>
      <c r="CE37" s="323">
        <f t="shared" si="280"/>
        <v>4.6833196001267492</v>
      </c>
      <c r="CF37" s="323">
        <f t="shared" si="280"/>
        <v>2.2496182128243523</v>
      </c>
      <c r="CG37" s="323">
        <f t="shared" si="280"/>
        <v>6.9315431654308259</v>
      </c>
      <c r="CH37" s="323">
        <f t="shared" si="280"/>
        <v>3.2952871554918302</v>
      </c>
      <c r="CI37" s="323">
        <f t="shared" si="280"/>
        <v>10.267160192550307</v>
      </c>
      <c r="CJ37" s="323">
        <f t="shared" si="280"/>
        <v>2.0922160190514028</v>
      </c>
      <c r="CK37" s="323">
        <f t="shared" si="280"/>
        <v>2.736208537572745</v>
      </c>
      <c r="CL37" s="323">
        <f t="shared" si="280"/>
        <v>4.8331525152698127</v>
      </c>
      <c r="CM37" s="323">
        <f t="shared" si="280"/>
        <v>2.4357344076807492</v>
      </c>
      <c r="CN37" s="323">
        <f t="shared" si="280"/>
        <v>7.2693808428696673</v>
      </c>
      <c r="CO37" s="323">
        <f t="shared" si="280"/>
        <v>3.4129052986739405</v>
      </c>
      <c r="CP37" s="323">
        <f t="shared" si="280"/>
        <v>10.739709445466113</v>
      </c>
      <c r="CQ37" s="323">
        <f t="shared" si="280"/>
        <v>2.1282436038137851</v>
      </c>
      <c r="CR37" s="323">
        <f t="shared" si="280"/>
        <v>2.6926738861500845</v>
      </c>
      <c r="CS37" s="323">
        <f t="shared" si="280"/>
        <v>4.8247389738530782</v>
      </c>
      <c r="CT37" s="323">
        <f t="shared" si="280"/>
        <v>2.5422334941411511</v>
      </c>
      <c r="CU37" s="323">
        <f t="shared" si="280"/>
        <v>7.368456440537706</v>
      </c>
      <c r="CV37" s="323">
        <f t="shared" si="280"/>
        <v>3.7682950955673422</v>
      </c>
      <c r="CW37" s="323">
        <f t="shared" si="280"/>
        <v>11.17071934331109</v>
      </c>
      <c r="CX37" s="323">
        <f t="shared" si="280"/>
        <v>2.3590953458587478</v>
      </c>
      <c r="CY37" s="323">
        <f t="shared" si="280"/>
        <v>2.886124870041952</v>
      </c>
      <c r="CZ37" s="323">
        <f t="shared" si="280"/>
        <v>5.248289347485632</v>
      </c>
      <c r="DA37" s="323">
        <f t="shared" si="280"/>
        <v>2.6943195497182715</v>
      </c>
      <c r="DB37" s="323">
        <f t="shared" si="280"/>
        <v>7.9438800193074286</v>
      </c>
      <c r="DC37" s="323">
        <f t="shared" si="280"/>
        <v>3.892278084996331</v>
      </c>
      <c r="DD37" s="323">
        <f t="shared" si="280"/>
        <v>11.873589018072915</v>
      </c>
      <c r="DE37" s="323">
        <f t="shared" si="280"/>
        <v>2.056615310326126</v>
      </c>
      <c r="DF37" s="323">
        <f t="shared" si="280"/>
        <v>0.70394658766380336</v>
      </c>
      <c r="DG37" s="323">
        <f t="shared" si="280"/>
        <v>2.9533194888145964</v>
      </c>
      <c r="DH37" s="323">
        <f t="shared" si="280"/>
        <v>2.2409050348261648</v>
      </c>
      <c r="DI37" s="323">
        <f t="shared" si="280"/>
        <v>5.2080677840336236</v>
      </c>
      <c r="DJ37" s="323">
        <f t="shared" si="280"/>
        <v>3.8053427970758249</v>
      </c>
      <c r="DK37" s="323">
        <f t="shared" si="280"/>
        <v>9.1890770587776469</v>
      </c>
      <c r="DL37" s="323">
        <f t="shared" si="280"/>
        <v>1.7833681600776894</v>
      </c>
      <c r="DM37" s="323">
        <f t="shared" si="280"/>
        <v>2.8960538093406463</v>
      </c>
      <c r="DN37" s="323">
        <f t="shared" si="280"/>
        <v>4.6932253221400897</v>
      </c>
      <c r="DO37" s="323">
        <f t="shared" si="280"/>
        <v>2.9851850365114587</v>
      </c>
      <c r="DP37" s="323">
        <f t="shared" si="280"/>
        <v>7.6874340769307032</v>
      </c>
      <c r="DQ37" s="323">
        <f t="shared" si="280"/>
        <v>4.4998577459387841</v>
      </c>
      <c r="DR37" s="323">
        <f t="shared" si="280"/>
        <v>12.210104627399751</v>
      </c>
      <c r="DS37" s="323">
        <f t="shared" si="280"/>
        <v>2.8301714638158781</v>
      </c>
      <c r="DT37" s="323">
        <f t="shared" si="280"/>
        <v>4.0852362083027121</v>
      </c>
      <c r="DU37" s="323">
        <f t="shared" si="280"/>
        <v>6.9210273044907362</v>
      </c>
      <c r="DV37" s="323">
        <f t="shared" si="280"/>
        <v>3.3056854207923285</v>
      </c>
      <c r="DW37" s="323">
        <f t="shared" si="280"/>
        <v>10.225401634038089</v>
      </c>
      <c r="DX37" s="323">
        <f t="shared" si="280"/>
        <v>4.4239994270580283</v>
      </c>
      <c r="DY37" s="323">
        <f t="shared" si="280"/>
        <v>14.662632701443773</v>
      </c>
      <c r="DZ37" s="323">
        <f t="shared" si="280"/>
        <v>2.8586950547043832</v>
      </c>
      <c r="EA37" s="323">
        <f t="shared" si="280"/>
        <v>3.8101913147355098</v>
      </c>
      <c r="EB37" s="323">
        <f t="shared" ref="EB37:ED37" si="281">EB34/EB33</f>
        <v>6.6688063742304067</v>
      </c>
      <c r="EC37" s="323">
        <f t="shared" si="281"/>
        <v>3.3389368558622761</v>
      </c>
      <c r="ED37" s="323">
        <f t="shared" si="281"/>
        <v>10.007734768426488</v>
      </c>
      <c r="EE37" s="323">
        <f t="shared" ref="EE37:EI37" si="282">EE34/EE33</f>
        <v>4.748536202632943</v>
      </c>
      <c r="EF37" s="323">
        <f t="shared" si="282"/>
        <v>14.761961843796946</v>
      </c>
      <c r="EG37" s="323">
        <f t="shared" si="282"/>
        <v>3.0720778691322934</v>
      </c>
      <c r="EH37" s="323">
        <f t="shared" si="282"/>
        <v>3.8821606760035685</v>
      </c>
      <c r="EI37" s="323">
        <f t="shared" si="282"/>
        <v>6.9535241240168562</v>
      </c>
      <c r="EJ37" s="323">
        <f t="shared" ref="EJ37:EK37" si="283">EJ34/EJ33</f>
        <v>3.7105171010508058</v>
      </c>
      <c r="EK37" s="323">
        <f t="shared" si="283"/>
        <v>10.66329581039073</v>
      </c>
      <c r="EL37" s="323">
        <f t="shared" ref="EL37:EM37" si="284">EL34/EL33</f>
        <v>5.1684672216184255</v>
      </c>
      <c r="EM37" s="323">
        <f t="shared" si="284"/>
        <v>15.863116648810957</v>
      </c>
      <c r="EN37" s="323">
        <f t="shared" ref="EN37" si="285">EN34/EN33</f>
        <v>3.4270405707587237</v>
      </c>
      <c r="EO37" s="323">
        <v>4.5850660535038381</v>
      </c>
      <c r="EP37" s="323">
        <v>8.0124268502138314</v>
      </c>
      <c r="EQ37" s="323">
        <f t="shared" ref="EQ37:ER37" si="286">EQ34/EQ33</f>
        <v>3.8338499606805643</v>
      </c>
      <c r="ER37" s="323">
        <f t="shared" si="286"/>
        <v>11.846303150941988</v>
      </c>
      <c r="ES37" s="323">
        <f t="shared" ref="ES37:EV37" si="287">ES34/ES33</f>
        <v>5.3375790851660492</v>
      </c>
      <c r="ET37" s="323">
        <f t="shared" si="287"/>
        <v>17.189410676915578</v>
      </c>
      <c r="EU37" s="323">
        <f t="shared" si="287"/>
        <v>3.5116802506766178</v>
      </c>
      <c r="EV37" s="323">
        <f t="shared" si="287"/>
        <v>4.5571578551147605</v>
      </c>
      <c r="EW37" s="323">
        <f t="shared" ref="EW37" si="288">EW34/EW33</f>
        <v>8.0702975241384376</v>
      </c>
    </row>
    <row r="38" spans="1:155" ht="16.350000000000001" customHeight="1">
      <c r="A38" s="174"/>
      <c r="B38" s="160" t="s">
        <v>2347</v>
      </c>
      <c r="C38" s="160" t="s">
        <v>2348</v>
      </c>
      <c r="D38" s="126" t="s">
        <v>624</v>
      </c>
      <c r="E38" s="126" t="s">
        <v>624</v>
      </c>
      <c r="F38" s="126" t="s">
        <v>624</v>
      </c>
      <c r="G38" s="126" t="s">
        <v>624</v>
      </c>
      <c r="H38" s="126" t="s">
        <v>624</v>
      </c>
      <c r="I38" s="126" t="s">
        <v>624</v>
      </c>
      <c r="J38" s="126" t="s">
        <v>624</v>
      </c>
      <c r="K38" s="126">
        <f t="shared" ref="K38:BS38" si="289">+K37/D37-1</f>
        <v>0.17252707490999653</v>
      </c>
      <c r="L38" s="126">
        <f t="shared" si="289"/>
        <v>0.16782646773264021</v>
      </c>
      <c r="M38" s="126">
        <f t="shared" si="289"/>
        <v>0.16258601145847562</v>
      </c>
      <c r="N38" s="126">
        <f t="shared" si="289"/>
        <v>0.10133318171079209</v>
      </c>
      <c r="O38" s="126">
        <f t="shared" si="289"/>
        <v>0.11320060997028447</v>
      </c>
      <c r="P38" s="126">
        <f t="shared" si="289"/>
        <v>6.2589774950102983E-2</v>
      </c>
      <c r="Q38" s="126">
        <f t="shared" si="289"/>
        <v>6.9881131027782484E-2</v>
      </c>
      <c r="R38" s="126">
        <f t="shared" si="289"/>
        <v>7.4427757301221975E-2</v>
      </c>
      <c r="S38" s="126">
        <f t="shared" si="289"/>
        <v>6.8644609631479225E-2</v>
      </c>
      <c r="T38" s="126">
        <f t="shared" si="289"/>
        <v>6.6525798198577402E-2</v>
      </c>
      <c r="U38" s="126">
        <f t="shared" si="289"/>
        <v>8.7408047078319395E-2</v>
      </c>
      <c r="V38" s="126">
        <f t="shared" si="289"/>
        <v>9.1037043636666315E-2</v>
      </c>
      <c r="W38" s="126">
        <f t="shared" si="289"/>
        <v>3.8358160322179202E-2</v>
      </c>
      <c r="X38" s="126">
        <f t="shared" si="289"/>
        <v>6.6929599904185455E-2</v>
      </c>
      <c r="Y38" s="126">
        <f t="shared" si="289"/>
        <v>7.0731146841325421E-2</v>
      </c>
      <c r="Z38" s="126">
        <f t="shared" si="289"/>
        <v>4.6820394372912855E-3</v>
      </c>
      <c r="AA38" s="126">
        <f t="shared" si="289"/>
        <v>3.6076753819872076E-2</v>
      </c>
      <c r="AB38" s="126">
        <f t="shared" si="289"/>
        <v>-8.2929399355997635E-3</v>
      </c>
      <c r="AC38" s="126">
        <f t="shared" si="289"/>
        <v>1.9440653046209233E-2</v>
      </c>
      <c r="AD38" s="126">
        <f t="shared" si="289"/>
        <v>-9.6340759312891988E-2</v>
      </c>
      <c r="AE38" s="126">
        <f t="shared" si="289"/>
        <v>-1.05381311974726E-2</v>
      </c>
      <c r="AF38" s="126">
        <f t="shared" si="289"/>
        <v>-0.1541505390833211</v>
      </c>
      <c r="AG38" s="126">
        <f t="shared" si="289"/>
        <v>-3.1654902142633001E-2</v>
      </c>
      <c r="AH38" s="126">
        <f t="shared" si="289"/>
        <v>-8.5636176187702806E-2</v>
      </c>
      <c r="AI38" s="126">
        <f t="shared" si="289"/>
        <v>-2.7351240915837183E-2</v>
      </c>
      <c r="AJ38" s="126">
        <f t="shared" si="289"/>
        <v>-6.1614593446197463E-2</v>
      </c>
      <c r="AK38" s="126">
        <f t="shared" si="289"/>
        <v>6.693670718334066E-2</v>
      </c>
      <c r="AL38" s="126">
        <f t="shared" si="289"/>
        <v>-5.0770754742930357E-3</v>
      </c>
      <c r="AM38" s="126">
        <f t="shared" si="289"/>
        <v>0.10566827223932207</v>
      </c>
      <c r="AN38" s="126">
        <f t="shared" si="289"/>
        <v>5.3356546322526066E-2</v>
      </c>
      <c r="AO38" s="126">
        <f t="shared" si="289"/>
        <v>8.206926049497798E-2</v>
      </c>
      <c r="AP38" s="126">
        <f t="shared" si="289"/>
        <v>8.5251836911335754E-2</v>
      </c>
      <c r="AQ38" s="126">
        <f t="shared" si="289"/>
        <v>8.4116011323308149E-2</v>
      </c>
      <c r="AR38" s="126">
        <f t="shared" si="289"/>
        <v>5.181733474057082E-2</v>
      </c>
      <c r="AS38" s="126">
        <f t="shared" si="289"/>
        <v>5.7935695897510353E-2</v>
      </c>
      <c r="AT38" s="126">
        <f t="shared" si="289"/>
        <v>7.806044158190506E-2</v>
      </c>
      <c r="AU38" s="126">
        <f t="shared" si="289"/>
        <v>6.8808993934462714E-2</v>
      </c>
      <c r="AV38" s="126">
        <f t="shared" si="289"/>
        <v>6.3637472014553387E-2</v>
      </c>
      <c r="AW38" s="126">
        <f t="shared" si="289"/>
        <v>3.839494702091395E-2</v>
      </c>
      <c r="AX38" s="126">
        <f t="shared" si="289"/>
        <v>5.5702143174968022E-2</v>
      </c>
      <c r="AY38" s="126">
        <f t="shared" si="289"/>
        <v>1.9540331803842514E-2</v>
      </c>
      <c r="AZ38" s="126">
        <f t="shared" si="289"/>
        <v>1.6046948582121079E-2</v>
      </c>
      <c r="BA38" s="126">
        <f t="shared" si="289"/>
        <v>2.4380406120801057E-2</v>
      </c>
      <c r="BB38" s="126">
        <f t="shared" si="289"/>
        <v>-2.2728601774900659E-3</v>
      </c>
      <c r="BC38" s="126">
        <f t="shared" si="289"/>
        <v>1.74803256659819E-2</v>
      </c>
      <c r="BD38" s="126">
        <f t="shared" si="289"/>
        <v>6.2943541101046607E-2</v>
      </c>
      <c r="BE38" s="126">
        <f t="shared" si="289"/>
        <v>2.8725385732360165E-2</v>
      </c>
      <c r="BF38" s="126">
        <f t="shared" si="289"/>
        <v>7.2225026788289348E-2</v>
      </c>
      <c r="BG38" s="126">
        <f t="shared" si="289"/>
        <v>5.1938327146942909E-2</v>
      </c>
      <c r="BH38" s="126">
        <f t="shared" si="289"/>
        <v>-2.3366910882516523E-2</v>
      </c>
      <c r="BI38" s="126">
        <f t="shared" si="289"/>
        <v>-6.5685963881634613E-2</v>
      </c>
      <c r="BJ38" s="126">
        <f t="shared" si="289"/>
        <v>-4.6386862383685279E-2</v>
      </c>
      <c r="BK38" s="126">
        <f t="shared" si="289"/>
        <v>-6.1968927588872846E-2</v>
      </c>
      <c r="BL38" s="126">
        <f t="shared" si="289"/>
        <v>-6.1822738984456338E-2</v>
      </c>
      <c r="BM38" s="126">
        <f t="shared" si="289"/>
        <v>-5.9714186159967153E-2</v>
      </c>
      <c r="BN38" s="126">
        <f t="shared" si="289"/>
        <v>-5.7936769099399488E-2</v>
      </c>
      <c r="BO38" s="126">
        <f t="shared" si="289"/>
        <v>-9.980261511249533E-3</v>
      </c>
      <c r="BP38" s="126">
        <f t="shared" si="289"/>
        <v>2.7641212017498917E-2</v>
      </c>
      <c r="BQ38" s="126">
        <f t="shared" si="289"/>
        <v>2.3791101818859461E-2</v>
      </c>
      <c r="BR38" s="126">
        <f t="shared" si="289"/>
        <v>1.9010697711153712E-2</v>
      </c>
      <c r="BS38" s="126">
        <f t="shared" si="289"/>
        <v>4.1301912598788348E-2</v>
      </c>
      <c r="BT38" s="126">
        <f t="shared" ref="BT38:EC38" si="290">+BT37/BM37-1</f>
        <v>0.14540561643721706</v>
      </c>
      <c r="BU38" s="126">
        <f t="shared" si="290"/>
        <v>0.13570354472493618</v>
      </c>
      <c r="BV38" s="126">
        <f t="shared" si="290"/>
        <v>0.10807042062126282</v>
      </c>
      <c r="BW38" s="126">
        <f t="shared" si="290"/>
        <v>9.2342665087516762E-2</v>
      </c>
      <c r="BX38" s="126">
        <f t="shared" si="290"/>
        <v>9.8825362309514331E-2</v>
      </c>
      <c r="BY38" s="126">
        <f t="shared" si="290"/>
        <v>6.4660346233931243E-2</v>
      </c>
      <c r="BZ38" s="126">
        <f t="shared" si="290"/>
        <v>8.6756722603609671E-2</v>
      </c>
      <c r="CA38" s="126">
        <f t="shared" si="290"/>
        <v>-1.1500035843440504E-2</v>
      </c>
      <c r="CB38" s="126">
        <f t="shared" si="290"/>
        <v>5.0144383361147904E-2</v>
      </c>
      <c r="CC38" s="126">
        <f t="shared" si="290"/>
        <v>-3.0176133071703526E-2</v>
      </c>
      <c r="CD38" s="126">
        <f t="shared" si="290"/>
        <v>-1.6215949998380608E-2</v>
      </c>
      <c r="CE38" s="126">
        <f t="shared" si="290"/>
        <v>-2.2284010798294895E-2</v>
      </c>
      <c r="CF38" s="126">
        <f t="shared" si="290"/>
        <v>-8.0562723508448397E-2</v>
      </c>
      <c r="CG38" s="126">
        <f t="shared" si="290"/>
        <v>-4.229950796886206E-2</v>
      </c>
      <c r="CH38" s="126">
        <f t="shared" si="290"/>
        <v>-5.5739303599881773E-2</v>
      </c>
      <c r="CI38" s="126">
        <f t="shared" si="290"/>
        <v>-4.6321031194150653E-2</v>
      </c>
      <c r="CJ38" s="126">
        <f t="shared" si="290"/>
        <v>4.4518883708764445E-2</v>
      </c>
      <c r="CK38" s="126">
        <f t="shared" si="290"/>
        <v>2.3955901769963317E-2</v>
      </c>
      <c r="CL38" s="126">
        <f t="shared" si="290"/>
        <v>3.1992887083556854E-2</v>
      </c>
      <c r="CM38" s="126">
        <f t="shared" si="290"/>
        <v>8.2732347113571691E-2</v>
      </c>
      <c r="CN38" s="126">
        <f t="shared" si="290"/>
        <v>4.8739172414551835E-2</v>
      </c>
      <c r="CO38" s="126">
        <f t="shared" si="290"/>
        <v>3.5692835747589191E-2</v>
      </c>
      <c r="CP38" s="126">
        <f t="shared" si="290"/>
        <v>4.6025312165547172E-2</v>
      </c>
      <c r="CQ38" s="126">
        <f t="shared" si="290"/>
        <v>1.7219820723252566E-2</v>
      </c>
      <c r="CR38" s="126">
        <f t="shared" si="290"/>
        <v>-1.5910575098665336E-2</v>
      </c>
      <c r="CS38" s="126">
        <f t="shared" si="290"/>
        <v>-1.7407978312607986E-3</v>
      </c>
      <c r="CT38" s="126">
        <f t="shared" si="290"/>
        <v>4.372360390548824E-2</v>
      </c>
      <c r="CU38" s="126">
        <f t="shared" si="290"/>
        <v>1.3629165923425113E-2</v>
      </c>
      <c r="CV38" s="126">
        <f t="shared" si="290"/>
        <v>0.10413116268754541</v>
      </c>
      <c r="CW38" s="126">
        <f t="shared" si="290"/>
        <v>4.0132361125182259E-2</v>
      </c>
      <c r="CX38" s="126">
        <f t="shared" si="290"/>
        <v>0.10847054427006353</v>
      </c>
      <c r="CY38" s="126">
        <f t="shared" si="290"/>
        <v>7.1843450811809539E-2</v>
      </c>
      <c r="CZ38" s="126">
        <f t="shared" si="290"/>
        <v>8.7787210028960949E-2</v>
      </c>
      <c r="DA38" s="126">
        <f t="shared" si="290"/>
        <v>5.9823795071388686E-2</v>
      </c>
      <c r="DB38" s="126">
        <f t="shared" si="290"/>
        <v>7.8092824923822413E-2</v>
      </c>
      <c r="DC38" s="126">
        <f t="shared" si="290"/>
        <v>3.2901613670020202E-2</v>
      </c>
      <c r="DD38" s="126">
        <f t="shared" si="290"/>
        <v>6.2920717382690006E-2</v>
      </c>
      <c r="DE38" s="126">
        <f t="shared" si="290"/>
        <v>-0.12821865638606245</v>
      </c>
      <c r="DF38" s="126">
        <f t="shared" si="290"/>
        <v>-0.75609281671393136</v>
      </c>
      <c r="DG38" s="126">
        <f t="shared" si="290"/>
        <v>-0.4372795984982264</v>
      </c>
      <c r="DH38" s="126">
        <f t="shared" si="290"/>
        <v>-0.16828535239612452</v>
      </c>
      <c r="DI38" s="126">
        <f t="shared" si="290"/>
        <v>-0.34439244155557136</v>
      </c>
      <c r="DJ38" s="126">
        <f t="shared" si="290"/>
        <v>-2.2335322919402323E-2</v>
      </c>
      <c r="DK38" s="126">
        <f t="shared" si="290"/>
        <v>-0.22609102902325018</v>
      </c>
      <c r="DL38" s="126">
        <f t="shared" si="290"/>
        <v>-0.13286254793323826</v>
      </c>
      <c r="DM38" s="126">
        <f t="shared" si="290"/>
        <v>3.1140249275897727</v>
      </c>
      <c r="DN38" s="126">
        <f t="shared" si="290"/>
        <v>0.58913566240131265</v>
      </c>
      <c r="DO38" s="126">
        <f t="shared" si="290"/>
        <v>0.33213366479986983</v>
      </c>
      <c r="DP38" s="126">
        <f t="shared" si="290"/>
        <v>0.47606260050955451</v>
      </c>
      <c r="DQ38" s="126">
        <f t="shared" si="290"/>
        <v>0.18251048220850219</v>
      </c>
      <c r="DR38" s="126">
        <f t="shared" si="290"/>
        <v>0.32876289417296145</v>
      </c>
      <c r="DS38" s="126">
        <f t="shared" si="290"/>
        <v>0.58698104360716319</v>
      </c>
      <c r="DT38" s="126">
        <f t="shared" si="290"/>
        <v>0.41062165182380039</v>
      </c>
      <c r="DU38" s="126">
        <f t="shared" si="290"/>
        <v>0.47468464210339234</v>
      </c>
      <c r="DV38" s="126">
        <f t="shared" si="290"/>
        <v>0.10736365764964861</v>
      </c>
      <c r="DW38" s="126">
        <f t="shared" si="290"/>
        <v>0.3301449523611002</v>
      </c>
      <c r="DX38" s="126">
        <f t="shared" si="290"/>
        <v>-1.6857937109060694E-2</v>
      </c>
      <c r="DY38" s="126">
        <f t="shared" si="290"/>
        <v>0.20086052895406747</v>
      </c>
      <c r="DZ38" s="126">
        <f t="shared" si="290"/>
        <v>1.0078396751992846E-2</v>
      </c>
      <c r="EA38" s="126">
        <f t="shared" si="290"/>
        <v>-6.7326558255850433E-2</v>
      </c>
      <c r="EB38" s="126">
        <f t="shared" si="290"/>
        <v>-3.6442701229725705E-2</v>
      </c>
      <c r="EC38" s="126">
        <f t="shared" si="290"/>
        <v>1.0058862486067355E-2</v>
      </c>
      <c r="ED38" s="126">
        <f>+ED37/DW37-1</f>
        <v>-2.1286876877973815E-2</v>
      </c>
      <c r="EE38" s="126">
        <f>+EE37/DX37-1</f>
        <v>7.3358231827514553E-2</v>
      </c>
      <c r="EF38" s="126">
        <f>+EF37/DY37-1</f>
        <v>6.7743047497461628E-3</v>
      </c>
      <c r="EG38" s="126">
        <f>+EG37/DZ37-1</f>
        <v>7.4643433575315665E-2</v>
      </c>
      <c r="EH38" s="126">
        <f t="shared" ref="EH38" si="291">+EH37/EA37-1</f>
        <v>1.8888647661791991E-2</v>
      </c>
      <c r="EI38" s="126">
        <f t="shared" ref="EI38" si="292">+EI37/EB37-1</f>
        <v>4.2693959579731544E-2</v>
      </c>
      <c r="EJ38" s="126">
        <f t="shared" ref="EJ38" si="293">+EJ37/EC37-1</f>
        <v>0.11128699380347218</v>
      </c>
      <c r="EK38" s="126">
        <f t="shared" ref="EK38" si="294">+EK37/ED37-1</f>
        <v>6.55054372576378E-2</v>
      </c>
      <c r="EL38" s="126">
        <f t="shared" ref="EL38:EN38" si="295">+EL37/EE37-1</f>
        <v>8.8433782762915802E-2</v>
      </c>
      <c r="EM38" s="126">
        <f t="shared" ref="EM38" si="296">+EM37/EF37-1</f>
        <v>7.4594069315842448E-2</v>
      </c>
      <c r="EN38" s="126">
        <f t="shared" si="295"/>
        <v>0.11554482560257795</v>
      </c>
      <c r="EO38" s="126">
        <v>0.18106035173790502</v>
      </c>
      <c r="EP38" s="126">
        <v>0.15228288667894585</v>
      </c>
      <c r="EQ38" s="126">
        <f t="shared" ref="EQ38" si="297">+EQ37/EJ37-1</f>
        <v>3.3238725565994942E-2</v>
      </c>
      <c r="ER38" s="126">
        <f t="shared" ref="ER38" si="298">+ER37/EK37-1</f>
        <v>0.11094199782008207</v>
      </c>
      <c r="ES38" s="126">
        <f t="shared" ref="ES38" si="299">+ES37/EL37-1</f>
        <v>3.271992571419835E-2</v>
      </c>
      <c r="ET38" s="126">
        <f t="shared" ref="ET38:EW38" si="300">+ET37/EM37-1</f>
        <v>8.3608666409449528E-2</v>
      </c>
      <c r="EU38" s="126">
        <f t="shared" si="300"/>
        <v>2.4697600792965124E-2</v>
      </c>
      <c r="EV38" s="126">
        <f t="shared" si="300"/>
        <v>-6.0867603788936631E-3</v>
      </c>
      <c r="EW38" s="126">
        <f t="shared" si="300"/>
        <v>7.2226149463145983E-3</v>
      </c>
    </row>
    <row r="39" spans="1:155" ht="16.350000000000001" customHeight="1">
      <c r="A39" s="174"/>
      <c r="B39" s="158"/>
      <c r="C39" s="158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0"/>
      <c r="O39" s="90"/>
      <c r="P39" s="90"/>
      <c r="Q39" s="90"/>
      <c r="R39" s="90"/>
      <c r="S39" s="90"/>
      <c r="T39" s="90"/>
      <c r="U39" s="90"/>
      <c r="V39" s="90"/>
      <c r="W39" s="90"/>
      <c r="X39" s="90"/>
      <c r="Y39" s="90"/>
      <c r="Z39" s="90"/>
      <c r="AA39" s="90"/>
      <c r="AB39" s="90"/>
      <c r="AC39" s="90"/>
      <c r="AD39" s="90"/>
      <c r="AE39" s="90"/>
      <c r="AF39" s="90"/>
      <c r="AG39" s="90"/>
      <c r="AH39" s="90"/>
      <c r="AI39" s="90"/>
      <c r="AJ39" s="90"/>
      <c r="AK39" s="90"/>
      <c r="AL39" s="90"/>
      <c r="AM39" s="90"/>
      <c r="AN39" s="90"/>
      <c r="AO39" s="90"/>
      <c r="AP39" s="90"/>
      <c r="AQ39" s="90"/>
      <c r="AR39" s="90"/>
      <c r="AS39" s="90"/>
      <c r="AT39" s="90"/>
      <c r="AU39" s="90"/>
      <c r="AV39" s="90"/>
      <c r="AW39" s="90"/>
      <c r="AX39" s="90"/>
      <c r="AY39" s="90"/>
      <c r="AZ39" s="90"/>
      <c r="BA39" s="90"/>
      <c r="BB39" s="90"/>
      <c r="BC39" s="90"/>
      <c r="BD39" s="90"/>
      <c r="BE39" s="90"/>
      <c r="BF39" s="90"/>
      <c r="BG39" s="90"/>
      <c r="BH39" s="90"/>
      <c r="BI39" s="90"/>
      <c r="BJ39" s="90"/>
      <c r="BK39" s="90"/>
      <c r="BL39" s="90"/>
      <c r="BM39" s="90"/>
      <c r="BN39" s="90"/>
      <c r="BO39" s="90"/>
      <c r="BP39" s="90"/>
      <c r="BQ39" s="90"/>
      <c r="BR39" s="90"/>
      <c r="BS39" s="90"/>
      <c r="BT39" s="90"/>
      <c r="BU39" s="90"/>
      <c r="BV39" s="90"/>
      <c r="BW39" s="90"/>
      <c r="BX39" s="90"/>
      <c r="BY39" s="90"/>
      <c r="BZ39" s="90"/>
      <c r="CA39" s="90"/>
      <c r="CB39" s="90"/>
      <c r="CC39" s="90"/>
      <c r="CD39" s="90"/>
      <c r="CE39" s="90"/>
      <c r="CF39" s="90"/>
      <c r="CG39" s="90"/>
      <c r="CH39" s="90"/>
      <c r="CI39" s="90"/>
      <c r="CJ39" s="90"/>
      <c r="CK39" s="90"/>
      <c r="CL39" s="90"/>
      <c r="CM39" s="90"/>
      <c r="CN39" s="90"/>
      <c r="CO39" s="90"/>
      <c r="CP39" s="90"/>
      <c r="CQ39" s="90"/>
      <c r="CR39" s="90"/>
      <c r="CS39" s="90"/>
      <c r="CT39" s="90"/>
      <c r="CU39" s="90"/>
      <c r="CV39" s="90"/>
      <c r="CW39" s="90"/>
      <c r="CX39" s="90"/>
      <c r="CY39" s="90"/>
      <c r="CZ39" s="90"/>
      <c r="DA39" s="90"/>
      <c r="DB39" s="90"/>
      <c r="DC39" s="90"/>
      <c r="DD39" s="90"/>
      <c r="DE39" s="330"/>
      <c r="DF39" s="90"/>
      <c r="DG39" s="90"/>
      <c r="DH39" s="90"/>
      <c r="DI39" s="90"/>
      <c r="DJ39" s="90"/>
      <c r="DK39" s="90"/>
      <c r="DL39" s="333"/>
      <c r="DM39" s="333"/>
      <c r="DN39" s="333"/>
      <c r="DO39" s="333"/>
      <c r="DP39" s="333"/>
      <c r="DQ39" s="333"/>
      <c r="DR39" s="333"/>
      <c r="DS39" s="333"/>
      <c r="DT39" s="333"/>
      <c r="DU39" s="333"/>
      <c r="DV39" s="333"/>
      <c r="DW39" s="333"/>
      <c r="DX39" s="333"/>
      <c r="DY39" s="333"/>
      <c r="DZ39" s="333"/>
      <c r="EA39" s="333"/>
      <c r="EB39" s="333"/>
      <c r="EC39" s="333"/>
      <c r="ED39" s="333"/>
      <c r="EE39" s="333"/>
      <c r="EF39" s="333"/>
      <c r="EG39" s="333"/>
      <c r="EH39" s="333"/>
      <c r="EI39" s="333"/>
      <c r="EJ39" s="333"/>
      <c r="EK39" s="333"/>
      <c r="EL39" s="333"/>
      <c r="EM39" s="333"/>
      <c r="EN39" s="333"/>
      <c r="EO39" s="333"/>
      <c r="EP39" s="333"/>
      <c r="EQ39" s="333"/>
      <c r="ER39" s="333"/>
      <c r="ES39" s="333"/>
      <c r="ET39" s="333"/>
      <c r="EU39" s="333"/>
      <c r="EV39" s="333"/>
      <c r="EW39" s="333"/>
    </row>
    <row r="40" spans="1:155" ht="16.350000000000001" customHeight="1">
      <c r="A40" s="174"/>
      <c r="B40" s="303" t="s">
        <v>126</v>
      </c>
      <c r="C40" s="303" t="s">
        <v>126</v>
      </c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252"/>
      <c r="BT40" s="252"/>
      <c r="BU40" s="252"/>
      <c r="BV40" s="252"/>
      <c r="BW40" s="252"/>
      <c r="BX40" s="252"/>
      <c r="BY40" s="252"/>
      <c r="BZ40" s="252"/>
      <c r="CA40" s="252"/>
      <c r="CB40" s="252"/>
      <c r="CC40" s="252"/>
      <c r="CD40" s="252"/>
      <c r="CE40" s="252"/>
      <c r="CF40" s="252"/>
      <c r="CG40" s="252"/>
      <c r="CH40" s="252"/>
      <c r="CI40" s="252"/>
      <c r="CJ40" s="252"/>
      <c r="CK40" s="252"/>
      <c r="CL40" s="252"/>
      <c r="CM40" s="252"/>
      <c r="CN40" s="252"/>
      <c r="CO40" s="252"/>
      <c r="CP40" s="252"/>
      <c r="CQ40" s="252"/>
      <c r="CR40" s="248"/>
      <c r="CS40" s="248"/>
      <c r="CT40" s="327"/>
      <c r="CU40" s="327"/>
      <c r="CV40" s="327"/>
      <c r="CW40" s="327"/>
      <c r="CX40" s="327"/>
      <c r="CY40" s="327"/>
      <c r="CZ40" s="248"/>
      <c r="DA40" s="252"/>
      <c r="DB40" s="252"/>
      <c r="DC40" s="252"/>
      <c r="DD40" s="252"/>
      <c r="DE40" s="252"/>
      <c r="DF40" s="327"/>
      <c r="DG40" s="248"/>
      <c r="DH40" s="327"/>
      <c r="DI40" s="248"/>
      <c r="DJ40" s="327"/>
      <c r="DK40" s="248"/>
      <c r="DL40" s="252"/>
      <c r="DM40" s="252"/>
      <c r="DN40" s="248"/>
      <c r="DO40" s="327"/>
      <c r="DP40" s="248"/>
      <c r="DQ40" s="327"/>
      <c r="DR40" s="248"/>
      <c r="DS40" s="327"/>
      <c r="DT40" s="327"/>
      <c r="DU40" s="327"/>
      <c r="DV40" s="327"/>
      <c r="DW40" s="327"/>
      <c r="DX40" s="327"/>
      <c r="DY40" s="327"/>
      <c r="DZ40" s="327"/>
      <c r="EA40" s="327"/>
      <c r="EB40" s="327"/>
      <c r="EC40" s="327"/>
      <c r="ED40" s="327"/>
      <c r="EE40" s="327"/>
      <c r="EF40" s="327"/>
      <c r="EG40" s="327"/>
      <c r="EH40" s="327"/>
      <c r="EI40" s="327"/>
      <c r="EJ40" s="327"/>
      <c r="EK40" s="327"/>
      <c r="EL40" s="327"/>
      <c r="EM40" s="327"/>
      <c r="EN40" s="327"/>
      <c r="EO40" s="327"/>
      <c r="EP40" s="327"/>
      <c r="EQ40" s="327"/>
      <c r="ER40" s="327"/>
      <c r="ES40" s="327"/>
      <c r="ET40" s="327"/>
      <c r="EU40" s="327"/>
      <c r="EV40" s="327"/>
      <c r="EW40" s="327"/>
    </row>
    <row r="41" spans="1:155" ht="16.350000000000001" customHeight="1">
      <c r="A41" s="250"/>
      <c r="B41" s="328" t="s">
        <v>632</v>
      </c>
      <c r="C41" s="328" t="s">
        <v>628</v>
      </c>
      <c r="D41" s="323">
        <v>0</v>
      </c>
      <c r="E41" s="323">
        <v>0</v>
      </c>
      <c r="F41" s="323">
        <v>0</v>
      </c>
      <c r="G41" s="323">
        <v>0</v>
      </c>
      <c r="H41" s="323">
        <v>0</v>
      </c>
      <c r="I41" s="323">
        <v>0</v>
      </c>
      <c r="J41" s="323">
        <v>0</v>
      </c>
      <c r="K41" s="323">
        <v>0</v>
      </c>
      <c r="L41" s="323">
        <v>0</v>
      </c>
      <c r="M41" s="323">
        <v>0</v>
      </c>
      <c r="N41" s="323">
        <v>0</v>
      </c>
      <c r="O41" s="323">
        <v>0</v>
      </c>
      <c r="P41" s="323">
        <v>0</v>
      </c>
      <c r="Q41" s="323">
        <v>0</v>
      </c>
      <c r="R41" s="323">
        <v>0</v>
      </c>
      <c r="S41" s="323">
        <v>0</v>
      </c>
      <c r="T41" s="323">
        <v>0</v>
      </c>
      <c r="U41" s="323">
        <v>0</v>
      </c>
      <c r="V41" s="323">
        <v>0</v>
      </c>
      <c r="W41" s="323">
        <v>0</v>
      </c>
      <c r="X41" s="323">
        <v>0</v>
      </c>
      <c r="Y41" s="323">
        <v>0</v>
      </c>
      <c r="Z41" s="323">
        <v>0</v>
      </c>
      <c r="AA41" s="323">
        <v>0</v>
      </c>
      <c r="AB41" s="323">
        <v>0</v>
      </c>
      <c r="AC41" s="323">
        <v>0</v>
      </c>
      <c r="AD41" s="323">
        <v>0</v>
      </c>
      <c r="AE41" s="323">
        <v>0</v>
      </c>
      <c r="AF41" s="323">
        <v>0</v>
      </c>
      <c r="AG41" s="323">
        <v>0</v>
      </c>
      <c r="AH41" s="323">
        <v>0</v>
      </c>
      <c r="AI41" s="323">
        <v>0</v>
      </c>
      <c r="AJ41" s="323">
        <v>0</v>
      </c>
      <c r="AK41" s="323">
        <v>0</v>
      </c>
      <c r="AL41" s="323">
        <v>0</v>
      </c>
      <c r="AM41" s="323">
        <v>0</v>
      </c>
      <c r="AN41" s="323">
        <v>0</v>
      </c>
      <c r="AO41" s="323">
        <v>0</v>
      </c>
      <c r="AP41" s="323">
        <v>0</v>
      </c>
      <c r="AQ41" s="323">
        <v>0</v>
      </c>
      <c r="AR41" s="323">
        <v>0</v>
      </c>
      <c r="AS41" s="323">
        <v>0</v>
      </c>
      <c r="AT41" s="334">
        <v>27</v>
      </c>
      <c r="AU41" s="334">
        <f>AT41+1</f>
        <v>28</v>
      </c>
      <c r="AV41" s="334">
        <f>AU41</f>
        <v>28</v>
      </c>
      <c r="AW41" s="334">
        <v>28</v>
      </c>
      <c r="AX41" s="334">
        <f>AW41</f>
        <v>28</v>
      </c>
      <c r="AY41" s="334">
        <f>AW41+2</f>
        <v>30</v>
      </c>
      <c r="AZ41" s="334">
        <f>AY41</f>
        <v>30</v>
      </c>
      <c r="BA41" s="334">
        <v>31</v>
      </c>
      <c r="BB41" s="334">
        <v>33</v>
      </c>
      <c r="BC41" s="334">
        <f>BB41</f>
        <v>33</v>
      </c>
      <c r="BD41" s="334">
        <v>35</v>
      </c>
      <c r="BE41" s="334">
        <f>BD41</f>
        <v>35</v>
      </c>
      <c r="BF41" s="334">
        <v>40</v>
      </c>
      <c r="BG41" s="334">
        <f>BF41</f>
        <v>40</v>
      </c>
      <c r="BH41" s="334">
        <v>41</v>
      </c>
      <c r="BI41" s="334">
        <v>41</v>
      </c>
      <c r="BJ41" s="334">
        <f>BI41</f>
        <v>41</v>
      </c>
      <c r="BK41" s="334">
        <v>42</v>
      </c>
      <c r="BL41" s="334">
        <f>BK41</f>
        <v>42</v>
      </c>
      <c r="BM41" s="334">
        <v>46</v>
      </c>
      <c r="BN41" s="334">
        <f>BM41</f>
        <v>46</v>
      </c>
      <c r="BO41" s="334">
        <v>48</v>
      </c>
      <c r="BP41" s="334">
        <v>55</v>
      </c>
      <c r="BQ41" s="334">
        <f>BP41</f>
        <v>55</v>
      </c>
      <c r="BR41" s="334">
        <v>58</v>
      </c>
      <c r="BS41" s="334">
        <f>BR41</f>
        <v>58</v>
      </c>
      <c r="BT41" s="334">
        <v>59</v>
      </c>
      <c r="BU41" s="334">
        <f>BT41</f>
        <v>59</v>
      </c>
      <c r="BV41" s="334">
        <v>58</v>
      </c>
      <c r="BW41" s="334">
        <v>63</v>
      </c>
      <c r="BX41" s="334">
        <f>BW41</f>
        <v>63</v>
      </c>
      <c r="BY41" s="334">
        <v>64</v>
      </c>
      <c r="BZ41" s="334">
        <f>BY41</f>
        <v>64</v>
      </c>
      <c r="CA41" s="334">
        <v>68</v>
      </c>
      <c r="CB41" s="334">
        <f>CA41</f>
        <v>68</v>
      </c>
      <c r="CC41" s="334">
        <v>69</v>
      </c>
      <c r="CD41" s="334">
        <v>72</v>
      </c>
      <c r="CE41" s="334">
        <f>CD41</f>
        <v>72</v>
      </c>
      <c r="CF41" s="334">
        <v>76</v>
      </c>
      <c r="CG41" s="334">
        <f>CF41</f>
        <v>76</v>
      </c>
      <c r="CH41" s="334">
        <v>85</v>
      </c>
      <c r="CI41" s="334">
        <f>CH41</f>
        <v>85</v>
      </c>
      <c r="CJ41" s="334">
        <v>84</v>
      </c>
      <c r="CK41" s="334">
        <v>93</v>
      </c>
      <c r="CL41" s="334">
        <f>CK41</f>
        <v>93</v>
      </c>
      <c r="CM41" s="334">
        <v>96</v>
      </c>
      <c r="CN41" s="334">
        <f>CM41</f>
        <v>96</v>
      </c>
      <c r="CO41" s="334">
        <v>98</v>
      </c>
      <c r="CP41" s="334">
        <f>CO41</f>
        <v>98</v>
      </c>
      <c r="CQ41" s="334">
        <v>98</v>
      </c>
      <c r="CR41" s="334">
        <v>101</v>
      </c>
      <c r="CS41" s="334">
        <f>CR41</f>
        <v>101</v>
      </c>
      <c r="CT41" s="334">
        <v>107</v>
      </c>
      <c r="CU41" s="334">
        <f>CT41</f>
        <v>107</v>
      </c>
      <c r="CV41" s="334">
        <v>108</v>
      </c>
      <c r="CW41" s="334">
        <f>CV41</f>
        <v>108</v>
      </c>
      <c r="CX41" s="334">
        <v>110</v>
      </c>
      <c r="CY41" s="334">
        <v>113</v>
      </c>
      <c r="CZ41" s="334">
        <f>CY41</f>
        <v>113</v>
      </c>
      <c r="DA41" s="334">
        <v>113</v>
      </c>
      <c r="DB41" s="334">
        <f>DA41</f>
        <v>113</v>
      </c>
      <c r="DC41" s="334">
        <v>114</v>
      </c>
      <c r="DD41" s="334">
        <f>DC41</f>
        <v>114</v>
      </c>
      <c r="DE41" s="334">
        <v>112</v>
      </c>
      <c r="DF41" s="334">
        <f>DE41</f>
        <v>112</v>
      </c>
      <c r="DG41" s="334">
        <f>DF41</f>
        <v>112</v>
      </c>
      <c r="DH41" s="334">
        <v>113</v>
      </c>
      <c r="DI41" s="334">
        <f>DH41</f>
        <v>113</v>
      </c>
      <c r="DJ41" s="334">
        <v>113</v>
      </c>
      <c r="DK41" s="334">
        <f>DJ41</f>
        <v>113</v>
      </c>
      <c r="DL41" s="334">
        <v>113</v>
      </c>
      <c r="DM41" s="334">
        <v>119</v>
      </c>
      <c r="DN41" s="334">
        <f>DM41</f>
        <v>119</v>
      </c>
      <c r="DO41" s="334">
        <v>119</v>
      </c>
      <c r="DP41" s="334">
        <f>DO41</f>
        <v>119</v>
      </c>
      <c r="DQ41" s="334">
        <v>119</v>
      </c>
      <c r="DR41" s="334">
        <f>DQ41</f>
        <v>119</v>
      </c>
      <c r="DS41" s="334">
        <v>120</v>
      </c>
      <c r="DT41" s="334">
        <v>120</v>
      </c>
      <c r="DU41" s="334">
        <f>DT41</f>
        <v>120</v>
      </c>
      <c r="DV41" s="334">
        <v>123</v>
      </c>
      <c r="DW41" s="334">
        <f>DV41</f>
        <v>123</v>
      </c>
      <c r="DX41" s="334">
        <v>123</v>
      </c>
      <c r="DY41" s="334">
        <f>DX41</f>
        <v>123</v>
      </c>
      <c r="DZ41" s="334">
        <v>110</v>
      </c>
      <c r="EA41" s="334">
        <v>109</v>
      </c>
      <c r="EB41" s="334">
        <f>EA41</f>
        <v>109</v>
      </c>
      <c r="EC41" s="334">
        <v>107</v>
      </c>
      <c r="ED41" s="334">
        <f t="shared" ref="ED41:EF41" si="301">EC41</f>
        <v>107</v>
      </c>
      <c r="EE41" s="334">
        <v>107</v>
      </c>
      <c r="EF41" s="334">
        <f t="shared" si="301"/>
        <v>107</v>
      </c>
      <c r="EG41" s="80">
        <f>EF41+EG42</f>
        <v>104</v>
      </c>
      <c r="EH41" s="334">
        <v>104</v>
      </c>
      <c r="EI41" s="334">
        <f>EH41</f>
        <v>104</v>
      </c>
      <c r="EJ41" s="334">
        <v>104</v>
      </c>
      <c r="EK41" s="334">
        <f>EJ41</f>
        <v>104</v>
      </c>
      <c r="EL41" s="334">
        <v>103</v>
      </c>
      <c r="EM41" s="334">
        <f>EL41</f>
        <v>103</v>
      </c>
      <c r="EN41" s="334">
        <v>102</v>
      </c>
      <c r="EO41" s="334">
        <v>102</v>
      </c>
      <c r="EP41" s="334">
        <v>102</v>
      </c>
      <c r="EQ41" s="334">
        <v>102</v>
      </c>
      <c r="ER41" s="334">
        <f>EQ41</f>
        <v>102</v>
      </c>
      <c r="ES41" s="334">
        <v>104</v>
      </c>
      <c r="ET41" s="334">
        <f>ES41</f>
        <v>104</v>
      </c>
      <c r="EU41" s="334">
        <f>ET41+EU42</f>
        <v>102</v>
      </c>
      <c r="EV41" s="334">
        <f>EU41+EV42</f>
        <v>100</v>
      </c>
      <c r="EW41" s="334">
        <f>EV41</f>
        <v>100</v>
      </c>
    </row>
    <row r="42" spans="1:155" ht="16.350000000000001" customHeight="1">
      <c r="A42" s="174"/>
      <c r="B42" s="160" t="s">
        <v>633</v>
      </c>
      <c r="C42" s="160" t="s">
        <v>629</v>
      </c>
      <c r="D42" s="80">
        <v>0</v>
      </c>
      <c r="E42" s="80">
        <v>0</v>
      </c>
      <c r="F42" s="80">
        <v>0</v>
      </c>
      <c r="G42" s="80">
        <v>0</v>
      </c>
      <c r="H42" s="80">
        <v>0</v>
      </c>
      <c r="I42" s="80">
        <v>0</v>
      </c>
      <c r="J42" s="80">
        <v>0</v>
      </c>
      <c r="K42" s="80">
        <f>+K41-J41</f>
        <v>0</v>
      </c>
      <c r="L42" s="80">
        <f>+L41-K41</f>
        <v>0</v>
      </c>
      <c r="M42" s="80">
        <f>+M41-J41</f>
        <v>0</v>
      </c>
      <c r="N42" s="80">
        <f>+N41-M41</f>
        <v>0</v>
      </c>
      <c r="O42" s="80">
        <f>+O41-J41</f>
        <v>0</v>
      </c>
      <c r="P42" s="80">
        <f>+P41-O41</f>
        <v>0</v>
      </c>
      <c r="Q42" s="80">
        <f>+Q41-J41</f>
        <v>0</v>
      </c>
      <c r="R42" s="80">
        <f>+R41-Q41</f>
        <v>0</v>
      </c>
      <c r="S42" s="80">
        <f>+S41-R41</f>
        <v>0</v>
      </c>
      <c r="T42" s="80">
        <f>+T41-Q41</f>
        <v>0</v>
      </c>
      <c r="U42" s="80">
        <f>+U41-T41</f>
        <v>0</v>
      </c>
      <c r="V42" s="80">
        <f>+V41-Q41</f>
        <v>0</v>
      </c>
      <c r="W42" s="80">
        <f>+W41-V41</f>
        <v>0</v>
      </c>
      <c r="X42" s="80">
        <f>+X41-Q41</f>
        <v>0</v>
      </c>
      <c r="Y42" s="80">
        <f>+Y41-X41</f>
        <v>0</v>
      </c>
      <c r="Z42" s="80">
        <f>+Z41-Y41</f>
        <v>0</v>
      </c>
      <c r="AA42" s="80">
        <f>+AA41-X41</f>
        <v>0</v>
      </c>
      <c r="AB42" s="80">
        <f>+AB41-AA41</f>
        <v>0</v>
      </c>
      <c r="AC42" s="80">
        <f>+AC41-X41</f>
        <v>0</v>
      </c>
      <c r="AD42" s="80">
        <f>+AD41-AC41</f>
        <v>0</v>
      </c>
      <c r="AE42" s="80">
        <f>+AE41-X41</f>
        <v>0</v>
      </c>
      <c r="AF42" s="80">
        <f>+AF41-AE41</f>
        <v>0</v>
      </c>
      <c r="AG42" s="80">
        <f>+AG41-AF41</f>
        <v>0</v>
      </c>
      <c r="AH42" s="80">
        <f>+AH41-AE41</f>
        <v>0</v>
      </c>
      <c r="AI42" s="80">
        <f>+AI41-AH41</f>
        <v>0</v>
      </c>
      <c r="AJ42" s="80">
        <f>+AJ41-AE41</f>
        <v>0</v>
      </c>
      <c r="AK42" s="80">
        <f>+AK41-AJ41</f>
        <v>0</v>
      </c>
      <c r="AL42" s="80">
        <f>+AL41-AE41</f>
        <v>0</v>
      </c>
      <c r="AM42" s="80">
        <f>+AM41-AL41</f>
        <v>0</v>
      </c>
      <c r="AN42" s="80">
        <f>+AN41-AM41</f>
        <v>0</v>
      </c>
      <c r="AO42" s="80">
        <f>+AO41-AL41</f>
        <v>0</v>
      </c>
      <c r="AP42" s="80">
        <f>+AP41-AO41</f>
        <v>0</v>
      </c>
      <c r="AQ42" s="80">
        <f>+AQ41-AL41</f>
        <v>0</v>
      </c>
      <c r="AR42" s="80">
        <f>+AR41-AQ41</f>
        <v>0</v>
      </c>
      <c r="AS42" s="80">
        <f>+AS41-AL41</f>
        <v>0</v>
      </c>
      <c r="AT42" s="80">
        <f>+AT41-AS41</f>
        <v>27</v>
      </c>
      <c r="AU42" s="80">
        <f>+AU41-AT41</f>
        <v>1</v>
      </c>
      <c r="AV42" s="80">
        <f>+AV41-AS41</f>
        <v>28</v>
      </c>
      <c r="AW42" s="80">
        <f>+AW41-AV41</f>
        <v>0</v>
      </c>
      <c r="AX42" s="80">
        <f>+AX41-AS41</f>
        <v>28</v>
      </c>
      <c r="AY42" s="80">
        <f>+AY41-AX41</f>
        <v>2</v>
      </c>
      <c r="AZ42" s="80">
        <f>+AZ41-AS41</f>
        <v>30</v>
      </c>
      <c r="BA42" s="80">
        <f>+BA41-AZ41</f>
        <v>1</v>
      </c>
      <c r="BB42" s="80">
        <f>+BB41-BA41</f>
        <v>2</v>
      </c>
      <c r="BC42" s="80">
        <f>+BC41-AZ41</f>
        <v>3</v>
      </c>
      <c r="BD42" s="80">
        <f>+BD41-BC41</f>
        <v>2</v>
      </c>
      <c r="BE42" s="80">
        <f>+BE41-AZ41</f>
        <v>5</v>
      </c>
      <c r="BF42" s="80">
        <f>+BF41-BE41</f>
        <v>5</v>
      </c>
      <c r="BG42" s="80">
        <f>+BG41-AZ41</f>
        <v>10</v>
      </c>
      <c r="BH42" s="80">
        <f>+BH41-BG41</f>
        <v>1</v>
      </c>
      <c r="BI42" s="80">
        <f>+BI41-BH41</f>
        <v>0</v>
      </c>
      <c r="BJ42" s="80">
        <f>+BJ41-BG41</f>
        <v>1</v>
      </c>
      <c r="BK42" s="80">
        <f>+BK41-BJ41</f>
        <v>1</v>
      </c>
      <c r="BL42" s="80">
        <f>+BL41-BG41</f>
        <v>2</v>
      </c>
      <c r="BM42" s="80">
        <f>+BM41-BL41</f>
        <v>4</v>
      </c>
      <c r="BN42" s="80">
        <f>+BN41-BG41</f>
        <v>6</v>
      </c>
      <c r="BO42" s="80">
        <f>+BO41-BN41</f>
        <v>2</v>
      </c>
      <c r="BP42" s="80">
        <f>+BP41-BO41</f>
        <v>7</v>
      </c>
      <c r="BQ42" s="80">
        <f>+BQ41-BN41</f>
        <v>9</v>
      </c>
      <c r="BR42" s="80">
        <f>+BR41-BQ41</f>
        <v>3</v>
      </c>
      <c r="BS42" s="80">
        <f>+BS41-BN41</f>
        <v>12</v>
      </c>
      <c r="BT42" s="80">
        <f>+BT41-BS41</f>
        <v>1</v>
      </c>
      <c r="BU42" s="80">
        <f>+BU41-BN41</f>
        <v>13</v>
      </c>
      <c r="BV42" s="80">
        <f>+BV41-BU41</f>
        <v>-1</v>
      </c>
      <c r="BW42" s="80">
        <f>+BW41-BV41</f>
        <v>5</v>
      </c>
      <c r="BX42" s="80">
        <f>+BX41-BU41</f>
        <v>4</v>
      </c>
      <c r="BY42" s="80">
        <f>+BY41-BX41</f>
        <v>1</v>
      </c>
      <c r="BZ42" s="80">
        <f>+BZ41-BU41</f>
        <v>5</v>
      </c>
      <c r="CA42" s="80">
        <f>+CA41-BZ41</f>
        <v>4</v>
      </c>
      <c r="CB42" s="80">
        <f>+CB41-BU41</f>
        <v>9</v>
      </c>
      <c r="CC42" s="80">
        <f>+CC41-CB41</f>
        <v>1</v>
      </c>
      <c r="CD42" s="80">
        <f>+CD41-CC41</f>
        <v>3</v>
      </c>
      <c r="CE42" s="80">
        <f>+CE41-CB41</f>
        <v>4</v>
      </c>
      <c r="CF42" s="80">
        <f>+CF41-CE41</f>
        <v>4</v>
      </c>
      <c r="CG42" s="80">
        <f>+CG41-CB41</f>
        <v>8</v>
      </c>
      <c r="CH42" s="80">
        <f>+CH41-CG41</f>
        <v>9</v>
      </c>
      <c r="CI42" s="80">
        <f>+CI41-CB41</f>
        <v>17</v>
      </c>
      <c r="CJ42" s="80">
        <f>+CJ41-CI41</f>
        <v>-1</v>
      </c>
      <c r="CK42" s="80">
        <f>+CK41-CJ41</f>
        <v>9</v>
      </c>
      <c r="CL42" s="80">
        <f>+CL41-CI41</f>
        <v>8</v>
      </c>
      <c r="CM42" s="80">
        <f>+CM41-CL41</f>
        <v>3</v>
      </c>
      <c r="CN42" s="80">
        <f>+CN41-CI41</f>
        <v>11</v>
      </c>
      <c r="CO42" s="80">
        <f>+CO41-CN41</f>
        <v>2</v>
      </c>
      <c r="CP42" s="80">
        <f>+CP41-CI41</f>
        <v>13</v>
      </c>
      <c r="CQ42" s="80">
        <f>+CQ41-CP41</f>
        <v>0</v>
      </c>
      <c r="CR42" s="80">
        <f>+CR41-CQ41</f>
        <v>3</v>
      </c>
      <c r="CS42" s="80">
        <f>+CS41-CP41</f>
        <v>3</v>
      </c>
      <c r="CT42" s="80">
        <f>+CT41-CS41</f>
        <v>6</v>
      </c>
      <c r="CU42" s="80">
        <f>CS42+CT42</f>
        <v>9</v>
      </c>
      <c r="CV42" s="80">
        <f>+CV41-CU41</f>
        <v>1</v>
      </c>
      <c r="CW42" s="80">
        <f>CU42+CV42</f>
        <v>10</v>
      </c>
      <c r="CX42" s="80">
        <f>+CX41-CW41</f>
        <v>2</v>
      </c>
      <c r="CY42" s="80">
        <f>+CY41-CX41</f>
        <v>3</v>
      </c>
      <c r="CZ42" s="80">
        <f>+CZ41-CW41</f>
        <v>5</v>
      </c>
      <c r="DA42" s="80">
        <f>+DA41-CZ41</f>
        <v>0</v>
      </c>
      <c r="DB42" s="80">
        <f>+DB41-CW41</f>
        <v>5</v>
      </c>
      <c r="DC42" s="80">
        <f>+DC41-DB41</f>
        <v>1</v>
      </c>
      <c r="DD42" s="80">
        <f>+DD41-CW41</f>
        <v>6</v>
      </c>
      <c r="DE42" s="80">
        <f>+DE41-DD41</f>
        <v>-2</v>
      </c>
      <c r="DF42" s="80">
        <f>+DF41-DE41</f>
        <v>0</v>
      </c>
      <c r="DG42" s="80">
        <f>+DG41-DD41</f>
        <v>-2</v>
      </c>
      <c r="DH42" s="80">
        <f>+DH41-DG41</f>
        <v>1</v>
      </c>
      <c r="DI42" s="80">
        <f>+DI41-DC41</f>
        <v>-1</v>
      </c>
      <c r="DJ42" s="80">
        <f>+DJ41-DI41</f>
        <v>0</v>
      </c>
      <c r="DK42" s="80">
        <f>+DK41-DD41</f>
        <v>-1</v>
      </c>
      <c r="DL42" s="80">
        <f>+DL41-DK41</f>
        <v>0</v>
      </c>
      <c r="DM42" s="80">
        <f>+DM41-DL41</f>
        <v>6</v>
      </c>
      <c r="DN42" s="80">
        <f>+DN41-DK41</f>
        <v>6</v>
      </c>
      <c r="DO42" s="80">
        <f>+DO41-DN41</f>
        <v>0</v>
      </c>
      <c r="DP42" s="80">
        <f>+DP41-DJ41</f>
        <v>6</v>
      </c>
      <c r="DQ42" s="80">
        <f>+DQ41-DP41</f>
        <v>0</v>
      </c>
      <c r="DR42" s="80">
        <f>+DR41-DK41</f>
        <v>6</v>
      </c>
      <c r="DS42" s="80">
        <f>DS41-DR41</f>
        <v>1</v>
      </c>
      <c r="DT42" s="80">
        <f>DT41-DS41</f>
        <v>0</v>
      </c>
      <c r="DU42" s="80">
        <f>+DU41-DR41</f>
        <v>1</v>
      </c>
      <c r="DV42" s="80">
        <f>DV41-DU41</f>
        <v>3</v>
      </c>
      <c r="DW42" s="80">
        <f>+DW41-DR41</f>
        <v>4</v>
      </c>
      <c r="DX42" s="80">
        <f>DX41-DW41</f>
        <v>0</v>
      </c>
      <c r="DY42" s="80">
        <f>SUM(DW42:DX42)</f>
        <v>4</v>
      </c>
      <c r="DZ42" s="80">
        <f>DZ41-DY41</f>
        <v>-13</v>
      </c>
      <c r="EA42" s="80">
        <f>EA41-DZ41</f>
        <v>-1</v>
      </c>
      <c r="EB42" s="80">
        <f>+EB41-DY41</f>
        <v>-14</v>
      </c>
      <c r="EC42" s="80">
        <f>EC41-EB41</f>
        <v>-2</v>
      </c>
      <c r="ED42" s="80">
        <f>+ED41-DY41</f>
        <v>-16</v>
      </c>
      <c r="EE42" s="80">
        <f>+EE41-ED41</f>
        <v>0</v>
      </c>
      <c r="EF42" s="80">
        <f>+EF41-DY41</f>
        <v>-16</v>
      </c>
      <c r="EG42" s="80">
        <v>-3</v>
      </c>
      <c r="EH42" s="80">
        <f>EH41-EG41</f>
        <v>0</v>
      </c>
      <c r="EI42" s="80">
        <f>+EI41-EF41</f>
        <v>-3</v>
      </c>
      <c r="EJ42" s="80">
        <f>EJ41-EI41</f>
        <v>0</v>
      </c>
      <c r="EK42" s="80">
        <f>+EK41-EF41</f>
        <v>-3</v>
      </c>
      <c r="EL42" s="80">
        <f>EL41-EK41</f>
        <v>-1</v>
      </c>
      <c r="EM42" s="80">
        <f>+EM41-EF41</f>
        <v>-4</v>
      </c>
      <c r="EN42" s="80">
        <f>EN41-EM41</f>
        <v>-1</v>
      </c>
      <c r="EO42" s="80">
        <v>0</v>
      </c>
      <c r="EP42" s="80">
        <f>SUM(EN42:EO42)</f>
        <v>-1</v>
      </c>
      <c r="EQ42" s="80">
        <f>EQ41-EP41</f>
        <v>0</v>
      </c>
      <c r="ER42" s="80">
        <f>SUM(EP42:EQ42)</f>
        <v>-1</v>
      </c>
      <c r="ES42" s="80">
        <f>ES41-ER41</f>
        <v>2</v>
      </c>
      <c r="ET42" s="80">
        <f>SUM(ER42:ES42)</f>
        <v>1</v>
      </c>
      <c r="EU42" s="80">
        <v>-2</v>
      </c>
      <c r="EV42" s="80">
        <f>3-5</f>
        <v>-2</v>
      </c>
      <c r="EW42" s="80">
        <f>SUM(EU42:EV42)</f>
        <v>-4</v>
      </c>
    </row>
    <row r="43" spans="1:155" ht="16.350000000000001" customHeight="1">
      <c r="A43" s="174"/>
      <c r="B43" s="160" t="s">
        <v>2321</v>
      </c>
      <c r="C43" s="160" t="s">
        <v>2322</v>
      </c>
      <c r="D43" s="323">
        <v>0</v>
      </c>
      <c r="E43" s="323">
        <v>0</v>
      </c>
      <c r="F43" s="323">
        <v>0</v>
      </c>
      <c r="G43" s="323">
        <v>0</v>
      </c>
      <c r="H43" s="323">
        <v>0</v>
      </c>
      <c r="I43" s="323">
        <v>0</v>
      </c>
      <c r="J43" s="323">
        <v>0</v>
      </c>
      <c r="K43" s="323">
        <v>0</v>
      </c>
      <c r="L43" s="323">
        <v>0</v>
      </c>
      <c r="M43" s="323">
        <v>0</v>
      </c>
      <c r="N43" s="323">
        <v>0</v>
      </c>
      <c r="O43" s="323">
        <v>0</v>
      </c>
      <c r="P43" s="323">
        <v>0</v>
      </c>
      <c r="Q43" s="323">
        <v>0</v>
      </c>
      <c r="R43" s="323">
        <v>0</v>
      </c>
      <c r="S43" s="323">
        <v>0</v>
      </c>
      <c r="T43" s="323">
        <v>0</v>
      </c>
      <c r="U43" s="323">
        <v>0</v>
      </c>
      <c r="V43" s="323">
        <v>0</v>
      </c>
      <c r="W43" s="323">
        <v>0</v>
      </c>
      <c r="X43" s="323">
        <v>0</v>
      </c>
      <c r="Y43" s="323">
        <v>0</v>
      </c>
      <c r="Z43" s="323">
        <v>0</v>
      </c>
      <c r="AA43" s="323">
        <v>0</v>
      </c>
      <c r="AB43" s="323">
        <v>0</v>
      </c>
      <c r="AC43" s="323">
        <v>0</v>
      </c>
      <c r="AD43" s="323">
        <v>0</v>
      </c>
      <c r="AE43" s="323">
        <v>0</v>
      </c>
      <c r="AF43" s="323">
        <v>0</v>
      </c>
      <c r="AG43" s="323">
        <v>0</v>
      </c>
      <c r="AH43" s="323">
        <v>0</v>
      </c>
      <c r="AI43" s="323">
        <v>0</v>
      </c>
      <c r="AJ43" s="323">
        <v>0</v>
      </c>
      <c r="AK43" s="323">
        <v>0</v>
      </c>
      <c r="AL43" s="323">
        <v>0</v>
      </c>
      <c r="AM43" s="323">
        <v>0</v>
      </c>
      <c r="AN43" s="323">
        <v>0</v>
      </c>
      <c r="AO43" s="323">
        <v>0</v>
      </c>
      <c r="AP43" s="323">
        <v>0</v>
      </c>
      <c r="AQ43" s="323">
        <v>0</v>
      </c>
      <c r="AR43" s="323">
        <v>0</v>
      </c>
      <c r="AS43" s="323">
        <v>0</v>
      </c>
      <c r="AT43" s="323">
        <v>15.257999999999999</v>
      </c>
      <c r="AU43" s="323">
        <v>15.728</v>
      </c>
      <c r="AV43" s="323">
        <v>15.728</v>
      </c>
      <c r="AW43" s="323">
        <v>15.728</v>
      </c>
      <c r="AX43" s="323">
        <v>15.728</v>
      </c>
      <c r="AY43" s="323">
        <v>16.8</v>
      </c>
      <c r="AZ43" s="323">
        <v>16.8</v>
      </c>
      <c r="BA43" s="323">
        <v>17.38</v>
      </c>
      <c r="BB43" s="323">
        <v>18.225999999999999</v>
      </c>
      <c r="BC43" s="323">
        <v>18.225999999999999</v>
      </c>
      <c r="BD43" s="323">
        <v>19.033999999999999</v>
      </c>
      <c r="BE43" s="323">
        <v>19.033999999999999</v>
      </c>
      <c r="BF43" s="323">
        <v>20.709</v>
      </c>
      <c r="BG43" s="323">
        <v>20.709</v>
      </c>
      <c r="BH43" s="323">
        <v>21.085999999999999</v>
      </c>
      <c r="BI43" s="323">
        <v>21.085999999999999</v>
      </c>
      <c r="BJ43" s="323">
        <v>21.085999999999999</v>
      </c>
      <c r="BK43" s="323">
        <v>21.476900000000001</v>
      </c>
      <c r="BL43" s="323">
        <v>21.476900000000001</v>
      </c>
      <c r="BM43" s="323">
        <v>22.988</v>
      </c>
      <c r="BN43" s="323">
        <v>22.988</v>
      </c>
      <c r="BO43" s="323">
        <v>23.653299999999994</v>
      </c>
      <c r="BP43" s="323">
        <v>26.197469999999996</v>
      </c>
      <c r="BQ43" s="323">
        <f>BP43</f>
        <v>26.197469999999996</v>
      </c>
      <c r="BR43" s="323">
        <v>27.215</v>
      </c>
      <c r="BS43" s="323">
        <f>BR43</f>
        <v>27.215</v>
      </c>
      <c r="BT43" s="323">
        <v>27.606999999999999</v>
      </c>
      <c r="BU43" s="323">
        <f>BT43</f>
        <v>27.606999999999999</v>
      </c>
      <c r="BV43" s="323">
        <v>26.687159999999992</v>
      </c>
      <c r="BW43" s="323">
        <v>28.934000000000001</v>
      </c>
      <c r="BX43" s="323">
        <f>BW43</f>
        <v>28.934000000000001</v>
      </c>
      <c r="BY43" s="323">
        <v>28.953309999999991</v>
      </c>
      <c r="BZ43" s="323">
        <f>BY43</f>
        <v>28.953309999999991</v>
      </c>
      <c r="CA43" s="323">
        <v>30.69547</v>
      </c>
      <c r="CB43" s="323">
        <f>CA43</f>
        <v>30.69547</v>
      </c>
      <c r="CC43" s="323">
        <v>31.097939999999991</v>
      </c>
      <c r="CD43" s="323">
        <v>32.449809999999992</v>
      </c>
      <c r="CE43" s="323">
        <f>CD43</f>
        <v>32.449809999999992</v>
      </c>
      <c r="CF43" s="323">
        <v>33.81447</v>
      </c>
      <c r="CG43" s="323">
        <f>CF43</f>
        <v>33.81447</v>
      </c>
      <c r="CH43" s="323">
        <v>37.513259999999995</v>
      </c>
      <c r="CI43" s="323">
        <f>CH43</f>
        <v>37.513259999999995</v>
      </c>
      <c r="CJ43" s="323">
        <v>36.662569999999988</v>
      </c>
      <c r="CK43" s="323">
        <v>40.120409999999978</v>
      </c>
      <c r="CL43" s="323">
        <f>CK43</f>
        <v>40.120409999999978</v>
      </c>
      <c r="CM43" s="323">
        <v>41.438139999999976</v>
      </c>
      <c r="CN43" s="323">
        <f>CM43</f>
        <v>41.438139999999976</v>
      </c>
      <c r="CO43" s="323">
        <v>42.099199999999975</v>
      </c>
      <c r="CP43" s="323">
        <f>CO43</f>
        <v>42.099199999999975</v>
      </c>
      <c r="CQ43" s="323">
        <v>42.099199999999975</v>
      </c>
      <c r="CR43" s="323">
        <v>43.517769999999977</v>
      </c>
      <c r="CS43" s="323">
        <f>CR43</f>
        <v>43.517769999999977</v>
      </c>
      <c r="CT43" s="323">
        <v>46.406519999999979</v>
      </c>
      <c r="CU43" s="323">
        <f>CT43</f>
        <v>46.406519999999979</v>
      </c>
      <c r="CV43" s="323">
        <v>46.768429999999988</v>
      </c>
      <c r="CW43" s="323">
        <f>CV43</f>
        <v>46.768429999999988</v>
      </c>
      <c r="CX43" s="323">
        <v>47.557510000000001</v>
      </c>
      <c r="CY43" s="323">
        <v>49.118369999999999</v>
      </c>
      <c r="CZ43" s="323">
        <f>CY43</f>
        <v>49.118369999999999</v>
      </c>
      <c r="DA43" s="323">
        <v>48.43188</v>
      </c>
      <c r="DB43" s="323">
        <f>DA43</f>
        <v>48.43188</v>
      </c>
      <c r="DC43" s="323">
        <v>48.726179999999999</v>
      </c>
      <c r="DD43" s="323">
        <f>DC43</f>
        <v>48.726179999999999</v>
      </c>
      <c r="DE43" s="323">
        <v>47.895000000000003</v>
      </c>
      <c r="DF43" s="323">
        <v>47.895000000000003</v>
      </c>
      <c r="DG43" s="323">
        <f>DF43</f>
        <v>47.895000000000003</v>
      </c>
      <c r="DH43" s="323">
        <v>48.292819999999992</v>
      </c>
      <c r="DI43" s="323">
        <f>DH43</f>
        <v>48.292819999999992</v>
      </c>
      <c r="DJ43" s="323">
        <v>48.292819999999992</v>
      </c>
      <c r="DK43" s="323">
        <f>DJ43</f>
        <v>48.292819999999992</v>
      </c>
      <c r="DL43" s="323">
        <v>47.296519999999994</v>
      </c>
      <c r="DM43" s="323">
        <v>49.78826999999999</v>
      </c>
      <c r="DN43" s="323">
        <f>DM43</f>
        <v>49.78826999999999</v>
      </c>
      <c r="DO43" s="323">
        <v>49.78826999999999</v>
      </c>
      <c r="DP43" s="323">
        <f>DO43</f>
        <v>49.78826999999999</v>
      </c>
      <c r="DQ43" s="323">
        <v>49.78826999999999</v>
      </c>
      <c r="DR43" s="323">
        <f>DQ43</f>
        <v>49.78826999999999</v>
      </c>
      <c r="DS43" s="323">
        <v>50.279819999999994</v>
      </c>
      <c r="DT43" s="323">
        <v>50.279819999999994</v>
      </c>
      <c r="DU43" s="323">
        <f>DT43</f>
        <v>50.279819999999994</v>
      </c>
      <c r="DV43" s="323">
        <v>51.632969999999993</v>
      </c>
      <c r="DW43" s="323">
        <f>DV43</f>
        <v>51.632969999999993</v>
      </c>
      <c r="DX43" s="323">
        <v>51.632969999999993</v>
      </c>
      <c r="DY43" s="323">
        <f>DX43</f>
        <v>51.632969999999993</v>
      </c>
      <c r="DZ43" s="323">
        <v>48.259590000000003</v>
      </c>
      <c r="EA43" s="323">
        <v>46.738330000000005</v>
      </c>
      <c r="EB43" s="323">
        <f>EA43</f>
        <v>46.738330000000005</v>
      </c>
      <c r="EC43" s="323">
        <v>45.651520000000012</v>
      </c>
      <c r="ED43" s="323">
        <f t="shared" ref="ED43:EF43" si="302">EC43</f>
        <v>45.651520000000012</v>
      </c>
      <c r="EE43" s="323">
        <v>45.651520000000012</v>
      </c>
      <c r="EF43" s="323">
        <f t="shared" si="302"/>
        <v>45.651520000000012</v>
      </c>
      <c r="EG43" s="323">
        <v>44.85211000000001</v>
      </c>
      <c r="EH43" s="323">
        <v>44.143200000000014</v>
      </c>
      <c r="EI43" s="323">
        <f>EH43</f>
        <v>44.143200000000014</v>
      </c>
      <c r="EJ43" s="323">
        <v>44.085310000000021</v>
      </c>
      <c r="EK43" s="323">
        <f>EJ43</f>
        <v>44.085310000000021</v>
      </c>
      <c r="EL43" s="323">
        <v>43.74731000000002</v>
      </c>
      <c r="EM43" s="323">
        <f>EL43</f>
        <v>43.74731000000002</v>
      </c>
      <c r="EN43" s="323">
        <v>43.267609999999998</v>
      </c>
      <c r="EO43" s="323">
        <v>43.358360000000012</v>
      </c>
      <c r="EP43" s="323">
        <v>43.358360000000012</v>
      </c>
      <c r="EQ43" s="323">
        <v>43.719870000000007</v>
      </c>
      <c r="ER43" s="323">
        <f>EQ43</f>
        <v>43.719870000000007</v>
      </c>
      <c r="ES43" s="323">
        <v>44.084969999999998</v>
      </c>
      <c r="ET43" s="323">
        <f>ES43</f>
        <v>44.084969999999998</v>
      </c>
      <c r="EU43" s="323">
        <v>43.799459999999996</v>
      </c>
      <c r="EV43" s="323">
        <v>43.295960000000001</v>
      </c>
      <c r="EW43" s="323">
        <f>EV43</f>
        <v>43.295960000000001</v>
      </c>
    </row>
    <row r="44" spans="1:155" ht="16.350000000000001" customHeight="1">
      <c r="A44" s="174"/>
      <c r="B44" s="160" t="s">
        <v>2316</v>
      </c>
      <c r="C44" s="160" t="s">
        <v>2323</v>
      </c>
      <c r="D44" s="323">
        <v>0</v>
      </c>
      <c r="E44" s="323">
        <v>0</v>
      </c>
      <c r="F44" s="323">
        <v>0</v>
      </c>
      <c r="G44" s="323">
        <v>0</v>
      </c>
      <c r="H44" s="323">
        <v>0</v>
      </c>
      <c r="I44" s="323">
        <v>0</v>
      </c>
      <c r="J44" s="323">
        <v>0</v>
      </c>
      <c r="K44" s="323">
        <v>0</v>
      </c>
      <c r="L44" s="323">
        <v>0</v>
      </c>
      <c r="M44" s="323">
        <v>0</v>
      </c>
      <c r="N44" s="323">
        <v>0</v>
      </c>
      <c r="O44" s="323">
        <v>0</v>
      </c>
      <c r="P44" s="323">
        <v>0</v>
      </c>
      <c r="Q44" s="323">
        <v>0</v>
      </c>
      <c r="R44" s="323">
        <v>0</v>
      </c>
      <c r="S44" s="323">
        <v>0</v>
      </c>
      <c r="T44" s="323">
        <v>0</v>
      </c>
      <c r="U44" s="323">
        <v>0</v>
      </c>
      <c r="V44" s="323">
        <v>0</v>
      </c>
      <c r="W44" s="323">
        <v>0</v>
      </c>
      <c r="X44" s="323">
        <v>0</v>
      </c>
      <c r="Y44" s="323">
        <v>0</v>
      </c>
      <c r="Z44" s="323">
        <v>0</v>
      </c>
      <c r="AA44" s="323">
        <v>0</v>
      </c>
      <c r="AB44" s="323">
        <v>0</v>
      </c>
      <c r="AC44" s="323">
        <v>0</v>
      </c>
      <c r="AD44" s="323">
        <v>0</v>
      </c>
      <c r="AE44" s="323">
        <v>0</v>
      </c>
      <c r="AF44" s="323">
        <v>0</v>
      </c>
      <c r="AG44" s="323">
        <v>0</v>
      </c>
      <c r="AH44" s="323">
        <v>0</v>
      </c>
      <c r="AI44" s="323">
        <v>0</v>
      </c>
      <c r="AJ44" s="323">
        <v>0</v>
      </c>
      <c r="AK44" s="323">
        <v>0</v>
      </c>
      <c r="AL44" s="323">
        <v>0</v>
      </c>
      <c r="AM44" s="323">
        <v>0</v>
      </c>
      <c r="AN44" s="323">
        <v>0</v>
      </c>
      <c r="AO44" s="323">
        <v>0</v>
      </c>
      <c r="AP44" s="323">
        <v>0</v>
      </c>
      <c r="AQ44" s="323">
        <v>0</v>
      </c>
      <c r="AR44" s="323">
        <v>0</v>
      </c>
      <c r="AS44" s="323">
        <v>0</v>
      </c>
      <c r="AT44" s="323">
        <v>0</v>
      </c>
      <c r="AU44" s="323">
        <v>0</v>
      </c>
      <c r="AV44" s="323">
        <v>0</v>
      </c>
      <c r="AW44" s="323">
        <v>0</v>
      </c>
      <c r="AX44" s="323">
        <v>0</v>
      </c>
      <c r="AY44" s="323">
        <v>0</v>
      </c>
      <c r="AZ44" s="323">
        <v>0</v>
      </c>
      <c r="BA44" s="323">
        <v>0</v>
      </c>
      <c r="BB44" s="323">
        <v>0</v>
      </c>
      <c r="BC44" s="323">
        <v>0</v>
      </c>
      <c r="BD44" s="323">
        <v>0</v>
      </c>
      <c r="BE44" s="323">
        <v>0</v>
      </c>
      <c r="BF44" s="323">
        <v>0</v>
      </c>
      <c r="BG44" s="323">
        <v>0</v>
      </c>
      <c r="BH44" s="323">
        <v>0</v>
      </c>
      <c r="BI44" s="323">
        <v>0</v>
      </c>
      <c r="BJ44" s="323">
        <v>0</v>
      </c>
      <c r="BK44" s="323">
        <v>0</v>
      </c>
      <c r="BL44" s="323">
        <v>0</v>
      </c>
      <c r="BM44" s="323">
        <v>0</v>
      </c>
      <c r="BN44" s="323">
        <v>0</v>
      </c>
      <c r="BO44" s="323">
        <v>23.209979999999995</v>
      </c>
      <c r="BP44" s="323">
        <v>25.84405666666666</v>
      </c>
      <c r="BQ44" s="323">
        <v>24.527018333333331</v>
      </c>
      <c r="BR44" s="323">
        <v>26.814333333333334</v>
      </c>
      <c r="BS44" s="323">
        <v>25.289456666666666</v>
      </c>
      <c r="BT44" s="323">
        <v>27.476333333333333</v>
      </c>
      <c r="BU44" s="323">
        <v>25.836175833333332</v>
      </c>
      <c r="BV44" s="323">
        <v>26.687159999999992</v>
      </c>
      <c r="BW44" s="323">
        <v>28.469000000000001</v>
      </c>
      <c r="BX44" s="323">
        <v>27.578079999999996</v>
      </c>
      <c r="BY44" s="323">
        <v>28.770769999999999</v>
      </c>
      <c r="BZ44" s="323">
        <v>27.975643333333331</v>
      </c>
      <c r="CA44" s="323">
        <v>30.4483933333333</v>
      </c>
      <c r="CB44" s="323">
        <v>28.593830833333321</v>
      </c>
      <c r="CC44" s="323">
        <v>30.829626666666659</v>
      </c>
      <c r="CD44" s="323">
        <v>32.121793333333322</v>
      </c>
      <c r="CE44" s="323">
        <v>31.475709999999992</v>
      </c>
      <c r="CF44" s="323">
        <v>33.461750000000002</v>
      </c>
      <c r="CG44" s="323">
        <v>32.137723333333327</v>
      </c>
      <c r="CH44" s="323">
        <v>36.805653333333325</v>
      </c>
      <c r="CI44" s="323">
        <v>33.304705833333337</v>
      </c>
      <c r="CJ44" s="323">
        <v>36.830466666666652</v>
      </c>
      <c r="CK44" s="323">
        <v>38.778169999999982</v>
      </c>
      <c r="CL44" s="323">
        <v>37.804318333333313</v>
      </c>
      <c r="CM44" s="323">
        <v>41.295329999999979</v>
      </c>
      <c r="CN44" s="323">
        <v>38.967988888888868</v>
      </c>
      <c r="CO44" s="323">
        <v>41.983749999999979</v>
      </c>
      <c r="CP44" s="323">
        <v>39.721929166666641</v>
      </c>
      <c r="CQ44" s="323">
        <v>42.099199999999975</v>
      </c>
      <c r="CR44" s="323">
        <v>43.517769999999977</v>
      </c>
      <c r="CS44" s="323">
        <v>42.808484999999962</v>
      </c>
      <c r="CT44" s="323">
        <v>45.744076666666651</v>
      </c>
      <c r="CU44" s="323">
        <v>43.787015555555527</v>
      </c>
      <c r="CV44" s="323">
        <v>46.768429999999988</v>
      </c>
      <c r="CW44" s="323">
        <v>44.532369166666641</v>
      </c>
      <c r="CX44" s="323">
        <v>47.185379999999995</v>
      </c>
      <c r="CY44" s="323">
        <v>48.754589999999993</v>
      </c>
      <c r="CZ44" s="323">
        <v>47.969984999999994</v>
      </c>
      <c r="DA44" s="323">
        <v>48.43188</v>
      </c>
      <c r="DB44" s="323">
        <v>48.123949999999994</v>
      </c>
      <c r="DC44" s="323">
        <v>48.726179999999999</v>
      </c>
      <c r="DD44" s="323">
        <v>48.274507500000006</v>
      </c>
      <c r="DE44" s="323">
        <v>47.744666666666667</v>
      </c>
      <c r="DF44" s="323">
        <v>47.895000000000003</v>
      </c>
      <c r="DG44" s="323">
        <v>47.819833333333335</v>
      </c>
      <c r="DH44" s="323">
        <v>48.027606666666664</v>
      </c>
      <c r="DI44" s="323">
        <v>47.889091111111114</v>
      </c>
      <c r="DJ44" s="323">
        <v>48.292819999999985</v>
      </c>
      <c r="DK44" s="323">
        <v>47.990023333333326</v>
      </c>
      <c r="DL44" s="323">
        <v>47.296519999999994</v>
      </c>
      <c r="DM44" s="323">
        <v>49.264986666666658</v>
      </c>
      <c r="DN44" s="323">
        <v>48.280753333333337</v>
      </c>
      <c r="DO44" s="323">
        <v>49.78826999999999</v>
      </c>
      <c r="DP44" s="323">
        <v>48.783258888888902</v>
      </c>
      <c r="DQ44" s="323">
        <v>49.78826999999999</v>
      </c>
      <c r="DR44" s="323">
        <v>49.034511666666681</v>
      </c>
      <c r="DS44" s="323">
        <v>49.952119999999994</v>
      </c>
      <c r="DT44" s="323">
        <v>50.279819999999987</v>
      </c>
      <c r="DU44" s="323">
        <v>50.115970000000004</v>
      </c>
      <c r="DV44" s="323">
        <v>51.202573333333326</v>
      </c>
      <c r="DW44" s="323">
        <v>50.478171111111102</v>
      </c>
      <c r="DX44" s="323">
        <v>51.632969999999993</v>
      </c>
      <c r="DY44" s="323">
        <v>50.766870833333321</v>
      </c>
      <c r="DZ44" s="323">
        <v>49.734943333333327</v>
      </c>
      <c r="EA44" s="323">
        <v>46.859516666666671</v>
      </c>
      <c r="EB44" s="323">
        <v>48.297230000000006</v>
      </c>
      <c r="EC44" s="323">
        <v>46.376060000000003</v>
      </c>
      <c r="ED44" s="323">
        <v>47.656840000000003</v>
      </c>
      <c r="EE44" s="323">
        <v>45.651520000000012</v>
      </c>
      <c r="EF44" s="323">
        <v>47.155510000000007</v>
      </c>
      <c r="EG44" s="323">
        <v>45.118580000000009</v>
      </c>
      <c r="EH44" s="323">
        <v>44.214073333333339</v>
      </c>
      <c r="EI44" s="323">
        <v>44.666326666666684</v>
      </c>
      <c r="EJ44" s="323">
        <v>44.10460666666669</v>
      </c>
      <c r="EK44" s="323">
        <v>44.479086666666674</v>
      </c>
      <c r="EL44" s="323">
        <v>43.972653333333348</v>
      </c>
      <c r="EM44" s="323">
        <v>40.548185000000004</v>
      </c>
      <c r="EN44" s="323">
        <v>43.587410000000006</v>
      </c>
      <c r="EO44" s="323">
        <v>43.302476666666678</v>
      </c>
      <c r="EP44" s="323">
        <v>43.444943333333335</v>
      </c>
      <c r="EQ44" s="323">
        <v>43.538396666666678</v>
      </c>
      <c r="ER44" s="323">
        <v>43.476094444444449</v>
      </c>
      <c r="ES44" s="323">
        <v>43.918003333333331</v>
      </c>
      <c r="ET44" s="323">
        <v>43.586571666666664</v>
      </c>
      <c r="EU44" s="323">
        <v>43.896546666666659</v>
      </c>
      <c r="EV44" s="323">
        <v>43.887696666666663</v>
      </c>
      <c r="EW44" s="323">
        <v>43.892121666666668</v>
      </c>
    </row>
    <row r="45" spans="1:155" ht="16.350000000000001" customHeight="1">
      <c r="A45" s="174"/>
      <c r="B45" s="160" t="s">
        <v>2317</v>
      </c>
      <c r="C45" s="160" t="s">
        <v>630</v>
      </c>
      <c r="D45" s="323">
        <v>0</v>
      </c>
      <c r="E45" s="323">
        <v>0</v>
      </c>
      <c r="F45" s="323">
        <v>0</v>
      </c>
      <c r="G45" s="323">
        <v>0</v>
      </c>
      <c r="H45" s="323">
        <v>0</v>
      </c>
      <c r="I45" s="323">
        <v>0</v>
      </c>
      <c r="J45" s="323">
        <v>0</v>
      </c>
      <c r="K45" s="323">
        <v>0</v>
      </c>
      <c r="L45" s="323">
        <v>0</v>
      </c>
      <c r="M45" s="323">
        <v>0</v>
      </c>
      <c r="N45" s="323">
        <v>0</v>
      </c>
      <c r="O45" s="323">
        <v>0</v>
      </c>
      <c r="P45" s="323">
        <v>0</v>
      </c>
      <c r="Q45" s="323">
        <v>0</v>
      </c>
      <c r="R45" s="323">
        <v>0</v>
      </c>
      <c r="S45" s="323">
        <v>0</v>
      </c>
      <c r="T45" s="323">
        <v>0</v>
      </c>
      <c r="U45" s="323">
        <v>0</v>
      </c>
      <c r="V45" s="323">
        <v>0</v>
      </c>
      <c r="W45" s="323">
        <v>0</v>
      </c>
      <c r="X45" s="323">
        <v>0</v>
      </c>
      <c r="Y45" s="323">
        <v>0</v>
      </c>
      <c r="Z45" s="323">
        <v>0</v>
      </c>
      <c r="AA45" s="323">
        <v>0</v>
      </c>
      <c r="AB45" s="323">
        <v>0</v>
      </c>
      <c r="AC45" s="323">
        <v>0</v>
      </c>
      <c r="AD45" s="323">
        <v>0</v>
      </c>
      <c r="AE45" s="323">
        <v>0</v>
      </c>
      <c r="AF45" s="323">
        <v>0</v>
      </c>
      <c r="AG45" s="323">
        <v>0</v>
      </c>
      <c r="AH45" s="323">
        <v>0</v>
      </c>
      <c r="AI45" s="323">
        <v>0</v>
      </c>
      <c r="AJ45" s="323">
        <v>0</v>
      </c>
      <c r="AK45" s="323">
        <v>0</v>
      </c>
      <c r="AL45" s="323">
        <v>0</v>
      </c>
      <c r="AM45" s="323">
        <v>0</v>
      </c>
      <c r="AN45" s="323">
        <v>0</v>
      </c>
      <c r="AO45" s="323">
        <v>0</v>
      </c>
      <c r="AP45" s="323">
        <v>0</v>
      </c>
      <c r="AQ45" s="323">
        <v>0</v>
      </c>
      <c r="AR45" s="323">
        <v>0</v>
      </c>
      <c r="AS45" s="323">
        <v>0</v>
      </c>
      <c r="AT45" s="323">
        <v>0</v>
      </c>
      <c r="AU45" s="323">
        <v>0</v>
      </c>
      <c r="AV45" s="323">
        <v>0</v>
      </c>
      <c r="AW45" s="323">
        <v>0</v>
      </c>
      <c r="AX45" s="323">
        <v>0</v>
      </c>
      <c r="AY45" s="323">
        <v>0</v>
      </c>
      <c r="AZ45" s="323">
        <v>0</v>
      </c>
      <c r="BA45" s="323">
        <v>0</v>
      </c>
      <c r="BB45" s="323">
        <v>0</v>
      </c>
      <c r="BC45" s="323">
        <v>0</v>
      </c>
      <c r="BD45" s="323">
        <v>0</v>
      </c>
      <c r="BE45" s="323">
        <v>0</v>
      </c>
      <c r="BF45" s="323">
        <v>0</v>
      </c>
      <c r="BG45" s="323">
        <v>0</v>
      </c>
      <c r="BH45" s="323">
        <v>40.721904289999991</v>
      </c>
      <c r="BI45" s="323">
        <v>44.039665200000009</v>
      </c>
      <c r="BJ45" s="323">
        <v>84.761569489999999</v>
      </c>
      <c r="BK45" s="323">
        <v>46.054056839999987</v>
      </c>
      <c r="BL45" s="323">
        <v>130.81562632999999</v>
      </c>
      <c r="BM45" s="323">
        <v>61.967156269999997</v>
      </c>
      <c r="BN45" s="323">
        <v>192.78278259999999</v>
      </c>
      <c r="BO45" s="323">
        <v>45.365772700000001</v>
      </c>
      <c r="BP45" s="323">
        <v>55.548293349999987</v>
      </c>
      <c r="BQ45" s="323">
        <v>100.91406604999999</v>
      </c>
      <c r="BR45" s="323">
        <v>52.893536570000002</v>
      </c>
      <c r="BS45" s="323">
        <v>153.80760262000001</v>
      </c>
      <c r="BT45" s="323">
        <v>79.602951810000036</v>
      </c>
      <c r="BU45" s="323">
        <v>233.41055443000005</v>
      </c>
      <c r="BV45" s="323">
        <v>56.702676799999999</v>
      </c>
      <c r="BW45" s="323">
        <v>65.50685383000021</v>
      </c>
      <c r="BX45" s="323">
        <v>122.20953063000022</v>
      </c>
      <c r="BY45" s="323">
        <v>70.557607810000093</v>
      </c>
      <c r="BZ45" s="323">
        <v>192.76713844000031</v>
      </c>
      <c r="CA45" s="323">
        <v>101.98353217</v>
      </c>
      <c r="CB45" s="323">
        <v>294.75067061000038</v>
      </c>
      <c r="CC45" s="323">
        <v>67.8</v>
      </c>
      <c r="CD45" s="323">
        <v>80.736000000000004</v>
      </c>
      <c r="CE45" s="323">
        <v>148.51599999999999</v>
      </c>
      <c r="CF45" s="323">
        <v>81.593259880000232</v>
      </c>
      <c r="CG45" s="323">
        <v>230.1</v>
      </c>
      <c r="CH45" s="323">
        <v>118.30827736000003</v>
      </c>
      <c r="CI45" s="323">
        <v>348.41767638000005</v>
      </c>
      <c r="CJ45" s="323">
        <v>85.421000000000006</v>
      </c>
      <c r="CK45" s="323">
        <v>101.8</v>
      </c>
      <c r="CL45" s="323">
        <v>187.22200000000001</v>
      </c>
      <c r="CM45" s="323">
        <v>110.07299999999999</v>
      </c>
      <c r="CN45" s="323">
        <v>297.29503899999997</v>
      </c>
      <c r="CO45" s="323">
        <v>146.70941041000009</v>
      </c>
      <c r="CP45" s="323">
        <v>444.0041206300001</v>
      </c>
      <c r="CQ45" s="323">
        <v>101.58779016</v>
      </c>
      <c r="CR45" s="323">
        <v>114.10680934999999</v>
      </c>
      <c r="CS45" s="323">
        <v>215.69459950999996</v>
      </c>
      <c r="CT45" s="323">
        <v>121.0368014099999</v>
      </c>
      <c r="CU45" s="323">
        <v>336.73134832999989</v>
      </c>
      <c r="CV45" s="323">
        <v>168.27832018999999</v>
      </c>
      <c r="CW45" s="323">
        <v>505.00966851999988</v>
      </c>
      <c r="CX45" s="323">
        <v>113.49926604000001</v>
      </c>
      <c r="CY45" s="323">
        <v>117.23031178000002</v>
      </c>
      <c r="CZ45" s="323">
        <f>CY45+CX45</f>
        <v>230.72957782000003</v>
      </c>
      <c r="DA45" s="323">
        <v>116.60939334999999</v>
      </c>
      <c r="DB45" s="323">
        <v>347.33897117000004</v>
      </c>
      <c r="DC45" s="323">
        <v>177.68380674000002</v>
      </c>
      <c r="DD45" s="323">
        <v>525.02277791000006</v>
      </c>
      <c r="DE45" s="323">
        <f>108076.65739/1000</f>
        <v>108.07665738999999</v>
      </c>
      <c r="DF45" s="323">
        <v>49.026179129999989</v>
      </c>
      <c r="DG45" s="323">
        <v>157.10300000000001</v>
      </c>
      <c r="DH45" s="323">
        <v>146.57026763999997</v>
      </c>
      <c r="DI45" s="323">
        <f>DG45+DH45</f>
        <v>303.67326763999995</v>
      </c>
      <c r="DJ45" s="323">
        <v>203.18919783000001</v>
      </c>
      <c r="DK45" s="323">
        <f>DI45+DJ45</f>
        <v>506.86246546999996</v>
      </c>
      <c r="DL45" s="323">
        <v>103.60151150999999</v>
      </c>
      <c r="DM45" s="323">
        <v>150.69684502000001</v>
      </c>
      <c r="DN45" s="323">
        <f>DL45+DM45</f>
        <v>254.29835653000001</v>
      </c>
      <c r="DO45" s="323">
        <v>175.16589417000006</v>
      </c>
      <c r="DP45" s="323">
        <f>DN45+DO45</f>
        <v>429.46425070000009</v>
      </c>
      <c r="DQ45" s="323">
        <v>221.1509849599999</v>
      </c>
      <c r="DR45" s="323">
        <f>DP45+DQ45</f>
        <v>650.61523566000005</v>
      </c>
      <c r="DS45" s="323">
        <v>138.70628652000002</v>
      </c>
      <c r="DT45" s="323">
        <v>130.24131421999999</v>
      </c>
      <c r="DU45" s="323">
        <f>DS45+DT45</f>
        <v>268.94760073999998</v>
      </c>
      <c r="DV45" s="323">
        <v>127.24505265000002</v>
      </c>
      <c r="DW45" s="323">
        <f>DU45+DV45</f>
        <v>396.19265339000003</v>
      </c>
      <c r="DX45" s="323">
        <v>170.90976277999994</v>
      </c>
      <c r="DY45" s="323">
        <f>DW45+DX45</f>
        <v>567.10241616999997</v>
      </c>
      <c r="DZ45" s="323">
        <v>118.42135658999995</v>
      </c>
      <c r="EA45" s="323">
        <v>112.41673906000007</v>
      </c>
      <c r="EB45" s="323">
        <f>DZ45+EA45</f>
        <v>230.83809565000001</v>
      </c>
      <c r="EC45" s="323">
        <v>119.34855048999995</v>
      </c>
      <c r="ED45" s="323">
        <f t="shared" ref="ED45:EF45" si="303">EB45+EC45</f>
        <v>350.18664613999999</v>
      </c>
      <c r="EE45" s="323">
        <v>170.32064994000001</v>
      </c>
      <c r="EF45" s="323">
        <f t="shared" si="303"/>
        <v>520.50729608000006</v>
      </c>
      <c r="EG45" s="323">
        <v>125.31086768999992</v>
      </c>
      <c r="EH45" s="323">
        <v>122.91834192000002</v>
      </c>
      <c r="EI45" s="323">
        <f>EG45+EH45</f>
        <v>248.22920960999994</v>
      </c>
      <c r="EJ45" s="323">
        <v>134.17599999999999</v>
      </c>
      <c r="EK45" s="323">
        <v>382.40499999999997</v>
      </c>
      <c r="EL45" s="323">
        <v>191.17776520999999</v>
      </c>
      <c r="EM45" s="323">
        <v>573.58277616999999</v>
      </c>
      <c r="EN45" s="323">
        <v>127.89402134999997</v>
      </c>
      <c r="EO45" s="323">
        <v>132.86294659999999</v>
      </c>
      <c r="EP45" s="323">
        <v>260.75696794999999</v>
      </c>
      <c r="EQ45" s="323">
        <v>135.21208004999997</v>
      </c>
      <c r="ER45" s="323">
        <f>EP45+EQ45</f>
        <v>395.96904799999993</v>
      </c>
      <c r="ES45" s="323">
        <v>192.39508509000001</v>
      </c>
      <c r="ET45" s="323">
        <f>ER45+ES45</f>
        <v>588.36413309</v>
      </c>
      <c r="EU45" s="323">
        <v>130.70477449999998</v>
      </c>
      <c r="EV45" s="323">
        <v>133.12389303</v>
      </c>
      <c r="EW45" s="323">
        <f>SUM(EU45:EV45)</f>
        <v>263.82866752999996</v>
      </c>
    </row>
    <row r="46" spans="1:155" ht="16.350000000000001" customHeight="1">
      <c r="A46" s="174"/>
      <c r="B46" s="160" t="s">
        <v>2324</v>
      </c>
      <c r="C46" s="160" t="s">
        <v>631</v>
      </c>
      <c r="D46" s="126">
        <v>0</v>
      </c>
      <c r="E46" s="126">
        <v>0</v>
      </c>
      <c r="F46" s="126">
        <v>0</v>
      </c>
      <c r="G46" s="126">
        <v>0</v>
      </c>
      <c r="H46" s="126">
        <v>0</v>
      </c>
      <c r="I46" s="126">
        <v>0</v>
      </c>
      <c r="J46" s="126">
        <v>0</v>
      </c>
      <c r="K46" s="126">
        <v>0</v>
      </c>
      <c r="L46" s="126">
        <v>0</v>
      </c>
      <c r="M46" s="126">
        <v>0</v>
      </c>
      <c r="N46" s="126">
        <v>0</v>
      </c>
      <c r="O46" s="126">
        <v>0</v>
      </c>
      <c r="P46" s="126">
        <v>0</v>
      </c>
      <c r="Q46" s="126">
        <v>0</v>
      </c>
      <c r="R46" s="126">
        <v>0</v>
      </c>
      <c r="S46" s="126">
        <v>0</v>
      </c>
      <c r="T46" s="126">
        <v>0</v>
      </c>
      <c r="U46" s="126">
        <v>0</v>
      </c>
      <c r="V46" s="126">
        <v>0</v>
      </c>
      <c r="W46" s="126">
        <v>0</v>
      </c>
      <c r="X46" s="126">
        <v>0</v>
      </c>
      <c r="Y46" s="126">
        <v>0</v>
      </c>
      <c r="Z46" s="126">
        <v>0</v>
      </c>
      <c r="AA46" s="126">
        <v>0</v>
      </c>
      <c r="AB46" s="126">
        <v>0</v>
      </c>
      <c r="AC46" s="126">
        <v>0</v>
      </c>
      <c r="AD46" s="126">
        <v>0</v>
      </c>
      <c r="AE46" s="126">
        <v>0</v>
      </c>
      <c r="AF46" s="126">
        <v>0</v>
      </c>
      <c r="AG46" s="126">
        <v>0</v>
      </c>
      <c r="AH46" s="126">
        <v>0</v>
      </c>
      <c r="AI46" s="126">
        <v>0</v>
      </c>
      <c r="AJ46" s="126">
        <v>0</v>
      </c>
      <c r="AK46" s="126">
        <v>0</v>
      </c>
      <c r="AL46" s="126">
        <v>0</v>
      </c>
      <c r="AM46" s="126">
        <v>0</v>
      </c>
      <c r="AN46" s="126">
        <v>0</v>
      </c>
      <c r="AO46" s="126">
        <v>0</v>
      </c>
      <c r="AP46" s="126">
        <v>0</v>
      </c>
      <c r="AQ46" s="126">
        <v>0</v>
      </c>
      <c r="AR46" s="126">
        <v>0</v>
      </c>
      <c r="AS46" s="126">
        <v>0</v>
      </c>
      <c r="AT46" s="126">
        <v>0</v>
      </c>
      <c r="AU46" s="126">
        <v>0</v>
      </c>
      <c r="AV46" s="126">
        <v>0</v>
      </c>
      <c r="AW46" s="126">
        <v>0</v>
      </c>
      <c r="AX46" s="126">
        <v>0</v>
      </c>
      <c r="AY46" s="126">
        <v>0</v>
      </c>
      <c r="AZ46" s="126">
        <v>0</v>
      </c>
      <c r="BA46" s="126">
        <v>0</v>
      </c>
      <c r="BB46" s="126">
        <v>0</v>
      </c>
      <c r="BC46" s="126">
        <v>0</v>
      </c>
      <c r="BD46" s="126">
        <v>0</v>
      </c>
      <c r="BE46" s="126">
        <v>0</v>
      </c>
      <c r="BF46" s="126">
        <v>0</v>
      </c>
      <c r="BG46" s="126">
        <v>0</v>
      </c>
      <c r="BH46" s="126">
        <v>0</v>
      </c>
      <c r="BI46" s="126">
        <v>0</v>
      </c>
      <c r="BJ46" s="126">
        <v>0</v>
      </c>
      <c r="BK46" s="126">
        <v>0</v>
      </c>
      <c r="BL46" s="126">
        <v>0</v>
      </c>
      <c r="BM46" s="126">
        <v>0</v>
      </c>
      <c r="BN46" s="126">
        <v>0</v>
      </c>
      <c r="BO46" s="126">
        <f t="shared" ref="BO46:CB46" si="304">+BO45/BH45-1</f>
        <v>0.11403858662720734</v>
      </c>
      <c r="BP46" s="126">
        <f t="shared" si="304"/>
        <v>0.26132415171039902</v>
      </c>
      <c r="BQ46" s="126">
        <f t="shared" si="304"/>
        <v>0.19056391542992412</v>
      </c>
      <c r="BR46" s="126">
        <f t="shared" si="304"/>
        <v>0.14850982083427722</v>
      </c>
      <c r="BS46" s="126">
        <f t="shared" si="304"/>
        <v>0.17575863782511481</v>
      </c>
      <c r="BT46" s="126">
        <f t="shared" si="304"/>
        <v>0.28459907798831829</v>
      </c>
      <c r="BU46" s="126">
        <f t="shared" si="304"/>
        <v>0.21074377743731176</v>
      </c>
      <c r="BV46" s="126">
        <f t="shared" si="304"/>
        <v>0.24989994494241241</v>
      </c>
      <c r="BW46" s="126">
        <f t="shared" si="304"/>
        <v>0.17927752374412464</v>
      </c>
      <c r="BX46" s="126">
        <f t="shared" si="304"/>
        <v>0.21102573123402779</v>
      </c>
      <c r="BY46" s="126">
        <f t="shared" si="304"/>
        <v>0.33395519349747449</v>
      </c>
      <c r="BZ46" s="126">
        <f t="shared" si="304"/>
        <v>0.25330045561047121</v>
      </c>
      <c r="CA46" s="126">
        <f t="shared" si="304"/>
        <v>0.28115264385445093</v>
      </c>
      <c r="CB46" s="126">
        <f t="shared" si="304"/>
        <v>0.26279923943369177</v>
      </c>
      <c r="CC46" s="126">
        <v>0.19500000000000001</v>
      </c>
      <c r="CD46" s="126">
        <f t="shared" ref="CD46:DI46" si="305">+CD45/BW45-1</f>
        <v>0.23248172182901095</v>
      </c>
      <c r="CE46" s="126">
        <f t="shared" si="305"/>
        <v>0.21525710175293011</v>
      </c>
      <c r="CF46" s="126">
        <f t="shared" si="305"/>
        <v>0.15640626733997731</v>
      </c>
      <c r="CG46" s="126">
        <f t="shared" si="305"/>
        <v>0.19366818360287952</v>
      </c>
      <c r="CH46" s="126">
        <f t="shared" si="305"/>
        <v>0.16007236504407141</v>
      </c>
      <c r="CI46" s="126">
        <f t="shared" si="305"/>
        <v>0.18207594119780368</v>
      </c>
      <c r="CJ46" s="126">
        <f t="shared" si="305"/>
        <v>0.25989675516224198</v>
      </c>
      <c r="CK46" s="126">
        <f t="shared" si="305"/>
        <v>0.2608997225525167</v>
      </c>
      <c r="CL46" s="126">
        <f t="shared" si="305"/>
        <v>0.2606183845511596</v>
      </c>
      <c r="CM46" s="126">
        <f t="shared" si="305"/>
        <v>0.34904525400609199</v>
      </c>
      <c r="CN46" s="126">
        <f t="shared" si="305"/>
        <v>0.29202537592351141</v>
      </c>
      <c r="CO46" s="126">
        <f t="shared" si="305"/>
        <v>0.24006040560947661</v>
      </c>
      <c r="CP46" s="126">
        <f t="shared" si="305"/>
        <v>0.27434441685946265</v>
      </c>
      <c r="CQ46" s="126">
        <f t="shared" si="305"/>
        <v>0.18926013696866106</v>
      </c>
      <c r="CR46" s="126">
        <f t="shared" si="305"/>
        <v>0.12089203683693506</v>
      </c>
      <c r="CS46" s="126">
        <f t="shared" si="305"/>
        <v>0.15207934703186554</v>
      </c>
      <c r="CT46" s="126">
        <f t="shared" si="305"/>
        <v>9.9604820528194082E-2</v>
      </c>
      <c r="CU46" s="126">
        <f t="shared" si="305"/>
        <v>0.13265041173458636</v>
      </c>
      <c r="CV46" s="126">
        <f t="shared" si="305"/>
        <v>0.14701790239441737</v>
      </c>
      <c r="CW46" s="126">
        <f t="shared" si="305"/>
        <v>0.13739860748012567</v>
      </c>
      <c r="CX46" s="126">
        <f t="shared" si="305"/>
        <v>0.1172530267785088</v>
      </c>
      <c r="CY46" s="126">
        <f t="shared" si="305"/>
        <v>2.737349723292426E-2</v>
      </c>
      <c r="CZ46" s="126">
        <f t="shared" si="305"/>
        <v>6.9704936257817707E-2</v>
      </c>
      <c r="DA46" s="126">
        <f t="shared" si="305"/>
        <v>-3.6579023969763647E-2</v>
      </c>
      <c r="DB46" s="126">
        <f t="shared" si="305"/>
        <v>3.1501738381674471E-2</v>
      </c>
      <c r="DC46" s="126">
        <f t="shared" si="305"/>
        <v>5.5892443776360823E-2</v>
      </c>
      <c r="DD46" s="126">
        <f t="shared" si="305"/>
        <v>3.9629160860724433E-2</v>
      </c>
      <c r="DE46" s="126">
        <f t="shared" si="305"/>
        <v>-4.7776596617716938E-2</v>
      </c>
      <c r="DF46" s="126">
        <f t="shared" si="305"/>
        <v>-0.58179605269663659</v>
      </c>
      <c r="DG46" s="126">
        <f t="shared" si="305"/>
        <v>-0.31910333523618983</v>
      </c>
      <c r="DH46" s="126">
        <f t="shared" si="305"/>
        <v>0.25693362626519467</v>
      </c>
      <c r="DI46" s="126">
        <f t="shared" si="305"/>
        <v>-0.12571495615051076</v>
      </c>
      <c r="DJ46" s="126">
        <f t="shared" ref="DJ46:EG46" si="306">+DJ45/DC45-1</f>
        <v>0.14354370022768226</v>
      </c>
      <c r="DK46" s="126">
        <f t="shared" si="306"/>
        <v>-3.4589570594045993E-2</v>
      </c>
      <c r="DL46" s="126">
        <f t="shared" si="306"/>
        <v>-4.1407145521268451E-2</v>
      </c>
      <c r="DM46" s="126">
        <f t="shared" si="306"/>
        <v>2.0738035819680252</v>
      </c>
      <c r="DN46" s="126">
        <f t="shared" si="306"/>
        <v>0.61867282311604477</v>
      </c>
      <c r="DO46" s="126">
        <f t="shared" si="306"/>
        <v>0.19509841245726256</v>
      </c>
      <c r="DP46" s="126">
        <f t="shared" si="306"/>
        <v>0.41423133500550158</v>
      </c>
      <c r="DQ46" s="126">
        <f t="shared" si="306"/>
        <v>8.8399321035893763E-2</v>
      </c>
      <c r="DR46" s="126">
        <f t="shared" si="306"/>
        <v>0.28361297192661916</v>
      </c>
      <c r="DS46" s="126">
        <f t="shared" si="306"/>
        <v>0.33884423594159219</v>
      </c>
      <c r="DT46" s="126">
        <f t="shared" si="306"/>
        <v>-0.13573960886364422</v>
      </c>
      <c r="DU46" s="126">
        <f t="shared" si="306"/>
        <v>5.7606523336975579E-2</v>
      </c>
      <c r="DV46" s="126">
        <f t="shared" si="306"/>
        <v>-0.2735740410373062</v>
      </c>
      <c r="DW46" s="126">
        <f t="shared" si="306"/>
        <v>-7.7472332693045876E-2</v>
      </c>
      <c r="DX46" s="126">
        <f t="shared" si="306"/>
        <v>-0.22718063945809341</v>
      </c>
      <c r="DY46" s="126">
        <f t="shared" si="306"/>
        <v>-0.12835976613010391</v>
      </c>
      <c r="DZ46" s="126">
        <f t="shared" si="306"/>
        <v>-0.14624376759646862</v>
      </c>
      <c r="EA46" s="126">
        <f t="shared" si="306"/>
        <v>-0.13685807200848077</v>
      </c>
      <c r="EB46" s="126">
        <f t="shared" si="306"/>
        <v>-0.14169862450954385</v>
      </c>
      <c r="EC46" s="126">
        <f t="shared" si="306"/>
        <v>-6.2057439527493208E-2</v>
      </c>
      <c r="ED46" s="126">
        <f t="shared" si="306"/>
        <v>-0.11612029364086451</v>
      </c>
      <c r="EE46" s="126">
        <f t="shared" si="306"/>
        <v>-3.446923279381342E-3</v>
      </c>
      <c r="EF46" s="126">
        <f t="shared" si="306"/>
        <v>-8.2163501267876971E-2</v>
      </c>
      <c r="EG46" s="126">
        <f t="shared" si="306"/>
        <v>5.8177944404512516E-2</v>
      </c>
      <c r="EH46" s="126">
        <f t="shared" ref="EH46" si="307">+EH45/EA45-1</f>
        <v>9.3416718433675161E-2</v>
      </c>
      <c r="EI46" s="126">
        <f t="shared" ref="EI46:EK46" si="308">+EI45/EB45-1</f>
        <v>7.5339011574452552E-2</v>
      </c>
      <c r="EJ46" s="126">
        <f t="shared" si="308"/>
        <v>0.12423652779295713</v>
      </c>
      <c r="EK46" s="126">
        <f t="shared" si="308"/>
        <v>9.2003376528297265E-2</v>
      </c>
      <c r="EL46" s="126">
        <f t="shared" ref="EL46" si="309">+EL45/EE45-1</f>
        <v>0.12245793611841815</v>
      </c>
      <c r="EM46" s="126">
        <f t="shared" ref="EM46" si="310">+EM45/EF45-1</f>
        <v>0.10196875334835354</v>
      </c>
      <c r="EN46" s="126">
        <f>EN45/EG45-1</f>
        <v>2.0613963558135939E-2</v>
      </c>
      <c r="EO46" s="126">
        <v>8.0904155756284846E-2</v>
      </c>
      <c r="EP46" s="126">
        <v>5.0468509969808784E-2</v>
      </c>
      <c r="EQ46" s="126">
        <f t="shared" ref="EQ46:EW46" si="311">EQ45/EJ45-1</f>
        <v>7.7217986077986467E-3</v>
      </c>
      <c r="ER46" s="126">
        <f t="shared" si="311"/>
        <v>3.5470373033825275E-2</v>
      </c>
      <c r="ES46" s="126">
        <f t="shared" si="311"/>
        <v>6.3674762526011452E-3</v>
      </c>
      <c r="ET46" s="126">
        <f t="shared" si="311"/>
        <v>2.5770224515282658E-2</v>
      </c>
      <c r="EU46" s="126">
        <f t="shared" si="311"/>
        <v>2.1977205191695326E-2</v>
      </c>
      <c r="EV46" s="126">
        <f t="shared" si="311"/>
        <v>1.9640271172491897E-3</v>
      </c>
      <c r="EW46" s="126">
        <f t="shared" si="311"/>
        <v>1.1779932878299704E-2</v>
      </c>
    </row>
    <row r="47" spans="1:155" ht="16.350000000000001" customHeight="1">
      <c r="A47" s="174"/>
      <c r="B47" s="160" t="s">
        <v>634</v>
      </c>
      <c r="C47" s="160" t="s">
        <v>2318</v>
      </c>
      <c r="D47" s="126">
        <v>0</v>
      </c>
      <c r="E47" s="126">
        <v>0</v>
      </c>
      <c r="F47" s="126">
        <v>0</v>
      </c>
      <c r="G47" s="126">
        <v>0</v>
      </c>
      <c r="H47" s="126">
        <v>0</v>
      </c>
      <c r="I47" s="126">
        <v>0</v>
      </c>
      <c r="J47" s="126">
        <v>0</v>
      </c>
      <c r="K47" s="126">
        <v>0</v>
      </c>
      <c r="L47" s="126">
        <v>0</v>
      </c>
      <c r="M47" s="126">
        <v>0</v>
      </c>
      <c r="N47" s="126">
        <v>0</v>
      </c>
      <c r="O47" s="126">
        <v>0</v>
      </c>
      <c r="P47" s="126">
        <v>0</v>
      </c>
      <c r="Q47" s="126">
        <v>0</v>
      </c>
      <c r="R47" s="126">
        <v>0</v>
      </c>
      <c r="S47" s="126">
        <v>0</v>
      </c>
      <c r="T47" s="126">
        <v>0</v>
      </c>
      <c r="U47" s="126">
        <v>0</v>
      </c>
      <c r="V47" s="126">
        <v>0</v>
      </c>
      <c r="W47" s="126">
        <v>0</v>
      </c>
      <c r="X47" s="126">
        <v>0</v>
      </c>
      <c r="Y47" s="126">
        <v>0</v>
      </c>
      <c r="Z47" s="126">
        <v>0</v>
      </c>
      <c r="AA47" s="126">
        <v>0</v>
      </c>
      <c r="AB47" s="126">
        <v>0</v>
      </c>
      <c r="AC47" s="126">
        <v>0</v>
      </c>
      <c r="AD47" s="126">
        <v>0</v>
      </c>
      <c r="AE47" s="126">
        <v>0</v>
      </c>
      <c r="AF47" s="126">
        <v>0</v>
      </c>
      <c r="AG47" s="126">
        <v>0</v>
      </c>
      <c r="AH47" s="126">
        <v>0</v>
      </c>
      <c r="AI47" s="126">
        <v>0</v>
      </c>
      <c r="AJ47" s="126">
        <v>0</v>
      </c>
      <c r="AK47" s="126">
        <v>0</v>
      </c>
      <c r="AL47" s="126">
        <v>0</v>
      </c>
      <c r="AM47" s="126">
        <v>0</v>
      </c>
      <c r="AN47" s="126">
        <v>0</v>
      </c>
      <c r="AO47" s="126">
        <v>0</v>
      </c>
      <c r="AP47" s="126">
        <v>0</v>
      </c>
      <c r="AQ47" s="126">
        <v>0</v>
      </c>
      <c r="AR47" s="126">
        <v>0</v>
      </c>
      <c r="AS47" s="126">
        <v>0</v>
      </c>
      <c r="AT47" s="126">
        <v>0</v>
      </c>
      <c r="AU47" s="126">
        <v>0</v>
      </c>
      <c r="AV47" s="126">
        <v>0</v>
      </c>
      <c r="AW47" s="126">
        <v>0</v>
      </c>
      <c r="AX47" s="126">
        <v>0</v>
      </c>
      <c r="AY47" s="126">
        <v>0</v>
      </c>
      <c r="AZ47" s="126">
        <v>0</v>
      </c>
      <c r="BA47" s="126">
        <v>0</v>
      </c>
      <c r="BB47" s="126">
        <v>0</v>
      </c>
      <c r="BC47" s="126">
        <v>0</v>
      </c>
      <c r="BD47" s="126">
        <v>0</v>
      </c>
      <c r="BE47" s="126">
        <v>0</v>
      </c>
      <c r="BF47" s="126">
        <v>0</v>
      </c>
      <c r="BG47" s="126">
        <v>0</v>
      </c>
      <c r="BH47" s="126">
        <v>0.39278458507471714</v>
      </c>
      <c r="BI47" s="126">
        <v>0.40092381719559483</v>
      </c>
      <c r="BJ47" s="126">
        <v>0.39701349517802553</v>
      </c>
      <c r="BK47" s="126">
        <v>0.45858041916639131</v>
      </c>
      <c r="BL47" s="126">
        <v>0.41868832636120135</v>
      </c>
      <c r="BM47" s="126">
        <v>0.44900000000000001</v>
      </c>
      <c r="BN47" s="126">
        <v>0.42853431315707141</v>
      </c>
      <c r="BO47" s="126">
        <v>0.45100000000000001</v>
      </c>
      <c r="BP47" s="126">
        <v>0.44297624114134915</v>
      </c>
      <c r="BQ47" s="126">
        <v>0.44656984158850072</v>
      </c>
      <c r="BR47" s="126">
        <v>0.4492810976734431</v>
      </c>
      <c r="BS47" s="126">
        <v>0.44750222672705486</v>
      </c>
      <c r="BT47" s="126">
        <v>0.47362676901717243</v>
      </c>
      <c r="BU47" s="126">
        <v>0.45641180961227185</v>
      </c>
      <c r="BV47" s="126">
        <v>0.46664786097011951</v>
      </c>
      <c r="BW47" s="126">
        <v>0.45933805213859491</v>
      </c>
      <c r="BX47" s="126">
        <v>0.46272965118579695</v>
      </c>
      <c r="BY47" s="126">
        <v>0.45041698998043528</v>
      </c>
      <c r="BZ47" s="126">
        <v>0.45822290834852797</v>
      </c>
      <c r="CA47" s="126">
        <v>0.48171539350204162</v>
      </c>
      <c r="CB47" s="126">
        <v>0.46635129228213629</v>
      </c>
      <c r="CC47" s="126">
        <v>0.53500000000000003</v>
      </c>
      <c r="CD47" s="126">
        <v>0.501</v>
      </c>
      <c r="CE47" s="126">
        <v>0.51600000000000001</v>
      </c>
      <c r="CF47" s="126">
        <v>0.52500000000000002</v>
      </c>
      <c r="CG47" s="126">
        <v>0.52</v>
      </c>
      <c r="CH47" s="126">
        <v>0.54304267100859505</v>
      </c>
      <c r="CI47" s="126">
        <v>0.52753573409271171</v>
      </c>
      <c r="CJ47" s="126">
        <v>0.54800000000000004</v>
      </c>
      <c r="CK47" s="126">
        <v>0.52700000000000002</v>
      </c>
      <c r="CL47" s="126">
        <v>0.53700000000000003</v>
      </c>
      <c r="CM47" s="126">
        <v>0.53451881492202569</v>
      </c>
      <c r="CN47" s="126">
        <v>0.53602590349513546</v>
      </c>
      <c r="CO47" s="126">
        <v>0.55195651344857721</v>
      </c>
      <c r="CP47" s="126">
        <v>0.54128975192614759</v>
      </c>
      <c r="CQ47" s="126">
        <v>0.52653665726711973</v>
      </c>
      <c r="CR47" s="126">
        <v>0.50449591719690201</v>
      </c>
      <c r="CS47" s="126">
        <v>0.51487666214014272</v>
      </c>
      <c r="CT47" s="126">
        <v>0.53271213332536838</v>
      </c>
      <c r="CU47" s="126">
        <v>0.52128755436804519</v>
      </c>
      <c r="CV47" s="126">
        <v>0.53270208496725313</v>
      </c>
      <c r="CW47" s="126">
        <v>0.52509108161658535</v>
      </c>
      <c r="CX47" s="126">
        <v>0.54100783857368451</v>
      </c>
      <c r="CY47" s="126">
        <v>0.52366069430238604</v>
      </c>
      <c r="CZ47" s="126">
        <v>0.53219400919545246</v>
      </c>
      <c r="DA47" s="126">
        <v>0.51</v>
      </c>
      <c r="DB47" s="126">
        <v>0.52485290817187047</v>
      </c>
      <c r="DC47" s="126">
        <v>0.49547276955194314</v>
      </c>
      <c r="DD47" s="126">
        <v>0.51490976838407154</v>
      </c>
      <c r="DE47" s="126">
        <v>0.52325331913191209</v>
      </c>
      <c r="DF47" s="126">
        <v>0.51400000000000001</v>
      </c>
      <c r="DG47" s="126">
        <v>0.52</v>
      </c>
      <c r="DH47" s="126">
        <v>0.52255446915140802</v>
      </c>
      <c r="DI47" s="126">
        <v>0.52136747222955004</v>
      </c>
      <c r="DJ47" s="126">
        <v>0.48899999999999999</v>
      </c>
      <c r="DK47" s="126">
        <v>0.50853675348908756</v>
      </c>
      <c r="DL47" s="126">
        <v>0.47088620251733643</v>
      </c>
      <c r="DM47" s="126">
        <v>0.51227267239572627</v>
      </c>
      <c r="DN47" s="126">
        <v>0.49541176580564189</v>
      </c>
      <c r="DO47" s="126">
        <v>0.47248748302334842</v>
      </c>
      <c r="DP47" s="126">
        <v>0.48398117669412472</v>
      </c>
      <c r="DQ47" s="126">
        <v>0.41573296796529485</v>
      </c>
      <c r="DR47" s="126">
        <v>0.46310522303454932</v>
      </c>
      <c r="DS47" s="126">
        <v>0.48487264793367929</v>
      </c>
      <c r="DT47" s="126">
        <v>0.52956109298387877</v>
      </c>
      <c r="DU47" s="126">
        <v>0.50651359880207136</v>
      </c>
      <c r="DV47" s="126">
        <v>0.50567141087194167</v>
      </c>
      <c r="DW47" s="126">
        <v>0.50624311360605956</v>
      </c>
      <c r="DX47" s="126">
        <v>0.5326990160719709</v>
      </c>
      <c r="DY47" s="126">
        <v>0.5142162272547669</v>
      </c>
      <c r="DZ47" s="126">
        <v>0.50281267462720569</v>
      </c>
      <c r="EA47" s="126">
        <v>0.54646082784177163</v>
      </c>
      <c r="EB47" s="126">
        <v>0.52406905796616909</v>
      </c>
      <c r="EC47" s="126">
        <v>0.54319515213074943</v>
      </c>
      <c r="ED47" s="126">
        <v>0.53058750074586725</v>
      </c>
      <c r="EE47" s="126">
        <v>0.53477918897142973</v>
      </c>
      <c r="EF47" s="126">
        <v>0.53195910700057336</v>
      </c>
      <c r="EG47" s="126">
        <v>0.50012192633633157</v>
      </c>
      <c r="EH47" s="126">
        <v>0.56127693672358636</v>
      </c>
      <c r="EI47" s="126">
        <v>0.53040471412231394</v>
      </c>
      <c r="EJ47" s="126">
        <v>0.55530190310281324</v>
      </c>
      <c r="EK47" s="126">
        <v>0.53914047904975182</v>
      </c>
      <c r="EL47" s="126">
        <v>0.56560166414344082</v>
      </c>
      <c r="EM47" s="126">
        <v>0.54796011318311755</v>
      </c>
      <c r="EN47" s="126">
        <v>0.55353821986925889</v>
      </c>
      <c r="EO47" s="126">
        <v>0.55854260415747836</v>
      </c>
      <c r="EP47" s="126">
        <v>0.5564866713660529</v>
      </c>
      <c r="EQ47" s="126">
        <v>0.5618674222148391</v>
      </c>
      <c r="ER47" s="126">
        <v>0.55832404354998977</v>
      </c>
      <c r="ES47" s="126">
        <v>0.57811218196124858</v>
      </c>
      <c r="ET47" s="126">
        <v>0.56479476526684969</v>
      </c>
      <c r="EU47" s="126">
        <v>0.55611464277458356</v>
      </c>
      <c r="EV47" s="126">
        <v>0.57913575050442623</v>
      </c>
      <c r="EW47" s="126">
        <v>0.56773074011363089</v>
      </c>
    </row>
    <row r="48" spans="1:155" ht="16.350000000000001" customHeight="1">
      <c r="A48" s="174"/>
      <c r="B48" s="160" t="s">
        <v>2325</v>
      </c>
      <c r="C48" s="160" t="s">
        <v>2319</v>
      </c>
      <c r="D48" s="323">
        <v>0</v>
      </c>
      <c r="E48" s="323">
        <v>0</v>
      </c>
      <c r="F48" s="323">
        <v>0</v>
      </c>
      <c r="G48" s="323">
        <v>0</v>
      </c>
      <c r="H48" s="323">
        <v>0</v>
      </c>
      <c r="I48" s="323">
        <v>0</v>
      </c>
      <c r="J48" s="323">
        <v>0</v>
      </c>
      <c r="K48" s="323">
        <v>0</v>
      </c>
      <c r="L48" s="323">
        <v>0</v>
      </c>
      <c r="M48" s="323">
        <v>0</v>
      </c>
      <c r="N48" s="323">
        <v>0</v>
      </c>
      <c r="O48" s="323">
        <v>0</v>
      </c>
      <c r="P48" s="323">
        <v>0</v>
      </c>
      <c r="Q48" s="323">
        <v>0</v>
      </c>
      <c r="R48" s="323">
        <v>0</v>
      </c>
      <c r="S48" s="323">
        <v>0</v>
      </c>
      <c r="T48" s="323">
        <v>0</v>
      </c>
      <c r="U48" s="323">
        <v>0</v>
      </c>
      <c r="V48" s="323">
        <v>0</v>
      </c>
      <c r="W48" s="323">
        <v>0</v>
      </c>
      <c r="X48" s="323">
        <v>0</v>
      </c>
      <c r="Y48" s="323">
        <v>0</v>
      </c>
      <c r="Z48" s="323">
        <v>0</v>
      </c>
      <c r="AA48" s="323">
        <v>0</v>
      </c>
      <c r="AB48" s="323">
        <v>0</v>
      </c>
      <c r="AC48" s="323">
        <v>0</v>
      </c>
      <c r="AD48" s="323">
        <v>0</v>
      </c>
      <c r="AE48" s="323">
        <v>0</v>
      </c>
      <c r="AF48" s="323">
        <v>0</v>
      </c>
      <c r="AG48" s="323">
        <v>0</v>
      </c>
      <c r="AH48" s="323">
        <v>0</v>
      </c>
      <c r="AI48" s="323">
        <v>0</v>
      </c>
      <c r="AJ48" s="323">
        <v>0</v>
      </c>
      <c r="AK48" s="323">
        <v>0</v>
      </c>
      <c r="AL48" s="323">
        <v>0</v>
      </c>
      <c r="AM48" s="323">
        <v>0</v>
      </c>
      <c r="AN48" s="323">
        <v>0</v>
      </c>
      <c r="AO48" s="323">
        <v>0</v>
      </c>
      <c r="AP48" s="323">
        <v>0</v>
      </c>
      <c r="AQ48" s="323">
        <v>0</v>
      </c>
      <c r="AR48" s="323">
        <v>0</v>
      </c>
      <c r="AS48" s="323">
        <v>0</v>
      </c>
      <c r="AT48" s="323">
        <v>0</v>
      </c>
      <c r="AU48" s="323">
        <v>0</v>
      </c>
      <c r="AV48" s="323">
        <v>0</v>
      </c>
      <c r="AW48" s="323">
        <v>0</v>
      </c>
      <c r="AX48" s="323">
        <v>0</v>
      </c>
      <c r="AY48" s="323">
        <v>0</v>
      </c>
      <c r="AZ48" s="323">
        <v>0</v>
      </c>
      <c r="BA48" s="323">
        <v>0</v>
      </c>
      <c r="BB48" s="323">
        <v>0</v>
      </c>
      <c r="BC48" s="323">
        <v>0</v>
      </c>
      <c r="BD48" s="323">
        <v>0</v>
      </c>
      <c r="BE48" s="323">
        <v>0</v>
      </c>
      <c r="BF48" s="323">
        <v>0</v>
      </c>
      <c r="BG48" s="323">
        <v>0</v>
      </c>
      <c r="BH48" s="323">
        <f t="shared" ref="BH48:BN48" si="312">BH45/BH43</f>
        <v>1.9312294550886842</v>
      </c>
      <c r="BI48" s="323">
        <f t="shared" si="312"/>
        <v>2.0885737076733384</v>
      </c>
      <c r="BJ48" s="323">
        <f t="shared" si="312"/>
        <v>4.0198031627620221</v>
      </c>
      <c r="BK48" s="323">
        <f t="shared" si="312"/>
        <v>2.1443530882017416</v>
      </c>
      <c r="BL48" s="323">
        <f t="shared" si="312"/>
        <v>6.0909920114169172</v>
      </c>
      <c r="BM48" s="323">
        <f t="shared" si="312"/>
        <v>2.6956306016182356</v>
      </c>
      <c r="BN48" s="323">
        <f t="shared" si="312"/>
        <v>8.386235540281886</v>
      </c>
      <c r="BO48" s="323">
        <f>BO45/BO44</f>
        <v>1.9545804304872305</v>
      </c>
      <c r="BP48" s="323">
        <f t="shared" ref="BP48:EA48" si="313">BP45/BP44</f>
        <v>2.1493643225773251</v>
      </c>
      <c r="BQ48" s="323">
        <f t="shared" si="313"/>
        <v>4.1144041513131331</v>
      </c>
      <c r="BR48" s="323">
        <f t="shared" si="313"/>
        <v>1.972584435065823</v>
      </c>
      <c r="BS48" s="323">
        <f t="shared" si="313"/>
        <v>6.0818864021989674</v>
      </c>
      <c r="BT48" s="323">
        <f t="shared" si="313"/>
        <v>2.8971460945783658</v>
      </c>
      <c r="BU48" s="323">
        <f t="shared" si="313"/>
        <v>9.0342532089775567</v>
      </c>
      <c r="BV48" s="323">
        <f t="shared" si="313"/>
        <v>2.12471753457468</v>
      </c>
      <c r="BW48" s="323">
        <f t="shared" si="313"/>
        <v>2.3009889293617691</v>
      </c>
      <c r="BX48" s="323">
        <f t="shared" si="313"/>
        <v>4.4314009760650572</v>
      </c>
      <c r="BY48" s="323">
        <f t="shared" si="313"/>
        <v>2.4524059595902403</v>
      </c>
      <c r="BZ48" s="323">
        <f t="shared" si="313"/>
        <v>6.890534603374638</v>
      </c>
      <c r="CA48" s="323">
        <f t="shared" si="313"/>
        <v>3.3493896066546736</v>
      </c>
      <c r="CB48" s="323">
        <f t="shared" si="313"/>
        <v>10.308191033514619</v>
      </c>
      <c r="CC48" s="323">
        <f t="shared" si="313"/>
        <v>2.19918329641358</v>
      </c>
      <c r="CD48" s="323">
        <f t="shared" si="313"/>
        <v>2.5134337663588324</v>
      </c>
      <c r="CE48" s="323">
        <f t="shared" si="313"/>
        <v>4.7184320862023457</v>
      </c>
      <c r="CF48" s="323">
        <f t="shared" si="313"/>
        <v>2.4384038455848911</v>
      </c>
      <c r="CG48" s="323">
        <f t="shared" si="313"/>
        <v>7.1598102209480317</v>
      </c>
      <c r="CH48" s="323">
        <f t="shared" si="313"/>
        <v>3.2144050341541752</v>
      </c>
      <c r="CI48" s="323">
        <f t="shared" si="313"/>
        <v>10.461514901935654</v>
      </c>
      <c r="CJ48" s="323">
        <f t="shared" si="313"/>
        <v>2.3193026787605202</v>
      </c>
      <c r="CK48" s="323">
        <f t="shared" si="313"/>
        <v>2.6251883469488129</v>
      </c>
      <c r="CL48" s="323">
        <f t="shared" si="313"/>
        <v>4.9523971930719934</v>
      </c>
      <c r="CM48" s="323">
        <f t="shared" si="313"/>
        <v>2.6655072135275355</v>
      </c>
      <c r="CN48" s="323">
        <f t="shared" si="313"/>
        <v>7.6292117575708183</v>
      </c>
      <c r="CO48" s="323">
        <f t="shared" si="313"/>
        <v>3.494433213088401</v>
      </c>
      <c r="CP48" s="323">
        <f t="shared" si="313"/>
        <v>11.177808579412956</v>
      </c>
      <c r="CQ48" s="323">
        <f t="shared" si="313"/>
        <v>2.4130574965795089</v>
      </c>
      <c r="CR48" s="323">
        <f t="shared" si="313"/>
        <v>2.6220739102670025</v>
      </c>
      <c r="CS48" s="323">
        <f t="shared" si="313"/>
        <v>5.0385945568968431</v>
      </c>
      <c r="CT48" s="323">
        <f t="shared" si="313"/>
        <v>2.6459557221361178</v>
      </c>
      <c r="CU48" s="323">
        <f t="shared" si="313"/>
        <v>7.6902100784367509</v>
      </c>
      <c r="CV48" s="323">
        <f t="shared" si="313"/>
        <v>3.598117794204339</v>
      </c>
      <c r="CW48" s="323">
        <f t="shared" si="313"/>
        <v>11.340282988986123</v>
      </c>
      <c r="CX48" s="323">
        <f t="shared" si="313"/>
        <v>2.4053905264723952</v>
      </c>
      <c r="CY48" s="323">
        <f t="shared" si="313"/>
        <v>2.4044979514749287</v>
      </c>
      <c r="CZ48" s="323">
        <f t="shared" si="313"/>
        <v>4.8098738788431987</v>
      </c>
      <c r="DA48" s="323">
        <f t="shared" si="313"/>
        <v>2.4076990889059022</v>
      </c>
      <c r="DB48" s="323">
        <f t="shared" si="313"/>
        <v>7.2175906418737465</v>
      </c>
      <c r="DC48" s="323">
        <f t="shared" si="313"/>
        <v>3.6465778097113302</v>
      </c>
      <c r="DD48" s="323">
        <f t="shared" si="313"/>
        <v>10.875776990785457</v>
      </c>
      <c r="DE48" s="323">
        <f t="shared" si="313"/>
        <v>2.2636383272826284</v>
      </c>
      <c r="DF48" s="323">
        <f t="shared" si="313"/>
        <v>1.023617896022549</v>
      </c>
      <c r="DG48" s="323">
        <f t="shared" si="313"/>
        <v>3.2853104883259734</v>
      </c>
      <c r="DH48" s="323">
        <f t="shared" si="313"/>
        <v>3.0517920382180188</v>
      </c>
      <c r="DI48" s="323">
        <f t="shared" si="313"/>
        <v>6.341178347599552</v>
      </c>
      <c r="DJ48" s="323">
        <f t="shared" si="313"/>
        <v>4.2074411440458457</v>
      </c>
      <c r="DK48" s="323">
        <f t="shared" si="313"/>
        <v>10.561829944307176</v>
      </c>
      <c r="DL48" s="323">
        <f t="shared" si="313"/>
        <v>2.1904679564162439</v>
      </c>
      <c r="DM48" s="323">
        <f t="shared" si="313"/>
        <v>3.0589035990131199</v>
      </c>
      <c r="DN48" s="323">
        <f t="shared" si="313"/>
        <v>5.2670751587968869</v>
      </c>
      <c r="DO48" s="323">
        <f t="shared" si="313"/>
        <v>3.51821612138763</v>
      </c>
      <c r="DP48" s="323">
        <f t="shared" si="313"/>
        <v>8.8035170360013986</v>
      </c>
      <c r="DQ48" s="323">
        <f t="shared" si="313"/>
        <v>4.4418290685737816</v>
      </c>
      <c r="DR48" s="323">
        <f t="shared" si="313"/>
        <v>13.26851667419141</v>
      </c>
      <c r="DS48" s="323">
        <f t="shared" si="313"/>
        <v>2.7767847795048546</v>
      </c>
      <c r="DT48" s="323">
        <f t="shared" si="313"/>
        <v>2.5903297629148239</v>
      </c>
      <c r="DU48" s="323">
        <f t="shared" si="313"/>
        <v>5.366504943234661</v>
      </c>
      <c r="DV48" s="323">
        <f t="shared" si="313"/>
        <v>2.4851300308994895</v>
      </c>
      <c r="DW48" s="323">
        <f t="shared" si="313"/>
        <v>7.8487917582812603</v>
      </c>
      <c r="DX48" s="323">
        <f t="shared" si="313"/>
        <v>3.3100897116706625</v>
      </c>
      <c r="DY48" s="323">
        <f t="shared" si="313"/>
        <v>11.170718361424845</v>
      </c>
      <c r="DZ48" s="323">
        <f t="shared" si="313"/>
        <v>2.3810493921007776</v>
      </c>
      <c r="EA48" s="323">
        <f t="shared" si="313"/>
        <v>2.3990161883160708</v>
      </c>
      <c r="EB48" s="323">
        <f t="shared" ref="EB48:ED48" si="314">EB45/EB44</f>
        <v>4.7795307443097661</v>
      </c>
      <c r="EC48" s="323">
        <f t="shared" si="314"/>
        <v>2.5734948266411579</v>
      </c>
      <c r="ED48" s="323">
        <f t="shared" si="314"/>
        <v>7.3480878325126042</v>
      </c>
      <c r="EE48" s="323">
        <f t="shared" ref="EE48:EF48" si="315">EE45/EE44</f>
        <v>3.730886724910802</v>
      </c>
      <c r="EF48" s="323">
        <f t="shared" si="315"/>
        <v>11.038101296751959</v>
      </c>
      <c r="EG48" s="323">
        <f t="shared" ref="EG48:EK48" si="316">EG45/EG44</f>
        <v>2.777367277294629</v>
      </c>
      <c r="EH48" s="323">
        <f t="shared" si="316"/>
        <v>2.7800727834621588</v>
      </c>
      <c r="EI48" s="323">
        <f t="shared" si="316"/>
        <v>5.5574126670964175</v>
      </c>
      <c r="EJ48" s="323">
        <f t="shared" si="316"/>
        <v>3.0422218933744016</v>
      </c>
      <c r="EK48" s="323">
        <f t="shared" si="316"/>
        <v>8.5974112478028974</v>
      </c>
      <c r="EL48" s="323">
        <f t="shared" ref="EL48:EN48" si="317">EL45/EL44</f>
        <v>4.3476513404998061</v>
      </c>
      <c r="EM48" s="323">
        <f t="shared" si="317"/>
        <v>14.145707783714609</v>
      </c>
      <c r="EN48" s="323">
        <f t="shared" si="317"/>
        <v>2.9341963963906084</v>
      </c>
      <c r="EO48" s="323">
        <v>3.068252830496299</v>
      </c>
      <c r="EP48" s="323">
        <v>6.0020096228306734</v>
      </c>
      <c r="EQ48" s="323">
        <f>EQ45/EQ44</f>
        <v>3.1055824376169401</v>
      </c>
      <c r="ER48" s="323">
        <f>ER45/ER44</f>
        <v>9.1077419225405709</v>
      </c>
      <c r="ES48" s="323">
        <f>ES45/ES44</f>
        <v>4.380779418174825</v>
      </c>
      <c r="ET48" s="323">
        <f>ET45/ET44</f>
        <v>13.498747678289144</v>
      </c>
      <c r="EU48" s="323">
        <f t="shared" ref="EU48:EW48" si="318">EU45/EU44</f>
        <v>2.9775639412485297</v>
      </c>
      <c r="EV48" s="323">
        <f t="shared" si="318"/>
        <v>3.0332850238438125</v>
      </c>
      <c r="EW48" s="323">
        <f t="shared" si="318"/>
        <v>6.0108433475513987</v>
      </c>
    </row>
    <row r="49" spans="1:153" ht="16.350000000000001" customHeight="1">
      <c r="A49" s="174"/>
      <c r="B49" s="160" t="s">
        <v>2326</v>
      </c>
      <c r="C49" s="160" t="s">
        <v>2320</v>
      </c>
      <c r="D49" s="126" t="s">
        <v>624</v>
      </c>
      <c r="E49" s="126" t="s">
        <v>624</v>
      </c>
      <c r="F49" s="126" t="s">
        <v>624</v>
      </c>
      <c r="G49" s="126" t="s">
        <v>624</v>
      </c>
      <c r="H49" s="126" t="s">
        <v>624</v>
      </c>
      <c r="I49" s="126" t="s">
        <v>624</v>
      </c>
      <c r="J49" s="126" t="s">
        <v>624</v>
      </c>
      <c r="K49" s="126" t="s">
        <v>624</v>
      </c>
      <c r="L49" s="126" t="s">
        <v>624</v>
      </c>
      <c r="M49" s="126" t="s">
        <v>624</v>
      </c>
      <c r="N49" s="126" t="s">
        <v>624</v>
      </c>
      <c r="O49" s="126" t="s">
        <v>624</v>
      </c>
      <c r="P49" s="126" t="s">
        <v>624</v>
      </c>
      <c r="Q49" s="126" t="s">
        <v>624</v>
      </c>
      <c r="R49" s="126" t="s">
        <v>624</v>
      </c>
      <c r="S49" s="126" t="s">
        <v>624</v>
      </c>
      <c r="T49" s="126" t="s">
        <v>624</v>
      </c>
      <c r="U49" s="126" t="s">
        <v>624</v>
      </c>
      <c r="V49" s="126" t="s">
        <v>624</v>
      </c>
      <c r="W49" s="126" t="s">
        <v>624</v>
      </c>
      <c r="X49" s="126" t="s">
        <v>624</v>
      </c>
      <c r="Y49" s="126" t="s">
        <v>624</v>
      </c>
      <c r="Z49" s="126" t="s">
        <v>624</v>
      </c>
      <c r="AA49" s="126" t="s">
        <v>624</v>
      </c>
      <c r="AB49" s="126" t="s">
        <v>624</v>
      </c>
      <c r="AC49" s="126" t="s">
        <v>624</v>
      </c>
      <c r="AD49" s="126" t="s">
        <v>624</v>
      </c>
      <c r="AE49" s="126" t="s">
        <v>624</v>
      </c>
      <c r="AF49" s="126" t="s">
        <v>624</v>
      </c>
      <c r="AG49" s="126" t="s">
        <v>624</v>
      </c>
      <c r="AH49" s="126" t="s">
        <v>624</v>
      </c>
      <c r="AI49" s="126" t="s">
        <v>624</v>
      </c>
      <c r="AJ49" s="126" t="s">
        <v>624</v>
      </c>
      <c r="AK49" s="126" t="s">
        <v>624</v>
      </c>
      <c r="AL49" s="126" t="s">
        <v>624</v>
      </c>
      <c r="AM49" s="126" t="s">
        <v>624</v>
      </c>
      <c r="AN49" s="126" t="s">
        <v>624</v>
      </c>
      <c r="AO49" s="126" t="s">
        <v>624</v>
      </c>
      <c r="AP49" s="126" t="s">
        <v>624</v>
      </c>
      <c r="AQ49" s="126" t="s">
        <v>624</v>
      </c>
      <c r="AR49" s="126" t="s">
        <v>624</v>
      </c>
      <c r="AS49" s="126" t="s">
        <v>624</v>
      </c>
      <c r="AT49" s="126" t="s">
        <v>624</v>
      </c>
      <c r="AU49" s="126" t="s">
        <v>624</v>
      </c>
      <c r="AV49" s="126" t="s">
        <v>624</v>
      </c>
      <c r="AW49" s="126" t="s">
        <v>624</v>
      </c>
      <c r="AX49" s="126" t="s">
        <v>624</v>
      </c>
      <c r="AY49" s="126" t="s">
        <v>624</v>
      </c>
      <c r="AZ49" s="126" t="s">
        <v>624</v>
      </c>
      <c r="BA49" s="126" t="s">
        <v>624</v>
      </c>
      <c r="BB49" s="126" t="s">
        <v>624</v>
      </c>
      <c r="BC49" s="126" t="s">
        <v>624</v>
      </c>
      <c r="BD49" s="126" t="s">
        <v>624</v>
      </c>
      <c r="BE49" s="126" t="s">
        <v>624</v>
      </c>
      <c r="BF49" s="126" t="s">
        <v>624</v>
      </c>
      <c r="BG49" s="126" t="s">
        <v>624</v>
      </c>
      <c r="BH49" s="126" t="s">
        <v>624</v>
      </c>
      <c r="BI49" s="126" t="s">
        <v>624</v>
      </c>
      <c r="BJ49" s="126" t="s">
        <v>624</v>
      </c>
      <c r="BK49" s="126" t="s">
        <v>624</v>
      </c>
      <c r="BL49" s="126" t="s">
        <v>624</v>
      </c>
      <c r="BM49" s="126" t="s">
        <v>624</v>
      </c>
      <c r="BN49" s="126" t="s">
        <v>624</v>
      </c>
      <c r="BO49" s="126">
        <f t="shared" ref="BO49:BS49" si="319">BO48/BH48-1</f>
        <v>1.2091248575883951E-2</v>
      </c>
      <c r="BP49" s="126">
        <f t="shared" si="319"/>
        <v>2.9106281804010203E-2</v>
      </c>
      <c r="BQ49" s="126">
        <f t="shared" si="319"/>
        <v>2.3533736534032235E-2</v>
      </c>
      <c r="BR49" s="126">
        <f t="shared" si="319"/>
        <v>-8.0102784415958306E-2</v>
      </c>
      <c r="BS49" s="126">
        <f t="shared" si="319"/>
        <v>-1.4949304154203702E-3</v>
      </c>
      <c r="BT49" s="126">
        <f t="shared" ref="BT49:EC49" si="320">BT48/BM48-1</f>
        <v>7.4756345635472732E-2</v>
      </c>
      <c r="BU49" s="126">
        <f t="shared" si="320"/>
        <v>7.7271579790840095E-2</v>
      </c>
      <c r="BV49" s="126">
        <f t="shared" si="320"/>
        <v>8.7045332816024557E-2</v>
      </c>
      <c r="BW49" s="126">
        <f t="shared" si="320"/>
        <v>7.054393021776284E-2</v>
      </c>
      <c r="BX49" s="126">
        <f t="shared" si="320"/>
        <v>7.7045621454264079E-2</v>
      </c>
      <c r="BY49" s="126">
        <f t="shared" si="320"/>
        <v>0.2432451133623621</v>
      </c>
      <c r="BZ49" s="126">
        <f t="shared" si="320"/>
        <v>0.13296009621016536</v>
      </c>
      <c r="CA49" s="126">
        <f t="shared" si="320"/>
        <v>0.1560996571497113</v>
      </c>
      <c r="CB49" s="126">
        <f t="shared" si="320"/>
        <v>0.14101196801425941</v>
      </c>
      <c r="CC49" s="126">
        <f t="shared" si="320"/>
        <v>3.5047370121980226E-2</v>
      </c>
      <c r="CD49" s="126">
        <f t="shared" si="320"/>
        <v>9.2327622391468633E-2</v>
      </c>
      <c r="CE49" s="126">
        <f t="shared" si="320"/>
        <v>6.4772091644968333E-2</v>
      </c>
      <c r="CF49" s="126">
        <f t="shared" si="320"/>
        <v>-5.7095416648265118E-3</v>
      </c>
      <c r="CG49" s="126">
        <f t="shared" si="320"/>
        <v>3.9079060344826555E-2</v>
      </c>
      <c r="CH49" s="126">
        <f t="shared" si="320"/>
        <v>-4.0301245406717312E-2</v>
      </c>
      <c r="CI49" s="126">
        <f t="shared" si="320"/>
        <v>1.4873983992199857E-2</v>
      </c>
      <c r="CJ49" s="126">
        <f t="shared" si="320"/>
        <v>5.4619995769716212E-2</v>
      </c>
      <c r="CK49" s="126">
        <f t="shared" si="320"/>
        <v>4.4462910495500108E-2</v>
      </c>
      <c r="CL49" s="126">
        <f t="shared" si="320"/>
        <v>4.958535008987619E-2</v>
      </c>
      <c r="CM49" s="126">
        <f t="shared" si="320"/>
        <v>9.3136076845453664E-2</v>
      </c>
      <c r="CN49" s="126">
        <f t="shared" si="320"/>
        <v>6.5560611543783676E-2</v>
      </c>
      <c r="CO49" s="126">
        <f t="shared" si="320"/>
        <v>8.7116643969515017E-2</v>
      </c>
      <c r="CP49" s="126">
        <f t="shared" si="320"/>
        <v>6.8469402776912158E-2</v>
      </c>
      <c r="CQ49" s="126">
        <f t="shared" si="320"/>
        <v>4.0423709538891739E-2</v>
      </c>
      <c r="CR49" s="126">
        <f t="shared" si="320"/>
        <v>-1.1863669459869497E-3</v>
      </c>
      <c r="CS49" s="126">
        <f t="shared" si="320"/>
        <v>1.7405179848141605E-2</v>
      </c>
      <c r="CT49" s="126">
        <f t="shared" si="320"/>
        <v>-7.3349984919167666E-3</v>
      </c>
      <c r="CU49" s="126">
        <f t="shared" si="320"/>
        <v>7.9953634535574469E-3</v>
      </c>
      <c r="CV49" s="126">
        <f t="shared" si="320"/>
        <v>2.9671358641964352E-2</v>
      </c>
      <c r="CW49" s="126">
        <f t="shared" si="320"/>
        <v>1.4535443903772816E-2</v>
      </c>
      <c r="CX49" s="126">
        <f t="shared" si="320"/>
        <v>-3.1772844691771995E-3</v>
      </c>
      <c r="CY49" s="126">
        <f t="shared" si="320"/>
        <v>-8.2978575828901113E-2</v>
      </c>
      <c r="CZ49" s="126">
        <f t="shared" si="320"/>
        <v>-4.5393745313476508E-2</v>
      </c>
      <c r="DA49" s="126">
        <f t="shared" si="320"/>
        <v>-9.004558588677658E-2</v>
      </c>
      <c r="DB49" s="126">
        <f t="shared" si="320"/>
        <v>-6.1457285528287886E-2</v>
      </c>
      <c r="DC49" s="126">
        <f t="shared" si="320"/>
        <v>1.346815704173121E-2</v>
      </c>
      <c r="DD49" s="126">
        <f t="shared" si="320"/>
        <v>-4.0960706064549046E-2</v>
      </c>
      <c r="DE49" s="126">
        <f t="shared" si="320"/>
        <v>-5.8931054076134637E-2</v>
      </c>
      <c r="DF49" s="126">
        <f t="shared" si="320"/>
        <v>-0.57429038548581102</v>
      </c>
      <c r="DG49" s="126">
        <f t="shared" si="320"/>
        <v>-0.31696535687207905</v>
      </c>
      <c r="DH49" s="126">
        <f t="shared" si="320"/>
        <v>0.26751389003714876</v>
      </c>
      <c r="DI49" s="126">
        <f t="shared" si="320"/>
        <v>-0.12142726537988735</v>
      </c>
      <c r="DJ49" s="126">
        <f t="shared" si="320"/>
        <v>0.15380539333093646</v>
      </c>
      <c r="DK49" s="126">
        <f t="shared" si="320"/>
        <v>-2.8866631482447169E-2</v>
      </c>
      <c r="DL49" s="126">
        <f t="shared" si="320"/>
        <v>-3.2324232181658363E-2</v>
      </c>
      <c r="DM49" s="126">
        <f t="shared" si="320"/>
        <v>1.9883256348868446</v>
      </c>
      <c r="DN49" s="126">
        <f t="shared" si="320"/>
        <v>0.60321990189752794</v>
      </c>
      <c r="DO49" s="126">
        <f t="shared" si="320"/>
        <v>0.15283612950309755</v>
      </c>
      <c r="DP49" s="126">
        <f t="shared" si="320"/>
        <v>0.38830932571608923</v>
      </c>
      <c r="DQ49" s="126">
        <f t="shared" si="320"/>
        <v>5.570795086691338E-2</v>
      </c>
      <c r="DR49" s="126">
        <f t="shared" si="320"/>
        <v>0.25627062205665774</v>
      </c>
      <c r="DS49" s="126">
        <f t="shared" si="320"/>
        <v>0.26766738192685779</v>
      </c>
      <c r="DT49" s="126">
        <f t="shared" si="320"/>
        <v>-0.15318359043726315</v>
      </c>
      <c r="DU49" s="126">
        <f t="shared" si="320"/>
        <v>1.8877608813253843E-2</v>
      </c>
      <c r="DV49" s="126">
        <f t="shared" si="320"/>
        <v>-0.29363917816415386</v>
      </c>
      <c r="DW49" s="126">
        <f t="shared" si="320"/>
        <v>-0.1084481660926937</v>
      </c>
      <c r="DX49" s="126">
        <f t="shared" si="320"/>
        <v>-0.25479128967619347</v>
      </c>
      <c r="DY49" s="126">
        <f t="shared" si="320"/>
        <v>-0.15810345378296831</v>
      </c>
      <c r="DZ49" s="126">
        <f t="shared" si="320"/>
        <v>-0.14251568588424879</v>
      </c>
      <c r="EA49" s="126">
        <f t="shared" si="320"/>
        <v>-7.385684144843141E-2</v>
      </c>
      <c r="EB49" s="126">
        <f t="shared" si="320"/>
        <v>-0.10937737039912165</v>
      </c>
      <c r="EC49" s="126">
        <f t="shared" si="320"/>
        <v>3.5557413351801515E-2</v>
      </c>
      <c r="ED49" s="126">
        <f>ED48/DW48-1</f>
        <v>-6.3793758477585172E-2</v>
      </c>
      <c r="EE49" s="126">
        <f>EE48/DX48-1</f>
        <v>0.1271255615086504</v>
      </c>
      <c r="EF49" s="126">
        <f>EF48/DY48-1</f>
        <v>-1.1871847483940101E-2</v>
      </c>
      <c r="EG49" s="126">
        <f>EG48/DZ48-1</f>
        <v>0.16644672996228094</v>
      </c>
      <c r="EH49" s="126">
        <f t="shared" ref="EH49" si="321">EH48/EA48-1</f>
        <v>0.15883869271159901</v>
      </c>
      <c r="EI49" s="126">
        <f t="shared" ref="EI49:EK49" si="322">EI48/EB48-1</f>
        <v>0.16275278147603767</v>
      </c>
      <c r="EJ49" s="126">
        <f t="shared" si="322"/>
        <v>0.18213639362353451</v>
      </c>
      <c r="EK49" s="126">
        <f t="shared" si="322"/>
        <v>0.17002020712960086</v>
      </c>
      <c r="EL49" s="126">
        <f t="shared" ref="EL49:EN49" si="323">EL48/EE48-1</f>
        <v>0.16531314431792343</v>
      </c>
      <c r="EM49" s="126">
        <f t="shared" ref="EM49" si="324">EM48/EF48-1</f>
        <v>0.28153451426261933</v>
      </c>
      <c r="EN49" s="126">
        <f t="shared" si="323"/>
        <v>5.6466827552149823E-2</v>
      </c>
      <c r="EO49" s="126">
        <v>0.10365917351100995</v>
      </c>
      <c r="EP49" s="126">
        <v>8.0000709388843072E-2</v>
      </c>
      <c r="EQ49" s="126">
        <f>EQ48/EJ48-1</f>
        <v>2.0827062082660719E-2</v>
      </c>
      <c r="ER49" s="126">
        <f>ER48/EK48-1</f>
        <v>5.9358644134662075E-2</v>
      </c>
      <c r="ES49" s="126">
        <f>ES48/EL48-1</f>
        <v>7.6197641164137409E-3</v>
      </c>
      <c r="ET49" s="126">
        <f>ET48/EM48-1</f>
        <v>-4.5735435463348462E-2</v>
      </c>
      <c r="EU49" s="126">
        <f t="shared" ref="EU49:EW49" si="325">EU48/EN48-1</f>
        <v>1.4780041619323114E-2</v>
      </c>
      <c r="EV49" s="126">
        <f t="shared" si="325"/>
        <v>-1.1396650988122925E-2</v>
      </c>
      <c r="EW49" s="126">
        <f t="shared" si="325"/>
        <v>1.4717944948177131E-3</v>
      </c>
    </row>
    <row r="50" spans="1:153" ht="16.350000000000001" customHeight="1">
      <c r="A50" s="174"/>
      <c r="B50" s="160"/>
      <c r="C50" s="160"/>
      <c r="D50" s="126"/>
      <c r="E50" s="126"/>
      <c r="F50" s="126"/>
      <c r="G50" s="126"/>
      <c r="H50" s="126"/>
      <c r="I50" s="126"/>
      <c r="J50" s="126"/>
      <c r="K50" s="126"/>
      <c r="L50" s="126"/>
      <c r="M50" s="126"/>
      <c r="N50" s="126"/>
      <c r="O50" s="126"/>
      <c r="P50" s="126"/>
      <c r="Q50" s="126"/>
      <c r="R50" s="126"/>
      <c r="S50" s="126"/>
      <c r="T50" s="126"/>
      <c r="U50" s="126"/>
      <c r="V50" s="126"/>
      <c r="W50" s="126"/>
      <c r="X50" s="126"/>
      <c r="Y50" s="126"/>
      <c r="Z50" s="126"/>
      <c r="AA50" s="126"/>
      <c r="AB50" s="126"/>
      <c r="AC50" s="126"/>
      <c r="AD50" s="126"/>
      <c r="AE50" s="126"/>
      <c r="AF50" s="126"/>
      <c r="AG50" s="126"/>
      <c r="AH50" s="126"/>
      <c r="AI50" s="126"/>
      <c r="AJ50" s="126"/>
      <c r="AK50" s="126"/>
      <c r="AL50" s="126"/>
      <c r="AM50" s="126"/>
      <c r="AN50" s="126"/>
      <c r="AO50" s="126"/>
      <c r="AP50" s="126"/>
      <c r="AQ50" s="126"/>
      <c r="AR50" s="126"/>
      <c r="AS50" s="126"/>
      <c r="AT50" s="126"/>
      <c r="AU50" s="126"/>
      <c r="AV50" s="126"/>
      <c r="AW50" s="126"/>
      <c r="AX50" s="126"/>
      <c r="AY50" s="126"/>
      <c r="AZ50" s="126"/>
      <c r="BA50" s="126"/>
      <c r="BB50" s="126"/>
      <c r="BC50" s="126"/>
      <c r="BD50" s="126"/>
      <c r="BE50" s="126"/>
      <c r="BF50" s="126"/>
      <c r="BG50" s="126"/>
      <c r="BH50" s="126"/>
      <c r="BI50" s="126"/>
      <c r="BJ50" s="126"/>
      <c r="BK50" s="126"/>
      <c r="BL50" s="126"/>
      <c r="BM50" s="126"/>
      <c r="BN50" s="126"/>
      <c r="BO50" s="126"/>
      <c r="BP50" s="126"/>
      <c r="BQ50" s="126"/>
      <c r="BR50" s="126"/>
      <c r="BS50" s="126"/>
      <c r="BT50" s="126"/>
      <c r="BU50" s="126"/>
      <c r="BV50" s="126"/>
      <c r="BW50" s="126"/>
      <c r="BX50" s="126"/>
      <c r="BY50" s="126"/>
      <c r="BZ50" s="126"/>
      <c r="CA50" s="126"/>
      <c r="CB50" s="126"/>
      <c r="CC50" s="126"/>
      <c r="CD50" s="126"/>
      <c r="CE50" s="126"/>
      <c r="CF50" s="126"/>
      <c r="CG50" s="126"/>
      <c r="CH50" s="126"/>
      <c r="CI50" s="126"/>
      <c r="CJ50" s="126"/>
      <c r="CK50" s="126"/>
      <c r="CL50" s="126"/>
      <c r="CM50" s="126"/>
      <c r="CN50" s="126"/>
      <c r="CO50" s="126"/>
      <c r="CP50" s="126"/>
      <c r="CQ50" s="126"/>
      <c r="CR50" s="126"/>
      <c r="CS50" s="126"/>
      <c r="CT50" s="126"/>
      <c r="CU50" s="126"/>
      <c r="CV50" s="126"/>
      <c r="CW50" s="126"/>
      <c r="CX50" s="126"/>
      <c r="CY50" s="126"/>
      <c r="CZ50" s="126"/>
      <c r="DA50" s="126"/>
      <c r="DB50" s="126"/>
      <c r="DC50" s="126"/>
      <c r="DD50" s="126"/>
      <c r="DE50" s="126"/>
      <c r="DF50" s="126"/>
      <c r="DG50" s="126"/>
      <c r="DH50" s="126"/>
      <c r="DI50" s="126"/>
      <c r="DJ50" s="126"/>
      <c r="DK50" s="126"/>
      <c r="DL50" s="126"/>
      <c r="DM50" s="126"/>
      <c r="DN50" s="126"/>
      <c r="DO50" s="126"/>
      <c r="DP50" s="126"/>
      <c r="DQ50" s="126"/>
      <c r="DR50" s="126"/>
      <c r="DS50" s="126"/>
      <c r="DT50" s="126"/>
      <c r="DU50" s="126"/>
      <c r="DV50" s="126"/>
      <c r="DW50" s="126"/>
      <c r="DX50" s="126"/>
      <c r="DY50" s="126"/>
      <c r="DZ50" s="126"/>
      <c r="EA50" s="126"/>
      <c r="EB50" s="126"/>
      <c r="EC50" s="126"/>
      <c r="ED50" s="126"/>
      <c r="EE50" s="126"/>
      <c r="EF50" s="126"/>
      <c r="EG50" s="126"/>
      <c r="EH50" s="126"/>
      <c r="EI50" s="126"/>
      <c r="EJ50" s="126"/>
      <c r="EK50" s="126"/>
      <c r="EL50" s="126"/>
      <c r="EM50" s="126"/>
      <c r="EN50" s="126"/>
      <c r="EO50" s="126"/>
      <c r="EP50" s="126"/>
      <c r="EQ50" s="126"/>
      <c r="ER50" s="126"/>
      <c r="ES50" s="126"/>
      <c r="ET50" s="126"/>
      <c r="EU50" s="126"/>
      <c r="EV50" s="126"/>
      <c r="EW50" s="126"/>
    </row>
    <row r="51" spans="1:153" ht="16.350000000000001" customHeight="1">
      <c r="A51" s="174"/>
      <c r="B51" s="303" t="s">
        <v>127</v>
      </c>
      <c r="C51" s="303" t="s">
        <v>127</v>
      </c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  <c r="BC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P51" s="252"/>
      <c r="BQ51" s="252"/>
      <c r="BR51" s="252"/>
      <c r="BS51" s="252"/>
      <c r="BT51" s="252"/>
      <c r="BU51" s="252"/>
      <c r="BV51" s="252"/>
      <c r="BW51" s="252"/>
      <c r="BX51" s="252"/>
      <c r="BY51" s="252"/>
      <c r="BZ51" s="252"/>
      <c r="CA51" s="252"/>
      <c r="CB51" s="252"/>
      <c r="CC51" s="252"/>
      <c r="CD51" s="252"/>
      <c r="CE51" s="252"/>
      <c r="CF51" s="252"/>
      <c r="CG51" s="252"/>
      <c r="CH51" s="252"/>
      <c r="CI51" s="252"/>
      <c r="CJ51" s="252"/>
      <c r="CK51" s="252"/>
      <c r="CL51" s="252"/>
      <c r="CM51" s="252"/>
      <c r="CN51" s="252"/>
      <c r="CO51" s="252"/>
      <c r="CP51" s="252"/>
      <c r="CQ51" s="252"/>
      <c r="CR51" s="248"/>
      <c r="CS51" s="248"/>
      <c r="CT51" s="327"/>
      <c r="CU51" s="327"/>
      <c r="CV51" s="327"/>
      <c r="CW51" s="327"/>
      <c r="CX51" s="327"/>
      <c r="CY51" s="327"/>
      <c r="CZ51" s="248"/>
      <c r="DA51" s="252"/>
      <c r="DB51" s="252"/>
      <c r="DC51" s="252"/>
      <c r="DD51" s="252"/>
      <c r="DE51" s="252"/>
      <c r="DF51" s="327"/>
      <c r="DG51" s="248"/>
      <c r="DH51" s="327"/>
      <c r="DI51" s="248"/>
      <c r="DJ51" s="327"/>
      <c r="DK51" s="248"/>
      <c r="DL51" s="252"/>
      <c r="DM51" s="252"/>
      <c r="DN51" s="248"/>
      <c r="DO51" s="327"/>
      <c r="DP51" s="248"/>
      <c r="DQ51" s="327"/>
      <c r="DR51" s="248"/>
      <c r="DS51" s="327"/>
      <c r="DT51" s="327"/>
      <c r="DU51" s="327"/>
      <c r="DV51" s="327"/>
      <c r="DW51" s="327"/>
      <c r="DX51" s="327"/>
      <c r="DY51" s="327"/>
      <c r="DZ51" s="327"/>
      <c r="EA51" s="327"/>
      <c r="EB51" s="327"/>
      <c r="EC51" s="327"/>
      <c r="ED51" s="327"/>
      <c r="EE51" s="327"/>
      <c r="EF51" s="327"/>
      <c r="EG51" s="327"/>
      <c r="EH51" s="327"/>
      <c r="EI51" s="327"/>
      <c r="EJ51" s="327"/>
      <c r="EK51" s="327"/>
      <c r="EL51" s="327"/>
      <c r="EM51" s="327"/>
      <c r="EN51" s="327"/>
      <c r="EO51" s="327"/>
      <c r="EP51" s="327"/>
      <c r="EQ51" s="327"/>
      <c r="ER51" s="327"/>
      <c r="ES51" s="327"/>
      <c r="ET51" s="327"/>
      <c r="EU51" s="327"/>
      <c r="EV51" s="327"/>
      <c r="EW51" s="327"/>
    </row>
    <row r="52" spans="1:153" ht="16.350000000000001" customHeight="1">
      <c r="A52" s="250"/>
      <c r="B52" s="328" t="s">
        <v>635</v>
      </c>
      <c r="C52" s="328" t="s">
        <v>636</v>
      </c>
      <c r="D52" s="323">
        <v>0</v>
      </c>
      <c r="E52" s="323">
        <v>0</v>
      </c>
      <c r="F52" s="323">
        <v>0</v>
      </c>
      <c r="G52" s="323">
        <v>0</v>
      </c>
      <c r="H52" s="323">
        <v>0</v>
      </c>
      <c r="I52" s="323">
        <v>0</v>
      </c>
      <c r="J52" s="323">
        <v>0</v>
      </c>
      <c r="K52" s="323">
        <v>0</v>
      </c>
      <c r="L52" s="323">
        <v>0</v>
      </c>
      <c r="M52" s="323">
        <v>0</v>
      </c>
      <c r="N52" s="323">
        <v>0</v>
      </c>
      <c r="O52" s="323">
        <v>0</v>
      </c>
      <c r="P52" s="323">
        <v>0</v>
      </c>
      <c r="Q52" s="323">
        <v>0</v>
      </c>
      <c r="R52" s="323">
        <v>0</v>
      </c>
      <c r="S52" s="323">
        <v>0</v>
      </c>
      <c r="T52" s="323">
        <v>0</v>
      </c>
      <c r="U52" s="323">
        <v>0</v>
      </c>
      <c r="V52" s="323">
        <v>0</v>
      </c>
      <c r="W52" s="323">
        <v>0</v>
      </c>
      <c r="X52" s="323">
        <v>0</v>
      </c>
      <c r="Y52" s="323">
        <v>0</v>
      </c>
      <c r="Z52" s="323">
        <v>0</v>
      </c>
      <c r="AA52" s="323">
        <v>0</v>
      </c>
      <c r="AB52" s="323">
        <v>0</v>
      </c>
      <c r="AC52" s="323">
        <v>0</v>
      </c>
      <c r="AD52" s="323">
        <v>0</v>
      </c>
      <c r="AE52" s="323">
        <v>0</v>
      </c>
      <c r="AF52" s="323">
        <v>0</v>
      </c>
      <c r="AG52" s="323">
        <v>0</v>
      </c>
      <c r="AH52" s="323">
        <v>0</v>
      </c>
      <c r="AI52" s="323">
        <v>0</v>
      </c>
      <c r="AJ52" s="323">
        <v>0</v>
      </c>
      <c r="AK52" s="323">
        <v>0</v>
      </c>
      <c r="AL52" s="323">
        <v>0</v>
      </c>
      <c r="AM52" s="323">
        <v>0</v>
      </c>
      <c r="AN52" s="323">
        <v>0</v>
      </c>
      <c r="AO52" s="323">
        <v>0</v>
      </c>
      <c r="AP52" s="323">
        <v>0</v>
      </c>
      <c r="AQ52" s="323">
        <v>0</v>
      </c>
      <c r="AR52" s="323">
        <v>0</v>
      </c>
      <c r="AS52" s="323">
        <v>0</v>
      </c>
      <c r="AT52" s="323">
        <v>0</v>
      </c>
      <c r="AU52" s="323">
        <v>0</v>
      </c>
      <c r="AV52" s="323">
        <v>0</v>
      </c>
      <c r="AW52" s="323">
        <v>0</v>
      </c>
      <c r="AX52" s="323">
        <v>0</v>
      </c>
      <c r="AY52" s="323">
        <v>0</v>
      </c>
      <c r="AZ52" s="323">
        <v>0</v>
      </c>
      <c r="BA52" s="323">
        <v>0</v>
      </c>
      <c r="BB52" s="323">
        <v>0</v>
      </c>
      <c r="BC52" s="323">
        <v>0</v>
      </c>
      <c r="BD52" s="323">
        <v>0</v>
      </c>
      <c r="BE52" s="323">
        <v>0</v>
      </c>
      <c r="BF52" s="323">
        <v>0</v>
      </c>
      <c r="BG52" s="323">
        <v>0</v>
      </c>
      <c r="BH52" s="323">
        <v>0</v>
      </c>
      <c r="BI52" s="323">
        <v>0</v>
      </c>
      <c r="BJ52" s="323">
        <v>0</v>
      </c>
      <c r="BK52" s="323">
        <v>9</v>
      </c>
      <c r="BL52" s="323">
        <f>BK52</f>
        <v>9</v>
      </c>
      <c r="BM52" s="323">
        <v>15</v>
      </c>
      <c r="BN52" s="334">
        <f>BM52</f>
        <v>15</v>
      </c>
      <c r="BO52" s="334">
        <v>15</v>
      </c>
      <c r="BP52" s="334">
        <v>20</v>
      </c>
      <c r="BQ52" s="334">
        <f>BP52</f>
        <v>20</v>
      </c>
      <c r="BR52" s="334">
        <v>23</v>
      </c>
      <c r="BS52" s="334">
        <f>BR52</f>
        <v>23</v>
      </c>
      <c r="BT52" s="334">
        <v>25</v>
      </c>
      <c r="BU52" s="334">
        <v>25</v>
      </c>
      <c r="BV52" s="334">
        <v>25</v>
      </c>
      <c r="BW52" s="334">
        <v>28</v>
      </c>
      <c r="BX52" s="334">
        <f>BW52</f>
        <v>28</v>
      </c>
      <c r="BY52" s="334">
        <v>28</v>
      </c>
      <c r="BZ52" s="334">
        <f>BY52</f>
        <v>28</v>
      </c>
      <c r="CA52" s="334">
        <v>37</v>
      </c>
      <c r="CB52" s="334">
        <f>CA52</f>
        <v>37</v>
      </c>
      <c r="CC52" s="334">
        <v>41</v>
      </c>
      <c r="CD52" s="334">
        <v>52</v>
      </c>
      <c r="CE52" s="334">
        <f>CD52</f>
        <v>52</v>
      </c>
      <c r="CF52" s="334">
        <v>52</v>
      </c>
      <c r="CG52" s="334">
        <f>CF52</f>
        <v>52</v>
      </c>
      <c r="CH52" s="334">
        <v>59</v>
      </c>
      <c r="CI52" s="334">
        <f>CH52</f>
        <v>59</v>
      </c>
      <c r="CJ52" s="334">
        <v>64</v>
      </c>
      <c r="CK52" s="334">
        <v>70</v>
      </c>
      <c r="CL52" s="334">
        <f>CK52</f>
        <v>70</v>
      </c>
      <c r="CM52" s="334">
        <v>76</v>
      </c>
      <c r="CN52" s="334">
        <f>CM52</f>
        <v>76</v>
      </c>
      <c r="CO52" s="334">
        <v>84</v>
      </c>
      <c r="CP52" s="334">
        <f>CO52</f>
        <v>84</v>
      </c>
      <c r="CQ52" s="334">
        <v>85</v>
      </c>
      <c r="CR52" s="334">
        <v>92</v>
      </c>
      <c r="CS52" s="334">
        <f>CR52</f>
        <v>92</v>
      </c>
      <c r="CT52" s="334">
        <v>90</v>
      </c>
      <c r="CU52" s="334">
        <f>CT52</f>
        <v>90</v>
      </c>
      <c r="CV52" s="334">
        <v>94</v>
      </c>
      <c r="CW52" s="334">
        <f>CV52</f>
        <v>94</v>
      </c>
      <c r="CX52" s="334">
        <v>94</v>
      </c>
      <c r="CY52" s="334">
        <v>97</v>
      </c>
      <c r="CZ52" s="334">
        <f>CY52</f>
        <v>97</v>
      </c>
      <c r="DA52" s="334">
        <v>96</v>
      </c>
      <c r="DB52" s="334">
        <f>DA52</f>
        <v>96</v>
      </c>
      <c r="DC52" s="334">
        <v>101</v>
      </c>
      <c r="DD52" s="334">
        <f>DC52</f>
        <v>101</v>
      </c>
      <c r="DE52" s="334">
        <v>98</v>
      </c>
      <c r="DF52" s="334">
        <f>DE52</f>
        <v>98</v>
      </c>
      <c r="DG52" s="334">
        <f>DF52</f>
        <v>98</v>
      </c>
      <c r="DH52" s="334">
        <v>100</v>
      </c>
      <c r="DI52" s="334">
        <f>DH52</f>
        <v>100</v>
      </c>
      <c r="DJ52" s="334">
        <v>100</v>
      </c>
      <c r="DK52" s="334">
        <f>DJ52</f>
        <v>100</v>
      </c>
      <c r="DL52" s="334">
        <v>99</v>
      </c>
      <c r="DM52" s="334">
        <v>103</v>
      </c>
      <c r="DN52" s="334">
        <f>DM52</f>
        <v>103</v>
      </c>
      <c r="DO52" s="334">
        <v>104</v>
      </c>
      <c r="DP52" s="334">
        <f>DO52</f>
        <v>104</v>
      </c>
      <c r="DQ52" s="334">
        <v>104</v>
      </c>
      <c r="DR52" s="334">
        <f>DQ52</f>
        <v>104</v>
      </c>
      <c r="DS52" s="334">
        <v>104</v>
      </c>
      <c r="DT52" s="334">
        <v>112</v>
      </c>
      <c r="DU52" s="334">
        <f>DT52</f>
        <v>112</v>
      </c>
      <c r="DV52" s="334">
        <v>113</v>
      </c>
      <c r="DW52" s="334">
        <f>DV52</f>
        <v>113</v>
      </c>
      <c r="DX52" s="334">
        <v>114</v>
      </c>
      <c r="DY52" s="334">
        <f>DX52</f>
        <v>114</v>
      </c>
      <c r="DZ52" s="334">
        <v>111</v>
      </c>
      <c r="EA52" s="334">
        <v>115</v>
      </c>
      <c r="EB52" s="334">
        <f>EA52</f>
        <v>115</v>
      </c>
      <c r="EC52" s="334">
        <v>118</v>
      </c>
      <c r="ED52" s="334">
        <f t="shared" ref="ED52:EF52" si="326">EC52</f>
        <v>118</v>
      </c>
      <c r="EE52" s="334">
        <v>124</v>
      </c>
      <c r="EF52" s="334">
        <f t="shared" si="326"/>
        <v>124</v>
      </c>
      <c r="EG52" s="80">
        <f>EF52+EG53</f>
        <v>124</v>
      </c>
      <c r="EH52" s="334">
        <v>128</v>
      </c>
      <c r="EI52" s="334">
        <f>EH52</f>
        <v>128</v>
      </c>
      <c r="EJ52" s="334">
        <v>129</v>
      </c>
      <c r="EK52" s="334">
        <f>EJ52</f>
        <v>129</v>
      </c>
      <c r="EL52" s="334">
        <v>135</v>
      </c>
      <c r="EM52" s="334">
        <f>EL52</f>
        <v>135</v>
      </c>
      <c r="EN52" s="334">
        <v>135</v>
      </c>
      <c r="EO52" s="334">
        <v>139</v>
      </c>
      <c r="EP52" s="334">
        <v>139</v>
      </c>
      <c r="EQ52" s="334">
        <v>142</v>
      </c>
      <c r="ER52" s="334">
        <f>EQ52</f>
        <v>142</v>
      </c>
      <c r="ES52" s="334">
        <v>152</v>
      </c>
      <c r="ET52" s="334">
        <f>ES52</f>
        <v>152</v>
      </c>
      <c r="EU52" s="334">
        <f>ET52+EU53</f>
        <v>152</v>
      </c>
      <c r="EV52" s="334">
        <f>EU52+EV53</f>
        <v>161</v>
      </c>
      <c r="EW52" s="334">
        <f>EV52</f>
        <v>161</v>
      </c>
    </row>
    <row r="53" spans="1:153" ht="16.350000000000001" customHeight="1">
      <c r="A53" s="174"/>
      <c r="B53" s="160" t="s">
        <v>637</v>
      </c>
      <c r="C53" s="160" t="s">
        <v>638</v>
      </c>
      <c r="D53" s="80">
        <v>0</v>
      </c>
      <c r="E53" s="80">
        <v>0</v>
      </c>
      <c r="F53" s="80">
        <v>0</v>
      </c>
      <c r="G53" s="80">
        <v>0</v>
      </c>
      <c r="H53" s="80">
        <v>0</v>
      </c>
      <c r="I53" s="80">
        <v>0</v>
      </c>
      <c r="J53" s="80">
        <v>0</v>
      </c>
      <c r="K53" s="80">
        <f>+K52-J52</f>
        <v>0</v>
      </c>
      <c r="L53" s="80">
        <f>+L52-K52</f>
        <v>0</v>
      </c>
      <c r="M53" s="80">
        <f>+M52-J52</f>
        <v>0</v>
      </c>
      <c r="N53" s="80">
        <f>+N52-M52</f>
        <v>0</v>
      </c>
      <c r="O53" s="80">
        <f>+O52-J52</f>
        <v>0</v>
      </c>
      <c r="P53" s="80">
        <f>+P52-O52</f>
        <v>0</v>
      </c>
      <c r="Q53" s="80">
        <f>+Q52-J52</f>
        <v>0</v>
      </c>
      <c r="R53" s="80">
        <f>+R52-Q52</f>
        <v>0</v>
      </c>
      <c r="S53" s="80">
        <f>+S52-R52</f>
        <v>0</v>
      </c>
      <c r="T53" s="80">
        <f>+T52-Q52</f>
        <v>0</v>
      </c>
      <c r="U53" s="80">
        <f>+U52-T52</f>
        <v>0</v>
      </c>
      <c r="V53" s="80">
        <f>+V52-Q52</f>
        <v>0</v>
      </c>
      <c r="W53" s="80">
        <f>+W52-V52</f>
        <v>0</v>
      </c>
      <c r="X53" s="80">
        <f>+X52-Q52</f>
        <v>0</v>
      </c>
      <c r="Y53" s="80">
        <f>+Y52-X52</f>
        <v>0</v>
      </c>
      <c r="Z53" s="80">
        <f>+Z52-Y52</f>
        <v>0</v>
      </c>
      <c r="AA53" s="80">
        <f>+AA52-X52</f>
        <v>0</v>
      </c>
      <c r="AB53" s="80">
        <f>+AB52-AA52</f>
        <v>0</v>
      </c>
      <c r="AC53" s="80">
        <f>+AC52-X52</f>
        <v>0</v>
      </c>
      <c r="AD53" s="80">
        <f>+AD52-AC52</f>
        <v>0</v>
      </c>
      <c r="AE53" s="80">
        <f>+AE52-X52</f>
        <v>0</v>
      </c>
      <c r="AF53" s="80">
        <f>+AF52-AE52</f>
        <v>0</v>
      </c>
      <c r="AG53" s="80">
        <f>+AG52-AF52</f>
        <v>0</v>
      </c>
      <c r="AH53" s="80">
        <f>+AH52-AE52</f>
        <v>0</v>
      </c>
      <c r="AI53" s="80">
        <f>+AI52-AH52</f>
        <v>0</v>
      </c>
      <c r="AJ53" s="80">
        <f>+AJ52-AE52</f>
        <v>0</v>
      </c>
      <c r="AK53" s="80">
        <f>+AK52-AJ52</f>
        <v>0</v>
      </c>
      <c r="AL53" s="80">
        <f>+AL52-AE52</f>
        <v>0</v>
      </c>
      <c r="AM53" s="80">
        <f>+AM52-AL52</f>
        <v>0</v>
      </c>
      <c r="AN53" s="80">
        <f>+AN52-AM52</f>
        <v>0</v>
      </c>
      <c r="AO53" s="80">
        <f>+AO52-AL52</f>
        <v>0</v>
      </c>
      <c r="AP53" s="80">
        <f>+AP52-AO52</f>
        <v>0</v>
      </c>
      <c r="AQ53" s="80">
        <f>+AQ52-AL52</f>
        <v>0</v>
      </c>
      <c r="AR53" s="80">
        <f>+AR52-AQ52</f>
        <v>0</v>
      </c>
      <c r="AS53" s="80">
        <f>+AS52-AL52</f>
        <v>0</v>
      </c>
      <c r="AT53" s="80">
        <f>+AT52-AS52</f>
        <v>0</v>
      </c>
      <c r="AU53" s="80">
        <f>+AU52-AT52</f>
        <v>0</v>
      </c>
      <c r="AV53" s="80">
        <f>+AV52-AS52</f>
        <v>0</v>
      </c>
      <c r="AW53" s="80">
        <f>+AW52-AV52</f>
        <v>0</v>
      </c>
      <c r="AX53" s="80">
        <f>+AX52-AS52</f>
        <v>0</v>
      </c>
      <c r="AY53" s="80">
        <f>+AY52-AX52</f>
        <v>0</v>
      </c>
      <c r="AZ53" s="80">
        <f>+AZ52-AS52</f>
        <v>0</v>
      </c>
      <c r="BA53" s="80">
        <f>+BA52-AZ52</f>
        <v>0</v>
      </c>
      <c r="BB53" s="80">
        <f>+BB52-BA52</f>
        <v>0</v>
      </c>
      <c r="BC53" s="80">
        <f>+BC52-AZ52</f>
        <v>0</v>
      </c>
      <c r="BD53" s="80">
        <f>+BD52-BC52</f>
        <v>0</v>
      </c>
      <c r="BE53" s="80">
        <f>+BE52-AZ52</f>
        <v>0</v>
      </c>
      <c r="BF53" s="80">
        <f>+BF52-BE52</f>
        <v>0</v>
      </c>
      <c r="BG53" s="80">
        <f>+BG52-AZ52</f>
        <v>0</v>
      </c>
      <c r="BH53" s="80">
        <f>+BH52-BG52</f>
        <v>0</v>
      </c>
      <c r="BI53" s="80">
        <f>+BI52-BH52</f>
        <v>0</v>
      </c>
      <c r="BJ53" s="80">
        <f>+BJ52-BG52</f>
        <v>0</v>
      </c>
      <c r="BK53" s="80">
        <f>+BK52-BJ52</f>
        <v>9</v>
      </c>
      <c r="BL53" s="80">
        <f>+BL52-BG52</f>
        <v>9</v>
      </c>
      <c r="BM53" s="80">
        <f>+BM52-BL52</f>
        <v>6</v>
      </c>
      <c r="BN53" s="80">
        <f>+BN52-BG52</f>
        <v>15</v>
      </c>
      <c r="BO53" s="80">
        <f>+BO52-BN52</f>
        <v>0</v>
      </c>
      <c r="BP53" s="80">
        <f>+BP52-BO52</f>
        <v>5</v>
      </c>
      <c r="BQ53" s="80">
        <f>+BQ52-BN52</f>
        <v>5</v>
      </c>
      <c r="BR53" s="80">
        <f>+BR52-BQ52</f>
        <v>3</v>
      </c>
      <c r="BS53" s="80">
        <f>+BS52-BN52</f>
        <v>8</v>
      </c>
      <c r="BT53" s="80">
        <f>+BT52-BS52</f>
        <v>2</v>
      </c>
      <c r="BU53" s="80">
        <f>+BU52-BN52</f>
        <v>10</v>
      </c>
      <c r="BV53" s="80">
        <f>+BV52-BU52</f>
        <v>0</v>
      </c>
      <c r="BW53" s="80">
        <f>+BW52-BV52</f>
        <v>3</v>
      </c>
      <c r="BX53" s="80">
        <f>+BX52-BU52</f>
        <v>3</v>
      </c>
      <c r="BY53" s="80">
        <f>+BY52-BX52</f>
        <v>0</v>
      </c>
      <c r="BZ53" s="80">
        <f>+BZ52-BU52</f>
        <v>3</v>
      </c>
      <c r="CA53" s="80">
        <f>+CA52-BZ52</f>
        <v>9</v>
      </c>
      <c r="CB53" s="80">
        <f>+CB52-BU52</f>
        <v>12</v>
      </c>
      <c r="CC53" s="80">
        <f>+CC52-CB52</f>
        <v>4</v>
      </c>
      <c r="CD53" s="80">
        <f>+CD52-CC52</f>
        <v>11</v>
      </c>
      <c r="CE53" s="80">
        <f>+CE52-CB52</f>
        <v>15</v>
      </c>
      <c r="CF53" s="80">
        <f>+CF52-CE52</f>
        <v>0</v>
      </c>
      <c r="CG53" s="80">
        <f>+CG52-CB52</f>
        <v>15</v>
      </c>
      <c r="CH53" s="80">
        <f>+CH52-CG52</f>
        <v>7</v>
      </c>
      <c r="CI53" s="80">
        <f>+CI52-CB52</f>
        <v>22</v>
      </c>
      <c r="CJ53" s="80">
        <f>+CJ52-CI52</f>
        <v>5</v>
      </c>
      <c r="CK53" s="80">
        <f>+CK52-CJ52</f>
        <v>6</v>
      </c>
      <c r="CL53" s="80">
        <f>+CL52-CI52</f>
        <v>11</v>
      </c>
      <c r="CM53" s="80">
        <f>+CM52-CL52</f>
        <v>6</v>
      </c>
      <c r="CN53" s="80">
        <f>+CN52-CI52</f>
        <v>17</v>
      </c>
      <c r="CO53" s="80">
        <f>+CO52-CN52</f>
        <v>8</v>
      </c>
      <c r="CP53" s="80">
        <f>+CP52-CI52</f>
        <v>25</v>
      </c>
      <c r="CQ53" s="80">
        <f>+CQ52-CP52</f>
        <v>1</v>
      </c>
      <c r="CR53" s="80">
        <f>+CR52-CQ52</f>
        <v>7</v>
      </c>
      <c r="CS53" s="80">
        <f>+CS52-CP52</f>
        <v>8</v>
      </c>
      <c r="CT53" s="80">
        <f>+CT52-CS52</f>
        <v>-2</v>
      </c>
      <c r="CU53" s="80">
        <f>CS53+CT53</f>
        <v>6</v>
      </c>
      <c r="CV53" s="80">
        <f>CV52-CT52</f>
        <v>4</v>
      </c>
      <c r="CW53" s="80">
        <f>CU53+CV53</f>
        <v>10</v>
      </c>
      <c r="CX53" s="80">
        <f>CX52-CV52</f>
        <v>0</v>
      </c>
      <c r="CY53" s="80">
        <f>CY52-CX52</f>
        <v>3</v>
      </c>
      <c r="CZ53" s="80">
        <f>+CZ52-CW52</f>
        <v>3</v>
      </c>
      <c r="DA53" s="80">
        <f>+DA52-CZ52</f>
        <v>-1</v>
      </c>
      <c r="DB53" s="80">
        <f>+DB52-CW52</f>
        <v>2</v>
      </c>
      <c r="DC53" s="80">
        <f>+DC52-DB52</f>
        <v>5</v>
      </c>
      <c r="DD53" s="80">
        <f>+DD52-CW52</f>
        <v>7</v>
      </c>
      <c r="DE53" s="80">
        <f>+DE52-DD52</f>
        <v>-3</v>
      </c>
      <c r="DF53" s="80">
        <f>DF52-DE52</f>
        <v>0</v>
      </c>
      <c r="DG53" s="80">
        <f>+DG52-DD52</f>
        <v>-3</v>
      </c>
      <c r="DH53" s="80">
        <f>DH52-DG52</f>
        <v>2</v>
      </c>
      <c r="DI53" s="80">
        <f>+DI52-DC52</f>
        <v>-1</v>
      </c>
      <c r="DJ53" s="80">
        <f>DJ52-DI52</f>
        <v>0</v>
      </c>
      <c r="DK53" s="80">
        <f>+DK52-DD52</f>
        <v>-1</v>
      </c>
      <c r="DL53" s="80">
        <f>+DL52-DK52</f>
        <v>-1</v>
      </c>
      <c r="DM53" s="80">
        <f>+DM52-DL52</f>
        <v>4</v>
      </c>
      <c r="DN53" s="80">
        <f>+DN52-DK52</f>
        <v>3</v>
      </c>
      <c r="DO53" s="80">
        <f>DO52-DN52</f>
        <v>1</v>
      </c>
      <c r="DP53" s="80">
        <f>+DP52-DJ52</f>
        <v>4</v>
      </c>
      <c r="DQ53" s="80">
        <f>DQ52-DP52</f>
        <v>0</v>
      </c>
      <c r="DR53" s="80">
        <f>+DR52-DK52</f>
        <v>4</v>
      </c>
      <c r="DS53" s="80">
        <f>DS52-DR52</f>
        <v>0</v>
      </c>
      <c r="DT53" s="80">
        <f>DT52-DS52</f>
        <v>8</v>
      </c>
      <c r="DU53" s="80">
        <f>+DU52-DR52</f>
        <v>8</v>
      </c>
      <c r="DV53" s="80">
        <f>DV52-DU52</f>
        <v>1</v>
      </c>
      <c r="DW53" s="80">
        <f>+DW52-DR52</f>
        <v>9</v>
      </c>
      <c r="DX53" s="80">
        <f>DX52-DW52</f>
        <v>1</v>
      </c>
      <c r="DY53" s="80">
        <f>SUM(DW53:DX53)</f>
        <v>10</v>
      </c>
      <c r="DZ53" s="80">
        <f>DZ52-DY52</f>
        <v>-3</v>
      </c>
      <c r="EA53" s="80">
        <f>EA52-DZ52</f>
        <v>4</v>
      </c>
      <c r="EB53" s="80">
        <f>+EB52-DY52</f>
        <v>1</v>
      </c>
      <c r="EC53" s="80">
        <f>EC52-EB52</f>
        <v>3</v>
      </c>
      <c r="ED53" s="80">
        <f>+ED52-DY52</f>
        <v>4</v>
      </c>
      <c r="EE53" s="80">
        <f>+EE52-ED52</f>
        <v>6</v>
      </c>
      <c r="EF53" s="80">
        <f>+EF52-DY52</f>
        <v>10</v>
      </c>
      <c r="EG53" s="80">
        <v>0</v>
      </c>
      <c r="EH53" s="80">
        <f>EH52-EG52</f>
        <v>4</v>
      </c>
      <c r="EI53" s="80">
        <f>+EI52-EF52</f>
        <v>4</v>
      </c>
      <c r="EJ53" s="80">
        <f>EJ52-EI52</f>
        <v>1</v>
      </c>
      <c r="EK53" s="80">
        <f>+EK52-EF52</f>
        <v>5</v>
      </c>
      <c r="EL53" s="80">
        <f>EL52-EK52</f>
        <v>6</v>
      </c>
      <c r="EM53" s="80">
        <f>+EM52-EF52</f>
        <v>11</v>
      </c>
      <c r="EN53" s="80">
        <f>EN52-EM52</f>
        <v>0</v>
      </c>
      <c r="EO53" s="80">
        <v>4</v>
      </c>
      <c r="EP53" s="80">
        <f>SUM(EN53:EO53)</f>
        <v>4</v>
      </c>
      <c r="EQ53" s="80">
        <f>EQ52-EP52</f>
        <v>3</v>
      </c>
      <c r="ER53" s="80">
        <f>SUM(EP53:EQ53)</f>
        <v>7</v>
      </c>
      <c r="ES53" s="80">
        <f>ES52-ER52</f>
        <v>10</v>
      </c>
      <c r="ET53" s="80">
        <f>SUM(ER53:ES53)</f>
        <v>17</v>
      </c>
      <c r="EU53" s="80">
        <f>1-1</f>
        <v>0</v>
      </c>
      <c r="EV53" s="80">
        <f>9</f>
        <v>9</v>
      </c>
      <c r="EW53" s="80">
        <f>SUM(EU53:EV53)</f>
        <v>9</v>
      </c>
    </row>
    <row r="54" spans="1:153" ht="16.350000000000001" customHeight="1">
      <c r="A54" s="174"/>
      <c r="B54" s="160" t="s">
        <v>2327</v>
      </c>
      <c r="C54" s="160" t="s">
        <v>2328</v>
      </c>
      <c r="D54" s="323">
        <v>0</v>
      </c>
      <c r="E54" s="323">
        <v>0</v>
      </c>
      <c r="F54" s="323">
        <v>0</v>
      </c>
      <c r="G54" s="323">
        <v>0</v>
      </c>
      <c r="H54" s="323">
        <v>0</v>
      </c>
      <c r="I54" s="323">
        <v>0</v>
      </c>
      <c r="J54" s="323">
        <v>0</v>
      </c>
      <c r="K54" s="323">
        <v>0</v>
      </c>
      <c r="L54" s="323">
        <v>0</v>
      </c>
      <c r="M54" s="323">
        <v>0</v>
      </c>
      <c r="N54" s="323">
        <v>0</v>
      </c>
      <c r="O54" s="323">
        <v>0</v>
      </c>
      <c r="P54" s="323">
        <v>0</v>
      </c>
      <c r="Q54" s="323">
        <v>0</v>
      </c>
      <c r="R54" s="323">
        <v>0</v>
      </c>
      <c r="S54" s="323">
        <v>0</v>
      </c>
      <c r="T54" s="323">
        <v>0</v>
      </c>
      <c r="U54" s="323">
        <v>0</v>
      </c>
      <c r="V54" s="323">
        <v>0</v>
      </c>
      <c r="W54" s="323">
        <v>0</v>
      </c>
      <c r="X54" s="323">
        <v>0</v>
      </c>
      <c r="Y54" s="323">
        <v>0</v>
      </c>
      <c r="Z54" s="323">
        <v>0</v>
      </c>
      <c r="AA54" s="323">
        <v>0</v>
      </c>
      <c r="AB54" s="323">
        <v>0</v>
      </c>
      <c r="AC54" s="323">
        <v>0</v>
      </c>
      <c r="AD54" s="323">
        <v>0</v>
      </c>
      <c r="AE54" s="323">
        <v>0</v>
      </c>
      <c r="AF54" s="323">
        <v>0</v>
      </c>
      <c r="AG54" s="323">
        <v>0</v>
      </c>
      <c r="AH54" s="323">
        <v>0</v>
      </c>
      <c r="AI54" s="323">
        <v>0</v>
      </c>
      <c r="AJ54" s="323">
        <v>0</v>
      </c>
      <c r="AK54" s="323">
        <v>0</v>
      </c>
      <c r="AL54" s="323">
        <v>0</v>
      </c>
      <c r="AM54" s="323">
        <v>0</v>
      </c>
      <c r="AN54" s="323">
        <v>0</v>
      </c>
      <c r="AO54" s="323">
        <v>0</v>
      </c>
      <c r="AP54" s="323">
        <v>0</v>
      </c>
      <c r="AQ54" s="323">
        <v>0</v>
      </c>
      <c r="AR54" s="323">
        <v>0</v>
      </c>
      <c r="AS54" s="323">
        <v>0</v>
      </c>
      <c r="AT54" s="323">
        <v>0</v>
      </c>
      <c r="AU54" s="323">
        <v>0</v>
      </c>
      <c r="AV54" s="323">
        <v>0</v>
      </c>
      <c r="AW54" s="323">
        <v>0</v>
      </c>
      <c r="AX54" s="323">
        <v>0</v>
      </c>
      <c r="AY54" s="323">
        <v>0</v>
      </c>
      <c r="AZ54" s="323">
        <v>0</v>
      </c>
      <c r="BA54" s="323">
        <v>0</v>
      </c>
      <c r="BB54" s="323">
        <v>0</v>
      </c>
      <c r="BC54" s="323">
        <v>0</v>
      </c>
      <c r="BD54" s="323">
        <v>0</v>
      </c>
      <c r="BE54" s="323">
        <v>0</v>
      </c>
      <c r="BF54" s="323">
        <v>0</v>
      </c>
      <c r="BG54" s="323">
        <v>0</v>
      </c>
      <c r="BH54" s="323">
        <v>0</v>
      </c>
      <c r="BI54" s="323">
        <v>0</v>
      </c>
      <c r="BJ54" s="323">
        <v>0</v>
      </c>
      <c r="BK54" s="323">
        <v>1.4</v>
      </c>
      <c r="BL54" s="323">
        <v>1.4</v>
      </c>
      <c r="BM54" s="323">
        <v>2.2000000000000002</v>
      </c>
      <c r="BN54" s="323">
        <v>2.2000000000000002</v>
      </c>
      <c r="BO54" s="323">
        <v>2.169</v>
      </c>
      <c r="BP54" s="323">
        <v>2.504</v>
      </c>
      <c r="BQ54" s="323">
        <f>BP54</f>
        <v>2.504</v>
      </c>
      <c r="BR54" s="323">
        <v>3.0339999999999998</v>
      </c>
      <c r="BS54" s="323">
        <f>BR54</f>
        <v>3.0339999999999998</v>
      </c>
      <c r="BT54" s="323">
        <v>3.262</v>
      </c>
      <c r="BU54" s="323">
        <f>BT54</f>
        <v>3.262</v>
      </c>
      <c r="BV54" s="323">
        <v>3.262</v>
      </c>
      <c r="BW54" s="323">
        <v>3.8010000000000002</v>
      </c>
      <c r="BX54" s="323">
        <f>BW54</f>
        <v>3.8010000000000002</v>
      </c>
      <c r="BY54" s="323">
        <v>3.8010000000000002</v>
      </c>
      <c r="BZ54" s="323">
        <f>BY54</f>
        <v>3.8010000000000002</v>
      </c>
      <c r="CA54" s="323">
        <v>5.3680000000000003</v>
      </c>
      <c r="CB54" s="323">
        <f>CA54</f>
        <v>5.3680000000000003</v>
      </c>
      <c r="CC54" s="323">
        <v>6.0901099999999992</v>
      </c>
      <c r="CD54" s="323">
        <v>8.0617200000000011</v>
      </c>
      <c r="CE54" s="323">
        <f>CD54</f>
        <v>8.0617200000000011</v>
      </c>
      <c r="CF54" s="323">
        <v>8.0617200000000011</v>
      </c>
      <c r="CG54" s="323">
        <f>CF54</f>
        <v>8.0617200000000011</v>
      </c>
      <c r="CH54" s="323">
        <v>8.6921900000000001</v>
      </c>
      <c r="CI54" s="323">
        <f>CH54</f>
        <v>8.6921900000000001</v>
      </c>
      <c r="CJ54" s="323">
        <v>9.362779999999999</v>
      </c>
      <c r="CK54" s="323">
        <v>10.32854</v>
      </c>
      <c r="CL54" s="323">
        <f>CK54</f>
        <v>10.32854</v>
      </c>
      <c r="CM54" s="323">
        <v>11.573</v>
      </c>
      <c r="CN54" s="323">
        <f>CM54</f>
        <v>11.573</v>
      </c>
      <c r="CO54" s="323">
        <v>13.0776</v>
      </c>
      <c r="CP54" s="323">
        <f>CO54</f>
        <v>13.0776</v>
      </c>
      <c r="CQ54" s="323">
        <v>13.548940000000002</v>
      </c>
      <c r="CR54" s="323">
        <v>14.743770000000005</v>
      </c>
      <c r="CS54" s="323">
        <f>CR54</f>
        <v>14.743770000000005</v>
      </c>
      <c r="CT54" s="323">
        <v>14.572310000000005</v>
      </c>
      <c r="CU54" s="323">
        <f>CT54</f>
        <v>14.572310000000005</v>
      </c>
      <c r="CV54" s="323">
        <v>15.461620000000005</v>
      </c>
      <c r="CW54" s="323">
        <f>CV54</f>
        <v>15.461620000000005</v>
      </c>
      <c r="CX54" s="323">
        <v>15.461620000000005</v>
      </c>
      <c r="CY54" s="323">
        <v>16.036030000000004</v>
      </c>
      <c r="CZ54" s="323">
        <f>CY54</f>
        <v>16.036030000000004</v>
      </c>
      <c r="DA54" s="323">
        <v>15.803180000000005</v>
      </c>
      <c r="DB54" s="323">
        <f>DA54</f>
        <v>15.803180000000005</v>
      </c>
      <c r="DC54" s="323">
        <v>16.710180000000005</v>
      </c>
      <c r="DD54" s="323">
        <f>DC54</f>
        <v>16.710180000000005</v>
      </c>
      <c r="DE54" s="323">
        <v>16.322590000000005</v>
      </c>
      <c r="DF54" s="323">
        <v>16.322590000000005</v>
      </c>
      <c r="DG54" s="323">
        <f>DF54</f>
        <v>16.322590000000005</v>
      </c>
      <c r="DH54" s="323">
        <v>16.322590000000005</v>
      </c>
      <c r="DI54" s="323">
        <f>DH54</f>
        <v>16.322590000000005</v>
      </c>
      <c r="DJ54" s="323">
        <v>16.322590000000005</v>
      </c>
      <c r="DK54" s="323">
        <f>DJ54</f>
        <v>16.322590000000005</v>
      </c>
      <c r="DL54" s="323">
        <v>16.668800000000001</v>
      </c>
      <c r="DM54" s="323">
        <v>17.558799999999998</v>
      </c>
      <c r="DN54" s="323">
        <f>DM54</f>
        <v>17.558799999999998</v>
      </c>
      <c r="DO54" s="323">
        <v>17.680430000000001</v>
      </c>
      <c r="DP54" s="323">
        <f>DO54</f>
        <v>17.680430000000001</v>
      </c>
      <c r="DQ54" s="323">
        <v>17.680430000000001</v>
      </c>
      <c r="DR54" s="323">
        <f>DQ54</f>
        <v>17.680430000000001</v>
      </c>
      <c r="DS54" s="323">
        <v>17.680430000000001</v>
      </c>
      <c r="DT54" s="323">
        <v>19.261399999999998</v>
      </c>
      <c r="DU54" s="323">
        <f>DT54</f>
        <v>19.261399999999998</v>
      </c>
      <c r="DV54" s="323">
        <v>19.4514</v>
      </c>
      <c r="DW54" s="323">
        <f>DV54</f>
        <v>19.4514</v>
      </c>
      <c r="DX54" s="323">
        <v>19.596449999999997</v>
      </c>
      <c r="DY54" s="323">
        <f>DX54</f>
        <v>19.596449999999997</v>
      </c>
      <c r="DZ54" s="323">
        <v>19.164200000000001</v>
      </c>
      <c r="EA54" s="323">
        <v>19.790200000000002</v>
      </c>
      <c r="EB54" s="323">
        <f>EA54</f>
        <v>19.790200000000002</v>
      </c>
      <c r="EC54" s="323">
        <v>20.942509999999999</v>
      </c>
      <c r="ED54" s="323">
        <f t="shared" ref="ED54:EF54" si="327">EC54</f>
        <v>20.942509999999999</v>
      </c>
      <c r="EE54" s="323">
        <v>21.994890000000002</v>
      </c>
      <c r="EF54" s="323">
        <f t="shared" si="327"/>
        <v>21.994890000000002</v>
      </c>
      <c r="EG54" s="323">
        <v>22.549809999999994</v>
      </c>
      <c r="EH54" s="323">
        <v>23.621109999999994</v>
      </c>
      <c r="EI54" s="323">
        <f>EH54</f>
        <v>23.621109999999994</v>
      </c>
      <c r="EJ54" s="323">
        <v>23.711939999999995</v>
      </c>
      <c r="EK54" s="323">
        <f>EJ54</f>
        <v>23.711939999999995</v>
      </c>
      <c r="EL54" s="323">
        <v>24.211689999999997</v>
      </c>
      <c r="EM54" s="323">
        <f>EL54</f>
        <v>24.211689999999997</v>
      </c>
      <c r="EN54" s="323">
        <v>24.68676</v>
      </c>
      <c r="EO54" s="323">
        <v>25.44098</v>
      </c>
      <c r="EP54" s="323">
        <v>25.124869999999994</v>
      </c>
      <c r="EQ54" s="323">
        <v>26.323540000000001</v>
      </c>
      <c r="ER54" s="323">
        <f>EQ54</f>
        <v>26.323540000000001</v>
      </c>
      <c r="ES54" s="323">
        <v>28.762640000000001</v>
      </c>
      <c r="ET54" s="323">
        <f>ES54</f>
        <v>28.762640000000001</v>
      </c>
      <c r="EU54" s="323">
        <v>28.84385</v>
      </c>
      <c r="EV54" s="323">
        <v>30.385849999999998</v>
      </c>
      <c r="EW54" s="323">
        <f>EV54</f>
        <v>30.385849999999998</v>
      </c>
    </row>
    <row r="55" spans="1:153" ht="16.350000000000001" customHeight="1">
      <c r="A55" s="174"/>
      <c r="B55" s="160" t="s">
        <v>2329</v>
      </c>
      <c r="C55" s="160" t="s">
        <v>2330</v>
      </c>
      <c r="D55" s="323">
        <v>0</v>
      </c>
      <c r="E55" s="323">
        <v>0</v>
      </c>
      <c r="F55" s="323">
        <v>0</v>
      </c>
      <c r="G55" s="323">
        <v>0</v>
      </c>
      <c r="H55" s="323">
        <v>0</v>
      </c>
      <c r="I55" s="323">
        <v>0</v>
      </c>
      <c r="J55" s="323">
        <v>0</v>
      </c>
      <c r="K55" s="323">
        <v>0</v>
      </c>
      <c r="L55" s="323">
        <v>0</v>
      </c>
      <c r="M55" s="323">
        <v>0</v>
      </c>
      <c r="N55" s="323">
        <v>0</v>
      </c>
      <c r="O55" s="323">
        <v>0</v>
      </c>
      <c r="P55" s="323">
        <v>0</v>
      </c>
      <c r="Q55" s="323">
        <v>0</v>
      </c>
      <c r="R55" s="323">
        <v>0</v>
      </c>
      <c r="S55" s="323">
        <v>0</v>
      </c>
      <c r="T55" s="323">
        <v>0</v>
      </c>
      <c r="U55" s="323">
        <v>0</v>
      </c>
      <c r="V55" s="323">
        <v>0</v>
      </c>
      <c r="W55" s="323">
        <v>0</v>
      </c>
      <c r="X55" s="323">
        <v>0</v>
      </c>
      <c r="Y55" s="323">
        <v>0</v>
      </c>
      <c r="Z55" s="323">
        <v>0</v>
      </c>
      <c r="AA55" s="323">
        <v>0</v>
      </c>
      <c r="AB55" s="323">
        <v>0</v>
      </c>
      <c r="AC55" s="323">
        <v>0</v>
      </c>
      <c r="AD55" s="323">
        <v>0</v>
      </c>
      <c r="AE55" s="323">
        <v>0</v>
      </c>
      <c r="AF55" s="323">
        <v>0</v>
      </c>
      <c r="AG55" s="323">
        <v>0</v>
      </c>
      <c r="AH55" s="323">
        <v>0</v>
      </c>
      <c r="AI55" s="323">
        <v>0</v>
      </c>
      <c r="AJ55" s="323">
        <v>0</v>
      </c>
      <c r="AK55" s="323">
        <v>0</v>
      </c>
      <c r="AL55" s="323">
        <v>0</v>
      </c>
      <c r="AM55" s="323">
        <v>0</v>
      </c>
      <c r="AN55" s="323">
        <v>0</v>
      </c>
      <c r="AO55" s="323">
        <v>0</v>
      </c>
      <c r="AP55" s="323">
        <v>0</v>
      </c>
      <c r="AQ55" s="323">
        <v>0</v>
      </c>
      <c r="AR55" s="323">
        <v>0</v>
      </c>
      <c r="AS55" s="323">
        <v>0</v>
      </c>
      <c r="AT55" s="323">
        <v>0</v>
      </c>
      <c r="AU55" s="323">
        <v>0</v>
      </c>
      <c r="AV55" s="323">
        <v>0</v>
      </c>
      <c r="AW55" s="323">
        <v>0</v>
      </c>
      <c r="AX55" s="323">
        <v>0</v>
      </c>
      <c r="AY55" s="323">
        <v>0</v>
      </c>
      <c r="AZ55" s="323">
        <v>0</v>
      </c>
      <c r="BA55" s="323">
        <v>0</v>
      </c>
      <c r="BB55" s="323">
        <v>0</v>
      </c>
      <c r="BC55" s="323">
        <v>0</v>
      </c>
      <c r="BD55" s="323">
        <v>0</v>
      </c>
      <c r="BE55" s="323">
        <v>0</v>
      </c>
      <c r="BF55" s="323">
        <v>0</v>
      </c>
      <c r="BG55" s="323">
        <v>0</v>
      </c>
      <c r="BH55" s="323">
        <v>0</v>
      </c>
      <c r="BI55" s="323">
        <v>0</v>
      </c>
      <c r="BJ55" s="323">
        <v>0</v>
      </c>
      <c r="BK55" s="323">
        <v>0</v>
      </c>
      <c r="BL55" s="323">
        <v>0</v>
      </c>
      <c r="BM55" s="323">
        <v>0</v>
      </c>
      <c r="BN55" s="323">
        <v>0</v>
      </c>
      <c r="BO55" s="323">
        <v>2.169</v>
      </c>
      <c r="BP55" s="323">
        <v>2.4646666666666666</v>
      </c>
      <c r="BQ55" s="323">
        <v>2.3168333333333333</v>
      </c>
      <c r="BR55" s="323">
        <v>2.9786666666666664</v>
      </c>
      <c r="BS55" s="323">
        <v>2.5374444444444442</v>
      </c>
      <c r="BT55" s="323">
        <v>3.1859999999999999</v>
      </c>
      <c r="BU55" s="323">
        <v>2.6995833333333334</v>
      </c>
      <c r="BV55" s="323">
        <v>3.262</v>
      </c>
      <c r="BW55" s="323">
        <v>3.4903333333333335</v>
      </c>
      <c r="BX55" s="323">
        <v>3.3761666666666663</v>
      </c>
      <c r="BY55" s="323">
        <v>3.8010000000000002</v>
      </c>
      <c r="BZ55" s="323">
        <v>3.5177777777777779</v>
      </c>
      <c r="CA55" s="323">
        <v>4.9796666666666667</v>
      </c>
      <c r="CB55" s="323">
        <v>3.8832499999999999</v>
      </c>
      <c r="CC55" s="323">
        <v>5.6299366666666657</v>
      </c>
      <c r="CD55" s="323">
        <v>7.5172833333333333</v>
      </c>
      <c r="CE55" s="323">
        <v>6.5736099999999995</v>
      </c>
      <c r="CF55" s="323">
        <v>8.0617200000000011</v>
      </c>
      <c r="CG55" s="323">
        <v>7.0696466666666664</v>
      </c>
      <c r="CH55" s="323">
        <v>8.4200699999999991</v>
      </c>
      <c r="CI55" s="323">
        <v>7.4072524999999994</v>
      </c>
      <c r="CJ55" s="323">
        <v>8.9155933333333319</v>
      </c>
      <c r="CK55" s="323">
        <v>9.8889866666666659</v>
      </c>
      <c r="CL55" s="323">
        <v>9.4022899999999989</v>
      </c>
      <c r="CM55" s="323">
        <v>10.991666666666665</v>
      </c>
      <c r="CN55" s="323">
        <v>9.9320822222222223</v>
      </c>
      <c r="CO55" s="323">
        <v>12.735753333333333</v>
      </c>
      <c r="CP55" s="323">
        <v>10.632999999999999</v>
      </c>
      <c r="CQ55" s="323">
        <v>13.17478</v>
      </c>
      <c r="CR55" s="323">
        <v>14.471350000000005</v>
      </c>
      <c r="CS55" s="323">
        <v>13.823065000000001</v>
      </c>
      <c r="CT55" s="323">
        <v>14.671410000000003</v>
      </c>
      <c r="CU55" s="323">
        <v>14.10584666666667</v>
      </c>
      <c r="CV55" s="323">
        <v>15.35500666666667</v>
      </c>
      <c r="CW55" s="323">
        <v>14.418136666666667</v>
      </c>
      <c r="CX55" s="323">
        <v>15.461620000000005</v>
      </c>
      <c r="CY55" s="323">
        <v>15.906030000000005</v>
      </c>
      <c r="CZ55" s="323">
        <v>15.683825000000004</v>
      </c>
      <c r="DA55" s="323">
        <v>15.836013333333335</v>
      </c>
      <c r="DB55" s="323">
        <v>15.73455444444445</v>
      </c>
      <c r="DC55" s="323">
        <v>16.565846666666669</v>
      </c>
      <c r="DD55" s="323">
        <v>15.942377500000003</v>
      </c>
      <c r="DE55" s="323">
        <v>16.448860000000003</v>
      </c>
      <c r="DF55" s="323">
        <v>16.385725000000004</v>
      </c>
      <c r="DG55" s="323">
        <v>16.385725000000004</v>
      </c>
      <c r="DH55" s="323">
        <v>16.322590000000005</v>
      </c>
      <c r="DI55" s="323">
        <v>16.385725000000004</v>
      </c>
      <c r="DJ55" s="323">
        <v>16.322590000000005</v>
      </c>
      <c r="DK55" s="323">
        <v>16.385725000000004</v>
      </c>
      <c r="DL55" s="323">
        <v>16.718706666666666</v>
      </c>
      <c r="DM55" s="323">
        <v>17.495466666666662</v>
      </c>
      <c r="DN55" s="323">
        <v>17.107086666666667</v>
      </c>
      <c r="DO55" s="323">
        <v>17.614443333333334</v>
      </c>
      <c r="DP55" s="323">
        <v>17.276205555555556</v>
      </c>
      <c r="DQ55" s="323">
        <v>17.680430000000001</v>
      </c>
      <c r="DR55" s="323">
        <v>17.377261666666666</v>
      </c>
      <c r="DS55" s="323">
        <v>17.680430000000001</v>
      </c>
      <c r="DT55" s="323">
        <v>18.724106666666664</v>
      </c>
      <c r="DU55" s="323">
        <v>18.202268333333329</v>
      </c>
      <c r="DV55" s="323">
        <v>19.324733333333334</v>
      </c>
      <c r="DW55" s="323">
        <v>18.576423333333327</v>
      </c>
      <c r="DX55" s="323">
        <v>19.548099999999994</v>
      </c>
      <c r="DY55" s="323">
        <v>18.819342499999998</v>
      </c>
      <c r="DZ55" s="323">
        <v>19.373783333333328</v>
      </c>
      <c r="EA55" s="323">
        <v>19.511200000000002</v>
      </c>
      <c r="EB55" s="323">
        <v>19.442491666666665</v>
      </c>
      <c r="EC55" s="323">
        <v>20.366303333333335</v>
      </c>
      <c r="ED55" s="323">
        <v>19.750428888888891</v>
      </c>
      <c r="EE55" s="323">
        <v>21.650216666666672</v>
      </c>
      <c r="EF55" s="323">
        <v>20.225375833333334</v>
      </c>
      <c r="EG55" s="323">
        <v>22.499536666666657</v>
      </c>
      <c r="EH55" s="323">
        <v>23.275483333333327</v>
      </c>
      <c r="EI55" s="323">
        <v>22.887509999999992</v>
      </c>
      <c r="EJ55" s="323">
        <v>23.633286666666663</v>
      </c>
      <c r="EK55" s="323">
        <v>23.136102222222213</v>
      </c>
      <c r="EL55" s="323">
        <v>24.185373333333335</v>
      </c>
      <c r="EM55" s="323">
        <v>21.525553333333331</v>
      </c>
      <c r="EN55" s="323">
        <v>24.689106666666664</v>
      </c>
      <c r="EO55" s="323">
        <v>24.982233333333333</v>
      </c>
      <c r="EP55" s="323">
        <v>24.835669999999997</v>
      </c>
      <c r="EQ55" s="323">
        <v>26.158736666666663</v>
      </c>
      <c r="ER55" s="323">
        <v>25.27669222222222</v>
      </c>
      <c r="ES55" s="323">
        <v>27.68718333333333</v>
      </c>
      <c r="ET55" s="323">
        <v>25.879314999999998</v>
      </c>
      <c r="EU55" s="323">
        <v>28.816849999999995</v>
      </c>
      <c r="EV55" s="323">
        <v>29.464849999999995</v>
      </c>
      <c r="EW55" s="323">
        <v>29.140850000000004</v>
      </c>
    </row>
    <row r="56" spans="1:153" ht="16.350000000000001" customHeight="1">
      <c r="A56" s="174"/>
      <c r="B56" s="160" t="s">
        <v>2331</v>
      </c>
      <c r="C56" s="160" t="s">
        <v>639</v>
      </c>
      <c r="D56" s="323">
        <v>0</v>
      </c>
      <c r="E56" s="323">
        <v>0</v>
      </c>
      <c r="F56" s="323">
        <v>0</v>
      </c>
      <c r="G56" s="323">
        <v>0</v>
      </c>
      <c r="H56" s="323">
        <v>0</v>
      </c>
      <c r="I56" s="323">
        <v>0</v>
      </c>
      <c r="J56" s="323">
        <v>0</v>
      </c>
      <c r="K56" s="323">
        <v>0</v>
      </c>
      <c r="L56" s="323">
        <v>0</v>
      </c>
      <c r="M56" s="323">
        <v>0</v>
      </c>
      <c r="N56" s="323">
        <v>0</v>
      </c>
      <c r="O56" s="323">
        <v>0</v>
      </c>
      <c r="P56" s="323">
        <v>0</v>
      </c>
      <c r="Q56" s="323">
        <v>0</v>
      </c>
      <c r="R56" s="323">
        <v>0</v>
      </c>
      <c r="S56" s="323">
        <v>0</v>
      </c>
      <c r="T56" s="323">
        <v>0</v>
      </c>
      <c r="U56" s="323">
        <v>0</v>
      </c>
      <c r="V56" s="323">
        <v>0</v>
      </c>
      <c r="W56" s="323">
        <v>0</v>
      </c>
      <c r="X56" s="323">
        <v>0</v>
      </c>
      <c r="Y56" s="323">
        <v>0</v>
      </c>
      <c r="Z56" s="323">
        <v>0</v>
      </c>
      <c r="AA56" s="323">
        <v>0</v>
      </c>
      <c r="AB56" s="323">
        <v>0</v>
      </c>
      <c r="AC56" s="323">
        <v>0</v>
      </c>
      <c r="AD56" s="323">
        <v>0</v>
      </c>
      <c r="AE56" s="323">
        <v>0</v>
      </c>
      <c r="AF56" s="323">
        <v>0</v>
      </c>
      <c r="AG56" s="323">
        <v>0</v>
      </c>
      <c r="AH56" s="323">
        <v>0</v>
      </c>
      <c r="AI56" s="323">
        <v>0</v>
      </c>
      <c r="AJ56" s="323">
        <v>0</v>
      </c>
      <c r="AK56" s="323">
        <v>0</v>
      </c>
      <c r="AL56" s="323">
        <v>0</v>
      </c>
      <c r="AM56" s="323">
        <v>0</v>
      </c>
      <c r="AN56" s="323">
        <v>0</v>
      </c>
      <c r="AO56" s="323">
        <v>0</v>
      </c>
      <c r="AP56" s="323">
        <v>0</v>
      </c>
      <c r="AQ56" s="323">
        <v>0</v>
      </c>
      <c r="AR56" s="323">
        <v>0</v>
      </c>
      <c r="AS56" s="323">
        <v>0</v>
      </c>
      <c r="AT56" s="323">
        <v>0</v>
      </c>
      <c r="AU56" s="323">
        <v>0</v>
      </c>
      <c r="AV56" s="323">
        <v>0</v>
      </c>
      <c r="AW56" s="323">
        <v>0</v>
      </c>
      <c r="AX56" s="323">
        <v>0</v>
      </c>
      <c r="AY56" s="323">
        <v>0</v>
      </c>
      <c r="AZ56" s="323">
        <v>0</v>
      </c>
      <c r="BA56" s="323">
        <v>0</v>
      </c>
      <c r="BB56" s="323">
        <v>0</v>
      </c>
      <c r="BC56" s="323">
        <v>0</v>
      </c>
      <c r="BD56" s="323">
        <v>0</v>
      </c>
      <c r="BE56" s="323">
        <v>0</v>
      </c>
      <c r="BF56" s="323">
        <v>0</v>
      </c>
      <c r="BG56" s="323">
        <v>0</v>
      </c>
      <c r="BH56" s="323">
        <v>1.6397327399999999</v>
      </c>
      <c r="BI56" s="323">
        <v>2.2961037200000005</v>
      </c>
      <c r="BJ56" s="323">
        <v>3.9358364600000004</v>
      </c>
      <c r="BK56" s="323">
        <v>2.2859219299999984</v>
      </c>
      <c r="BL56" s="323">
        <v>6.2217583899999989</v>
      </c>
      <c r="BM56" s="323">
        <v>3.8810900300000002</v>
      </c>
      <c r="BN56" s="323">
        <v>10.103026109999998</v>
      </c>
      <c r="BO56" s="323">
        <v>2.3800158800000002</v>
      </c>
      <c r="BP56" s="323">
        <v>3.7154575600000008</v>
      </c>
      <c r="BQ56" s="323">
        <v>6.0954734400000001</v>
      </c>
      <c r="BR56" s="323">
        <v>4.6048006399999997</v>
      </c>
      <c r="BS56" s="323">
        <v>10.70027408</v>
      </c>
      <c r="BT56" s="323">
        <v>8.9905459099999998</v>
      </c>
      <c r="BU56" s="323">
        <v>19.130819989999999</v>
      </c>
      <c r="BV56" s="323">
        <v>5.5799252400000006</v>
      </c>
      <c r="BW56" s="323">
        <v>8.3310957999999999</v>
      </c>
      <c r="BX56" s="323">
        <v>13.91102104</v>
      </c>
      <c r="BY56" s="323">
        <v>9.2939566500000108</v>
      </c>
      <c r="BZ56" s="323">
        <v>23.20497769000001</v>
      </c>
      <c r="CA56" s="323">
        <v>18.517465940000001</v>
      </c>
      <c r="CB56" s="323">
        <v>41.722443630000051</v>
      </c>
      <c r="CC56" s="323">
        <v>10.106</v>
      </c>
      <c r="CD56" s="323">
        <v>19.824999999999999</v>
      </c>
      <c r="CE56" s="323">
        <v>29.931000000000001</v>
      </c>
      <c r="CF56" s="323">
        <v>17.725137639999993</v>
      </c>
      <c r="CG56" s="323">
        <v>47.65606369999999</v>
      </c>
      <c r="CH56" s="323">
        <v>34.332819830000005</v>
      </c>
      <c r="CI56" s="323">
        <v>81.988883529999995</v>
      </c>
      <c r="CJ56" s="323">
        <v>20.21</v>
      </c>
      <c r="CK56" s="323">
        <v>30.225999999999999</v>
      </c>
      <c r="CL56" s="323">
        <v>50.436</v>
      </c>
      <c r="CM56" s="323">
        <v>26.286999999999999</v>
      </c>
      <c r="CN56" s="323">
        <v>76.723922290000004</v>
      </c>
      <c r="CO56" s="323">
        <v>47.679047580000017</v>
      </c>
      <c r="CP56" s="323">
        <v>124.40248239000002</v>
      </c>
      <c r="CQ56" s="323">
        <v>28.698306660000004</v>
      </c>
      <c r="CR56" s="323">
        <v>39.08343854000001</v>
      </c>
      <c r="CS56" s="323">
        <v>67.781745200000003</v>
      </c>
      <c r="CT56" s="323">
        <v>38.505805120000005</v>
      </c>
      <c r="CU56" s="323">
        <v>106.28755032000001</v>
      </c>
      <c r="CV56" s="323">
        <v>73.271547820000009</v>
      </c>
      <c r="CW56" s="323">
        <v>179.55909814</v>
      </c>
      <c r="CX56" s="323">
        <v>39.27059302</v>
      </c>
      <c r="CY56" s="323">
        <v>48.551588269999996</v>
      </c>
      <c r="CZ56" s="323">
        <f>CY56+CX56</f>
        <v>87.822181290000003</v>
      </c>
      <c r="DA56" s="323">
        <v>47.755697840000003</v>
      </c>
      <c r="DB56" s="323">
        <v>135.57787912999999</v>
      </c>
      <c r="DC56" s="323">
        <v>85.733633600000019</v>
      </c>
      <c r="DD56" s="323">
        <v>221.31151273000006</v>
      </c>
      <c r="DE56" s="323">
        <f>37210.05081/1000</f>
        <v>37.210050809999998</v>
      </c>
      <c r="DF56" s="323">
        <v>9.7372756600000017</v>
      </c>
      <c r="DG56" s="323">
        <f>DE56+DF56</f>
        <v>46.94732647</v>
      </c>
      <c r="DH56" s="323">
        <v>34.522097400000007</v>
      </c>
      <c r="DI56" s="323">
        <f>DG56+DH56</f>
        <v>81.469423870000014</v>
      </c>
      <c r="DJ56" s="323">
        <v>91.192974559999996</v>
      </c>
      <c r="DK56" s="323">
        <f>DI56+DJ56</f>
        <v>172.66239843</v>
      </c>
      <c r="DL56" s="323">
        <v>31.964400040000001</v>
      </c>
      <c r="DM56" s="323">
        <v>62.333227120000373</v>
      </c>
      <c r="DN56" s="323">
        <f>DL56+DM56</f>
        <v>94.297627160000374</v>
      </c>
      <c r="DO56" s="323">
        <v>69.387725109999892</v>
      </c>
      <c r="DP56" s="323">
        <f>DN56+DO56</f>
        <v>163.68535227000027</v>
      </c>
      <c r="DQ56" s="323">
        <f>ROUNDDOWN(127.55995188,1)</f>
        <v>127.5</v>
      </c>
      <c r="DR56" s="323">
        <f>DP56+DQ56</f>
        <v>291.18535227000029</v>
      </c>
      <c r="DS56" s="323">
        <v>71.008868399999997</v>
      </c>
      <c r="DT56" s="323">
        <v>103.56205632999999</v>
      </c>
      <c r="DU56" s="323">
        <f>DS56+DT56</f>
        <v>174.57092473</v>
      </c>
      <c r="DV56" s="323">
        <v>88.099545970000008</v>
      </c>
      <c r="DW56" s="323">
        <f>DU56+DV56</f>
        <v>262.67047070000001</v>
      </c>
      <c r="DX56" s="323">
        <v>143.19443791000003</v>
      </c>
      <c r="DY56" s="323">
        <f>DW56+DX56</f>
        <v>405.86490861000004</v>
      </c>
      <c r="DZ56" s="323">
        <v>77.016738679999975</v>
      </c>
      <c r="EA56" s="323">
        <v>97.63303147000002</v>
      </c>
      <c r="EB56" s="323">
        <f>DZ56+EA56</f>
        <v>174.64977014999999</v>
      </c>
      <c r="EC56" s="323">
        <v>91.235989969999991</v>
      </c>
      <c r="ED56" s="323">
        <f t="shared" ref="ED56:EF56" si="328">EB56+EC56</f>
        <v>265.88576011999999</v>
      </c>
      <c r="EE56" s="323">
        <v>162.17721339000002</v>
      </c>
      <c r="EF56" s="323">
        <f t="shared" si="328"/>
        <v>428.06297351000001</v>
      </c>
      <c r="EG56" s="323">
        <v>83.070184130000001</v>
      </c>
      <c r="EH56" s="323">
        <v>115.03058410999999</v>
      </c>
      <c r="EI56" s="323">
        <f>EG56+EH56</f>
        <v>198.10076823999998</v>
      </c>
      <c r="EJ56" s="323">
        <v>116.042</v>
      </c>
      <c r="EK56" s="323">
        <v>314.142</v>
      </c>
      <c r="EL56" s="323">
        <v>193.50736358000003</v>
      </c>
      <c r="EM56" s="323">
        <v>507.64968889999994</v>
      </c>
      <c r="EN56" s="323">
        <v>106.42407971999995</v>
      </c>
      <c r="EO56" s="323">
        <v>140.0360226</v>
      </c>
      <c r="EP56" s="323">
        <v>246.46010232000003</v>
      </c>
      <c r="EQ56" s="323">
        <v>121.84361882999994</v>
      </c>
      <c r="ER56" s="323">
        <v>368.30372115000006</v>
      </c>
      <c r="ES56" s="323">
        <v>209.65514431000005</v>
      </c>
      <c r="ET56" s="323">
        <v>577.95886545999997</v>
      </c>
      <c r="EU56" s="323">
        <v>121.66613584</v>
      </c>
      <c r="EV56" s="323">
        <v>141.96655907000002</v>
      </c>
      <c r="EW56" s="323">
        <f>SUM(EU56:EV56)</f>
        <v>263.63269491</v>
      </c>
    </row>
    <row r="57" spans="1:153" ht="16.350000000000001" customHeight="1">
      <c r="A57" s="174"/>
      <c r="B57" s="160" t="s">
        <v>2332</v>
      </c>
      <c r="C57" s="160" t="s">
        <v>640</v>
      </c>
      <c r="D57" s="126">
        <v>0</v>
      </c>
      <c r="E57" s="126">
        <v>0</v>
      </c>
      <c r="F57" s="126">
        <v>0</v>
      </c>
      <c r="G57" s="126">
        <v>0</v>
      </c>
      <c r="H57" s="126">
        <v>0</v>
      </c>
      <c r="I57" s="126">
        <v>0</v>
      </c>
      <c r="J57" s="126">
        <v>0</v>
      </c>
      <c r="K57" s="126">
        <v>0</v>
      </c>
      <c r="L57" s="126">
        <v>0</v>
      </c>
      <c r="M57" s="126">
        <v>0</v>
      </c>
      <c r="N57" s="126">
        <v>0</v>
      </c>
      <c r="O57" s="126">
        <v>0</v>
      </c>
      <c r="P57" s="126">
        <v>0</v>
      </c>
      <c r="Q57" s="126">
        <v>0</v>
      </c>
      <c r="R57" s="126">
        <v>0</v>
      </c>
      <c r="S57" s="126">
        <v>0</v>
      </c>
      <c r="T57" s="126">
        <v>0</v>
      </c>
      <c r="U57" s="126">
        <v>0</v>
      </c>
      <c r="V57" s="126">
        <v>0</v>
      </c>
      <c r="W57" s="126">
        <v>0</v>
      </c>
      <c r="X57" s="126">
        <v>0</v>
      </c>
      <c r="Y57" s="126">
        <v>0</v>
      </c>
      <c r="Z57" s="126">
        <v>0</v>
      </c>
      <c r="AA57" s="126">
        <v>0</v>
      </c>
      <c r="AB57" s="126">
        <v>0</v>
      </c>
      <c r="AC57" s="126">
        <v>0</v>
      </c>
      <c r="AD57" s="126">
        <v>0</v>
      </c>
      <c r="AE57" s="126">
        <v>0</v>
      </c>
      <c r="AF57" s="126">
        <v>0</v>
      </c>
      <c r="AG57" s="126">
        <v>0</v>
      </c>
      <c r="AH57" s="126">
        <v>0</v>
      </c>
      <c r="AI57" s="126">
        <v>0</v>
      </c>
      <c r="AJ57" s="126">
        <v>0</v>
      </c>
      <c r="AK57" s="126">
        <v>0</v>
      </c>
      <c r="AL57" s="126">
        <v>0</v>
      </c>
      <c r="AM57" s="126">
        <v>0</v>
      </c>
      <c r="AN57" s="126">
        <v>0</v>
      </c>
      <c r="AO57" s="126">
        <v>0</v>
      </c>
      <c r="AP57" s="126">
        <v>0</v>
      </c>
      <c r="AQ57" s="126">
        <v>0</v>
      </c>
      <c r="AR57" s="126">
        <v>0</v>
      </c>
      <c r="AS57" s="126">
        <v>0</v>
      </c>
      <c r="AT57" s="126">
        <v>0</v>
      </c>
      <c r="AU57" s="126">
        <v>0</v>
      </c>
      <c r="AV57" s="126">
        <v>0</v>
      </c>
      <c r="AW57" s="126">
        <v>0</v>
      </c>
      <c r="AX57" s="126">
        <v>0</v>
      </c>
      <c r="AY57" s="126">
        <v>0</v>
      </c>
      <c r="AZ57" s="126">
        <v>0</v>
      </c>
      <c r="BA57" s="126">
        <v>0</v>
      </c>
      <c r="BB57" s="126">
        <v>0</v>
      </c>
      <c r="BC57" s="126">
        <v>0</v>
      </c>
      <c r="BD57" s="126">
        <v>0</v>
      </c>
      <c r="BE57" s="126">
        <v>0</v>
      </c>
      <c r="BF57" s="126">
        <v>0</v>
      </c>
      <c r="BG57" s="126">
        <v>0</v>
      </c>
      <c r="BH57" s="126">
        <v>0</v>
      </c>
      <c r="BI57" s="126">
        <v>0</v>
      </c>
      <c r="BJ57" s="126">
        <v>0</v>
      </c>
      <c r="BK57" s="126">
        <v>0</v>
      </c>
      <c r="BL57" s="126">
        <v>0</v>
      </c>
      <c r="BM57" s="126">
        <v>0</v>
      </c>
      <c r="BN57" s="126">
        <v>0</v>
      </c>
      <c r="BO57" s="126">
        <f t="shared" ref="BO57:CW57" si="329">+BO56/BH56-1</f>
        <v>0.45146573093368891</v>
      </c>
      <c r="BP57" s="126">
        <f t="shared" si="329"/>
        <v>0.61815754560077107</v>
      </c>
      <c r="BQ57" s="126">
        <f t="shared" si="329"/>
        <v>0.54871105594666902</v>
      </c>
      <c r="BR57" s="126">
        <f t="shared" si="329"/>
        <v>1.0144172815210721</v>
      </c>
      <c r="BS57" s="126">
        <f t="shared" si="329"/>
        <v>0.7198151084102129</v>
      </c>
      <c r="BT57" s="126">
        <f t="shared" si="329"/>
        <v>1.3165002204290528</v>
      </c>
      <c r="BU57" s="126">
        <f t="shared" si="329"/>
        <v>0.89357325040111202</v>
      </c>
      <c r="BV57" s="126">
        <f t="shared" si="329"/>
        <v>1.3444907602885405</v>
      </c>
      <c r="BW57" s="126">
        <f t="shared" si="329"/>
        <v>1.24227989836062</v>
      </c>
      <c r="BX57" s="126">
        <f t="shared" si="329"/>
        <v>1.2821887712138071</v>
      </c>
      <c r="BY57" s="126">
        <f t="shared" si="329"/>
        <v>1.0183190058799183</v>
      </c>
      <c r="BZ57" s="126">
        <f t="shared" si="329"/>
        <v>1.1686339542809181</v>
      </c>
      <c r="CA57" s="126">
        <f t="shared" si="329"/>
        <v>1.0596597943405643</v>
      </c>
      <c r="CB57" s="126">
        <f t="shared" si="329"/>
        <v>1.180902002726965</v>
      </c>
      <c r="CC57" s="126">
        <f t="shared" si="329"/>
        <v>0.81113537643024025</v>
      </c>
      <c r="CD57" s="126">
        <f t="shared" si="329"/>
        <v>1.3796389425746369</v>
      </c>
      <c r="CE57" s="126">
        <f t="shared" si="329"/>
        <v>1.1516033879853871</v>
      </c>
      <c r="CF57" s="126">
        <f t="shared" si="329"/>
        <v>0.90716809939069076</v>
      </c>
      <c r="CG57" s="126">
        <f t="shared" si="329"/>
        <v>1.0537000438719217</v>
      </c>
      <c r="CH57" s="126">
        <f t="shared" si="329"/>
        <v>0.85407765518482193</v>
      </c>
      <c r="CI57" s="126">
        <f t="shared" si="329"/>
        <v>0.96510262574953343</v>
      </c>
      <c r="CJ57" s="126">
        <f t="shared" si="329"/>
        <v>0.99980209776370477</v>
      </c>
      <c r="CK57" s="126">
        <f t="shared" si="329"/>
        <v>0.52464060529634304</v>
      </c>
      <c r="CL57" s="126">
        <f t="shared" si="329"/>
        <v>0.68507567405031566</v>
      </c>
      <c r="CM57" s="126">
        <f t="shared" si="329"/>
        <v>0.4830350282120579</v>
      </c>
      <c r="CN57" s="126">
        <f t="shared" si="329"/>
        <v>0.60995089256606017</v>
      </c>
      <c r="CO57" s="126">
        <f t="shared" si="329"/>
        <v>0.38873089411485173</v>
      </c>
      <c r="CP57" s="126">
        <f t="shared" si="329"/>
        <v>0.51730914038463216</v>
      </c>
      <c r="CQ57" s="126">
        <f t="shared" si="329"/>
        <v>0.420005277585354</v>
      </c>
      <c r="CR57" s="126">
        <f t="shared" si="329"/>
        <v>0.29304038046714775</v>
      </c>
      <c r="CS57" s="126">
        <f t="shared" si="329"/>
        <v>0.34391595685621379</v>
      </c>
      <c r="CT57" s="126">
        <f t="shared" si="329"/>
        <v>0.46482311104348173</v>
      </c>
      <c r="CU57" s="126">
        <f t="shared" si="329"/>
        <v>0.38532477417220434</v>
      </c>
      <c r="CV57" s="126">
        <f t="shared" si="329"/>
        <v>0.53676618009323041</v>
      </c>
      <c r="CW57" s="126">
        <f t="shared" si="329"/>
        <v>0.44337230809498451</v>
      </c>
      <c r="CX57" s="126">
        <f>CX56/CQ56-1</f>
        <v>0.36839408280265395</v>
      </c>
      <c r="CY57" s="126">
        <f>CY56/CR56-1</f>
        <v>0.24225477807715912</v>
      </c>
      <c r="CZ57" s="126">
        <f t="shared" ref="CZ57:DE57" si="330">+CZ56/CS56-1</f>
        <v>0.2956612585124172</v>
      </c>
      <c r="DA57" s="126">
        <f t="shared" si="330"/>
        <v>0.24022073272259892</v>
      </c>
      <c r="DB57" s="126">
        <f t="shared" si="330"/>
        <v>0.27557629018465057</v>
      </c>
      <c r="DC57" s="126">
        <f t="shared" si="330"/>
        <v>0.17008083152023157</v>
      </c>
      <c r="DD57" s="126">
        <f t="shared" si="330"/>
        <v>0.2325274242436115</v>
      </c>
      <c r="DE57" s="126">
        <f t="shared" si="330"/>
        <v>-5.2470361447065295E-2</v>
      </c>
      <c r="DF57" s="126">
        <f>DF56/CY56-1</f>
        <v>-0.79944475542488769</v>
      </c>
      <c r="DG57" s="126">
        <f>+DG56/CZ56-1</f>
        <v>-0.46542746057543294</v>
      </c>
      <c r="DH57" s="126">
        <f>DH56/DA56-1</f>
        <v>-0.27711039810029914</v>
      </c>
      <c r="DI57" s="126">
        <f>+DI56/DB56-1</f>
        <v>-0.39909501171734385</v>
      </c>
      <c r="DJ57" s="126">
        <f>DJ56/DC56-1</f>
        <v>6.3677937476336988E-2</v>
      </c>
      <c r="DK57" s="126">
        <f>+DK56/DD56-1</f>
        <v>-0.21982188680510251</v>
      </c>
      <c r="DL57" s="126">
        <f>+DL56/DE56-1</f>
        <v>-0.14097402867803277</v>
      </c>
      <c r="DM57" s="126">
        <f>+DM56/DF56-1</f>
        <v>5.4015058519972481</v>
      </c>
      <c r="DN57" s="126">
        <f>+DN56/DG56-1</f>
        <v>1.0085835392619829</v>
      </c>
      <c r="DO57" s="126">
        <f>DO56/DH56-1</f>
        <v>1.0099510266140399</v>
      </c>
      <c r="DP57" s="126">
        <f>+DP56/DI56-1</f>
        <v>1.0091630024436089</v>
      </c>
      <c r="DQ57" s="126">
        <f>DQ56/DJ56-1</f>
        <v>0.39813401871338194</v>
      </c>
      <c r="DR57" s="126">
        <f>+DR56/DK56-1</f>
        <v>0.68644334213885805</v>
      </c>
      <c r="DS57" s="126">
        <f>DS56/DL56-1</f>
        <v>1.2214985518620733</v>
      </c>
      <c r="DT57" s="126">
        <f>DT56/DM56-1</f>
        <v>0.66142619458203611</v>
      </c>
      <c r="DU57" s="126">
        <f>+DU56/DN56-1</f>
        <v>0.85127590150063015</v>
      </c>
      <c r="DV57" s="126">
        <f>DV56/DO56-1</f>
        <v>0.26967047601483385</v>
      </c>
      <c r="DW57" s="126">
        <f t="shared" ref="DW57:EG57" si="331">+DW56/DP56-1</f>
        <v>0.60472801663231923</v>
      </c>
      <c r="DX57" s="126">
        <f t="shared" si="331"/>
        <v>0.12309363066666701</v>
      </c>
      <c r="DY57" s="126">
        <f t="shared" si="331"/>
        <v>0.3938369682609022</v>
      </c>
      <c r="DZ57" s="126">
        <f t="shared" si="331"/>
        <v>8.4607323217109176E-2</v>
      </c>
      <c r="EA57" s="126">
        <f t="shared" si="331"/>
        <v>-5.7250937941084934E-2</v>
      </c>
      <c r="EB57" s="126">
        <f t="shared" si="331"/>
        <v>4.5165264560487195E-4</v>
      </c>
      <c r="EC57" s="126">
        <f t="shared" si="331"/>
        <v>3.5601136935121236E-2</v>
      </c>
      <c r="ED57" s="126">
        <f t="shared" si="331"/>
        <v>1.2240772293251823E-2</v>
      </c>
      <c r="EE57" s="126">
        <f t="shared" si="331"/>
        <v>0.13256643035207105</v>
      </c>
      <c r="EF57" s="126">
        <f t="shared" si="331"/>
        <v>5.4693235185134803E-2</v>
      </c>
      <c r="EG57" s="126">
        <f t="shared" si="331"/>
        <v>7.859908837677132E-2</v>
      </c>
      <c r="EH57" s="126">
        <f t="shared" ref="EH57" si="332">+EH56/EA56-1</f>
        <v>0.17819330587256998</v>
      </c>
      <c r="EI57" s="126">
        <f t="shared" ref="EI57:EK57" si="333">+EI56/EB56-1</f>
        <v>0.13427442858847627</v>
      </c>
      <c r="EJ57" s="126">
        <f t="shared" si="333"/>
        <v>0.27188842953484338</v>
      </c>
      <c r="EK57" s="126">
        <f t="shared" si="333"/>
        <v>0.18149238175907167</v>
      </c>
      <c r="EL57" s="126">
        <f t="shared" ref="EL57:EN57" si="334">+EL56/EE56-1</f>
        <v>0.19318466222907649</v>
      </c>
      <c r="EM57" s="126">
        <f t="shared" ref="EM57" si="335">+EM56/EF56-1</f>
        <v>0.185922913952147</v>
      </c>
      <c r="EN57" s="126">
        <f t="shared" si="334"/>
        <v>0.28113451095103459</v>
      </c>
      <c r="EO57" s="126">
        <v>0.21738078341050682</v>
      </c>
      <c r="EP57" s="126">
        <v>0.24411482352967195</v>
      </c>
      <c r="EQ57" s="126">
        <f t="shared" ref="EQ57" si="336">+EQ56/EJ56-1</f>
        <v>4.9995853484082753E-2</v>
      </c>
      <c r="ER57" s="126">
        <f t="shared" ref="ER57" si="337">+ER56/EK56-1</f>
        <v>0.17241158823080038</v>
      </c>
      <c r="ES57" s="126">
        <f t="shared" ref="ES57" si="338">+ES56/EL56-1</f>
        <v>8.3447887621724393E-2</v>
      </c>
      <c r="ET57" s="126">
        <f t="shared" ref="ET57:EW57" si="339">+ET56/EM56-1</f>
        <v>0.13849939849731685</v>
      </c>
      <c r="EU57" s="126">
        <f t="shared" si="339"/>
        <v>0.1432199945736119</v>
      </c>
      <c r="EV57" s="126">
        <f t="shared" si="339"/>
        <v>1.378599901765587E-2</v>
      </c>
      <c r="EW57" s="126">
        <f t="shared" si="339"/>
        <v>6.9676967705317727E-2</v>
      </c>
    </row>
    <row r="58" spans="1:153" ht="16.350000000000001" customHeight="1">
      <c r="A58" s="174"/>
      <c r="B58" s="160" t="s">
        <v>641</v>
      </c>
      <c r="C58" s="160" t="s">
        <v>2333</v>
      </c>
      <c r="D58" s="126">
        <v>0</v>
      </c>
      <c r="E58" s="126">
        <v>0</v>
      </c>
      <c r="F58" s="126">
        <v>0</v>
      </c>
      <c r="G58" s="126">
        <v>0</v>
      </c>
      <c r="H58" s="126">
        <v>0</v>
      </c>
      <c r="I58" s="126">
        <v>0</v>
      </c>
      <c r="J58" s="126">
        <v>0</v>
      </c>
      <c r="K58" s="126">
        <v>0</v>
      </c>
      <c r="L58" s="126">
        <v>0</v>
      </c>
      <c r="M58" s="126">
        <v>0</v>
      </c>
      <c r="N58" s="126">
        <v>0</v>
      </c>
      <c r="O58" s="126">
        <v>0</v>
      </c>
      <c r="P58" s="126">
        <v>0</v>
      </c>
      <c r="Q58" s="126">
        <v>0</v>
      </c>
      <c r="R58" s="126">
        <v>0</v>
      </c>
      <c r="S58" s="126">
        <v>0</v>
      </c>
      <c r="T58" s="126">
        <v>0</v>
      </c>
      <c r="U58" s="126">
        <v>0</v>
      </c>
      <c r="V58" s="126">
        <v>0</v>
      </c>
      <c r="W58" s="126">
        <v>0</v>
      </c>
      <c r="X58" s="126">
        <v>0</v>
      </c>
      <c r="Y58" s="126">
        <v>0</v>
      </c>
      <c r="Z58" s="126">
        <v>0</v>
      </c>
      <c r="AA58" s="126">
        <v>0</v>
      </c>
      <c r="AB58" s="126">
        <v>0</v>
      </c>
      <c r="AC58" s="126">
        <v>0</v>
      </c>
      <c r="AD58" s="126">
        <v>0</v>
      </c>
      <c r="AE58" s="126">
        <v>0</v>
      </c>
      <c r="AF58" s="126">
        <v>0</v>
      </c>
      <c r="AG58" s="126">
        <v>0</v>
      </c>
      <c r="AH58" s="126">
        <v>0</v>
      </c>
      <c r="AI58" s="126">
        <v>0</v>
      </c>
      <c r="AJ58" s="126">
        <v>0</v>
      </c>
      <c r="AK58" s="126">
        <v>0</v>
      </c>
      <c r="AL58" s="126">
        <v>0</v>
      </c>
      <c r="AM58" s="126">
        <v>0</v>
      </c>
      <c r="AN58" s="126">
        <v>0</v>
      </c>
      <c r="AO58" s="126">
        <v>0</v>
      </c>
      <c r="AP58" s="126">
        <v>0</v>
      </c>
      <c r="AQ58" s="126">
        <v>0</v>
      </c>
      <c r="AR58" s="126">
        <v>0</v>
      </c>
      <c r="AS58" s="126">
        <v>0</v>
      </c>
      <c r="AT58" s="126">
        <v>0</v>
      </c>
      <c r="AU58" s="126">
        <v>0</v>
      </c>
      <c r="AV58" s="126">
        <v>0</v>
      </c>
      <c r="AW58" s="126">
        <v>0</v>
      </c>
      <c r="AX58" s="126">
        <v>0</v>
      </c>
      <c r="AY58" s="126">
        <v>0</v>
      </c>
      <c r="AZ58" s="126">
        <v>0</v>
      </c>
      <c r="BA58" s="126">
        <v>0</v>
      </c>
      <c r="BB58" s="126">
        <v>0</v>
      </c>
      <c r="BC58" s="126">
        <v>0</v>
      </c>
      <c r="BD58" s="126">
        <v>0</v>
      </c>
      <c r="BE58" s="126">
        <v>0</v>
      </c>
      <c r="BF58" s="126">
        <v>0</v>
      </c>
      <c r="BG58" s="126">
        <v>0</v>
      </c>
      <c r="BH58" s="126">
        <v>0.59575031111472476</v>
      </c>
      <c r="BI58" s="126">
        <v>0.61500541883186344</v>
      </c>
      <c r="BJ58" s="126">
        <v>0.60698343142031874</v>
      </c>
      <c r="BK58" s="126">
        <v>0.50358485339873393</v>
      </c>
      <c r="BL58" s="126">
        <v>0.56899399785275184</v>
      </c>
      <c r="BM58" s="126">
        <v>0.50600000000000001</v>
      </c>
      <c r="BN58" s="126">
        <v>0.54483917096399559</v>
      </c>
      <c r="BO58" s="126">
        <v>0.39900000000000002</v>
      </c>
      <c r="BP58" s="126">
        <v>0.49562742145815264</v>
      </c>
      <c r="BQ58" s="126">
        <v>0.45782389464402279</v>
      </c>
      <c r="BR58" s="126">
        <v>0.50622456914877412</v>
      </c>
      <c r="BS58" s="126">
        <v>0.47865284306810935</v>
      </c>
      <c r="BT58" s="126">
        <v>0.56951288511911968</v>
      </c>
      <c r="BU58" s="126">
        <v>0.53536379284074798</v>
      </c>
      <c r="BV58" s="126">
        <v>0.54566486091487498</v>
      </c>
      <c r="BW58" s="126">
        <v>0.59600310561786973</v>
      </c>
      <c r="BX58" s="126">
        <v>0.57581165875369811</v>
      </c>
      <c r="BY58" s="126">
        <v>0.5607976125001618</v>
      </c>
      <c r="BZ58" s="126">
        <v>0.56979829830640083</v>
      </c>
      <c r="CA58" s="126">
        <v>0.60445053638910518</v>
      </c>
      <c r="CB58" s="126">
        <v>0.58517782986336508</v>
      </c>
      <c r="CC58" s="126">
        <v>0.57499999999999996</v>
      </c>
      <c r="CD58" s="126">
        <v>0.61499999999999999</v>
      </c>
      <c r="CE58" s="126">
        <v>0.60199999999999998</v>
      </c>
      <c r="CF58" s="126">
        <v>0.5817490007372369</v>
      </c>
      <c r="CG58" s="126">
        <v>0.59417896363102252</v>
      </c>
      <c r="CH58" s="126">
        <v>0.59750924630066971</v>
      </c>
      <c r="CI58" s="126">
        <v>0.59557351847745033</v>
      </c>
      <c r="CJ58" s="126">
        <v>0.53500000000000003</v>
      </c>
      <c r="CK58" s="126">
        <v>0.61599999999999999</v>
      </c>
      <c r="CL58" s="126">
        <v>0.58399999999999996</v>
      </c>
      <c r="CM58" s="126">
        <v>0.57951033389816042</v>
      </c>
      <c r="CN58" s="126">
        <v>0.58243455250227738</v>
      </c>
      <c r="CO58" s="126">
        <v>0.63672218198281394</v>
      </c>
      <c r="CP58" s="126">
        <v>0.60324107034083119</v>
      </c>
      <c r="CQ58" s="126">
        <v>0.55997514419200922</v>
      </c>
      <c r="CR58" s="126">
        <v>0.59960000000000002</v>
      </c>
      <c r="CS58" s="126">
        <v>0.58283568788960594</v>
      </c>
      <c r="CT58" s="126">
        <v>0.57196518450566514</v>
      </c>
      <c r="CU58" s="126">
        <v>0.57889752689522689</v>
      </c>
      <c r="CV58" s="126">
        <v>0.6076359056775279</v>
      </c>
      <c r="CW58" s="126">
        <v>0.59062461573132075</v>
      </c>
      <c r="CX58" s="126">
        <v>0.58610174586052122</v>
      </c>
      <c r="CY58" s="126">
        <v>0.62313871735261361</v>
      </c>
      <c r="CZ58" s="126">
        <v>0.60657725403212892</v>
      </c>
      <c r="DA58" s="126">
        <v>0.60427317399242508</v>
      </c>
      <c r="DB58" s="126">
        <v>0.60576566920072894</v>
      </c>
      <c r="DC58" s="126">
        <v>0.62566676026198431</v>
      </c>
      <c r="DD58" s="126">
        <v>0.61347513188633007</v>
      </c>
      <c r="DE58" s="126">
        <v>0.60084789010800055</v>
      </c>
      <c r="DF58" s="126">
        <v>0.53800000000000003</v>
      </c>
      <c r="DG58" s="126">
        <v>0.58799999999999997</v>
      </c>
      <c r="DH58" s="126">
        <v>0.4675553774435503</v>
      </c>
      <c r="DI58" s="126">
        <v>0.53687476641290277</v>
      </c>
      <c r="DJ58" s="126">
        <v>0.58499999999999996</v>
      </c>
      <c r="DK58" s="126">
        <v>0.56240207412251453</v>
      </c>
      <c r="DL58" s="126">
        <v>0.56661686743174666</v>
      </c>
      <c r="DM58" s="126">
        <v>0.602817339002233</v>
      </c>
      <c r="DN58" s="126">
        <v>0.59053331030849288</v>
      </c>
      <c r="DO58" s="126">
        <v>0.60320748752606868</v>
      </c>
      <c r="DP58" s="126">
        <v>0.59590483072211697</v>
      </c>
      <c r="DQ58" s="126">
        <v>0.61444291828937936</v>
      </c>
      <c r="DR58" s="126">
        <v>0.60402974297566914</v>
      </c>
      <c r="DS58" s="126">
        <v>0.58481246083341332</v>
      </c>
      <c r="DT58" s="126">
        <v>0.62513482798859765</v>
      </c>
      <c r="DU58" s="126">
        <v>0.60873320975046652</v>
      </c>
      <c r="DV58" s="126">
        <v>0.6137447983944474</v>
      </c>
      <c r="DW58" s="126">
        <v>0.61041409410319392</v>
      </c>
      <c r="DX58" s="126">
        <v>0.61423711768247125</v>
      </c>
      <c r="DY58" s="126">
        <v>0.61176290672763611</v>
      </c>
      <c r="DZ58" s="126">
        <v>0.60170487694299235</v>
      </c>
      <c r="EA58" s="126">
        <v>0.62159434800145308</v>
      </c>
      <c r="EB58" s="126">
        <v>0.61282352515022764</v>
      </c>
      <c r="EC58" s="126">
        <v>0.59338063189538937</v>
      </c>
      <c r="ED58" s="126">
        <v>0.60615189439728445</v>
      </c>
      <c r="EE58" s="126">
        <v>0.62465099875890762</v>
      </c>
      <c r="EF58" s="126">
        <v>0.61316052018656653</v>
      </c>
      <c r="EG58" s="126">
        <v>0.58988709189947941</v>
      </c>
      <c r="EH58" s="126">
        <v>0.63131983630157718</v>
      </c>
      <c r="EI58" s="126">
        <v>0.61394572040555151</v>
      </c>
      <c r="EJ58" s="126">
        <v>0.61009582619778457</v>
      </c>
      <c r="EK58" s="126">
        <v>0.61252360156815044</v>
      </c>
      <c r="EL58" s="126">
        <v>0.61952960658490741</v>
      </c>
      <c r="EM58" s="126">
        <v>0.61519417064297544</v>
      </c>
      <c r="EN58" s="126">
        <v>0.59752560987426107</v>
      </c>
      <c r="EO58" s="126">
        <v>0.63675598652714083</v>
      </c>
      <c r="EP58" s="126">
        <v>0.61981589483257993</v>
      </c>
      <c r="EQ58" s="126">
        <v>0.60332726166452433</v>
      </c>
      <c r="ER58" s="126">
        <v>0.61436106334599272</v>
      </c>
      <c r="ES58" s="126">
        <v>0.61069443715001215</v>
      </c>
      <c r="ET58" s="126">
        <v>0.61303099110350312</v>
      </c>
      <c r="EU58" s="126">
        <v>0.61155148280412408</v>
      </c>
      <c r="EV58" s="126">
        <v>0.63687920903554807</v>
      </c>
      <c r="EW58" s="126">
        <v>0.62519049727981235</v>
      </c>
    </row>
    <row r="59" spans="1:153" ht="16.350000000000001" customHeight="1">
      <c r="A59" s="174"/>
      <c r="B59" s="160" t="s">
        <v>2334</v>
      </c>
      <c r="C59" s="160" t="s">
        <v>2335</v>
      </c>
      <c r="D59" s="323">
        <v>0</v>
      </c>
      <c r="E59" s="323">
        <v>0</v>
      </c>
      <c r="F59" s="323">
        <v>0</v>
      </c>
      <c r="G59" s="323">
        <v>0</v>
      </c>
      <c r="H59" s="323">
        <v>0</v>
      </c>
      <c r="I59" s="323">
        <v>0</v>
      </c>
      <c r="J59" s="323">
        <v>0</v>
      </c>
      <c r="K59" s="323">
        <v>0</v>
      </c>
      <c r="L59" s="323">
        <v>0</v>
      </c>
      <c r="M59" s="323">
        <v>0</v>
      </c>
      <c r="N59" s="323">
        <v>0</v>
      </c>
      <c r="O59" s="323">
        <v>0</v>
      </c>
      <c r="P59" s="323">
        <v>0</v>
      </c>
      <c r="Q59" s="323">
        <v>0</v>
      </c>
      <c r="R59" s="323">
        <v>0</v>
      </c>
      <c r="S59" s="323">
        <v>0</v>
      </c>
      <c r="T59" s="323">
        <v>0</v>
      </c>
      <c r="U59" s="323">
        <v>0</v>
      </c>
      <c r="V59" s="323">
        <v>0</v>
      </c>
      <c r="W59" s="323">
        <v>0</v>
      </c>
      <c r="X59" s="323">
        <v>0</v>
      </c>
      <c r="Y59" s="323">
        <v>0</v>
      </c>
      <c r="Z59" s="323">
        <v>0</v>
      </c>
      <c r="AA59" s="323">
        <v>0</v>
      </c>
      <c r="AB59" s="323">
        <v>0</v>
      </c>
      <c r="AC59" s="323">
        <v>0</v>
      </c>
      <c r="AD59" s="323">
        <v>0</v>
      </c>
      <c r="AE59" s="323">
        <v>0</v>
      </c>
      <c r="AF59" s="323">
        <v>0</v>
      </c>
      <c r="AG59" s="323">
        <v>0</v>
      </c>
      <c r="AH59" s="323">
        <v>0</v>
      </c>
      <c r="AI59" s="323">
        <v>0</v>
      </c>
      <c r="AJ59" s="323">
        <v>0</v>
      </c>
      <c r="AK59" s="323">
        <v>0</v>
      </c>
      <c r="AL59" s="323">
        <v>0</v>
      </c>
      <c r="AM59" s="323">
        <v>0</v>
      </c>
      <c r="AN59" s="323">
        <v>0</v>
      </c>
      <c r="AO59" s="323">
        <v>0</v>
      </c>
      <c r="AP59" s="323">
        <v>0</v>
      </c>
      <c r="AQ59" s="323">
        <v>0</v>
      </c>
      <c r="AR59" s="323">
        <v>0</v>
      </c>
      <c r="AS59" s="323">
        <v>0</v>
      </c>
      <c r="AT59" s="323">
        <v>0</v>
      </c>
      <c r="AU59" s="323">
        <v>0</v>
      </c>
      <c r="AV59" s="323">
        <v>0</v>
      </c>
      <c r="AW59" s="323">
        <v>0</v>
      </c>
      <c r="AX59" s="323">
        <v>0</v>
      </c>
      <c r="AY59" s="323">
        <v>0</v>
      </c>
      <c r="AZ59" s="323">
        <v>0</v>
      </c>
      <c r="BA59" s="323">
        <v>0</v>
      </c>
      <c r="BB59" s="323">
        <v>0</v>
      </c>
      <c r="BC59" s="323">
        <v>0</v>
      </c>
      <c r="BD59" s="323">
        <v>0</v>
      </c>
      <c r="BE59" s="323">
        <v>0</v>
      </c>
      <c r="BF59" s="323">
        <v>0</v>
      </c>
      <c r="BG59" s="323">
        <v>0</v>
      </c>
      <c r="BH59" s="323">
        <v>0</v>
      </c>
      <c r="BI59" s="323">
        <v>0</v>
      </c>
      <c r="BJ59" s="323">
        <v>0</v>
      </c>
      <c r="BK59" s="323">
        <f t="shared" ref="BK59:BN59" si="340">BK56/BK54</f>
        <v>1.6328013785714275</v>
      </c>
      <c r="BL59" s="323">
        <f t="shared" si="340"/>
        <v>4.4441131357142849</v>
      </c>
      <c r="BM59" s="323">
        <f t="shared" si="340"/>
        <v>1.7641318318181818</v>
      </c>
      <c r="BN59" s="323">
        <f t="shared" si="340"/>
        <v>4.5922845954545446</v>
      </c>
      <c r="BO59" s="323">
        <f>BO56/BO55</f>
        <v>1.0972871738128169</v>
      </c>
      <c r="BP59" s="323">
        <f t="shared" ref="BP59:EA59" si="341">BP56/BP55</f>
        <v>1.5074888666486344</v>
      </c>
      <c r="BQ59" s="323">
        <f t="shared" si="341"/>
        <v>2.6309503373857996</v>
      </c>
      <c r="BR59" s="323">
        <f t="shared" si="341"/>
        <v>1.5459268039391227</v>
      </c>
      <c r="BS59" s="323">
        <f t="shared" si="341"/>
        <v>4.2169491053991335</v>
      </c>
      <c r="BT59" s="323">
        <f t="shared" si="341"/>
        <v>2.8218913716258633</v>
      </c>
      <c r="BU59" s="323">
        <f t="shared" si="341"/>
        <v>7.0865824935946895</v>
      </c>
      <c r="BV59" s="323">
        <f t="shared" si="341"/>
        <v>1.7105840711220113</v>
      </c>
      <c r="BW59" s="323">
        <f t="shared" si="341"/>
        <v>2.3869054913570813</v>
      </c>
      <c r="BX59" s="323">
        <f t="shared" si="341"/>
        <v>4.1203596899837098</v>
      </c>
      <c r="BY59" s="323">
        <f t="shared" si="341"/>
        <v>2.4451346093133415</v>
      </c>
      <c r="BZ59" s="323">
        <f t="shared" si="341"/>
        <v>6.5964876566645634</v>
      </c>
      <c r="CA59" s="323">
        <f t="shared" si="341"/>
        <v>3.7186155579356051</v>
      </c>
      <c r="CB59" s="323">
        <f t="shared" si="341"/>
        <v>10.744207462821104</v>
      </c>
      <c r="CC59" s="323">
        <f t="shared" si="341"/>
        <v>1.7950468359324352</v>
      </c>
      <c r="CD59" s="323">
        <f t="shared" si="341"/>
        <v>2.6372559235716801</v>
      </c>
      <c r="CE59" s="323">
        <f t="shared" si="341"/>
        <v>4.5532059249027554</v>
      </c>
      <c r="CF59" s="323">
        <f t="shared" si="341"/>
        <v>2.1986793934793059</v>
      </c>
      <c r="CG59" s="323">
        <f t="shared" si="341"/>
        <v>6.7409399573953239</v>
      </c>
      <c r="CH59" s="323">
        <f t="shared" si="341"/>
        <v>4.0774981478776313</v>
      </c>
      <c r="CI59" s="323">
        <f t="shared" si="341"/>
        <v>11.068730751381839</v>
      </c>
      <c r="CJ59" s="323">
        <f t="shared" si="341"/>
        <v>2.2668149212727666</v>
      </c>
      <c r="CK59" s="323">
        <f t="shared" si="341"/>
        <v>3.0565315758675644</v>
      </c>
      <c r="CL59" s="323">
        <f t="shared" si="341"/>
        <v>5.3642250983536997</v>
      </c>
      <c r="CM59" s="323">
        <f t="shared" si="341"/>
        <v>2.3915390447308571</v>
      </c>
      <c r="CN59" s="323">
        <f t="shared" si="341"/>
        <v>7.7248577461769798</v>
      </c>
      <c r="CO59" s="323">
        <f t="shared" si="341"/>
        <v>3.7437163183122801</v>
      </c>
      <c r="CP59" s="323">
        <f t="shared" si="341"/>
        <v>11.699659775228065</v>
      </c>
      <c r="CQ59" s="323">
        <f t="shared" si="341"/>
        <v>2.1782759681755599</v>
      </c>
      <c r="CR59" s="323">
        <f t="shared" si="341"/>
        <v>2.7007458557771042</v>
      </c>
      <c r="CS59" s="323">
        <f t="shared" si="341"/>
        <v>4.903525028638728</v>
      </c>
      <c r="CT59" s="323">
        <f t="shared" si="341"/>
        <v>2.6245470012766323</v>
      </c>
      <c r="CU59" s="323">
        <f t="shared" si="341"/>
        <v>7.5349996942166282</v>
      </c>
      <c r="CV59" s="323">
        <f t="shared" si="341"/>
        <v>4.7718343215741568</v>
      </c>
      <c r="CW59" s="323">
        <f t="shared" si="341"/>
        <v>12.453696499848224</v>
      </c>
      <c r="CX59" s="323">
        <f t="shared" si="341"/>
        <v>2.539875706426622</v>
      </c>
      <c r="CY59" s="323">
        <f t="shared" si="341"/>
        <v>3.0524014018582877</v>
      </c>
      <c r="CZ59" s="323">
        <f t="shared" si="341"/>
        <v>5.599538460165169</v>
      </c>
      <c r="DA59" s="323">
        <f t="shared" si="341"/>
        <v>3.0156389006997553</v>
      </c>
      <c r="DB59" s="323">
        <f t="shared" si="341"/>
        <v>8.6165693225504558</v>
      </c>
      <c r="DC59" s="323">
        <f t="shared" si="341"/>
        <v>5.1753245895068449</v>
      </c>
      <c r="DD59" s="323">
        <f t="shared" si="341"/>
        <v>13.881964138033993</v>
      </c>
      <c r="DE59" s="323">
        <f t="shared" si="341"/>
        <v>2.2621659379434194</v>
      </c>
      <c r="DF59" s="323">
        <f t="shared" si="341"/>
        <v>0.59425357498676434</v>
      </c>
      <c r="DG59" s="323">
        <f t="shared" si="341"/>
        <v>2.8651357489522122</v>
      </c>
      <c r="DH59" s="323">
        <f t="shared" si="341"/>
        <v>2.1149889447691814</v>
      </c>
      <c r="DI59" s="323">
        <f t="shared" si="341"/>
        <v>4.9719755378538331</v>
      </c>
      <c r="DJ59" s="323">
        <f t="shared" si="341"/>
        <v>5.5869181643354375</v>
      </c>
      <c r="DK59" s="323">
        <f t="shared" si="341"/>
        <v>10.53736703319505</v>
      </c>
      <c r="DL59" s="323">
        <f t="shared" si="341"/>
        <v>1.9118943036263571</v>
      </c>
      <c r="DM59" s="323">
        <f t="shared" si="341"/>
        <v>3.5628216330325793</v>
      </c>
      <c r="DN59" s="323">
        <f t="shared" si="341"/>
        <v>5.51219672860723</v>
      </c>
      <c r="DO59" s="323">
        <f t="shared" si="341"/>
        <v>3.9392516582509027</v>
      </c>
      <c r="DP59" s="323">
        <f t="shared" si="341"/>
        <v>9.474612451422443</v>
      </c>
      <c r="DQ59" s="323">
        <f t="shared" si="341"/>
        <v>7.2113630720519799</v>
      </c>
      <c r="DR59" s="323">
        <f t="shared" si="341"/>
        <v>16.756688013080712</v>
      </c>
      <c r="DS59" s="323">
        <f t="shared" si="341"/>
        <v>4.0162410303369311</v>
      </c>
      <c r="DT59" s="323">
        <f t="shared" si="341"/>
        <v>5.5309477869171149</v>
      </c>
      <c r="DU59" s="323">
        <f t="shared" si="341"/>
        <v>9.5906137374270504</v>
      </c>
      <c r="DV59" s="323">
        <f t="shared" si="341"/>
        <v>4.5589009923379713</v>
      </c>
      <c r="DW59" s="323">
        <f t="shared" si="341"/>
        <v>14.139991643529518</v>
      </c>
      <c r="DX59" s="323">
        <f t="shared" si="341"/>
        <v>7.3252355937405715</v>
      </c>
      <c r="DY59" s="323">
        <f t="shared" si="341"/>
        <v>21.566370270906123</v>
      </c>
      <c r="DZ59" s="323">
        <f t="shared" si="341"/>
        <v>3.9753071124466306</v>
      </c>
      <c r="EA59" s="323">
        <f t="shared" si="341"/>
        <v>5.0039480641887737</v>
      </c>
      <c r="EB59" s="323">
        <f t="shared" ref="EB59:ED59" si="342">EB56/EB55</f>
        <v>8.9828903179847917</v>
      </c>
      <c r="EC59" s="323">
        <f t="shared" si="342"/>
        <v>4.4797520923041008</v>
      </c>
      <c r="ED59" s="323">
        <f t="shared" si="342"/>
        <v>13.462277787272804</v>
      </c>
      <c r="EE59" s="323">
        <f t="shared" ref="EE59:EF59" si="343">EE56/EE55</f>
        <v>7.4907893942554837</v>
      </c>
      <c r="EF59" s="323">
        <f t="shared" si="343"/>
        <v>21.164648659062824</v>
      </c>
      <c r="EG59" s="323">
        <f t="shared" ref="EG59:EI59" si="344">EG56/EG55</f>
        <v>3.6920842131415759</v>
      </c>
      <c r="EH59" s="323">
        <f t="shared" si="344"/>
        <v>4.9421351411964958</v>
      </c>
      <c r="EI59" s="323">
        <f t="shared" si="344"/>
        <v>8.6554093582045422</v>
      </c>
      <c r="EJ59" s="323">
        <f t="shared" ref="EJ59:EK59" si="345">EJ56/EJ55</f>
        <v>4.9101084261661452</v>
      </c>
      <c r="EK59" s="323">
        <f t="shared" si="345"/>
        <v>13.578000174042574</v>
      </c>
      <c r="EL59" s="323">
        <f t="shared" ref="EL59:EN59" si="346">EL56/EL55</f>
        <v>8.0010079196627384</v>
      </c>
      <c r="EM59" s="323">
        <f t="shared" si="346"/>
        <v>23.583583708107543</v>
      </c>
      <c r="EN59" s="323">
        <f t="shared" si="346"/>
        <v>4.3105682662745171</v>
      </c>
      <c r="EO59" s="323">
        <v>5.6662904651151518</v>
      </c>
      <c r="EP59" s="323">
        <v>10.012568274019634</v>
      </c>
      <c r="EQ59" s="323">
        <f t="shared" ref="EQ59:ER59" si="347">EQ56/EQ55</f>
        <v>4.6578556289861588</v>
      </c>
      <c r="ER59" s="323">
        <f t="shared" si="347"/>
        <v>14.570882847804061</v>
      </c>
      <c r="ES59" s="323">
        <f t="shared" ref="ES59:EW59" si="348">ES56/ES55</f>
        <v>7.5722814338282909</v>
      </c>
      <c r="ET59" s="323">
        <f t="shared" si="348"/>
        <v>22.332850211066251</v>
      </c>
      <c r="EU59" s="323">
        <f t="shared" si="348"/>
        <v>4.2220484140355392</v>
      </c>
      <c r="EV59" s="323">
        <f t="shared" si="348"/>
        <v>4.8181666993044265</v>
      </c>
      <c r="EW59" s="323">
        <f t="shared" si="348"/>
        <v>9.0468430025205162</v>
      </c>
    </row>
    <row r="60" spans="1:153" ht="16.350000000000001" customHeight="1">
      <c r="A60" s="174"/>
      <c r="B60" s="160" t="s">
        <v>2336</v>
      </c>
      <c r="C60" s="160" t="s">
        <v>2337</v>
      </c>
      <c r="D60" s="126" t="s">
        <v>624</v>
      </c>
      <c r="E60" s="126" t="s">
        <v>624</v>
      </c>
      <c r="F60" s="126" t="s">
        <v>624</v>
      </c>
      <c r="G60" s="126" t="s">
        <v>624</v>
      </c>
      <c r="H60" s="126" t="s">
        <v>624</v>
      </c>
      <c r="I60" s="126" t="s">
        <v>624</v>
      </c>
      <c r="J60" s="126" t="s">
        <v>624</v>
      </c>
      <c r="K60" s="126" t="s">
        <v>624</v>
      </c>
      <c r="L60" s="126" t="s">
        <v>624</v>
      </c>
      <c r="M60" s="126" t="s">
        <v>624</v>
      </c>
      <c r="N60" s="126" t="s">
        <v>624</v>
      </c>
      <c r="O60" s="126" t="s">
        <v>624</v>
      </c>
      <c r="P60" s="126" t="s">
        <v>624</v>
      </c>
      <c r="Q60" s="126" t="s">
        <v>624</v>
      </c>
      <c r="R60" s="126" t="s">
        <v>624</v>
      </c>
      <c r="S60" s="126" t="s">
        <v>624</v>
      </c>
      <c r="T60" s="126" t="s">
        <v>624</v>
      </c>
      <c r="U60" s="126" t="s">
        <v>624</v>
      </c>
      <c r="V60" s="126" t="s">
        <v>624</v>
      </c>
      <c r="W60" s="126" t="s">
        <v>624</v>
      </c>
      <c r="X60" s="126" t="s">
        <v>624</v>
      </c>
      <c r="Y60" s="126" t="s">
        <v>624</v>
      </c>
      <c r="Z60" s="126" t="s">
        <v>624</v>
      </c>
      <c r="AA60" s="126" t="s">
        <v>624</v>
      </c>
      <c r="AB60" s="126" t="s">
        <v>624</v>
      </c>
      <c r="AC60" s="126" t="s">
        <v>624</v>
      </c>
      <c r="AD60" s="126" t="s">
        <v>624</v>
      </c>
      <c r="AE60" s="126" t="s">
        <v>624</v>
      </c>
      <c r="AF60" s="126" t="s">
        <v>624</v>
      </c>
      <c r="AG60" s="126" t="s">
        <v>624</v>
      </c>
      <c r="AH60" s="126" t="s">
        <v>624</v>
      </c>
      <c r="AI60" s="126" t="s">
        <v>624</v>
      </c>
      <c r="AJ60" s="126" t="s">
        <v>624</v>
      </c>
      <c r="AK60" s="126" t="s">
        <v>624</v>
      </c>
      <c r="AL60" s="126" t="s">
        <v>624</v>
      </c>
      <c r="AM60" s="126" t="s">
        <v>624</v>
      </c>
      <c r="AN60" s="126" t="s">
        <v>624</v>
      </c>
      <c r="AO60" s="126" t="s">
        <v>624</v>
      </c>
      <c r="AP60" s="126" t="s">
        <v>624</v>
      </c>
      <c r="AQ60" s="126" t="s">
        <v>624</v>
      </c>
      <c r="AR60" s="126" t="s">
        <v>624</v>
      </c>
      <c r="AS60" s="126" t="s">
        <v>624</v>
      </c>
      <c r="AT60" s="126" t="s">
        <v>624</v>
      </c>
      <c r="AU60" s="126" t="s">
        <v>624</v>
      </c>
      <c r="AV60" s="126" t="s">
        <v>624</v>
      </c>
      <c r="AW60" s="126" t="s">
        <v>624</v>
      </c>
      <c r="AX60" s="126" t="s">
        <v>624</v>
      </c>
      <c r="AY60" s="126" t="s">
        <v>624</v>
      </c>
      <c r="AZ60" s="126" t="s">
        <v>624</v>
      </c>
      <c r="BA60" s="126" t="s">
        <v>624</v>
      </c>
      <c r="BB60" s="126" t="s">
        <v>624</v>
      </c>
      <c r="BC60" s="126" t="s">
        <v>624</v>
      </c>
      <c r="BD60" s="126" t="s">
        <v>624</v>
      </c>
      <c r="BE60" s="126" t="s">
        <v>624</v>
      </c>
      <c r="BF60" s="126" t="s">
        <v>624</v>
      </c>
      <c r="BG60" s="126" t="s">
        <v>624</v>
      </c>
      <c r="BH60" s="126" t="s">
        <v>624</v>
      </c>
      <c r="BI60" s="126" t="s">
        <v>624</v>
      </c>
      <c r="BJ60" s="126" t="s">
        <v>624</v>
      </c>
      <c r="BK60" s="126" t="s">
        <v>624</v>
      </c>
      <c r="BL60" s="126" t="s">
        <v>624</v>
      </c>
      <c r="BM60" s="126" t="s">
        <v>624</v>
      </c>
      <c r="BN60" s="126" t="s">
        <v>624</v>
      </c>
      <c r="BO60" s="126" t="s">
        <v>624</v>
      </c>
      <c r="BP60" s="126" t="s">
        <v>624</v>
      </c>
      <c r="BQ60" s="126" t="s">
        <v>624</v>
      </c>
      <c r="BR60" s="126" t="s">
        <v>624</v>
      </c>
      <c r="BS60" s="126">
        <f t="shared" ref="BS60:EC60" si="349">+BS59/BL59-1</f>
        <v>-5.1115717214665457E-2</v>
      </c>
      <c r="BT60" s="126">
        <f t="shared" si="349"/>
        <v>0.59959211705709881</v>
      </c>
      <c r="BU60" s="126">
        <f t="shared" si="349"/>
        <v>0.54314967774623724</v>
      </c>
      <c r="BV60" s="126">
        <f t="shared" si="349"/>
        <v>0.55892104815016719</v>
      </c>
      <c r="BW60" s="126">
        <f t="shared" si="349"/>
        <v>0.58336525341213119</v>
      </c>
      <c r="BX60" s="126">
        <f t="shared" si="349"/>
        <v>0.56611078188493558</v>
      </c>
      <c r="BY60" s="126">
        <f t="shared" si="349"/>
        <v>0.58166260076672338</v>
      </c>
      <c r="BZ60" s="126">
        <f t="shared" si="349"/>
        <v>0.56427964668077424</v>
      </c>
      <c r="CA60" s="126">
        <f t="shared" si="349"/>
        <v>0.31777416924205859</v>
      </c>
      <c r="CB60" s="126">
        <f t="shared" si="349"/>
        <v>0.51613383073327812</v>
      </c>
      <c r="CC60" s="126">
        <f t="shared" si="349"/>
        <v>4.9376564552610969E-2</v>
      </c>
      <c r="CD60" s="126">
        <f t="shared" si="349"/>
        <v>0.10488493705390134</v>
      </c>
      <c r="CE60" s="126">
        <f t="shared" si="349"/>
        <v>0.10505059448359888</v>
      </c>
      <c r="CF60" s="126">
        <f t="shared" si="349"/>
        <v>-0.10079413006355786</v>
      </c>
      <c r="CG60" s="126">
        <f t="shared" si="349"/>
        <v>2.1898365956133814E-2</v>
      </c>
      <c r="CH60" s="126">
        <f t="shared" si="349"/>
        <v>9.6509731740395566E-2</v>
      </c>
      <c r="CI60" s="126">
        <f t="shared" si="349"/>
        <v>3.0204488296014853E-2</v>
      </c>
      <c r="CJ60" s="126">
        <f t="shared" si="349"/>
        <v>0.26281658834560262</v>
      </c>
      <c r="CK60" s="126">
        <f t="shared" si="349"/>
        <v>0.15898178426614451</v>
      </c>
      <c r="CL60" s="126">
        <f t="shared" si="349"/>
        <v>0.17812046870431519</v>
      </c>
      <c r="CM60" s="126">
        <f t="shared" si="349"/>
        <v>8.7716131703203803E-2</v>
      </c>
      <c r="CN60" s="126">
        <f t="shared" si="349"/>
        <v>0.1459615120443587</v>
      </c>
      <c r="CO60" s="126">
        <f t="shared" si="349"/>
        <v>-8.1859468100331845E-2</v>
      </c>
      <c r="CP60" s="126">
        <f t="shared" si="349"/>
        <v>5.7001027309970587E-2</v>
      </c>
      <c r="CQ60" s="126">
        <f t="shared" si="349"/>
        <v>-3.9058748143184996E-2</v>
      </c>
      <c r="CR60" s="126">
        <f t="shared" si="349"/>
        <v>-0.11640178131955803</v>
      </c>
      <c r="CS60" s="126">
        <f t="shared" si="349"/>
        <v>-8.5883806377991534E-2</v>
      </c>
      <c r="CT60" s="126">
        <f t="shared" si="349"/>
        <v>9.7430128543854799E-2</v>
      </c>
      <c r="CU60" s="126">
        <f t="shared" si="349"/>
        <v>-2.4577546693893781E-2</v>
      </c>
      <c r="CV60" s="126">
        <f t="shared" si="349"/>
        <v>0.27462497578485512</v>
      </c>
      <c r="CW60" s="126">
        <f t="shared" si="349"/>
        <v>6.4449457429240464E-2</v>
      </c>
      <c r="CX60" s="126">
        <f t="shared" si="349"/>
        <v>0.16600272120429449</v>
      </c>
      <c r="CY60" s="126">
        <f t="shared" si="349"/>
        <v>0.13020682613618195</v>
      </c>
      <c r="CZ60" s="126">
        <f t="shared" si="349"/>
        <v>0.14194144568681066</v>
      </c>
      <c r="DA60" s="126">
        <f t="shared" si="349"/>
        <v>0.1490131055884647</v>
      </c>
      <c r="DB60" s="126">
        <f t="shared" si="349"/>
        <v>0.1435394389151694</v>
      </c>
      <c r="DC60" s="126">
        <f t="shared" si="349"/>
        <v>8.4556638127281536E-2</v>
      </c>
      <c r="DD60" s="126">
        <f t="shared" si="349"/>
        <v>0.1146862410050844</v>
      </c>
      <c r="DE60" s="126">
        <f t="shared" si="349"/>
        <v>-0.10933990501209034</v>
      </c>
      <c r="DF60" s="126">
        <f t="shared" si="349"/>
        <v>-0.80531604571240678</v>
      </c>
      <c r="DG60" s="126">
        <f t="shared" si="349"/>
        <v>-0.48832644523568469</v>
      </c>
      <c r="DH60" s="126">
        <f t="shared" si="349"/>
        <v>-0.29865974859310418</v>
      </c>
      <c r="DI60" s="126">
        <f t="shared" si="349"/>
        <v>-0.42297504357776627</v>
      </c>
      <c r="DJ60" s="126">
        <f t="shared" si="349"/>
        <v>7.9530001975743447E-2</v>
      </c>
      <c r="DK60" s="126">
        <f t="shared" si="349"/>
        <v>-0.24093111548065238</v>
      </c>
      <c r="DL60" s="126">
        <f t="shared" si="349"/>
        <v>-0.15483905421876398</v>
      </c>
      <c r="DM60" s="126">
        <f t="shared" si="349"/>
        <v>4.995456793191245</v>
      </c>
      <c r="DN60" s="126">
        <f t="shared" si="349"/>
        <v>0.92388675846268531</v>
      </c>
      <c r="DO60" s="126">
        <f t="shared" si="349"/>
        <v>0.86254007047815162</v>
      </c>
      <c r="DP60" s="126">
        <f t="shared" si="349"/>
        <v>0.905603191183878</v>
      </c>
      <c r="DQ60" s="126">
        <f t="shared" si="349"/>
        <v>0.29075867230100538</v>
      </c>
      <c r="DR60" s="126">
        <f t="shared" si="349"/>
        <v>0.59021584427052964</v>
      </c>
      <c r="DS60" s="126">
        <f t="shared" si="349"/>
        <v>1.1006605975650356</v>
      </c>
      <c r="DT60" s="126">
        <f t="shared" si="349"/>
        <v>0.55240659134802628</v>
      </c>
      <c r="DU60" s="126">
        <f t="shared" si="349"/>
        <v>0.73988959567673418</v>
      </c>
      <c r="DV60" s="126">
        <f t="shared" si="349"/>
        <v>0.15730128152365963</v>
      </c>
      <c r="DW60" s="126">
        <f t="shared" si="349"/>
        <v>0.4924084458363942</v>
      </c>
      <c r="DX60" s="126">
        <f t="shared" si="349"/>
        <v>1.5790707048146002E-2</v>
      </c>
      <c r="DY60" s="126">
        <f t="shared" si="349"/>
        <v>0.28703060259108759</v>
      </c>
      <c r="DZ60" s="126">
        <f t="shared" si="349"/>
        <v>-1.0192096933700823E-2</v>
      </c>
      <c r="EA60" s="126">
        <f t="shared" si="349"/>
        <v>-9.5281991989673909E-2</v>
      </c>
      <c r="EB60" s="126">
        <f t="shared" si="349"/>
        <v>-6.336647852583599E-2</v>
      </c>
      <c r="EC60" s="126">
        <f t="shared" si="349"/>
        <v>-1.736139919838009E-2</v>
      </c>
      <c r="ED60" s="126">
        <f t="shared" ref="ED60:EG60" si="350">+ED59/DW59-1</f>
        <v>-4.7928872473332551E-2</v>
      </c>
      <c r="EE60" s="126">
        <f t="shared" si="350"/>
        <v>2.2600474537143755E-2</v>
      </c>
      <c r="EF60" s="126">
        <f t="shared" si="350"/>
        <v>-1.8627224089963756E-2</v>
      </c>
      <c r="EG60" s="126">
        <f t="shared" si="350"/>
        <v>-7.1245539349221065E-2</v>
      </c>
      <c r="EH60" s="126">
        <f t="shared" ref="EH60" si="351">+EH59/EA59-1</f>
        <v>-1.2352830644795865E-2</v>
      </c>
      <c r="EI60" s="126">
        <f t="shared" ref="EI60" si="352">+EI59/EB59-1</f>
        <v>-3.6456079077865855E-2</v>
      </c>
      <c r="EJ60" s="126">
        <f t="shared" ref="EJ60" si="353">+EJ59/EC59-1</f>
        <v>9.606699768082394E-2</v>
      </c>
      <c r="EK60" s="126">
        <f t="shared" ref="EK60" si="354">+EK59/ED59-1</f>
        <v>8.5960480535600681E-3</v>
      </c>
      <c r="EL60" s="126">
        <f t="shared" ref="EL60:EN60" si="355">+EL59/EE59-1</f>
        <v>6.8112784721798381E-2</v>
      </c>
      <c r="EM60" s="126">
        <f t="shared" ref="EM60" si="356">+EM59/EF59-1</f>
        <v>0.11429129242875091</v>
      </c>
      <c r="EN60" s="126">
        <f t="shared" si="355"/>
        <v>0.16751623674549831</v>
      </c>
      <c r="EO60" s="126">
        <v>0.14652681548148383</v>
      </c>
      <c r="EP60" s="126">
        <v>0.15679892881422508</v>
      </c>
      <c r="EQ60" s="126">
        <f t="shared" ref="EQ60" si="357">+EQ59/EJ59-1</f>
        <v>-5.1374180626179711E-2</v>
      </c>
      <c r="ER60" s="126">
        <f t="shared" ref="ER60" si="358">+ER59/EK59-1</f>
        <v>7.3124367435169813E-2</v>
      </c>
      <c r="ES60" s="126">
        <f t="shared" ref="ES60" si="359">+ES59/EL59-1</f>
        <v>-5.3584059675886309E-2</v>
      </c>
      <c r="ET60" s="126">
        <f t="shared" ref="ET60:EW60" si="360">+ET59/EM59-1</f>
        <v>-5.3034072875502658E-2</v>
      </c>
      <c r="EU60" s="126">
        <f t="shared" si="360"/>
        <v>-2.053554120266432E-2</v>
      </c>
      <c r="EV60" s="126">
        <f t="shared" si="360"/>
        <v>-0.14967883680376937</v>
      </c>
      <c r="EW60" s="126">
        <f t="shared" si="360"/>
        <v>-9.6451304507451652E-2</v>
      </c>
    </row>
    <row r="61" spans="1:153" ht="16.350000000000001" customHeight="1">
      <c r="A61" s="174"/>
      <c r="B61" s="335"/>
      <c r="C61" s="335"/>
      <c r="D61" s="326"/>
      <c r="E61" s="326"/>
      <c r="F61" s="326"/>
      <c r="G61" s="326"/>
      <c r="H61" s="326"/>
      <c r="I61" s="326"/>
      <c r="J61" s="326"/>
      <c r="K61" s="326"/>
      <c r="L61" s="326"/>
      <c r="M61" s="326"/>
      <c r="N61" s="326"/>
      <c r="O61" s="326"/>
      <c r="P61" s="326"/>
      <c r="Q61" s="326"/>
      <c r="R61" s="326"/>
      <c r="S61" s="326"/>
      <c r="T61" s="326"/>
      <c r="U61" s="326"/>
      <c r="V61" s="326"/>
      <c r="W61" s="326"/>
      <c r="X61" s="326"/>
      <c r="Y61" s="326"/>
      <c r="Z61" s="326"/>
      <c r="AA61" s="326"/>
      <c r="AB61" s="326"/>
      <c r="AC61" s="326"/>
      <c r="AD61" s="326"/>
      <c r="AE61" s="326"/>
      <c r="AF61" s="326"/>
      <c r="AG61" s="326"/>
      <c r="AH61" s="326"/>
      <c r="AI61" s="326"/>
      <c r="AJ61" s="326"/>
      <c r="AK61" s="326"/>
      <c r="AL61" s="326"/>
      <c r="AM61" s="326"/>
      <c r="AN61" s="326"/>
      <c r="AO61" s="326"/>
      <c r="AP61" s="326"/>
      <c r="AQ61" s="326"/>
      <c r="AR61" s="326"/>
      <c r="AS61" s="326"/>
      <c r="AT61" s="326"/>
      <c r="AU61" s="326"/>
      <c r="AV61" s="326"/>
      <c r="AW61" s="326"/>
      <c r="AX61" s="326"/>
      <c r="AY61" s="326"/>
      <c r="AZ61" s="326"/>
      <c r="BA61" s="326"/>
      <c r="BB61" s="326"/>
      <c r="BC61" s="326"/>
      <c r="BD61" s="326"/>
      <c r="BE61" s="326"/>
      <c r="BF61" s="326"/>
      <c r="BG61" s="326"/>
      <c r="BH61" s="326"/>
      <c r="BI61" s="326"/>
      <c r="BJ61" s="326"/>
      <c r="BK61" s="326"/>
      <c r="BL61" s="326"/>
      <c r="BM61" s="326"/>
      <c r="BN61" s="326"/>
      <c r="BO61" s="326"/>
      <c r="BP61" s="326"/>
      <c r="BQ61" s="326"/>
      <c r="BR61" s="326"/>
      <c r="BS61" s="326"/>
      <c r="BT61" s="326"/>
      <c r="BU61" s="326"/>
      <c r="BV61" s="326"/>
      <c r="BW61" s="326"/>
      <c r="BX61" s="326"/>
      <c r="BY61" s="326"/>
      <c r="BZ61" s="326"/>
      <c r="CA61" s="326"/>
      <c r="CB61" s="326"/>
      <c r="CC61" s="326"/>
      <c r="CD61" s="326"/>
      <c r="CE61" s="326"/>
      <c r="CF61" s="326"/>
      <c r="CG61" s="326"/>
      <c r="CH61" s="326"/>
      <c r="CI61" s="326"/>
      <c r="CJ61" s="326"/>
      <c r="CK61" s="326"/>
      <c r="CL61" s="326"/>
      <c r="CM61" s="326"/>
      <c r="CN61" s="326"/>
      <c r="CO61" s="326"/>
      <c r="CP61" s="326"/>
      <c r="CQ61" s="326"/>
      <c r="CR61" s="326"/>
      <c r="CS61" s="326"/>
      <c r="CT61" s="326"/>
      <c r="CU61" s="326"/>
      <c r="CV61" s="326"/>
      <c r="CW61" s="326"/>
      <c r="CX61" s="326"/>
      <c r="CY61" s="326"/>
      <c r="CZ61" s="326"/>
      <c r="DA61" s="326"/>
      <c r="DB61" s="326"/>
      <c r="DC61" s="326"/>
      <c r="DD61" s="326"/>
      <c r="DE61" s="326"/>
      <c r="DF61" s="326"/>
      <c r="DG61" s="326"/>
      <c r="DH61" s="326"/>
      <c r="DI61" s="326"/>
      <c r="DJ61" s="326"/>
      <c r="DK61" s="326"/>
      <c r="DL61" s="326"/>
      <c r="DM61" s="326"/>
      <c r="DN61" s="326"/>
      <c r="DO61" s="326"/>
      <c r="DP61" s="326"/>
      <c r="DQ61" s="326"/>
      <c r="DR61" s="326"/>
      <c r="DS61" s="326"/>
      <c r="DT61" s="326"/>
      <c r="DU61" s="326"/>
      <c r="DV61" s="326"/>
      <c r="DW61" s="326"/>
      <c r="DX61" s="326"/>
      <c r="DY61" s="326"/>
      <c r="DZ61" s="326"/>
      <c r="EA61" s="326"/>
      <c r="EB61" s="326"/>
      <c r="EC61" s="326"/>
      <c r="ED61" s="326"/>
      <c r="EE61" s="326"/>
      <c r="EF61" s="326"/>
      <c r="EG61" s="326"/>
      <c r="EH61" s="326"/>
      <c r="EI61" s="326"/>
      <c r="EJ61" s="326"/>
      <c r="EK61" s="326"/>
      <c r="EL61" s="326"/>
      <c r="EM61" s="326"/>
      <c r="EN61" s="326"/>
      <c r="EO61" s="326"/>
      <c r="EP61" s="326"/>
      <c r="EQ61" s="326"/>
      <c r="ER61" s="326"/>
      <c r="ES61" s="326"/>
      <c r="ET61" s="326"/>
      <c r="EU61" s="326"/>
      <c r="EV61" s="326"/>
      <c r="EW61" s="326"/>
    </row>
    <row r="62" spans="1:153" ht="16.350000000000001" customHeight="1">
      <c r="A62" s="174"/>
      <c r="B62" s="319"/>
      <c r="C62" s="319"/>
      <c r="D62" s="320"/>
      <c r="E62" s="320"/>
      <c r="F62" s="321"/>
      <c r="G62" s="320"/>
      <c r="H62" s="321"/>
      <c r="I62" s="320"/>
      <c r="J62" s="320"/>
      <c r="K62" s="320"/>
      <c r="L62" s="320"/>
      <c r="M62" s="321"/>
      <c r="N62" s="320"/>
      <c r="O62" s="321"/>
      <c r="P62" s="320"/>
      <c r="Q62" s="320"/>
      <c r="R62" s="320"/>
      <c r="S62" s="321"/>
      <c r="T62" s="321"/>
      <c r="U62" s="321"/>
      <c r="V62" s="321"/>
      <c r="W62" s="321"/>
      <c r="X62" s="321"/>
      <c r="Y62" s="321"/>
      <c r="Z62" s="321"/>
      <c r="AA62" s="321"/>
      <c r="AB62" s="321"/>
      <c r="AC62" s="321"/>
      <c r="AD62" s="321"/>
      <c r="AE62" s="321"/>
      <c r="AF62" s="321"/>
      <c r="AG62" s="321"/>
      <c r="AH62" s="321"/>
      <c r="AI62" s="321"/>
      <c r="AJ62" s="321"/>
      <c r="AK62" s="321"/>
      <c r="AL62" s="321"/>
      <c r="AM62" s="321"/>
      <c r="AN62" s="321"/>
      <c r="AO62" s="321"/>
      <c r="AP62" s="321"/>
      <c r="AQ62" s="321"/>
      <c r="AR62" s="321"/>
      <c r="AS62" s="321"/>
      <c r="AT62" s="321"/>
      <c r="AU62" s="321"/>
      <c r="AV62" s="321"/>
      <c r="AW62" s="321"/>
      <c r="AX62" s="321"/>
      <c r="AY62" s="321"/>
      <c r="AZ62" s="321"/>
      <c r="BA62" s="321"/>
      <c r="BB62" s="321"/>
      <c r="BC62" s="321"/>
      <c r="BD62" s="321"/>
      <c r="BE62" s="321"/>
      <c r="BF62" s="321"/>
      <c r="BG62" s="321"/>
      <c r="BH62" s="321"/>
      <c r="BI62" s="321"/>
      <c r="BJ62" s="321"/>
      <c r="BK62" s="321"/>
      <c r="BL62" s="321"/>
      <c r="BM62" s="321"/>
      <c r="BN62" s="321"/>
      <c r="BO62" s="321"/>
      <c r="BP62" s="321"/>
      <c r="BQ62" s="321"/>
      <c r="BR62" s="321"/>
      <c r="BS62" s="321"/>
      <c r="BT62" s="321"/>
      <c r="BU62" s="321"/>
      <c r="BV62" s="321"/>
      <c r="BW62" s="321"/>
      <c r="BX62" s="321"/>
      <c r="BY62" s="321"/>
      <c r="BZ62" s="321"/>
      <c r="CA62" s="321"/>
      <c r="CB62" s="321"/>
      <c r="CC62" s="321"/>
      <c r="CD62" s="321"/>
      <c r="CE62" s="321"/>
      <c r="CF62" s="321"/>
      <c r="CG62" s="321"/>
      <c r="CH62" s="321"/>
      <c r="CI62" s="321"/>
      <c r="CJ62" s="321"/>
      <c r="CK62" s="321"/>
      <c r="CL62" s="321"/>
      <c r="CM62" s="321"/>
      <c r="CN62" s="321"/>
      <c r="CO62" s="321"/>
      <c r="CP62" s="321"/>
      <c r="CQ62" s="321"/>
      <c r="CR62" s="321"/>
      <c r="CS62" s="321"/>
      <c r="CT62" s="321"/>
      <c r="CU62" s="321"/>
      <c r="CV62" s="321"/>
      <c r="CW62" s="321"/>
      <c r="CX62" s="321"/>
      <c r="CY62" s="321"/>
      <c r="CZ62" s="321"/>
      <c r="DA62" s="321"/>
      <c r="DB62" s="321"/>
      <c r="DC62" s="321"/>
      <c r="DD62" s="336"/>
      <c r="DE62" s="321"/>
      <c r="DF62" s="321"/>
      <c r="DG62" s="321"/>
      <c r="DH62" s="321"/>
      <c r="DI62" s="321"/>
      <c r="DJ62" s="321"/>
      <c r="DK62" s="321"/>
      <c r="DL62" s="321"/>
      <c r="DM62" s="321"/>
      <c r="DN62" s="321"/>
      <c r="DO62" s="321"/>
      <c r="DP62" s="321"/>
      <c r="DQ62" s="321"/>
      <c r="DR62" s="321"/>
      <c r="DS62" s="321"/>
      <c r="DT62" s="321"/>
      <c r="DU62" s="321"/>
      <c r="DV62" s="321"/>
      <c r="DW62" s="321"/>
      <c r="DX62" s="321"/>
      <c r="DY62" s="321"/>
      <c r="DZ62" s="321"/>
      <c r="EA62" s="321"/>
      <c r="EB62" s="321"/>
      <c r="EC62" s="321"/>
      <c r="ED62" s="321"/>
      <c r="EE62" s="321"/>
      <c r="EF62" s="336"/>
      <c r="EG62" s="336"/>
      <c r="EH62" s="321"/>
      <c r="EI62" s="321"/>
      <c r="EJ62" s="321"/>
      <c r="EK62" s="321"/>
      <c r="EL62" s="321"/>
      <c r="EM62" s="321"/>
      <c r="EN62" s="321"/>
      <c r="EO62" s="321"/>
      <c r="EP62" s="321"/>
      <c r="EQ62" s="321"/>
      <c r="ER62" s="321"/>
      <c r="ES62" s="321"/>
      <c r="ET62" s="321"/>
      <c r="EU62" s="321"/>
      <c r="EV62" s="321"/>
      <c r="EW62" s="321"/>
    </row>
    <row r="63" spans="1:153" ht="16.350000000000001" customHeight="1">
      <c r="A63" s="174"/>
      <c r="B63" s="418"/>
      <c r="C63" s="419"/>
      <c r="D63" s="420"/>
      <c r="E63" s="420"/>
      <c r="F63" s="420"/>
      <c r="G63" s="420"/>
      <c r="H63" s="420"/>
      <c r="I63" s="420"/>
      <c r="J63" s="420"/>
      <c r="K63" s="420"/>
      <c r="L63" s="420"/>
      <c r="M63" s="420"/>
      <c r="N63" s="420"/>
      <c r="O63" s="420"/>
      <c r="P63" s="420"/>
      <c r="Q63" s="420"/>
      <c r="R63" s="420"/>
      <c r="S63" s="420"/>
      <c r="T63" s="420"/>
      <c r="U63" s="420"/>
      <c r="V63" s="420"/>
      <c r="W63" s="420"/>
      <c r="X63" s="420"/>
      <c r="Y63" s="420"/>
      <c r="Z63" s="420"/>
      <c r="AA63" s="420"/>
      <c r="AB63" s="420"/>
      <c r="AC63" s="420"/>
      <c r="AD63" s="420"/>
      <c r="AE63" s="420"/>
      <c r="AF63" s="420"/>
      <c r="AG63" s="420"/>
      <c r="AH63" s="420"/>
      <c r="AI63" s="420"/>
      <c r="AJ63" s="420"/>
      <c r="AK63" s="420"/>
      <c r="AL63" s="420"/>
      <c r="AM63" s="420"/>
      <c r="AN63" s="420"/>
      <c r="AO63" s="420"/>
      <c r="AP63" s="420"/>
      <c r="AQ63" s="420"/>
      <c r="AR63" s="420"/>
      <c r="AS63" s="420"/>
      <c r="AT63" s="420"/>
      <c r="AU63" s="420"/>
      <c r="AV63" s="420"/>
      <c r="AW63" s="420"/>
      <c r="AX63" s="420"/>
      <c r="AY63" s="420"/>
      <c r="AZ63" s="420"/>
      <c r="BA63" s="420"/>
      <c r="BB63" s="420"/>
      <c r="BC63" s="420"/>
      <c r="BD63" s="420"/>
      <c r="BE63" s="420"/>
      <c r="BF63" s="420"/>
      <c r="BG63" s="420"/>
      <c r="BH63" s="420"/>
      <c r="BI63" s="420"/>
      <c r="BJ63" s="420"/>
      <c r="BK63" s="420"/>
      <c r="BL63" s="420"/>
      <c r="BM63" s="420"/>
      <c r="BN63" s="420"/>
      <c r="BO63" s="420"/>
      <c r="BP63" s="420"/>
      <c r="BQ63" s="420"/>
      <c r="BR63" s="420"/>
      <c r="BS63" s="420"/>
      <c r="BT63" s="420"/>
      <c r="BU63" s="420"/>
      <c r="BV63" s="420"/>
      <c r="BW63" s="420"/>
      <c r="BX63" s="420"/>
      <c r="BY63" s="420"/>
      <c r="BZ63" s="420"/>
      <c r="CA63" s="420"/>
      <c r="CB63" s="420"/>
      <c r="CC63" s="420"/>
      <c r="CD63" s="420"/>
      <c r="CE63" s="420"/>
      <c r="CF63" s="420"/>
      <c r="CG63" s="420"/>
      <c r="CH63" s="420"/>
      <c r="CI63" s="420"/>
      <c r="CJ63" s="420"/>
      <c r="CK63" s="420"/>
      <c r="CL63" s="420"/>
      <c r="CM63" s="420"/>
      <c r="CN63" s="420"/>
      <c r="CO63" s="420"/>
      <c r="CP63" s="420"/>
      <c r="CQ63" s="420"/>
      <c r="CR63" s="420"/>
      <c r="CS63" s="420"/>
      <c r="CT63" s="420"/>
      <c r="CU63" s="420"/>
      <c r="CV63" s="420"/>
      <c r="CW63" s="420"/>
      <c r="CX63" s="420"/>
      <c r="CY63" s="420"/>
      <c r="CZ63" s="420"/>
      <c r="DA63" s="420"/>
      <c r="DB63" s="420"/>
      <c r="DC63" s="420"/>
      <c r="DD63" s="420"/>
      <c r="DE63" s="420"/>
      <c r="DF63" s="420"/>
      <c r="DG63" s="420"/>
      <c r="DH63" s="420"/>
      <c r="DI63" s="420"/>
      <c r="DJ63" s="420"/>
      <c r="DK63" s="420"/>
      <c r="DL63" s="420"/>
      <c r="DM63" s="420"/>
      <c r="DN63" s="420"/>
      <c r="DO63" s="420"/>
      <c r="DP63" s="420"/>
      <c r="DQ63" s="420"/>
      <c r="DR63" s="420"/>
      <c r="DS63" s="420"/>
      <c r="DT63" s="420"/>
      <c r="DU63" s="420"/>
      <c r="DV63" s="420"/>
      <c r="DW63" s="420"/>
      <c r="DX63" s="420"/>
      <c r="DY63" s="420"/>
      <c r="DZ63" s="420"/>
      <c r="EA63" s="420"/>
      <c r="EB63" s="420"/>
      <c r="EC63" s="420"/>
      <c r="ED63" s="420"/>
      <c r="EE63" s="420"/>
      <c r="EF63" s="420"/>
      <c r="EG63" s="420"/>
      <c r="EH63" s="420"/>
      <c r="EI63" s="420"/>
      <c r="EJ63" s="420"/>
      <c r="EK63" s="420"/>
      <c r="EL63" s="420"/>
      <c r="EM63" s="420"/>
      <c r="EN63" s="420"/>
      <c r="EO63" s="420"/>
      <c r="EP63" s="420"/>
      <c r="EQ63" s="420"/>
      <c r="ER63" s="420"/>
      <c r="ES63" s="420"/>
      <c r="ET63" s="420"/>
      <c r="EU63" s="504"/>
      <c r="EV63" s="505"/>
      <c r="EW63" s="420"/>
    </row>
    <row r="64" spans="1:153" ht="16.350000000000001" customHeight="1" outlineLevel="1">
      <c r="A64" s="174"/>
      <c r="B64" s="158" t="s">
        <v>200</v>
      </c>
      <c r="C64" s="158" t="s">
        <v>195</v>
      </c>
      <c r="D64" s="415"/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15"/>
      <c r="P64" s="415"/>
      <c r="Q64" s="415"/>
      <c r="R64" s="415"/>
      <c r="S64" s="415"/>
      <c r="T64" s="415"/>
      <c r="U64" s="415"/>
      <c r="V64" s="415"/>
      <c r="W64" s="415"/>
      <c r="X64" s="415"/>
      <c r="Y64" s="415"/>
      <c r="Z64" s="415"/>
      <c r="AA64" s="415"/>
      <c r="AB64" s="415"/>
      <c r="AC64" s="415"/>
      <c r="AD64" s="415"/>
      <c r="AE64" s="415"/>
      <c r="AF64" s="90">
        <v>114</v>
      </c>
      <c r="AG64" s="90">
        <v>80</v>
      </c>
      <c r="AH64" s="90">
        <v>90</v>
      </c>
      <c r="AI64" s="90">
        <v>84</v>
      </c>
      <c r="AJ64" s="90">
        <v>88</v>
      </c>
      <c r="AK64" s="90">
        <v>56</v>
      </c>
      <c r="AL64" s="90">
        <v>77</v>
      </c>
      <c r="AM64" s="90">
        <v>106</v>
      </c>
      <c r="AN64" s="90">
        <v>88</v>
      </c>
      <c r="AO64" s="90">
        <v>93</v>
      </c>
      <c r="AP64" s="90">
        <v>96</v>
      </c>
      <c r="AQ64" s="90">
        <v>94</v>
      </c>
      <c r="AR64" s="90">
        <v>66</v>
      </c>
      <c r="AS64" s="90">
        <v>83</v>
      </c>
      <c r="AT64" s="90">
        <v>121</v>
      </c>
      <c r="AU64" s="90">
        <v>93</v>
      </c>
      <c r="AV64" s="90">
        <v>101</v>
      </c>
      <c r="AW64" s="90">
        <v>101</v>
      </c>
      <c r="AX64" s="90">
        <v>102</v>
      </c>
      <c r="AY64" s="90">
        <v>78</v>
      </c>
      <c r="AZ64" s="90">
        <v>94</v>
      </c>
      <c r="BA64" s="90">
        <v>134</v>
      </c>
      <c r="BB64" s="90">
        <v>108</v>
      </c>
      <c r="BC64" s="90">
        <v>118</v>
      </c>
      <c r="BD64" s="90">
        <v>113</v>
      </c>
      <c r="BE64" s="90">
        <v>117</v>
      </c>
      <c r="BF64" s="90">
        <v>80</v>
      </c>
      <c r="BG64" s="90">
        <v>102</v>
      </c>
      <c r="BH64" s="90">
        <v>125</v>
      </c>
      <c r="BI64" s="90">
        <v>110</v>
      </c>
      <c r="BJ64" s="90">
        <v>116</v>
      </c>
      <c r="BK64" s="90">
        <v>112</v>
      </c>
      <c r="BL64" s="90">
        <v>114</v>
      </c>
      <c r="BM64" s="90">
        <v>81</v>
      </c>
      <c r="BN64" s="90">
        <v>102</v>
      </c>
      <c r="BO64" s="90">
        <v>125</v>
      </c>
      <c r="BP64" s="90">
        <v>102</v>
      </c>
      <c r="BQ64" s="90">
        <v>110</v>
      </c>
      <c r="BR64" s="90">
        <v>112</v>
      </c>
      <c r="BS64" s="90">
        <v>112</v>
      </c>
      <c r="BT64" s="90">
        <v>78</v>
      </c>
      <c r="BU64" s="90">
        <v>99</v>
      </c>
      <c r="BV64" s="90">
        <v>129</v>
      </c>
      <c r="BW64" s="90">
        <v>104</v>
      </c>
      <c r="BX64" s="90">
        <v>113</v>
      </c>
      <c r="BY64" s="90">
        <v>111</v>
      </c>
      <c r="BZ64" s="90">
        <v>113</v>
      </c>
      <c r="CA64" s="90">
        <v>77</v>
      </c>
      <c r="CB64" s="90">
        <v>99</v>
      </c>
      <c r="CC64" s="90">
        <v>122</v>
      </c>
      <c r="CD64" s="90">
        <v>99</v>
      </c>
      <c r="CE64" s="90">
        <v>109</v>
      </c>
      <c r="CF64" s="90">
        <v>115</v>
      </c>
      <c r="CG64" s="90">
        <v>111</v>
      </c>
      <c r="CH64" s="330">
        <v>83</v>
      </c>
      <c r="CI64" s="330">
        <v>101</v>
      </c>
      <c r="CJ64" s="90">
        <v>136</v>
      </c>
      <c r="CK64" s="90">
        <v>114</v>
      </c>
      <c r="CL64" s="90">
        <v>122</v>
      </c>
      <c r="CM64" s="90">
        <v>118</v>
      </c>
      <c r="CN64" s="90">
        <v>121</v>
      </c>
      <c r="CO64" s="90">
        <v>88</v>
      </c>
      <c r="CP64" s="90">
        <v>110</v>
      </c>
      <c r="CQ64" s="90">
        <v>148</v>
      </c>
      <c r="CR64" s="90">
        <v>130</v>
      </c>
      <c r="CS64" s="90">
        <v>136</v>
      </c>
      <c r="CT64" s="90">
        <v>132</v>
      </c>
      <c r="CU64" s="90">
        <v>135</v>
      </c>
      <c r="CV64" s="90">
        <v>95</v>
      </c>
      <c r="CW64" s="90">
        <v>120</v>
      </c>
      <c r="CX64" s="90">
        <v>144</v>
      </c>
      <c r="CY64" s="90">
        <v>123</v>
      </c>
      <c r="CZ64" s="90">
        <v>130</v>
      </c>
      <c r="DA64" s="90">
        <v>122</v>
      </c>
      <c r="DB64" s="90">
        <v>128</v>
      </c>
      <c r="DC64" s="90">
        <v>88</v>
      </c>
      <c r="DD64" s="90">
        <v>114</v>
      </c>
      <c r="DE64" s="90">
        <v>165</v>
      </c>
      <c r="DF64" s="90">
        <v>451</v>
      </c>
      <c r="DG64" s="90">
        <v>249</v>
      </c>
      <c r="DH64" s="90">
        <v>162</v>
      </c>
      <c r="DI64" s="90">
        <v>205</v>
      </c>
      <c r="DJ64" s="90">
        <v>97</v>
      </c>
      <c r="DK64" s="90">
        <v>166</v>
      </c>
      <c r="DL64" s="90">
        <v>216</v>
      </c>
      <c r="DM64" s="90">
        <v>149</v>
      </c>
      <c r="DN64" s="90">
        <v>171</v>
      </c>
      <c r="DO64" s="90">
        <v>135</v>
      </c>
      <c r="DP64" s="90">
        <v>105</v>
      </c>
      <c r="DQ64" s="90">
        <v>93</v>
      </c>
      <c r="DR64" s="90">
        <v>137</v>
      </c>
      <c r="DS64" s="90">
        <v>161</v>
      </c>
      <c r="DT64" s="90">
        <v>124</v>
      </c>
      <c r="DU64" s="90">
        <v>137</v>
      </c>
      <c r="DV64" s="90">
        <v>146</v>
      </c>
      <c r="DW64" s="90">
        <v>141</v>
      </c>
      <c r="DX64" s="90">
        <v>93</v>
      </c>
      <c r="DY64" s="90">
        <v>134</v>
      </c>
      <c r="DZ64" s="90">
        <v>173</v>
      </c>
      <c r="EA64" s="90">
        <v>135</v>
      </c>
      <c r="EB64" s="90">
        <v>148</v>
      </c>
      <c r="EC64" s="90">
        <v>144</v>
      </c>
      <c r="ED64" s="90">
        <v>147</v>
      </c>
      <c r="EE64" s="90">
        <v>101</v>
      </c>
      <c r="EF64" s="90">
        <v>133</v>
      </c>
      <c r="EG64" s="90">
        <v>151</v>
      </c>
      <c r="EH64" s="90">
        <v>129</v>
      </c>
      <c r="EI64" s="90">
        <v>137</v>
      </c>
      <c r="EJ64" s="90">
        <v>131</v>
      </c>
      <c r="EK64" s="90">
        <v>136</v>
      </c>
      <c r="EL64" s="90">
        <v>96.253551126807309</v>
      </c>
      <c r="EM64" s="90">
        <v>124.20850726785892</v>
      </c>
      <c r="EN64" s="90">
        <v>150.92219708930341</v>
      </c>
      <c r="EO64" s="90">
        <v>120.24293873442485</v>
      </c>
      <c r="EP64" s="90">
        <v>130.78592355594722</v>
      </c>
      <c r="EQ64" s="90">
        <v>132.75054716395266</v>
      </c>
      <c r="ER64" s="90">
        <v>132.75505121629021</v>
      </c>
      <c r="ES64" s="90">
        <v>94.910104508559002</v>
      </c>
      <c r="ET64" s="90">
        <v>119.64629258634153</v>
      </c>
      <c r="EU64" s="414"/>
      <c r="EV64" s="414"/>
      <c r="EW64" s="414"/>
    </row>
    <row r="65" spans="1:153" ht="16.350000000000001" customHeight="1" outlineLevel="1">
      <c r="A65" s="174"/>
      <c r="B65" s="158" t="s">
        <v>199</v>
      </c>
      <c r="C65" s="158" t="s">
        <v>196</v>
      </c>
      <c r="D65" s="415"/>
      <c r="E65" s="415"/>
      <c r="F65" s="415"/>
      <c r="G65" s="415"/>
      <c r="H65" s="415"/>
      <c r="I65" s="415"/>
      <c r="J65" s="415"/>
      <c r="K65" s="415"/>
      <c r="L65" s="415"/>
      <c r="M65" s="415"/>
      <c r="N65" s="415"/>
      <c r="O65" s="415"/>
      <c r="P65" s="415"/>
      <c r="Q65" s="415"/>
      <c r="R65" s="415"/>
      <c r="S65" s="415"/>
      <c r="T65" s="415"/>
      <c r="U65" s="415"/>
      <c r="V65" s="415"/>
      <c r="W65" s="415"/>
      <c r="X65" s="415"/>
      <c r="Y65" s="415"/>
      <c r="Z65" s="415"/>
      <c r="AA65" s="415"/>
      <c r="AB65" s="415"/>
      <c r="AC65" s="415"/>
      <c r="AD65" s="415"/>
      <c r="AE65" s="415"/>
      <c r="AF65" s="90">
        <v>54</v>
      </c>
      <c r="AG65" s="90">
        <v>32</v>
      </c>
      <c r="AH65" s="90">
        <v>42</v>
      </c>
      <c r="AI65" s="90">
        <v>35</v>
      </c>
      <c r="AJ65" s="90">
        <v>39</v>
      </c>
      <c r="AK65" s="90">
        <v>29</v>
      </c>
      <c r="AL65" s="90">
        <v>37</v>
      </c>
      <c r="AM65" s="90">
        <v>48</v>
      </c>
      <c r="AN65" s="90">
        <v>28</v>
      </c>
      <c r="AO65" s="90">
        <v>38</v>
      </c>
      <c r="AP65" s="90">
        <v>32</v>
      </c>
      <c r="AQ65" s="90">
        <v>36</v>
      </c>
      <c r="AR65" s="90">
        <v>20</v>
      </c>
      <c r="AS65" s="90">
        <v>31</v>
      </c>
      <c r="AT65" s="90">
        <v>31</v>
      </c>
      <c r="AU65" s="90">
        <v>25</v>
      </c>
      <c r="AV65" s="90">
        <v>28</v>
      </c>
      <c r="AW65" s="90">
        <v>25</v>
      </c>
      <c r="AX65" s="90">
        <v>25</v>
      </c>
      <c r="AY65" s="90">
        <v>23</v>
      </c>
      <c r="AZ65" s="90">
        <v>27</v>
      </c>
      <c r="BA65" s="90">
        <v>46</v>
      </c>
      <c r="BB65" s="90">
        <v>29</v>
      </c>
      <c r="BC65" s="90">
        <v>38</v>
      </c>
      <c r="BD65" s="90">
        <v>32</v>
      </c>
      <c r="BE65" s="90">
        <v>36</v>
      </c>
      <c r="BF65" s="90">
        <v>29</v>
      </c>
      <c r="BG65" s="90">
        <v>35</v>
      </c>
      <c r="BH65" s="90">
        <v>53</v>
      </c>
      <c r="BI65" s="90">
        <v>34</v>
      </c>
      <c r="BJ65" s="90">
        <v>44</v>
      </c>
      <c r="BK65" s="90">
        <v>32</v>
      </c>
      <c r="BL65" s="90">
        <v>39</v>
      </c>
      <c r="BM65" s="90">
        <v>30</v>
      </c>
      <c r="BN65" s="90">
        <v>39</v>
      </c>
      <c r="BO65" s="90">
        <v>58</v>
      </c>
      <c r="BP65" s="90">
        <v>34</v>
      </c>
      <c r="BQ65" s="90">
        <v>45</v>
      </c>
      <c r="BR65" s="90">
        <v>34</v>
      </c>
      <c r="BS65" s="90">
        <v>42</v>
      </c>
      <c r="BT65" s="90">
        <v>29</v>
      </c>
      <c r="BU65" s="90">
        <v>39</v>
      </c>
      <c r="BV65" s="90">
        <v>51</v>
      </c>
      <c r="BW65" s="90">
        <v>31</v>
      </c>
      <c r="BX65" s="90">
        <v>42</v>
      </c>
      <c r="BY65" s="90">
        <v>34</v>
      </c>
      <c r="BZ65" s="90">
        <v>39</v>
      </c>
      <c r="CA65" s="90">
        <v>30</v>
      </c>
      <c r="CB65" s="90">
        <v>38</v>
      </c>
      <c r="CC65" s="90">
        <v>53</v>
      </c>
      <c r="CD65" s="90">
        <v>31</v>
      </c>
      <c r="CE65" s="90">
        <v>42</v>
      </c>
      <c r="CF65" s="90">
        <v>32</v>
      </c>
      <c r="CG65" s="90">
        <v>36</v>
      </c>
      <c r="CH65" s="330">
        <v>28</v>
      </c>
      <c r="CI65" s="330">
        <v>35</v>
      </c>
      <c r="CJ65" s="90">
        <v>51</v>
      </c>
      <c r="CK65" s="90">
        <v>34</v>
      </c>
      <c r="CL65" s="90">
        <v>43</v>
      </c>
      <c r="CM65" s="90">
        <v>37</v>
      </c>
      <c r="CN65" s="90">
        <v>39</v>
      </c>
      <c r="CO65" s="90">
        <v>33</v>
      </c>
      <c r="CP65" s="90">
        <v>40</v>
      </c>
      <c r="CQ65" s="90">
        <v>55</v>
      </c>
      <c r="CR65" s="90">
        <v>37</v>
      </c>
      <c r="CS65" s="90">
        <v>47</v>
      </c>
      <c r="CT65" s="90">
        <v>39</v>
      </c>
      <c r="CU65" s="90">
        <v>44</v>
      </c>
      <c r="CV65" s="90">
        <v>33</v>
      </c>
      <c r="CW65" s="90">
        <v>42</v>
      </c>
      <c r="CX65" s="90">
        <v>51</v>
      </c>
      <c r="CY65" s="90">
        <v>38</v>
      </c>
      <c r="CZ65" s="90">
        <v>47</v>
      </c>
      <c r="DA65" s="90">
        <v>49</v>
      </c>
      <c r="DB65" s="90">
        <v>48</v>
      </c>
      <c r="DC65" s="90">
        <v>44</v>
      </c>
      <c r="DD65" s="90">
        <v>48</v>
      </c>
      <c r="DE65" s="90">
        <v>82</v>
      </c>
      <c r="DF65" s="90">
        <v>146</v>
      </c>
      <c r="DG65" s="90">
        <v>100</v>
      </c>
      <c r="DH65" s="90">
        <v>42</v>
      </c>
      <c r="DI65" s="90">
        <v>79</v>
      </c>
      <c r="DJ65" s="90">
        <v>39</v>
      </c>
      <c r="DK65" s="90">
        <v>58</v>
      </c>
      <c r="DL65" s="90">
        <v>78</v>
      </c>
      <c r="DM65" s="90">
        <v>41</v>
      </c>
      <c r="DN65" s="90">
        <v>61</v>
      </c>
      <c r="DO65" s="90">
        <v>50</v>
      </c>
      <c r="DP65" s="90">
        <v>38</v>
      </c>
      <c r="DQ65" s="90">
        <v>42</v>
      </c>
      <c r="DR65" s="90">
        <v>51</v>
      </c>
      <c r="DS65" s="90">
        <v>72</v>
      </c>
      <c r="DT65" s="90">
        <v>47</v>
      </c>
      <c r="DU65" s="90">
        <v>60</v>
      </c>
      <c r="DV65" s="90">
        <v>59</v>
      </c>
      <c r="DW65" s="90">
        <v>59</v>
      </c>
      <c r="DX65" s="90">
        <v>47</v>
      </c>
      <c r="DY65" s="90">
        <v>55</v>
      </c>
      <c r="DZ65" s="90">
        <v>72</v>
      </c>
      <c r="EA65" s="90">
        <v>49</v>
      </c>
      <c r="EB65" s="90">
        <v>62</v>
      </c>
      <c r="EC65" s="90">
        <v>57</v>
      </c>
      <c r="ED65" s="90">
        <v>60</v>
      </c>
      <c r="EE65" s="90">
        <v>46</v>
      </c>
      <c r="EF65" s="90">
        <v>55</v>
      </c>
      <c r="EG65" s="90">
        <v>71</v>
      </c>
      <c r="EH65" s="90">
        <v>48</v>
      </c>
      <c r="EI65" s="90">
        <v>61</v>
      </c>
      <c r="EJ65" s="90">
        <v>52</v>
      </c>
      <c r="EK65" s="90">
        <v>57</v>
      </c>
      <c r="EL65" s="90">
        <v>42.918921694133623</v>
      </c>
      <c r="EM65" s="90">
        <v>51.879381420989965</v>
      </c>
      <c r="EN65" s="90">
        <v>63.162728942590938</v>
      </c>
      <c r="EO65" s="90">
        <v>42.486885858708881</v>
      </c>
      <c r="EP65" s="90">
        <v>51.433160801743867</v>
      </c>
      <c r="EQ65" s="90">
        <v>51.489146478196815</v>
      </c>
      <c r="ER65" s="90">
        <v>52.578461013199231</v>
      </c>
      <c r="ES65" s="90">
        <v>40.839682722608913</v>
      </c>
      <c r="ET65" s="90">
        <v>50.758563580221015</v>
      </c>
      <c r="EU65" s="414"/>
      <c r="EV65" s="414"/>
      <c r="EW65" s="414"/>
    </row>
    <row r="66" spans="1:153" ht="16.350000000000001" customHeight="1" outlineLevel="1">
      <c r="A66" s="174"/>
      <c r="B66" s="158" t="s">
        <v>198</v>
      </c>
      <c r="C66" s="158" t="s">
        <v>197</v>
      </c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15"/>
      <c r="P66" s="415"/>
      <c r="Q66" s="415"/>
      <c r="R66" s="415"/>
      <c r="S66" s="415"/>
      <c r="T66" s="415"/>
      <c r="U66" s="415"/>
      <c r="V66" s="415"/>
      <c r="W66" s="415"/>
      <c r="X66" s="415"/>
      <c r="Y66" s="415"/>
      <c r="Z66" s="415"/>
      <c r="AA66" s="415"/>
      <c r="AB66" s="415"/>
      <c r="AC66" s="415"/>
      <c r="AD66" s="415"/>
      <c r="AE66" s="415"/>
      <c r="AF66" s="90">
        <v>42</v>
      </c>
      <c r="AG66" s="90">
        <v>49</v>
      </c>
      <c r="AH66" s="90">
        <v>46</v>
      </c>
      <c r="AI66" s="90">
        <v>59</v>
      </c>
      <c r="AJ66" s="90">
        <v>51</v>
      </c>
      <c r="AK66" s="90">
        <v>57</v>
      </c>
      <c r="AL66" s="90">
        <v>53</v>
      </c>
      <c r="AM66" s="90">
        <v>64</v>
      </c>
      <c r="AN66" s="90">
        <v>62</v>
      </c>
      <c r="AO66" s="90">
        <v>65</v>
      </c>
      <c r="AP66" s="90">
        <v>63</v>
      </c>
      <c r="AQ66" s="90">
        <v>64</v>
      </c>
      <c r="AR66" s="90">
        <v>56</v>
      </c>
      <c r="AS66" s="90">
        <v>62</v>
      </c>
      <c r="AT66" s="90">
        <v>60</v>
      </c>
      <c r="AU66" s="90">
        <v>67</v>
      </c>
      <c r="AV66" s="90">
        <v>64</v>
      </c>
      <c r="AW66" s="90">
        <v>58</v>
      </c>
      <c r="AX66" s="90">
        <v>62</v>
      </c>
      <c r="AY66" s="90">
        <v>56</v>
      </c>
      <c r="AZ66" s="90">
        <v>61</v>
      </c>
      <c r="BA66" s="90">
        <v>82</v>
      </c>
      <c r="BB66" s="90">
        <v>84</v>
      </c>
      <c r="BC66" s="90">
        <v>84</v>
      </c>
      <c r="BD66" s="90">
        <v>81</v>
      </c>
      <c r="BE66" s="90">
        <v>82</v>
      </c>
      <c r="BF66" s="90">
        <v>77</v>
      </c>
      <c r="BG66" s="90">
        <v>81</v>
      </c>
      <c r="BH66" s="90">
        <v>83</v>
      </c>
      <c r="BI66" s="90">
        <v>85</v>
      </c>
      <c r="BJ66" s="90">
        <v>87</v>
      </c>
      <c r="BK66" s="90">
        <v>78</v>
      </c>
      <c r="BL66" s="90">
        <v>81</v>
      </c>
      <c r="BM66" s="90">
        <v>69</v>
      </c>
      <c r="BN66" s="90">
        <v>79</v>
      </c>
      <c r="BO66" s="90">
        <v>77</v>
      </c>
      <c r="BP66" s="90">
        <v>68</v>
      </c>
      <c r="BQ66" s="90">
        <v>73</v>
      </c>
      <c r="BR66" s="90">
        <v>58</v>
      </c>
      <c r="BS66" s="90">
        <v>68</v>
      </c>
      <c r="BT66" s="90">
        <v>58</v>
      </c>
      <c r="BU66" s="90">
        <v>66</v>
      </c>
      <c r="BV66" s="90">
        <v>65</v>
      </c>
      <c r="BW66" s="90">
        <v>57</v>
      </c>
      <c r="BX66" s="90">
        <v>64</v>
      </c>
      <c r="BY66" s="90">
        <v>58</v>
      </c>
      <c r="BZ66" s="90">
        <v>62</v>
      </c>
      <c r="CA66" s="90">
        <v>61</v>
      </c>
      <c r="CB66" s="90">
        <v>62</v>
      </c>
      <c r="CC66" s="90">
        <v>66</v>
      </c>
      <c r="CD66" s="90">
        <v>54</v>
      </c>
      <c r="CE66" s="90">
        <v>63</v>
      </c>
      <c r="CF66" s="90">
        <v>64</v>
      </c>
      <c r="CG66" s="90">
        <v>63</v>
      </c>
      <c r="CH66" s="330">
        <v>56</v>
      </c>
      <c r="CI66" s="330">
        <v>62</v>
      </c>
      <c r="CJ66" s="90">
        <v>63</v>
      </c>
      <c r="CK66" s="90">
        <v>59</v>
      </c>
      <c r="CL66" s="90">
        <v>64</v>
      </c>
      <c r="CM66" s="90">
        <v>60</v>
      </c>
      <c r="CN66" s="90">
        <v>64</v>
      </c>
      <c r="CO66" s="90">
        <v>61</v>
      </c>
      <c r="CP66" s="90">
        <v>64</v>
      </c>
      <c r="CQ66" s="90">
        <v>68</v>
      </c>
      <c r="CR66" s="90">
        <v>63</v>
      </c>
      <c r="CS66" s="90">
        <v>69</v>
      </c>
      <c r="CT66" s="90">
        <v>61</v>
      </c>
      <c r="CU66" s="90">
        <v>67</v>
      </c>
      <c r="CV66" s="90">
        <v>63</v>
      </c>
      <c r="CW66" s="90">
        <v>66</v>
      </c>
      <c r="CX66" s="90">
        <v>66</v>
      </c>
      <c r="CY66" s="90">
        <v>64</v>
      </c>
      <c r="CZ66" s="90">
        <v>68</v>
      </c>
      <c r="DA66" s="90">
        <v>58</v>
      </c>
      <c r="DB66" s="90">
        <v>65</v>
      </c>
      <c r="DC66" s="90">
        <v>62</v>
      </c>
      <c r="DD66" s="90">
        <v>65</v>
      </c>
      <c r="DE66" s="90">
        <v>68</v>
      </c>
      <c r="DF66" s="90">
        <v>106</v>
      </c>
      <c r="DG66" s="90">
        <v>80</v>
      </c>
      <c r="DH66" s="90">
        <v>63</v>
      </c>
      <c r="DI66" s="90">
        <v>78</v>
      </c>
      <c r="DJ66" s="90">
        <v>63</v>
      </c>
      <c r="DK66" s="90">
        <v>73</v>
      </c>
      <c r="DL66" s="90">
        <v>77</v>
      </c>
      <c r="DM66" s="90">
        <v>80</v>
      </c>
      <c r="DN66" s="90">
        <v>81</v>
      </c>
      <c r="DO66" s="90">
        <v>76</v>
      </c>
      <c r="DP66" s="90">
        <v>50</v>
      </c>
      <c r="DQ66" s="90">
        <v>50</v>
      </c>
      <c r="DR66" s="90">
        <v>65</v>
      </c>
      <c r="DS66" s="90">
        <v>69</v>
      </c>
      <c r="DT66" s="90">
        <v>72</v>
      </c>
      <c r="DU66" s="90">
        <v>72</v>
      </c>
      <c r="DV66" s="90">
        <v>70</v>
      </c>
      <c r="DW66" s="90">
        <v>71</v>
      </c>
      <c r="DX66" s="90">
        <v>74</v>
      </c>
      <c r="DY66" s="90">
        <v>72</v>
      </c>
      <c r="DZ66" s="90">
        <v>70</v>
      </c>
      <c r="EA66" s="90">
        <v>76</v>
      </c>
      <c r="EB66" s="90">
        <v>74</v>
      </c>
      <c r="EC66" s="90">
        <v>72</v>
      </c>
      <c r="ED66" s="90">
        <v>75</v>
      </c>
      <c r="EE66" s="90">
        <v>69</v>
      </c>
      <c r="EF66" s="90">
        <v>71</v>
      </c>
      <c r="EG66" s="90">
        <v>72</v>
      </c>
      <c r="EH66" s="90">
        <v>69</v>
      </c>
      <c r="EI66" s="90">
        <v>72</v>
      </c>
      <c r="EJ66" s="90">
        <v>63</v>
      </c>
      <c r="EK66" s="90">
        <v>70</v>
      </c>
      <c r="EL66" s="90">
        <v>60.044427965101001</v>
      </c>
      <c r="EM66" s="90">
        <v>66.102314446964684</v>
      </c>
      <c r="EN66" s="90">
        <v>65.946567528764049</v>
      </c>
      <c r="EO66" s="90">
        <v>66.406180634804372</v>
      </c>
      <c r="EP66" s="90">
        <v>67.045481423710953</v>
      </c>
      <c r="EQ66" s="90">
        <v>58.941195948865278</v>
      </c>
      <c r="ER66" s="90">
        <v>65.901905783560665</v>
      </c>
      <c r="ES66" s="90">
        <v>63.956640758135663</v>
      </c>
      <c r="ET66" s="90">
        <v>65.677364905525906</v>
      </c>
      <c r="EU66" s="414"/>
      <c r="EV66" s="414"/>
      <c r="EW66" s="414"/>
    </row>
    <row r="67" spans="1:153" ht="16.350000000000001" customHeight="1">
      <c r="A67" s="174"/>
      <c r="B67" s="158" t="s">
        <v>2569</v>
      </c>
      <c r="C67" s="158" t="s">
        <v>2566</v>
      </c>
      <c r="D67" s="415"/>
      <c r="E67" s="415"/>
      <c r="F67" s="415"/>
      <c r="G67" s="415"/>
      <c r="H67" s="415"/>
      <c r="I67" s="415"/>
      <c r="J67" s="415"/>
      <c r="K67" s="415"/>
      <c r="L67" s="415"/>
      <c r="M67" s="415"/>
      <c r="N67" s="415"/>
      <c r="O67" s="415"/>
      <c r="P67" s="415"/>
      <c r="Q67" s="415"/>
      <c r="R67" s="415"/>
      <c r="S67" s="415"/>
      <c r="T67" s="415"/>
      <c r="U67" s="415"/>
      <c r="V67" s="415"/>
      <c r="W67" s="415"/>
      <c r="X67" s="415"/>
      <c r="Y67" s="415"/>
      <c r="Z67" s="415"/>
      <c r="AA67" s="415"/>
      <c r="AB67" s="415"/>
      <c r="AC67" s="415"/>
      <c r="AD67" s="415"/>
      <c r="AE67" s="415"/>
      <c r="AF67" s="414"/>
      <c r="AG67" s="414"/>
      <c r="AH67" s="414"/>
      <c r="AI67" s="414"/>
      <c r="AJ67" s="414"/>
      <c r="AK67" s="414"/>
      <c r="AL67" s="414"/>
      <c r="AM67" s="414"/>
      <c r="AN67" s="414"/>
      <c r="AO67" s="414"/>
      <c r="AP67" s="414"/>
      <c r="AQ67" s="414"/>
      <c r="AR67" s="414"/>
      <c r="AS67" s="414"/>
      <c r="AT67" s="414"/>
      <c r="AU67" s="414"/>
      <c r="AV67" s="414"/>
      <c r="AW67" s="414"/>
      <c r="AX67" s="414"/>
      <c r="AY67" s="414"/>
      <c r="AZ67" s="414"/>
      <c r="BA67" s="414"/>
      <c r="BB67" s="414"/>
      <c r="BC67" s="414"/>
      <c r="BD67" s="414"/>
      <c r="BE67" s="414"/>
      <c r="BF67" s="414"/>
      <c r="BG67" s="414"/>
      <c r="BH67" s="414"/>
      <c r="BI67" s="414"/>
      <c r="BJ67" s="414"/>
      <c r="BK67" s="414"/>
      <c r="BL67" s="414"/>
      <c r="BM67" s="414"/>
      <c r="BN67" s="414"/>
      <c r="BO67" s="414"/>
      <c r="BP67" s="414"/>
      <c r="BQ67" s="414"/>
      <c r="BR67" s="414"/>
      <c r="BS67" s="414"/>
      <c r="BT67" s="414"/>
      <c r="BU67" s="414"/>
      <c r="BV67" s="414"/>
      <c r="BW67" s="414"/>
      <c r="BX67" s="414"/>
      <c r="BY67" s="414"/>
      <c r="BZ67" s="414"/>
      <c r="CA67" s="414"/>
      <c r="CB67" s="414"/>
      <c r="CC67" s="414"/>
      <c r="CD67" s="414"/>
      <c r="CE67" s="414"/>
      <c r="CF67" s="414"/>
      <c r="CG67" s="414"/>
      <c r="CH67" s="417"/>
      <c r="CI67" s="417"/>
      <c r="CJ67" s="414"/>
      <c r="CK67" s="414"/>
      <c r="CL67" s="414"/>
      <c r="CM67" s="414"/>
      <c r="CN67" s="414"/>
      <c r="CO67" s="414"/>
      <c r="CP67" s="414"/>
      <c r="CQ67" s="414"/>
      <c r="CR67" s="414"/>
      <c r="CS67" s="414"/>
      <c r="CT67" s="414"/>
      <c r="CU67" s="414"/>
      <c r="CV67" s="414"/>
      <c r="CW67" s="414"/>
      <c r="CX67" s="414"/>
      <c r="CY67" s="414"/>
      <c r="CZ67" s="414"/>
      <c r="DA67" s="414"/>
      <c r="DB67" s="414"/>
      <c r="DC67" s="414"/>
      <c r="DD67" s="414"/>
      <c r="DE67" s="414"/>
      <c r="DF67" s="414"/>
      <c r="DG67" s="414"/>
      <c r="DH67" s="414"/>
      <c r="DI67" s="414"/>
      <c r="DJ67" s="414"/>
      <c r="DK67" s="414"/>
      <c r="DL67" s="414"/>
      <c r="DM67" s="414"/>
      <c r="DN67" s="414"/>
      <c r="DO67" s="414"/>
      <c r="DP67" s="414"/>
      <c r="DQ67" s="414"/>
      <c r="DR67" s="414"/>
      <c r="DS67" s="414"/>
      <c r="DT67" s="414"/>
      <c r="DU67" s="414"/>
      <c r="DV67" s="414"/>
      <c r="DW67" s="414"/>
      <c r="DX67" s="414"/>
      <c r="DY67" s="414"/>
      <c r="DZ67" s="414"/>
      <c r="EA67" s="414"/>
      <c r="EB67" s="414"/>
      <c r="EC67" s="414"/>
      <c r="ED67" s="414"/>
      <c r="EE67" s="414"/>
      <c r="EF67" s="414"/>
      <c r="EG67" s="414"/>
      <c r="EH67" s="414"/>
      <c r="EI67" s="414"/>
      <c r="EJ67" s="414"/>
      <c r="EK67" s="414"/>
      <c r="EL67" s="414"/>
      <c r="EM67" s="414"/>
      <c r="EN67" s="90">
        <v>127</v>
      </c>
      <c r="EO67" s="90">
        <v>122.00678183979136</v>
      </c>
      <c r="EP67" s="90">
        <f>EO67</f>
        <v>122.00678183979136</v>
      </c>
      <c r="EQ67" s="414"/>
      <c r="ER67" s="414"/>
      <c r="ES67" s="414"/>
      <c r="ET67" s="414"/>
      <c r="EU67" s="90">
        <v>124</v>
      </c>
      <c r="EV67" s="90">
        <v>122.74461789049298</v>
      </c>
      <c r="EW67" s="90">
        <f>EV67</f>
        <v>122.74461789049298</v>
      </c>
    </row>
    <row r="68" spans="1:153" ht="16.350000000000001" customHeight="1">
      <c r="A68" s="174"/>
      <c r="B68" s="158" t="s">
        <v>2570</v>
      </c>
      <c r="C68" s="158" t="s">
        <v>2567</v>
      </c>
      <c r="D68" s="415"/>
      <c r="E68" s="415"/>
      <c r="F68" s="415"/>
      <c r="G68" s="415"/>
      <c r="H68" s="415"/>
      <c r="I68" s="415"/>
      <c r="J68" s="415"/>
      <c r="K68" s="415"/>
      <c r="L68" s="415"/>
      <c r="M68" s="415"/>
      <c r="N68" s="415"/>
      <c r="O68" s="415"/>
      <c r="P68" s="415"/>
      <c r="Q68" s="415"/>
      <c r="R68" s="415"/>
      <c r="S68" s="415"/>
      <c r="T68" s="415"/>
      <c r="U68" s="415"/>
      <c r="V68" s="415"/>
      <c r="W68" s="415"/>
      <c r="X68" s="415"/>
      <c r="Y68" s="415"/>
      <c r="Z68" s="415"/>
      <c r="AA68" s="415"/>
      <c r="AB68" s="415"/>
      <c r="AC68" s="415"/>
      <c r="AD68" s="415"/>
      <c r="AE68" s="415"/>
      <c r="AF68" s="414"/>
      <c r="AG68" s="414"/>
      <c r="AH68" s="414"/>
      <c r="AI68" s="414"/>
      <c r="AJ68" s="414"/>
      <c r="AK68" s="414"/>
      <c r="AL68" s="414"/>
      <c r="AM68" s="414"/>
      <c r="AN68" s="414"/>
      <c r="AO68" s="414"/>
      <c r="AP68" s="414"/>
      <c r="AQ68" s="414"/>
      <c r="AR68" s="414"/>
      <c r="AS68" s="414"/>
      <c r="AT68" s="414"/>
      <c r="AU68" s="414"/>
      <c r="AV68" s="414"/>
      <c r="AW68" s="414"/>
      <c r="AX68" s="414"/>
      <c r="AY68" s="414"/>
      <c r="AZ68" s="414"/>
      <c r="BA68" s="414"/>
      <c r="BB68" s="414"/>
      <c r="BC68" s="414"/>
      <c r="BD68" s="414"/>
      <c r="BE68" s="414"/>
      <c r="BF68" s="414"/>
      <c r="BG68" s="414"/>
      <c r="BH68" s="414"/>
      <c r="BI68" s="414"/>
      <c r="BJ68" s="414"/>
      <c r="BK68" s="414"/>
      <c r="BL68" s="414"/>
      <c r="BM68" s="414"/>
      <c r="BN68" s="414"/>
      <c r="BO68" s="414"/>
      <c r="BP68" s="414"/>
      <c r="BQ68" s="414"/>
      <c r="BR68" s="414"/>
      <c r="BS68" s="414"/>
      <c r="BT68" s="414"/>
      <c r="BU68" s="414"/>
      <c r="BV68" s="414"/>
      <c r="BW68" s="414"/>
      <c r="BX68" s="414"/>
      <c r="BY68" s="414"/>
      <c r="BZ68" s="414"/>
      <c r="CA68" s="414"/>
      <c r="CB68" s="414"/>
      <c r="CC68" s="414"/>
      <c r="CD68" s="414"/>
      <c r="CE68" s="414"/>
      <c r="CF68" s="414"/>
      <c r="CG68" s="414"/>
      <c r="CH68" s="417"/>
      <c r="CI68" s="417"/>
      <c r="CJ68" s="414"/>
      <c r="CK68" s="414"/>
      <c r="CL68" s="414"/>
      <c r="CM68" s="414"/>
      <c r="CN68" s="414"/>
      <c r="CO68" s="414"/>
      <c r="CP68" s="414"/>
      <c r="CQ68" s="414"/>
      <c r="CR68" s="414"/>
      <c r="CS68" s="414"/>
      <c r="CT68" s="414"/>
      <c r="CU68" s="414"/>
      <c r="CV68" s="414"/>
      <c r="CW68" s="414"/>
      <c r="CX68" s="414"/>
      <c r="CY68" s="414"/>
      <c r="CZ68" s="414"/>
      <c r="DA68" s="414"/>
      <c r="DB68" s="414"/>
      <c r="DC68" s="414"/>
      <c r="DD68" s="414"/>
      <c r="DE68" s="414"/>
      <c r="DF68" s="414"/>
      <c r="DG68" s="414"/>
      <c r="DH68" s="414"/>
      <c r="DI68" s="414"/>
      <c r="DJ68" s="414"/>
      <c r="DK68" s="414"/>
      <c r="DL68" s="414"/>
      <c r="DM68" s="414"/>
      <c r="DN68" s="414"/>
      <c r="DO68" s="414"/>
      <c r="DP68" s="414"/>
      <c r="DQ68" s="414"/>
      <c r="DR68" s="414"/>
      <c r="DS68" s="414"/>
      <c r="DT68" s="414"/>
      <c r="DU68" s="414"/>
      <c r="DV68" s="414"/>
      <c r="DW68" s="414"/>
      <c r="DX68" s="414"/>
      <c r="DY68" s="414"/>
      <c r="DZ68" s="414"/>
      <c r="EA68" s="414"/>
      <c r="EB68" s="414"/>
      <c r="EC68" s="414"/>
      <c r="ED68" s="414"/>
      <c r="EE68" s="414"/>
      <c r="EF68" s="414"/>
      <c r="EG68" s="414"/>
      <c r="EH68" s="414"/>
      <c r="EI68" s="414"/>
      <c r="EJ68" s="414"/>
      <c r="EK68" s="414"/>
      <c r="EL68" s="414"/>
      <c r="EM68" s="414"/>
      <c r="EN68" s="90">
        <v>50</v>
      </c>
      <c r="EO68" s="90">
        <v>49.591992498900126</v>
      </c>
      <c r="EP68" s="90">
        <f>EO68</f>
        <v>49.591992498900126</v>
      </c>
      <c r="EQ68" s="414"/>
      <c r="ER68" s="414"/>
      <c r="ES68" s="414"/>
      <c r="ET68" s="414"/>
      <c r="EU68" s="90">
        <v>47</v>
      </c>
      <c r="EV68" s="90">
        <v>48.177955576259663</v>
      </c>
      <c r="EW68" s="90">
        <f>EV68</f>
        <v>48.177955576259663</v>
      </c>
    </row>
    <row r="69" spans="1:153" ht="16.350000000000001" customHeight="1">
      <c r="A69" s="174"/>
      <c r="B69" s="158" t="s">
        <v>2571</v>
      </c>
      <c r="C69" s="158" t="s">
        <v>2568</v>
      </c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15"/>
      <c r="P69" s="415"/>
      <c r="Q69" s="415"/>
      <c r="R69" s="415"/>
      <c r="S69" s="415"/>
      <c r="T69" s="415"/>
      <c r="U69" s="415"/>
      <c r="V69" s="415"/>
      <c r="W69" s="415"/>
      <c r="X69" s="415"/>
      <c r="Y69" s="415"/>
      <c r="Z69" s="415"/>
      <c r="AA69" s="415"/>
      <c r="AB69" s="415"/>
      <c r="AC69" s="415"/>
      <c r="AD69" s="415"/>
      <c r="AE69" s="415"/>
      <c r="AF69" s="414"/>
      <c r="AG69" s="414"/>
      <c r="AH69" s="414"/>
      <c r="AI69" s="414"/>
      <c r="AJ69" s="414"/>
      <c r="AK69" s="414"/>
      <c r="AL69" s="414"/>
      <c r="AM69" s="414"/>
      <c r="AN69" s="414"/>
      <c r="AO69" s="414"/>
      <c r="AP69" s="414"/>
      <c r="AQ69" s="414"/>
      <c r="AR69" s="414"/>
      <c r="AS69" s="414"/>
      <c r="AT69" s="414"/>
      <c r="AU69" s="414"/>
      <c r="AV69" s="414"/>
      <c r="AW69" s="414"/>
      <c r="AX69" s="414"/>
      <c r="AY69" s="414"/>
      <c r="AZ69" s="414"/>
      <c r="BA69" s="414"/>
      <c r="BB69" s="414"/>
      <c r="BC69" s="414"/>
      <c r="BD69" s="414"/>
      <c r="BE69" s="414"/>
      <c r="BF69" s="414"/>
      <c r="BG69" s="414"/>
      <c r="BH69" s="414"/>
      <c r="BI69" s="414"/>
      <c r="BJ69" s="414"/>
      <c r="BK69" s="414"/>
      <c r="BL69" s="414"/>
      <c r="BM69" s="414"/>
      <c r="BN69" s="414"/>
      <c r="BO69" s="414"/>
      <c r="BP69" s="414"/>
      <c r="BQ69" s="414"/>
      <c r="BR69" s="414"/>
      <c r="BS69" s="414"/>
      <c r="BT69" s="414"/>
      <c r="BU69" s="414"/>
      <c r="BV69" s="414"/>
      <c r="BW69" s="414"/>
      <c r="BX69" s="414"/>
      <c r="BY69" s="414"/>
      <c r="BZ69" s="414"/>
      <c r="CA69" s="414"/>
      <c r="CB69" s="414"/>
      <c r="CC69" s="414"/>
      <c r="CD69" s="414"/>
      <c r="CE69" s="414"/>
      <c r="CF69" s="414"/>
      <c r="CG69" s="414"/>
      <c r="CH69" s="417"/>
      <c r="CI69" s="417"/>
      <c r="CJ69" s="414"/>
      <c r="CK69" s="414"/>
      <c r="CL69" s="414"/>
      <c r="CM69" s="414"/>
      <c r="CN69" s="414"/>
      <c r="CO69" s="414"/>
      <c r="CP69" s="414"/>
      <c r="CQ69" s="414"/>
      <c r="CR69" s="414"/>
      <c r="CS69" s="414"/>
      <c r="CT69" s="414"/>
      <c r="CU69" s="414"/>
      <c r="CV69" s="414"/>
      <c r="CW69" s="414"/>
      <c r="CX69" s="414"/>
      <c r="CY69" s="414"/>
      <c r="CZ69" s="414"/>
      <c r="DA69" s="414"/>
      <c r="DB69" s="414"/>
      <c r="DC69" s="414"/>
      <c r="DD69" s="414"/>
      <c r="DE69" s="414"/>
      <c r="DF69" s="414"/>
      <c r="DG69" s="414"/>
      <c r="DH69" s="414"/>
      <c r="DI69" s="414"/>
      <c r="DJ69" s="414"/>
      <c r="DK69" s="414"/>
      <c r="DL69" s="414"/>
      <c r="DM69" s="414"/>
      <c r="DN69" s="414"/>
      <c r="DO69" s="414"/>
      <c r="DP69" s="414"/>
      <c r="DQ69" s="414"/>
      <c r="DR69" s="414"/>
      <c r="DS69" s="414"/>
      <c r="DT69" s="414"/>
      <c r="DU69" s="414"/>
      <c r="DV69" s="414"/>
      <c r="DW69" s="414"/>
      <c r="DX69" s="414"/>
      <c r="DY69" s="414"/>
      <c r="DZ69" s="414"/>
      <c r="EA69" s="414"/>
      <c r="EB69" s="414"/>
      <c r="EC69" s="414"/>
      <c r="ED69" s="414"/>
      <c r="EE69" s="414"/>
      <c r="EF69" s="414"/>
      <c r="EG69" s="414"/>
      <c r="EH69" s="414"/>
      <c r="EI69" s="414"/>
      <c r="EJ69" s="414"/>
      <c r="EK69" s="414"/>
      <c r="EL69" s="414"/>
      <c r="EM69" s="414"/>
      <c r="EN69" s="90">
        <v>64</v>
      </c>
      <c r="EO69" s="90">
        <v>62.925264948806188</v>
      </c>
      <c r="EP69" s="90">
        <f>EO69</f>
        <v>62.925264948806188</v>
      </c>
      <c r="EQ69" s="414"/>
      <c r="ER69" s="414"/>
      <c r="ES69" s="414"/>
      <c r="ET69" s="414"/>
      <c r="EU69" s="90">
        <v>66</v>
      </c>
      <c r="EV69" s="90">
        <v>65.536310968636229</v>
      </c>
      <c r="EW69" s="90">
        <f>EV69</f>
        <v>65.536310968636229</v>
      </c>
    </row>
    <row r="70" spans="1:153" ht="16.350000000000001" customHeight="1">
      <c r="A70" s="174"/>
      <c r="B70" s="208" t="s">
        <v>211</v>
      </c>
      <c r="C70" s="208" t="s">
        <v>2416</v>
      </c>
      <c r="D70" s="416"/>
      <c r="E70" s="416"/>
      <c r="F70" s="416"/>
      <c r="G70" s="416"/>
      <c r="H70" s="416"/>
      <c r="I70" s="416"/>
      <c r="J70" s="416"/>
      <c r="K70" s="416"/>
      <c r="L70" s="416"/>
      <c r="M70" s="416"/>
      <c r="N70" s="416"/>
      <c r="O70" s="416"/>
      <c r="P70" s="416"/>
      <c r="Q70" s="416"/>
      <c r="R70" s="416"/>
      <c r="S70" s="416"/>
      <c r="T70" s="416"/>
      <c r="U70" s="416"/>
      <c r="V70" s="416"/>
      <c r="W70" s="416"/>
      <c r="X70" s="416"/>
      <c r="Y70" s="416"/>
      <c r="Z70" s="416"/>
      <c r="AA70" s="416"/>
      <c r="AB70" s="416"/>
      <c r="AC70" s="416"/>
      <c r="AD70" s="416"/>
      <c r="AE70" s="416"/>
      <c r="AF70" s="416"/>
      <c r="AG70" s="416"/>
      <c r="AH70" s="416"/>
      <c r="AI70" s="416"/>
      <c r="AJ70" s="416"/>
      <c r="AK70" s="416"/>
      <c r="AL70" s="416"/>
      <c r="AM70" s="416"/>
      <c r="AN70" s="416"/>
      <c r="AO70" s="416"/>
      <c r="AP70" s="416"/>
      <c r="AQ70" s="416"/>
      <c r="AR70" s="416"/>
      <c r="AS70" s="416"/>
      <c r="AT70" s="127">
        <v>0.32443922401837022</v>
      </c>
      <c r="AU70" s="127">
        <v>0.34127391024900278</v>
      </c>
      <c r="AV70" s="127">
        <f>AU70</f>
        <v>0.34127391024900278</v>
      </c>
      <c r="AW70" s="127">
        <v>0.3158522030119772</v>
      </c>
      <c r="AX70" s="127">
        <f>AW70</f>
        <v>0.3158522030119772</v>
      </c>
      <c r="AY70" s="127">
        <f>AZ70</f>
        <v>0.28598986336782495</v>
      </c>
      <c r="AZ70" s="127">
        <v>0.28598986336782495</v>
      </c>
      <c r="BA70" s="127">
        <v>0.26229020770718381</v>
      </c>
      <c r="BB70" s="127">
        <v>0.24903061599399248</v>
      </c>
      <c r="BC70" s="127">
        <f>BB70</f>
        <v>0.24903061599399248</v>
      </c>
      <c r="BD70" s="127">
        <v>0.23477237560101394</v>
      </c>
      <c r="BE70" s="127">
        <f>BD70</f>
        <v>0.23477237560101394</v>
      </c>
      <c r="BF70" s="127">
        <f>BG70</f>
        <v>0.23899999999999999</v>
      </c>
      <c r="BG70" s="127">
        <v>0.23899999999999999</v>
      </c>
      <c r="BH70" s="127">
        <v>0.22086857199920704</v>
      </c>
      <c r="BI70" s="127">
        <v>0.21212737954502117</v>
      </c>
      <c r="BJ70" s="127">
        <f>BI70</f>
        <v>0.21212737954502117</v>
      </c>
      <c r="BK70" s="127">
        <v>0.19351594371946251</v>
      </c>
      <c r="BL70" s="127">
        <f>BK70</f>
        <v>0.19351594371946251</v>
      </c>
      <c r="BM70" s="127">
        <f>BN70</f>
        <v>0.214</v>
      </c>
      <c r="BN70" s="127">
        <v>0.214</v>
      </c>
      <c r="BO70" s="127">
        <v>0.21807791435922166</v>
      </c>
      <c r="BP70" s="127">
        <v>0.22137722716352493</v>
      </c>
      <c r="BQ70" s="127">
        <f>BP70</f>
        <v>0.22137722716352493</v>
      </c>
      <c r="BR70" s="127">
        <v>0.21649058860891368</v>
      </c>
      <c r="BS70" s="127">
        <f>BR70</f>
        <v>0.21649058860891368</v>
      </c>
      <c r="BT70" s="127">
        <f>BU70</f>
        <v>0.21199999999999999</v>
      </c>
      <c r="BU70" s="127">
        <v>0.21199999999999999</v>
      </c>
      <c r="BV70" s="127">
        <v>0.21382509188737575</v>
      </c>
      <c r="BW70" s="127">
        <v>0.22166742685895705</v>
      </c>
      <c r="BX70" s="127">
        <f>BW70</f>
        <v>0.22166742685895705</v>
      </c>
      <c r="BY70" s="127">
        <v>0.21790612457533381</v>
      </c>
      <c r="BZ70" s="127">
        <f>BY70</f>
        <v>0.21790612457533381</v>
      </c>
      <c r="CA70" s="127">
        <f>CB70</f>
        <v>0.22</v>
      </c>
      <c r="CB70" s="127">
        <v>0.22</v>
      </c>
      <c r="CC70" s="127">
        <v>0.2124826700358492</v>
      </c>
      <c r="CD70" s="127">
        <v>0.21349621518456419</v>
      </c>
      <c r="CE70" s="127">
        <f>CD70</f>
        <v>0.21349621518456419</v>
      </c>
      <c r="CF70" s="127">
        <v>0.20930901599921731</v>
      </c>
      <c r="CG70" s="127">
        <f>CF70</f>
        <v>0.20930901599921731</v>
      </c>
      <c r="CH70" s="127">
        <f>CI70</f>
        <v>0.21433212545850622</v>
      </c>
      <c r="CI70" s="127">
        <v>0.21433212545850622</v>
      </c>
      <c r="CJ70" s="127">
        <v>0.20792131737021927</v>
      </c>
      <c r="CK70" s="127">
        <v>0.2063514694478871</v>
      </c>
      <c r="CL70" s="127">
        <f>CK70</f>
        <v>0.2063514694478871</v>
      </c>
      <c r="CM70" s="127">
        <v>0.21081922503247888</v>
      </c>
      <c r="CN70" s="127">
        <f>CM70</f>
        <v>0.21081922503247888</v>
      </c>
      <c r="CO70" s="127">
        <v>0.21</v>
      </c>
      <c r="CP70" s="127">
        <v>0.21</v>
      </c>
      <c r="CQ70" s="127">
        <v>0.20973333412687395</v>
      </c>
      <c r="CR70" s="127">
        <v>0.21943200745393623</v>
      </c>
      <c r="CS70" s="127">
        <v>0.21943200745393623</v>
      </c>
      <c r="CT70" s="127">
        <v>0.222</v>
      </c>
      <c r="CU70" s="127">
        <f>CT70</f>
        <v>0.222</v>
      </c>
      <c r="CV70" s="127">
        <v>0.23040695015224927</v>
      </c>
      <c r="CW70" s="127">
        <v>0.23040695015224927</v>
      </c>
      <c r="CX70" s="127">
        <v>0.2318311058552788</v>
      </c>
      <c r="CY70" s="127">
        <v>0.217</v>
      </c>
      <c r="CZ70" s="127">
        <f>CY70</f>
        <v>0.217</v>
      </c>
      <c r="DA70" s="127">
        <v>0.21</v>
      </c>
      <c r="DB70" s="127">
        <v>0.21</v>
      </c>
      <c r="DC70" s="127">
        <v>0.21299999999999999</v>
      </c>
      <c r="DD70" s="127">
        <f>DC70</f>
        <v>0.21299999999999999</v>
      </c>
      <c r="DE70" s="127">
        <v>0.17837165853051068</v>
      </c>
      <c r="DF70" s="127">
        <v>0.25483778079487801</v>
      </c>
      <c r="DG70" s="127">
        <f>DF70</f>
        <v>0.25483778079487801</v>
      </c>
      <c r="DH70" s="127">
        <v>0.1989455273851225</v>
      </c>
      <c r="DI70" s="127">
        <f>DH70</f>
        <v>0.1989455273851225</v>
      </c>
      <c r="DJ70" s="127">
        <v>0.15934275249274713</v>
      </c>
      <c r="DK70" s="127">
        <f>DJ70</f>
        <v>0.15934275249274713</v>
      </c>
      <c r="DL70" s="127">
        <v>0.12999039806313614</v>
      </c>
      <c r="DM70" s="127">
        <v>4.5861112380761987E-2</v>
      </c>
      <c r="DN70" s="127">
        <v>0.12382482963712822</v>
      </c>
      <c r="DO70" s="127">
        <v>6.7872202228236422E-2</v>
      </c>
      <c r="DP70" s="127">
        <v>6.7872202228236422E-2</v>
      </c>
      <c r="DQ70" s="127">
        <v>6.709961960190991E-2</v>
      </c>
      <c r="DR70" s="127">
        <v>6.709961960190991E-2</v>
      </c>
      <c r="DS70" s="127">
        <v>9.3805348982961834E-2</v>
      </c>
      <c r="DT70" s="127">
        <v>0.1060576753225787</v>
      </c>
      <c r="DU70" s="127">
        <f>DT70</f>
        <v>0.1060576753225787</v>
      </c>
      <c r="DV70" s="127">
        <v>0.11579959815975356</v>
      </c>
      <c r="DW70" s="127">
        <f>DV70</f>
        <v>0.11579959815975356</v>
      </c>
      <c r="DX70" s="127">
        <v>0.12775730714292563</v>
      </c>
      <c r="DY70" s="127">
        <f>DX70</f>
        <v>0.12775730714292563</v>
      </c>
      <c r="DZ70" s="127">
        <v>0.11769543822711789</v>
      </c>
      <c r="EA70" s="127">
        <v>0.10678169731851203</v>
      </c>
      <c r="EB70" s="127">
        <f>EA70</f>
        <v>0.10678169731851203</v>
      </c>
      <c r="EC70" s="127">
        <v>9.81628578369938E-2</v>
      </c>
      <c r="ED70" s="127">
        <f t="shared" ref="ED70:EF70" si="361">EC70</f>
        <v>9.81628578369938E-2</v>
      </c>
      <c r="EE70" s="127">
        <v>0.10726932658477198</v>
      </c>
      <c r="EF70" s="127">
        <f t="shared" si="361"/>
        <v>0.10726932658477198</v>
      </c>
      <c r="EG70" s="127">
        <v>0.11413044364789429</v>
      </c>
      <c r="EH70" s="127">
        <v>0.12055925843433254</v>
      </c>
      <c r="EI70" s="127">
        <f>EH70</f>
        <v>0.12055925843433254</v>
      </c>
      <c r="EJ70" s="127">
        <v>0.12667273511276139</v>
      </c>
      <c r="EK70" s="127">
        <f>EJ70</f>
        <v>0.12667273511276139</v>
      </c>
      <c r="EL70" s="127">
        <v>0.12404330153383671</v>
      </c>
      <c r="EM70" s="127">
        <f>EL70</f>
        <v>0.12404330153383671</v>
      </c>
      <c r="EN70" s="127">
        <v>0.13300000000000001</v>
      </c>
      <c r="EO70" s="127">
        <v>0.14060007371087316</v>
      </c>
      <c r="EP70" s="127">
        <v>0.14060007371087316</v>
      </c>
      <c r="EQ70" s="127">
        <v>0.14364314617045731</v>
      </c>
      <c r="ER70" s="127">
        <f>EQ70</f>
        <v>0.14364314617045731</v>
      </c>
      <c r="ES70" s="127">
        <v>0.14704202905332267</v>
      </c>
      <c r="ET70" s="127">
        <f>ES70</f>
        <v>0.14704202905332267</v>
      </c>
      <c r="EU70" s="127">
        <v>0.15228318635320034</v>
      </c>
      <c r="EV70" s="127">
        <v>0.15122500138449724</v>
      </c>
      <c r="EW70" s="127">
        <f>EV70</f>
        <v>0.15122500138449724</v>
      </c>
    </row>
    <row r="72" spans="1:153" ht="16.350000000000001" customHeight="1">
      <c r="B72" s="156"/>
      <c r="C72" s="156"/>
      <c r="D72" s="312"/>
      <c r="E72" s="312"/>
      <c r="F72" s="312"/>
      <c r="G72" s="312"/>
      <c r="H72" s="312"/>
      <c r="I72" s="312"/>
      <c r="J72" s="312"/>
      <c r="K72" s="312"/>
      <c r="L72" s="312"/>
      <c r="M72" s="312"/>
      <c r="N72" s="312"/>
      <c r="O72" s="312"/>
      <c r="P72" s="312"/>
      <c r="Q72" s="312"/>
      <c r="R72" s="312"/>
      <c r="S72" s="312"/>
      <c r="T72" s="312"/>
      <c r="U72" s="312"/>
      <c r="V72" s="312"/>
      <c r="W72" s="312"/>
      <c r="X72" s="312"/>
      <c r="Y72" s="312"/>
      <c r="Z72" s="312"/>
      <c r="AA72" s="312"/>
      <c r="AB72" s="312"/>
      <c r="AC72" s="312"/>
      <c r="AD72" s="312"/>
      <c r="AE72" s="312"/>
      <c r="AF72" s="312"/>
      <c r="AG72" s="312"/>
      <c r="AH72" s="312"/>
      <c r="AI72" s="312"/>
      <c r="AJ72" s="312"/>
      <c r="AK72" s="312"/>
      <c r="AL72" s="312"/>
      <c r="AM72" s="312"/>
      <c r="AN72" s="312"/>
      <c r="AO72" s="312"/>
      <c r="AP72" s="312"/>
      <c r="AQ72" s="312"/>
      <c r="AR72" s="312"/>
      <c r="AS72" s="312"/>
      <c r="AT72" s="312"/>
      <c r="AU72" s="312"/>
      <c r="AV72" s="312"/>
      <c r="AW72" s="312"/>
      <c r="AX72" s="312"/>
      <c r="AY72" s="312"/>
      <c r="AZ72" s="312"/>
      <c r="BA72" s="312"/>
      <c r="BB72" s="312"/>
      <c r="BC72" s="312"/>
      <c r="BD72" s="312"/>
      <c r="BE72" s="312"/>
      <c r="BF72" s="312"/>
      <c r="BG72" s="312"/>
      <c r="BH72" s="312"/>
      <c r="BI72" s="312"/>
      <c r="BJ72" s="312"/>
      <c r="BK72" s="312"/>
      <c r="BL72" s="312"/>
      <c r="BM72" s="312"/>
      <c r="BN72" s="312"/>
      <c r="BO72" s="312"/>
      <c r="BP72" s="312"/>
      <c r="BQ72" s="312"/>
      <c r="BR72" s="312"/>
      <c r="BS72" s="312"/>
      <c r="BT72" s="312"/>
      <c r="BU72" s="312"/>
      <c r="BV72" s="312"/>
      <c r="BW72" s="312"/>
      <c r="BX72" s="312"/>
      <c r="BY72" s="312"/>
      <c r="BZ72" s="312"/>
      <c r="CA72" s="312"/>
      <c r="CB72" s="312"/>
      <c r="CC72" s="312"/>
      <c r="CD72" s="312"/>
      <c r="CE72" s="312"/>
      <c r="CF72" s="312"/>
      <c r="CG72" s="312"/>
      <c r="CH72" s="312"/>
      <c r="CI72" s="312"/>
      <c r="CJ72" s="312"/>
      <c r="CK72" s="312"/>
      <c r="CL72" s="312"/>
      <c r="CM72" s="312"/>
      <c r="CN72" s="312"/>
      <c r="CO72" s="312"/>
      <c r="CP72" s="312"/>
      <c r="CQ72" s="312"/>
      <c r="CR72" s="312"/>
      <c r="CS72" s="312"/>
      <c r="CT72" s="312"/>
      <c r="CU72" s="312"/>
      <c r="CV72" s="312"/>
      <c r="CW72" s="312"/>
      <c r="CX72" s="312"/>
      <c r="CY72" s="312"/>
      <c r="CZ72" s="312"/>
      <c r="DA72" s="312"/>
      <c r="DB72" s="312"/>
      <c r="DC72" s="312"/>
      <c r="DD72" s="312"/>
      <c r="DE72" s="312"/>
      <c r="DF72" s="312"/>
      <c r="DG72" s="312"/>
      <c r="DH72" s="312"/>
      <c r="DI72" s="312"/>
      <c r="DJ72" s="312"/>
      <c r="DK72" s="312"/>
      <c r="DL72" s="312"/>
      <c r="DM72" s="312"/>
      <c r="DN72" s="312"/>
      <c r="DO72" s="312"/>
      <c r="DP72" s="312"/>
      <c r="DQ72" s="312"/>
      <c r="DR72" s="312"/>
      <c r="DS72" s="312"/>
      <c r="DT72" s="312"/>
      <c r="DU72" s="312"/>
      <c r="DV72" s="312"/>
      <c r="DW72" s="312"/>
      <c r="DX72" s="312"/>
      <c r="DY72" s="312"/>
      <c r="DZ72" s="312"/>
      <c r="EA72" s="312"/>
      <c r="EB72" s="312"/>
      <c r="EC72" s="312"/>
      <c r="ED72" s="312"/>
      <c r="EE72" s="312"/>
      <c r="EF72" s="312"/>
      <c r="EG72" s="312"/>
      <c r="EH72" s="312"/>
      <c r="EI72" s="312"/>
      <c r="EJ72" s="312"/>
      <c r="EK72" s="312"/>
      <c r="EL72" s="312"/>
      <c r="EM72" s="312"/>
      <c r="EN72" s="312"/>
      <c r="EO72" s="312"/>
      <c r="EP72" s="312"/>
      <c r="EQ72" s="312"/>
      <c r="ER72" s="312"/>
      <c r="ES72" s="312"/>
      <c r="ET72" s="312"/>
      <c r="EU72" s="312"/>
      <c r="EV72" s="312"/>
      <c r="EW72" s="312"/>
    </row>
    <row r="73" spans="1:153" ht="16.350000000000001" customHeight="1">
      <c r="B73" s="158" t="s">
        <v>481</v>
      </c>
      <c r="C73" s="158" t="s">
        <v>480</v>
      </c>
      <c r="D73" s="313"/>
      <c r="E73" s="313"/>
      <c r="F73" s="313"/>
      <c r="G73" s="313"/>
      <c r="H73" s="313"/>
      <c r="I73" s="313"/>
      <c r="J73" s="313"/>
      <c r="K73" s="313"/>
      <c r="L73" s="313"/>
      <c r="M73" s="313"/>
      <c r="N73" s="313"/>
      <c r="O73" s="313"/>
      <c r="P73" s="313"/>
      <c r="Q73" s="313"/>
      <c r="R73" s="313"/>
      <c r="S73" s="313"/>
      <c r="T73" s="313"/>
      <c r="U73" s="313"/>
      <c r="V73" s="313"/>
      <c r="W73" s="313"/>
      <c r="X73" s="313"/>
      <c r="Y73" s="313"/>
      <c r="Z73" s="313"/>
      <c r="AA73" s="313"/>
      <c r="AB73" s="313"/>
      <c r="AC73" s="313"/>
      <c r="AD73" s="313"/>
      <c r="AE73" s="313"/>
      <c r="AF73" s="90"/>
      <c r="AG73" s="90"/>
      <c r="AH73" s="90"/>
      <c r="AI73" s="90"/>
      <c r="AJ73" s="90"/>
      <c r="AK73" s="90"/>
      <c r="AL73" s="90"/>
      <c r="AM73" s="90"/>
      <c r="AN73" s="90"/>
      <c r="AO73" s="90"/>
      <c r="AP73" s="90"/>
      <c r="AQ73" s="90"/>
      <c r="AR73" s="90"/>
      <c r="AS73" s="90"/>
      <c r="AT73" s="90"/>
      <c r="AU73" s="90"/>
      <c r="AV73" s="90"/>
      <c r="AW73" s="90"/>
      <c r="AX73" s="90"/>
      <c r="AY73" s="90"/>
      <c r="AZ73" s="90"/>
      <c r="BA73" s="90"/>
      <c r="BB73" s="90"/>
      <c r="BC73" s="90"/>
      <c r="BD73" s="90"/>
      <c r="BE73" s="90"/>
      <c r="BF73" s="90"/>
      <c r="BG73" s="90"/>
      <c r="BH73" s="90"/>
      <c r="BI73" s="90"/>
      <c r="BJ73" s="90"/>
      <c r="BK73" s="90"/>
      <c r="BL73" s="90"/>
      <c r="BM73" s="90"/>
      <c r="BN73" s="90"/>
      <c r="BO73" s="90"/>
      <c r="BP73" s="90"/>
      <c r="BQ73" s="90"/>
      <c r="BR73" s="90"/>
      <c r="BS73" s="90"/>
      <c r="BT73" s="90"/>
      <c r="BU73" s="90"/>
      <c r="BV73" s="90"/>
      <c r="BW73" s="90"/>
      <c r="BX73" s="90"/>
      <c r="BY73" s="90"/>
      <c r="BZ73" s="90"/>
      <c r="CA73" s="90"/>
      <c r="CB73" s="90"/>
      <c r="CC73" s="90"/>
      <c r="CD73" s="90"/>
      <c r="CE73" s="90"/>
      <c r="CF73" s="90"/>
      <c r="CG73" s="90"/>
      <c r="CH73" s="330"/>
      <c r="CI73" s="330"/>
      <c r="CJ73" s="90"/>
      <c r="CK73" s="90"/>
      <c r="CL73" s="90"/>
      <c r="CM73" s="90"/>
      <c r="CN73" s="90"/>
      <c r="CO73" s="90"/>
      <c r="CP73" s="90"/>
      <c r="CQ73" s="90"/>
      <c r="CR73" s="90"/>
      <c r="CS73" s="90"/>
      <c r="CT73" s="90"/>
      <c r="CU73" s="90"/>
      <c r="CV73" s="90"/>
      <c r="CW73" s="90"/>
      <c r="CX73" s="329">
        <v>84.054000000000002</v>
      </c>
      <c r="CY73" s="329">
        <v>112.191</v>
      </c>
      <c r="CZ73" s="329">
        <f>SUM(CX73:CY73)</f>
        <v>196.245</v>
      </c>
      <c r="DA73" s="329">
        <v>115.75700000000001</v>
      </c>
      <c r="DB73" s="329">
        <f>SUM(CZ73:DA73)</f>
        <v>312.00200000000001</v>
      </c>
      <c r="DC73" s="329">
        <v>162.017</v>
      </c>
      <c r="DD73" s="329">
        <f>SUM(DB73:DC73)</f>
        <v>474.01900000000001</v>
      </c>
      <c r="DE73" s="329">
        <v>112.846</v>
      </c>
      <c r="DF73" s="329">
        <v>248.785</v>
      </c>
      <c r="DG73" s="329">
        <f>SUM(DE73:DF73)</f>
        <v>361.63099999999997</v>
      </c>
      <c r="DH73" s="329">
        <v>348.863</v>
      </c>
      <c r="DI73" s="329">
        <f>SUM(DG73:DH73)</f>
        <v>710.49399999999991</v>
      </c>
      <c r="DJ73" s="329">
        <v>373.53800000000001</v>
      </c>
      <c r="DK73" s="329">
        <f>SUM(DI73:DJ73)</f>
        <v>1084.0319999999999</v>
      </c>
      <c r="DL73" s="329">
        <v>312.92700000000002</v>
      </c>
      <c r="DM73" s="329">
        <v>428.87900000000002</v>
      </c>
      <c r="DN73" s="329">
        <f>SUM(DL73:DM73)</f>
        <v>741.80600000000004</v>
      </c>
      <c r="DO73" s="329">
        <v>382.45299999999997</v>
      </c>
      <c r="DP73" s="329">
        <f>SUM(DN73:DO73)</f>
        <v>1124.259</v>
      </c>
      <c r="DQ73" s="329">
        <v>520.10299999999995</v>
      </c>
      <c r="DR73" s="329">
        <f>SUM(DP73:DQ73)</f>
        <v>1644.3620000000001</v>
      </c>
      <c r="DS73" s="323">
        <v>441.80672433227653</v>
      </c>
      <c r="DT73" s="323">
        <v>556.50622646852537</v>
      </c>
      <c r="DU73" s="323">
        <f>SUM(DS73:DT73)</f>
        <v>998.3129508008019</v>
      </c>
      <c r="DV73" s="323">
        <v>496.7081610085001</v>
      </c>
      <c r="DW73" s="323">
        <f>SUM(DU73:DV73)</f>
        <v>1495.0211118093021</v>
      </c>
      <c r="DX73" s="323">
        <v>551.58199999999999</v>
      </c>
      <c r="DY73" s="323">
        <f>SUM(DW73:DX73)</f>
        <v>2046.6031118093019</v>
      </c>
      <c r="DZ73" s="323">
        <v>448.15338370283996</v>
      </c>
      <c r="EA73" s="323">
        <v>596.25706516014009</v>
      </c>
      <c r="EB73" s="323">
        <f>SUM(DZ73:EA73)</f>
        <v>1044.41044886298</v>
      </c>
      <c r="EC73" s="323">
        <v>529.949167131472</v>
      </c>
      <c r="ED73" s="323">
        <f t="shared" ref="ED73:EF73" si="362">SUM(EB73:EC73)</f>
        <v>1574.359615994452</v>
      </c>
      <c r="EE73" s="323">
        <v>645.48257553703002</v>
      </c>
      <c r="EF73" s="323">
        <f t="shared" si="362"/>
        <v>2219.8421915314821</v>
      </c>
      <c r="EG73" s="323">
        <v>507.62048948456192</v>
      </c>
      <c r="EH73" s="323">
        <v>608.35314876144889</v>
      </c>
      <c r="EI73" s="323">
        <f>SUM(EG73:EH73)</f>
        <v>1115.9736382460108</v>
      </c>
      <c r="EJ73" s="323">
        <v>651.97494017271208</v>
      </c>
      <c r="EK73" s="323">
        <f>SUM(EI73:EJ73)</f>
        <v>1767.9485784187227</v>
      </c>
      <c r="EL73" s="323">
        <v>759.59846384807634</v>
      </c>
      <c r="EM73" s="323">
        <f>SUM(EK73:EL73)</f>
        <v>2527.5470422667991</v>
      </c>
      <c r="EN73" s="323">
        <v>583.83303808308324</v>
      </c>
      <c r="EO73" s="323">
        <v>740.46654681701546</v>
      </c>
      <c r="EP73" s="323">
        <f>EN73+EO73</f>
        <v>1324.2995849000986</v>
      </c>
      <c r="EQ73" s="323">
        <v>679.80247191861008</v>
      </c>
      <c r="ER73" s="323">
        <f>EP73+EQ73</f>
        <v>2004.1020568187087</v>
      </c>
      <c r="ES73" s="323">
        <v>834.56416250057509</v>
      </c>
      <c r="ET73" s="323">
        <f>ER73+ES73</f>
        <v>2838.6662193192838</v>
      </c>
      <c r="EU73" s="323">
        <v>627.06919487900029</v>
      </c>
      <c r="EV73" s="323">
        <v>837.61092867261334</v>
      </c>
      <c r="EW73" s="323">
        <f>SUM(EU73:EV73)</f>
        <v>1464.6801235516136</v>
      </c>
    </row>
    <row r="74" spans="1:153" ht="16.350000000000001" customHeight="1">
      <c r="B74" s="208" t="s">
        <v>461</v>
      </c>
      <c r="C74" s="208" t="s">
        <v>2548</v>
      </c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7"/>
      <c r="AI74" s="127"/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  <c r="BE74" s="127"/>
      <c r="BF74" s="127"/>
      <c r="BG74" s="127"/>
      <c r="BH74" s="127"/>
      <c r="BI74" s="127"/>
      <c r="BJ74" s="127"/>
      <c r="BK74" s="127"/>
      <c r="BL74" s="127"/>
      <c r="BM74" s="127"/>
      <c r="BN74" s="127"/>
      <c r="BO74" s="127"/>
      <c r="BP74" s="127"/>
      <c r="BQ74" s="127"/>
      <c r="BR74" s="127"/>
      <c r="BS74" s="127"/>
      <c r="BT74" s="127"/>
      <c r="BU74" s="127"/>
      <c r="BV74" s="127"/>
      <c r="BW74" s="127"/>
      <c r="BX74" s="127"/>
      <c r="BY74" s="127"/>
      <c r="BZ74" s="127"/>
      <c r="CA74" s="127"/>
      <c r="CB74" s="127"/>
      <c r="CC74" s="127"/>
      <c r="CD74" s="127"/>
      <c r="CE74" s="127"/>
      <c r="CF74" s="127"/>
      <c r="CG74" s="127"/>
      <c r="CH74" s="127"/>
      <c r="CI74" s="127"/>
      <c r="CJ74" s="127"/>
      <c r="CK74" s="127"/>
      <c r="CL74" s="127"/>
      <c r="CM74" s="127"/>
      <c r="CN74" s="127"/>
      <c r="CO74" s="127"/>
      <c r="CP74" s="127"/>
      <c r="CQ74" s="127"/>
      <c r="CR74" s="127"/>
      <c r="CS74" s="127"/>
      <c r="CT74" s="127"/>
      <c r="CU74" s="127"/>
      <c r="CV74" s="127"/>
      <c r="CW74" s="127"/>
      <c r="CX74" s="127">
        <v>3.9101158092810236E-2</v>
      </c>
      <c r="CY74" s="127">
        <v>4.2239744462930523E-2</v>
      </c>
      <c r="CZ74" s="127">
        <v>4.0835814410696607E-2</v>
      </c>
      <c r="DA74" s="127">
        <v>4.5702957819214379E-2</v>
      </c>
      <c r="DB74" s="127">
        <v>4.2515657107972726E-2</v>
      </c>
      <c r="DC74" s="127">
        <v>4.2788062854879176E-2</v>
      </c>
      <c r="DD74" s="127">
        <v>4.260837283888029E-2</v>
      </c>
      <c r="DE74" s="127">
        <v>5.6456958860754747E-2</v>
      </c>
      <c r="DF74" s="127">
        <v>0.35614181253900901</v>
      </c>
      <c r="DG74" s="127">
        <v>0.13406884453017456</v>
      </c>
      <c r="DH74" s="127">
        <v>0.16100920882049286</v>
      </c>
      <c r="DI74" s="127">
        <v>0.14606955477705957</v>
      </c>
      <c r="DJ74" s="127">
        <v>9.6784942157771128E-2</v>
      </c>
      <c r="DK74" s="127">
        <v>0.12426509226066837</v>
      </c>
      <c r="DL74" s="127">
        <v>0.17738761035459724</v>
      </c>
      <c r="DM74" s="127">
        <v>0.14454976223450025</v>
      </c>
      <c r="DN74" s="127">
        <v>0.15679405464074309</v>
      </c>
      <c r="DO74" s="127">
        <v>0.12321811158328151</v>
      </c>
      <c r="DP74" s="127">
        <v>0.14349271948594472</v>
      </c>
      <c r="DQ74" s="127">
        <v>0.11012059840386396</v>
      </c>
      <c r="DR74" s="127">
        <v>0.13094153791858026</v>
      </c>
      <c r="DS74" s="127">
        <v>0.15254528724361111</v>
      </c>
      <c r="DT74" s="127">
        <v>0.13326270039481306</v>
      </c>
      <c r="DU74" s="127">
        <v>0.1411608672144824</v>
      </c>
      <c r="DV74" s="127">
        <v>0.14585701220666383</v>
      </c>
      <c r="DW74" s="127">
        <v>0.14268741934411314</v>
      </c>
      <c r="DX74" s="127">
        <v>0.11749198031902094</v>
      </c>
      <c r="DY74" s="127">
        <v>0.13489071826840146</v>
      </c>
      <c r="DZ74" s="127">
        <v>0.15180854023412274</v>
      </c>
      <c r="EA74" s="127">
        <v>0.14896794357802268</v>
      </c>
      <c r="EB74" s="127">
        <v>0.15017442028820072</v>
      </c>
      <c r="EC74" s="127">
        <v>0.15250943114803289</v>
      </c>
      <c r="ED74" s="127">
        <v>0.1510397880918837</v>
      </c>
      <c r="EE74" s="127">
        <v>0.12779848711423561</v>
      </c>
      <c r="EF74" s="127">
        <v>0.14347882277569812</v>
      </c>
      <c r="EG74" s="127">
        <v>0.1583084258704591</v>
      </c>
      <c r="EH74" s="127">
        <v>0.1479317739784364</v>
      </c>
      <c r="EI74" s="127">
        <v>0.15247794160909972</v>
      </c>
      <c r="EJ74" s="127">
        <v>0.16628243480674548</v>
      </c>
      <c r="EK74" s="127">
        <v>0.15729349415382418</v>
      </c>
      <c r="EL74" s="127">
        <v>0.13696330753222857</v>
      </c>
      <c r="EM74" s="127">
        <v>0.15057643798744888</v>
      </c>
      <c r="EN74" s="127">
        <v>0.16131713912151738</v>
      </c>
      <c r="EO74" s="127">
        <v>0.15185952420264018</v>
      </c>
      <c r="EP74" s="127">
        <v>0.15132775667843784</v>
      </c>
      <c r="EQ74" s="127">
        <v>0.16657546269734627</v>
      </c>
      <c r="ER74" s="127">
        <v>0.15935662539337864</v>
      </c>
      <c r="ES74" s="127">
        <v>0.14436663552023196</v>
      </c>
      <c r="ET74" s="127">
        <v>0.15463611517506562</v>
      </c>
      <c r="EU74" s="127">
        <v>0.1657878743231711</v>
      </c>
      <c r="EV74" s="127">
        <v>0.16913319017270612</v>
      </c>
      <c r="EW74" s="127">
        <v>0.16771161271921795</v>
      </c>
    </row>
    <row r="76" spans="1:153" ht="16.350000000000001" customHeight="1">
      <c r="B76" s="337" t="s">
        <v>517</v>
      </c>
      <c r="CX76" s="4"/>
      <c r="CY76" s="4"/>
      <c r="DA76" s="4"/>
      <c r="DC76" s="4"/>
      <c r="DE76" s="4"/>
      <c r="DF76" s="4"/>
      <c r="DH76" s="4"/>
      <c r="DJ76" s="4"/>
      <c r="DL76" s="4"/>
      <c r="DM76" s="4"/>
      <c r="DO76" s="4"/>
      <c r="DQ76" s="338"/>
      <c r="DR76" s="338"/>
      <c r="DS76" s="338"/>
      <c r="DT76" s="338"/>
      <c r="DU76" s="338"/>
      <c r="DV76" s="338"/>
      <c r="DW76" s="338"/>
      <c r="DX76" s="338"/>
    </row>
    <row r="77" spans="1:153" ht="16.350000000000001" customHeight="1">
      <c r="B77" s="337" t="s">
        <v>518</v>
      </c>
    </row>
  </sheetData>
  <customSheetViews>
    <customSheetView guid="{E88E1926-5DA8-417A-8DB1-2CA24C2C419E}" showGridLines="0" fitToPage="1" hiddenRows="1">
      <pane xSplit="3" ySplit="3" topLeftCell="DK35" activePane="bottomRight" state="frozen"/>
      <selection pane="bottomRight" activeCell="DQ48" sqref="DQ48"/>
      <pageMargins left="0.25" right="0.25" top="0.75" bottom="0.75" header="0.3" footer="0.3"/>
      <printOptions horizontalCentered="1"/>
      <pageSetup paperSize="9" scale="11" orientation="portrait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90" showGridLines="0" fitToPage="1" hiddenRows="1" hiddenColumns="1">
      <pane xSplit="2" ySplit="3" topLeftCell="DC11" activePane="bottomRight" state="frozen"/>
      <selection pane="bottomRight" activeCell="DQ14" sqref="DQ14"/>
      <pageMargins left="0.25" right="0.25" top="0.75" bottom="0.75" header="0.3" footer="0.3"/>
      <printOptions horizontalCentered="1"/>
      <pageSetup paperSize="9" scale="11" orientation="portrait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howGridLines="0" fitToPage="1" hiddenRows="1" hiddenColumns="1">
      <pane xSplit="2" ySplit="3" topLeftCell="DC4" activePane="bottomRight" state="frozen"/>
      <selection pane="bottomRight" activeCell="DQ48" sqref="DQ48"/>
      <pageMargins left="0.25" right="0.25" top="0.75" bottom="0.75" header="0.3" footer="0.3"/>
      <printOptions horizontalCentered="1"/>
      <pageSetup paperSize="9" scale="11" orientation="portrait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phoneticPr fontId="29" type="noConversion"/>
  <conditionalFormatting sqref="DL28:EG28">
    <cfRule type="cellIs" dxfId="15" priority="19" operator="notEqual">
      <formula>0</formula>
    </cfRule>
    <cfRule type="cellIs" dxfId="14" priority="20" operator="equal">
      <formula>0</formula>
    </cfRule>
  </conditionalFormatting>
  <conditionalFormatting sqref="EI28:EM28">
    <cfRule type="cellIs" dxfId="13" priority="13" operator="notEqual">
      <formula>0</formula>
    </cfRule>
    <cfRule type="cellIs" dxfId="12" priority="14" operator="equal">
      <formula>0</formula>
    </cfRule>
  </conditionalFormatting>
  <conditionalFormatting sqref="EP28">
    <cfRule type="cellIs" dxfId="11" priority="11" operator="notEqual">
      <formula>0</formula>
    </cfRule>
    <cfRule type="cellIs" dxfId="10" priority="12" operator="equal">
      <formula>0</formula>
    </cfRule>
  </conditionalFormatting>
  <conditionalFormatting sqref="ER28:ET28">
    <cfRule type="cellIs" dxfId="9" priority="3" operator="notEqual">
      <formula>0</formula>
    </cfRule>
    <cfRule type="cellIs" dxfId="8" priority="4" operator="equal">
      <formula>0</formula>
    </cfRule>
  </conditionalFormatting>
  <conditionalFormatting sqref="EW28">
    <cfRule type="cellIs" dxfId="7" priority="1" operator="notEqual">
      <formula>0</formula>
    </cfRule>
    <cfRule type="cellIs" dxfId="6" priority="2" operator="equal">
      <formula>0</formula>
    </cfRule>
  </conditionalFormatting>
  <printOptions horizontalCentered="1"/>
  <pageMargins left="0.25" right="0.25" top="0.75" bottom="0.75" header="0.3" footer="0.3"/>
  <pageSetup paperSize="9" scale="34" orientation="portrait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ignoredErrors>
    <ignoredError sqref="CI8:DE8 DU8 DT8 DV8:DX8 DY8:DZ8 EA8:EB8 EC8:ED8 DK8:DS8 EG8 EE8:EF8 EH8:EI8 EM8:EN8 EJ8:EL8 ET8:EU8" formulaRange="1"/>
    <ignoredError sqref="CW20:DS21 Q31:AE31 AE42:DR42 D42:X42 H53:DR53 DU31:DY31 DU42:DY42 DU53:DY53 DW73 DU32 DY32 DU43 DU45:DW45 EB53 EB31 EB42 ED54 DT21:ED21 AL31:CI31 CP31:DR31 DW32 CP32 DN32 DP32 DR32 AL32:BN32 BQ32 BX32 BZ32 CB32 CE32 CG32 CI32 CS32 CU32 CW32 DD32 DG32 DI32 DK32 DW43 ED73 ED53:EF53 EF42 ED42 EF31 EE21:EF21 ED31 DR57 DU57:DV57 DQ56:DQ57 DO57:DP57 DF57:DJ57 CV21 EG21:EI21 EI31 EI42 EI53 EJ31:EK33 EK42 EK53 EK30 EK34 EM53 EM42 EK73 EM73 EJ21:EM21 EI26:EN26 EL24 EM31 EN21 EQ42:ER42 ER26 EQ26 EQ53 ER70 EQ46 EQ21:ER21 ET42 ER53:ES53 ET53 ER54 ET21:EU26 ET31 EV21:EW26 EF26 DR26:DY26 EW31 EW42 EW53" formula="1"/>
    <ignoredError sqref="DF8:DJ8" formula="1" formulaRange="1"/>
  </ignoredErrors>
  <drawing r:id="rId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414F6-AB1F-4D30-8967-420CEAD60562}">
  <sheetPr codeName="Planilha9">
    <outlinePr summaryBelow="0"/>
  </sheetPr>
  <dimension ref="A1:O827"/>
  <sheetViews>
    <sheetView showGridLines="0" zoomScaleNormal="100" workbookViewId="0">
      <pane ySplit="6" topLeftCell="A778" activePane="bottomLeft" state="frozen"/>
      <selection pane="bottomLeft" activeCell="J793" sqref="J793"/>
    </sheetView>
  </sheetViews>
  <sheetFormatPr defaultColWidth="9.42578125" defaultRowHeight="15" customHeight="1" outlineLevelCol="1"/>
  <cols>
    <col min="1" max="1" width="2.5703125" style="7" customWidth="1" collapsed="1"/>
    <col min="2" max="2" width="4.5703125" style="7" hidden="1" customWidth="1" outlineLevel="1"/>
    <col min="3" max="3" width="8.42578125" style="341" hidden="1" customWidth="1" outlineLevel="1"/>
    <col min="4" max="4" width="13" style="402" customWidth="1" collapsed="1"/>
    <col min="5" max="5" width="8" style="342" bestFit="1" customWidth="1"/>
    <col min="6" max="6" width="13.42578125" style="7" bestFit="1" customWidth="1" collapsed="1"/>
    <col min="7" max="7" width="12.5703125" style="7" hidden="1" customWidth="1" outlineLevel="1"/>
    <col min="8" max="8" width="9.42578125" style="7" bestFit="1" customWidth="1" collapsed="1"/>
    <col min="9" max="9" width="8.42578125" style="7" bestFit="1" customWidth="1"/>
    <col min="10" max="10" width="5" style="7" bestFit="1" customWidth="1"/>
    <col min="11" max="11" width="15.42578125" style="7" bestFit="1" customWidth="1"/>
    <col min="12" max="12" width="20.42578125" style="7" customWidth="1"/>
    <col min="13" max="13" width="30.5703125" style="7" bestFit="1" customWidth="1"/>
    <col min="14" max="14" width="20" style="7" bestFit="1" customWidth="1"/>
    <col min="15" max="15" width="15" style="345" bestFit="1" customWidth="1"/>
    <col min="16" max="16384" width="9.42578125" style="7"/>
  </cols>
  <sheetData>
    <row r="1" spans="1:15" ht="11.25"/>
    <row r="2" spans="1:15" ht="11.25">
      <c r="K2" s="343"/>
    </row>
    <row r="3" spans="1:15" ht="11.25"/>
    <row r="4" spans="1:15" ht="27">
      <c r="D4" s="403"/>
      <c r="E4" s="8"/>
      <c r="F4" s="8"/>
    </row>
    <row r="5" spans="1:15" customFormat="1" ht="12.75">
      <c r="D5" s="404"/>
    </row>
    <row r="6" spans="1:15" s="350" customFormat="1" ht="15" customHeight="1">
      <c r="A6" s="347" t="s">
        <v>344</v>
      </c>
      <c r="B6" s="482" t="s">
        <v>662</v>
      </c>
      <c r="C6" s="349" t="s">
        <v>1570</v>
      </c>
      <c r="D6" s="170" t="s">
        <v>663</v>
      </c>
      <c r="E6" s="170" t="s">
        <v>1505</v>
      </c>
      <c r="F6" s="170" t="s">
        <v>664</v>
      </c>
      <c r="G6" s="170" t="s">
        <v>665</v>
      </c>
      <c r="H6" s="170" t="s">
        <v>666</v>
      </c>
      <c r="I6" s="170" t="s">
        <v>167</v>
      </c>
      <c r="J6" s="170" t="s">
        <v>284</v>
      </c>
      <c r="K6" s="170" t="s">
        <v>667</v>
      </c>
      <c r="L6" s="170" t="s">
        <v>668</v>
      </c>
      <c r="M6" s="170" t="s">
        <v>669</v>
      </c>
      <c r="N6" s="170" t="s">
        <v>670</v>
      </c>
      <c r="O6" s="348" t="s">
        <v>671</v>
      </c>
    </row>
    <row r="7" spans="1:15" s="350" customFormat="1" ht="15" customHeight="1">
      <c r="A7" s="347"/>
      <c r="B7" s="483">
        <v>1</v>
      </c>
      <c r="C7" s="484" t="s">
        <v>2615</v>
      </c>
      <c r="D7" s="485" t="s">
        <v>116</v>
      </c>
      <c r="E7" s="485" t="str">
        <f>IF(G7="","Open","Closed")</f>
        <v>Open</v>
      </c>
      <c r="F7" s="485">
        <v>46226</v>
      </c>
      <c r="G7" s="485"/>
      <c r="H7" s="486" t="s">
        <v>673</v>
      </c>
      <c r="I7" s="351" t="str">
        <f>VLOOKUP(TabListaLojas[[#This Row],[UF]],UF!A:E,3,0)</f>
        <v>Midwest</v>
      </c>
      <c r="J7" s="351" t="s">
        <v>119</v>
      </c>
      <c r="K7" s="351" t="str">
        <f>VLOOKUP(TabListaLojas[[#This Row],[UF]],UF!A:B,2,0)</f>
        <v>Mato Grosso</v>
      </c>
      <c r="L7" s="351" t="s">
        <v>2616</v>
      </c>
      <c r="M7" s="351" t="s">
        <v>2617</v>
      </c>
      <c r="N7" s="484" t="s">
        <v>714</v>
      </c>
      <c r="O7" s="487">
        <v>1600</v>
      </c>
    </row>
    <row r="8" spans="1:15" s="350" customFormat="1" ht="15" customHeight="1">
      <c r="A8" s="347"/>
      <c r="B8" s="483">
        <v>1</v>
      </c>
      <c r="C8" s="484" t="s">
        <v>2618</v>
      </c>
      <c r="D8" s="485" t="s">
        <v>116</v>
      </c>
      <c r="E8" s="485" t="str">
        <f>IF(G8="","Open","Closed")</f>
        <v>Open</v>
      </c>
      <c r="F8" s="485">
        <v>46212</v>
      </c>
      <c r="G8" s="485"/>
      <c r="H8" s="486" t="s">
        <v>673</v>
      </c>
      <c r="I8" s="351" t="str">
        <f>VLOOKUP(TabListaLojas[[#This Row],[UF]],UF!A:E,3,0)</f>
        <v>Northest</v>
      </c>
      <c r="J8" s="351" t="s">
        <v>163</v>
      </c>
      <c r="K8" s="351" t="str">
        <f>VLOOKUP(TabListaLojas[[#This Row],[UF]],UF!A:B,2,0)</f>
        <v>Sergipe</v>
      </c>
      <c r="L8" s="351" t="s">
        <v>2619</v>
      </c>
      <c r="M8" s="351" t="s">
        <v>2620</v>
      </c>
      <c r="N8" s="484" t="s">
        <v>676</v>
      </c>
      <c r="O8" s="487">
        <v>1048</v>
      </c>
    </row>
    <row r="9" spans="1:15" s="350" customFormat="1" ht="15" customHeight="1">
      <c r="A9" s="347"/>
      <c r="B9" s="483">
        <v>1</v>
      </c>
      <c r="C9" s="484" t="s">
        <v>2612</v>
      </c>
      <c r="D9" s="485" t="s">
        <v>126</v>
      </c>
      <c r="E9" s="485" t="str">
        <f t="shared" ref="E9" si="0">IF(G9="","Open","Closed")</f>
        <v>Open</v>
      </c>
      <c r="F9" s="485">
        <v>46204</v>
      </c>
      <c r="G9" s="485"/>
      <c r="H9" s="486" t="s">
        <v>673</v>
      </c>
      <c r="I9" s="351" t="str">
        <f>VLOOKUP(TabListaLojas[[#This Row],[UF]],UF!A:E,3,0)</f>
        <v>Southest</v>
      </c>
      <c r="J9" s="351" t="s">
        <v>118</v>
      </c>
      <c r="K9" s="351" t="str">
        <f>VLOOKUP(TabListaLojas[[#This Row],[UF]],UF!A:B,2,0)</f>
        <v>São Paulo</v>
      </c>
      <c r="L9" s="351" t="s">
        <v>894</v>
      </c>
      <c r="M9" s="351" t="s">
        <v>895</v>
      </c>
      <c r="N9" s="484" t="s">
        <v>676</v>
      </c>
      <c r="O9" s="487">
        <v>384</v>
      </c>
    </row>
    <row r="10" spans="1:15" s="350" customFormat="1" ht="15" customHeight="1">
      <c r="A10" s="347"/>
      <c r="B10" s="483">
        <v>1</v>
      </c>
      <c r="C10" s="484" t="s">
        <v>2611</v>
      </c>
      <c r="D10" s="485" t="s">
        <v>127</v>
      </c>
      <c r="E10" s="485" t="str">
        <f t="shared" ref="E10:E17" si="1">IF(G10="","Open","Closed")</f>
        <v>Open</v>
      </c>
      <c r="F10" s="485">
        <v>46198</v>
      </c>
      <c r="G10" s="485"/>
      <c r="H10" s="486" t="s">
        <v>673</v>
      </c>
      <c r="I10" s="351" t="str">
        <f>VLOOKUP(TabListaLojas[[#This Row],[UF]],UF!A:E,3,0)</f>
        <v>Southest</v>
      </c>
      <c r="J10" s="351" t="s">
        <v>152</v>
      </c>
      <c r="K10" s="351" t="str">
        <f>VLOOKUP(TabListaLojas[[#This Row],[UF]],UF!A:B,2,0)</f>
        <v>Espírito Santo</v>
      </c>
      <c r="L10" s="351" t="s">
        <v>1275</v>
      </c>
      <c r="M10" s="351" t="s">
        <v>2609</v>
      </c>
      <c r="N10" s="484" t="s">
        <v>676</v>
      </c>
      <c r="O10" s="487">
        <v>240</v>
      </c>
    </row>
    <row r="11" spans="1:15" s="350" customFormat="1" ht="15" customHeight="1">
      <c r="A11" s="347"/>
      <c r="B11" s="483">
        <v>1</v>
      </c>
      <c r="C11" s="484" t="s">
        <v>2610</v>
      </c>
      <c r="D11" s="485" t="s">
        <v>127</v>
      </c>
      <c r="E11" s="485" t="str">
        <f t="shared" si="1"/>
        <v>Open</v>
      </c>
      <c r="F11" s="485">
        <v>46189</v>
      </c>
      <c r="G11" s="485"/>
      <c r="H11" s="486" t="s">
        <v>673</v>
      </c>
      <c r="I11" s="351" t="str">
        <f>VLOOKUP(TabListaLojas[[#This Row],[UF]],UF!A:E,3,0)</f>
        <v>Southest</v>
      </c>
      <c r="J11" s="351" t="s">
        <v>122</v>
      </c>
      <c r="K11" s="351" t="str">
        <f>VLOOKUP(TabListaLojas[[#This Row],[UF]],UF!A:B,2,0)</f>
        <v>Rio de Janeiro</v>
      </c>
      <c r="L11" s="351" t="s">
        <v>1104</v>
      </c>
      <c r="M11" s="351" t="s">
        <v>1169</v>
      </c>
      <c r="N11" s="484" t="s">
        <v>676</v>
      </c>
      <c r="O11" s="487">
        <v>203</v>
      </c>
    </row>
    <row r="12" spans="1:15" s="350" customFormat="1" ht="15" customHeight="1">
      <c r="A12" s="347"/>
      <c r="B12" s="483">
        <v>1</v>
      </c>
      <c r="C12" s="484" t="s">
        <v>2606</v>
      </c>
      <c r="D12" s="485" t="s">
        <v>127</v>
      </c>
      <c r="E12" s="485" t="str">
        <f t="shared" si="1"/>
        <v>Open</v>
      </c>
      <c r="F12" s="485">
        <v>46183</v>
      </c>
      <c r="G12" s="485"/>
      <c r="H12" s="486" t="s">
        <v>673</v>
      </c>
      <c r="I12" s="351" t="str">
        <f>VLOOKUP(TabListaLojas[[#This Row],[UF]],UF!A:E,3,0)</f>
        <v>Southest</v>
      </c>
      <c r="J12" s="351" t="s">
        <v>118</v>
      </c>
      <c r="K12" s="351" t="str">
        <f>VLOOKUP(TabListaLojas[[#This Row],[UF]],UF!A:B,2,0)</f>
        <v>São Paulo</v>
      </c>
      <c r="L12" s="351" t="s">
        <v>881</v>
      </c>
      <c r="M12" s="351" t="s">
        <v>2608</v>
      </c>
      <c r="N12" s="484" t="s">
        <v>676</v>
      </c>
      <c r="O12" s="487">
        <v>184</v>
      </c>
    </row>
    <row r="13" spans="1:15" s="350" customFormat="1" ht="15" customHeight="1">
      <c r="A13" s="347"/>
      <c r="B13" s="483">
        <v>1</v>
      </c>
      <c r="C13" s="484" t="s">
        <v>2605</v>
      </c>
      <c r="D13" s="485" t="s">
        <v>127</v>
      </c>
      <c r="E13" s="485" t="str">
        <f t="shared" si="1"/>
        <v>Open</v>
      </c>
      <c r="F13" s="485">
        <v>46183</v>
      </c>
      <c r="G13" s="485"/>
      <c r="H13" s="486" t="s">
        <v>673</v>
      </c>
      <c r="I13" s="351" t="str">
        <f>VLOOKUP(TabListaLojas[[#This Row],[UF]],UF!A:E,3,0)</f>
        <v>Southest</v>
      </c>
      <c r="J13" s="351" t="s">
        <v>118</v>
      </c>
      <c r="K13" s="351" t="str">
        <f>VLOOKUP(TabListaLojas[[#This Row],[UF]],UF!A:B,2,0)</f>
        <v>São Paulo</v>
      </c>
      <c r="L13" s="351" t="s">
        <v>124</v>
      </c>
      <c r="M13" s="351" t="s">
        <v>2607</v>
      </c>
      <c r="N13" s="484" t="s">
        <v>676</v>
      </c>
      <c r="O13" s="487">
        <v>255</v>
      </c>
    </row>
    <row r="14" spans="1:15" s="350" customFormat="1" ht="15" customHeight="1">
      <c r="A14" s="347"/>
      <c r="B14" s="483">
        <v>1</v>
      </c>
      <c r="C14" s="484" t="s">
        <v>2599</v>
      </c>
      <c r="D14" s="485" t="s">
        <v>127</v>
      </c>
      <c r="E14" s="485" t="str">
        <f t="shared" si="1"/>
        <v>Open</v>
      </c>
      <c r="F14" s="485">
        <v>46172</v>
      </c>
      <c r="G14" s="485"/>
      <c r="H14" s="486" t="s">
        <v>673</v>
      </c>
      <c r="I14" s="351" t="str">
        <f>VLOOKUP(TabListaLojas[[#This Row],[UF]],UF!A:E,3,0)</f>
        <v>Northest</v>
      </c>
      <c r="J14" s="351" t="s">
        <v>120</v>
      </c>
      <c r="K14" s="351" t="str">
        <f>VLOOKUP(TabListaLojas[[#This Row],[UF]],UF!A:B,2,0)</f>
        <v>Bahia</v>
      </c>
      <c r="L14" s="351" t="s">
        <v>1356</v>
      </c>
      <c r="M14" s="351" t="s">
        <v>2604</v>
      </c>
      <c r="N14" s="484" t="s">
        <v>676</v>
      </c>
      <c r="O14" s="487">
        <v>227</v>
      </c>
    </row>
    <row r="15" spans="1:15" s="350" customFormat="1" ht="15" customHeight="1">
      <c r="A15" s="347"/>
      <c r="B15" s="483">
        <v>1</v>
      </c>
      <c r="C15" s="484" t="s">
        <v>2598</v>
      </c>
      <c r="D15" s="485" t="s">
        <v>127</v>
      </c>
      <c r="E15" s="485" t="str">
        <f t="shared" si="1"/>
        <v>Open</v>
      </c>
      <c r="F15" s="485">
        <v>46171</v>
      </c>
      <c r="G15" s="485"/>
      <c r="H15" s="486" t="s">
        <v>673</v>
      </c>
      <c r="I15" s="351" t="str">
        <f>VLOOKUP(TabListaLojas[[#This Row],[UF]],UF!A:E,3,0)</f>
        <v>Southest</v>
      </c>
      <c r="J15" s="351" t="s">
        <v>122</v>
      </c>
      <c r="K15" s="351" t="str">
        <f>VLOOKUP(TabListaLojas[[#This Row],[UF]],UF!A:B,2,0)</f>
        <v>Rio de Janeiro</v>
      </c>
      <c r="L15" s="351" t="s">
        <v>128</v>
      </c>
      <c r="M15" s="351" t="s">
        <v>2603</v>
      </c>
      <c r="N15" s="484" t="s">
        <v>676</v>
      </c>
      <c r="O15" s="487">
        <v>201</v>
      </c>
    </row>
    <row r="16" spans="1:15" s="350" customFormat="1" ht="15" customHeight="1">
      <c r="A16" s="347"/>
      <c r="B16" s="483">
        <v>1</v>
      </c>
      <c r="C16" s="484" t="s">
        <v>2597</v>
      </c>
      <c r="D16" s="485" t="s">
        <v>127</v>
      </c>
      <c r="E16" s="485" t="str">
        <f t="shared" si="1"/>
        <v>Open</v>
      </c>
      <c r="F16" s="485">
        <v>46170</v>
      </c>
      <c r="G16" s="485"/>
      <c r="H16" s="486" t="s">
        <v>673</v>
      </c>
      <c r="I16" s="351" t="str">
        <f>VLOOKUP(TabListaLojas[[#This Row],[UF]],UF!A:E,3,0)</f>
        <v>Southest</v>
      </c>
      <c r="J16" s="351" t="s">
        <v>149</v>
      </c>
      <c r="K16" s="351" t="str">
        <f>VLOOKUP(TabListaLojas[[#This Row],[UF]],UF!A:B,2,0)</f>
        <v>Minas Gerais</v>
      </c>
      <c r="L16" s="351" t="s">
        <v>1166</v>
      </c>
      <c r="M16" s="351" t="s">
        <v>2602</v>
      </c>
      <c r="N16" s="484" t="s">
        <v>676</v>
      </c>
      <c r="O16" s="487">
        <v>316</v>
      </c>
    </row>
    <row r="17" spans="1:15" s="350" customFormat="1" ht="15" customHeight="1">
      <c r="A17" s="347"/>
      <c r="B17" s="483">
        <v>1</v>
      </c>
      <c r="C17" s="484" t="s">
        <v>2596</v>
      </c>
      <c r="D17" s="485" t="s">
        <v>116</v>
      </c>
      <c r="E17" s="485" t="str">
        <f t="shared" si="1"/>
        <v>Open</v>
      </c>
      <c r="F17" s="485">
        <v>46155</v>
      </c>
      <c r="G17" s="485"/>
      <c r="H17" s="486" t="s">
        <v>673</v>
      </c>
      <c r="I17" s="351" t="str">
        <f>VLOOKUP(TabListaLojas[[#This Row],[UF]],UF!A:E,3,0)</f>
        <v>Southest</v>
      </c>
      <c r="J17" s="351" t="s">
        <v>118</v>
      </c>
      <c r="K17" s="351" t="str">
        <f>VLOOKUP(TabListaLojas[[#This Row],[UF]],UF!A:B,2,0)</f>
        <v>São Paulo</v>
      </c>
      <c r="L17" s="351" t="s">
        <v>2600</v>
      </c>
      <c r="M17" s="351" t="s">
        <v>2601</v>
      </c>
      <c r="N17" s="484" t="s">
        <v>676</v>
      </c>
      <c r="O17" s="487">
        <v>1182</v>
      </c>
    </row>
    <row r="18" spans="1:15" s="350" customFormat="1" ht="15" customHeight="1">
      <c r="A18" s="347"/>
      <c r="B18" s="483">
        <v>1</v>
      </c>
      <c r="C18" s="484" t="s">
        <v>2581</v>
      </c>
      <c r="D18" s="485" t="s">
        <v>127</v>
      </c>
      <c r="E18" s="485" t="str">
        <f t="shared" ref="E18:E25" si="2">IF(G18="","Open","Closed")</f>
        <v>Open</v>
      </c>
      <c r="F18" s="485">
        <v>46149</v>
      </c>
      <c r="G18" s="485"/>
      <c r="H18" s="486" t="s">
        <v>673</v>
      </c>
      <c r="I18" s="351" t="str">
        <f>VLOOKUP(TabListaLojas[[#This Row],[UF]],UF!A:E,3,0)</f>
        <v>Southest</v>
      </c>
      <c r="J18" s="351" t="s">
        <v>118</v>
      </c>
      <c r="K18" s="351" t="str">
        <f>VLOOKUP(TabListaLojas[[#This Row],[UF]],UF!A:B,2,0)</f>
        <v>São Paulo</v>
      </c>
      <c r="L18" s="351" t="s">
        <v>124</v>
      </c>
      <c r="M18" s="351" t="s">
        <v>2583</v>
      </c>
      <c r="N18" s="484" t="s">
        <v>676</v>
      </c>
      <c r="O18" s="487">
        <v>186</v>
      </c>
    </row>
    <row r="19" spans="1:15" s="350" customFormat="1" ht="15" customHeight="1">
      <c r="A19" s="347"/>
      <c r="B19" s="483">
        <v>1</v>
      </c>
      <c r="C19" s="484" t="s">
        <v>2582</v>
      </c>
      <c r="D19" s="485" t="s">
        <v>127</v>
      </c>
      <c r="E19" s="485" t="str">
        <f t="shared" si="2"/>
        <v>Open</v>
      </c>
      <c r="F19" s="485">
        <v>46148</v>
      </c>
      <c r="G19" s="485"/>
      <c r="H19" s="486" t="s">
        <v>673</v>
      </c>
      <c r="I19" s="351" t="str">
        <f>VLOOKUP(TabListaLojas[[#This Row],[UF]],UF!A:E,3,0)</f>
        <v>Southest</v>
      </c>
      <c r="J19" s="351" t="s">
        <v>149</v>
      </c>
      <c r="K19" s="351" t="str">
        <f>VLOOKUP(TabListaLojas[[#This Row],[UF]],UF!A:B,2,0)</f>
        <v>Minas Gerais</v>
      </c>
      <c r="L19" s="351" t="s">
        <v>136</v>
      </c>
      <c r="M19" s="351" t="s">
        <v>1331</v>
      </c>
      <c r="N19" s="484" t="s">
        <v>676</v>
      </c>
      <c r="O19" s="487">
        <v>212</v>
      </c>
    </row>
    <row r="20" spans="1:15" s="350" customFormat="1" ht="15" customHeight="1">
      <c r="A20" s="347"/>
      <c r="B20" s="483">
        <v>1</v>
      </c>
      <c r="C20" s="484" t="s">
        <v>2580</v>
      </c>
      <c r="D20" s="488" t="s">
        <v>126</v>
      </c>
      <c r="E20" s="485" t="str">
        <f t="shared" si="2"/>
        <v>Open</v>
      </c>
      <c r="F20" s="485">
        <v>46142</v>
      </c>
      <c r="G20" s="485"/>
      <c r="H20" s="486" t="s">
        <v>673</v>
      </c>
      <c r="I20" s="351" t="str">
        <f>VLOOKUP(TabListaLojas[[#This Row],[UF]],UF!A:E,3,0)</f>
        <v>Midwest</v>
      </c>
      <c r="J20" s="351" t="s">
        <v>156</v>
      </c>
      <c r="K20" s="351" t="str">
        <f>VLOOKUP(TabListaLojas[[#This Row],[UF]],UF!A:B,2,0)</f>
        <v>Distrito Federal</v>
      </c>
      <c r="L20" s="351" t="s">
        <v>2577</v>
      </c>
      <c r="M20" s="351" t="s">
        <v>2455</v>
      </c>
      <c r="N20" s="484" t="s">
        <v>676</v>
      </c>
      <c r="O20" s="487">
        <v>458</v>
      </c>
    </row>
    <row r="21" spans="1:15" s="350" customFormat="1" ht="15" customHeight="1">
      <c r="A21" s="347"/>
      <c r="B21" s="483">
        <v>1</v>
      </c>
      <c r="C21" s="484" t="s">
        <v>2579</v>
      </c>
      <c r="D21" s="488" t="s">
        <v>126</v>
      </c>
      <c r="E21" s="485" t="str">
        <f t="shared" si="2"/>
        <v>Open</v>
      </c>
      <c r="F21" s="485">
        <v>46139</v>
      </c>
      <c r="G21" s="485"/>
      <c r="H21" s="486" t="s">
        <v>673</v>
      </c>
      <c r="I21" s="351" t="str">
        <f>VLOOKUP(TabListaLojas[[#This Row],[UF]],UF!A:E,3,0)</f>
        <v>Southest</v>
      </c>
      <c r="J21" s="351" t="s">
        <v>118</v>
      </c>
      <c r="K21" s="351" t="str">
        <f>VLOOKUP(TabListaLojas[[#This Row],[UF]],UF!A:B,2,0)</f>
        <v>São Paulo</v>
      </c>
      <c r="L21" s="351" t="s">
        <v>124</v>
      </c>
      <c r="M21" s="351" t="s">
        <v>1459</v>
      </c>
      <c r="N21" s="484" t="s">
        <v>676</v>
      </c>
      <c r="O21" s="487">
        <v>392</v>
      </c>
    </row>
    <row r="22" spans="1:15" s="350" customFormat="1" ht="15" customHeight="1">
      <c r="A22" s="347"/>
      <c r="B22" s="483">
        <v>1</v>
      </c>
      <c r="C22" s="484" t="s">
        <v>2578</v>
      </c>
      <c r="D22" s="488" t="s">
        <v>126</v>
      </c>
      <c r="E22" s="485" t="str">
        <f t="shared" si="2"/>
        <v>Open</v>
      </c>
      <c r="F22" s="485">
        <v>46136</v>
      </c>
      <c r="G22" s="485"/>
      <c r="H22" s="486" t="s">
        <v>673</v>
      </c>
      <c r="I22" s="351" t="str">
        <f>VLOOKUP(TabListaLojas[[#This Row],[UF]],UF!A:E,3,0)</f>
        <v>Southest</v>
      </c>
      <c r="J22" s="351" t="s">
        <v>149</v>
      </c>
      <c r="K22" s="351" t="str">
        <f>VLOOKUP(TabListaLojas[[#This Row],[UF]],UF!A:B,2,0)</f>
        <v>Minas Gerais</v>
      </c>
      <c r="L22" s="351" t="s">
        <v>2575</v>
      </c>
      <c r="M22" s="351" t="s">
        <v>2576</v>
      </c>
      <c r="N22" s="484" t="s">
        <v>676</v>
      </c>
      <c r="O22" s="487">
        <v>397</v>
      </c>
    </row>
    <row r="23" spans="1:15" s="350" customFormat="1" ht="15" customHeight="1">
      <c r="A23" s="347"/>
      <c r="B23" s="483">
        <v>1</v>
      </c>
      <c r="C23" s="484" t="s">
        <v>2553</v>
      </c>
      <c r="D23" s="485" t="s">
        <v>116</v>
      </c>
      <c r="E23" s="485" t="str">
        <f t="shared" si="2"/>
        <v>Open</v>
      </c>
      <c r="F23" s="485">
        <v>46113</v>
      </c>
      <c r="G23" s="485"/>
      <c r="H23" s="486" t="s">
        <v>673</v>
      </c>
      <c r="I23" s="351" t="str">
        <f>VLOOKUP(TabListaLojas[[#This Row],[UF]],UF!A:E,3,0)</f>
        <v>Northest</v>
      </c>
      <c r="J23" s="351" t="s">
        <v>163</v>
      </c>
      <c r="K23" s="351" t="str">
        <f>VLOOKUP(TabListaLojas[[#This Row],[UF]],UF!A:B,2,0)</f>
        <v>Sergipe</v>
      </c>
      <c r="L23" s="351" t="s">
        <v>169</v>
      </c>
      <c r="M23" s="351" t="s">
        <v>2556</v>
      </c>
      <c r="N23" s="484" t="s">
        <v>676</v>
      </c>
      <c r="O23" s="487">
        <v>1153</v>
      </c>
    </row>
    <row r="24" spans="1:15" s="350" customFormat="1" ht="15" customHeight="1">
      <c r="A24" s="347"/>
      <c r="B24" s="483">
        <v>1</v>
      </c>
      <c r="C24" s="484" t="s">
        <v>2554</v>
      </c>
      <c r="D24" s="485" t="s">
        <v>116</v>
      </c>
      <c r="E24" s="485" t="str">
        <f t="shared" si="2"/>
        <v>Open</v>
      </c>
      <c r="F24" s="485">
        <v>46099</v>
      </c>
      <c r="G24" s="485"/>
      <c r="H24" s="486" t="s">
        <v>673</v>
      </c>
      <c r="I24" s="351" t="str">
        <f>VLOOKUP(TabListaLojas[[#This Row],[UF]],UF!A:E,3,0)</f>
        <v>Southest</v>
      </c>
      <c r="J24" s="351" t="s">
        <v>118</v>
      </c>
      <c r="K24" s="351" t="str">
        <f>VLOOKUP(TabListaLojas[[#This Row],[UF]],UF!A:B,2,0)</f>
        <v>São Paulo</v>
      </c>
      <c r="L24" s="351" t="s">
        <v>2555</v>
      </c>
      <c r="M24" s="351" t="s">
        <v>2555</v>
      </c>
      <c r="N24" s="484" t="s">
        <v>676</v>
      </c>
      <c r="O24" s="487">
        <v>1001</v>
      </c>
    </row>
    <row r="25" spans="1:15" s="350" customFormat="1" ht="15" customHeight="1">
      <c r="A25" s="347"/>
      <c r="B25" s="483">
        <v>1</v>
      </c>
      <c r="C25" s="484" t="s">
        <v>2542</v>
      </c>
      <c r="D25" s="485" t="s">
        <v>127</v>
      </c>
      <c r="E25" s="485" t="str">
        <f t="shared" si="2"/>
        <v>Open</v>
      </c>
      <c r="F25" s="485">
        <v>46052</v>
      </c>
      <c r="G25" s="485"/>
      <c r="H25" s="486" t="s">
        <v>673</v>
      </c>
      <c r="I25" s="351" t="str">
        <f>VLOOKUP(TabListaLojas[[#This Row],[UF]],UF!A:E,3,0)</f>
        <v>Northest</v>
      </c>
      <c r="J25" s="351" t="s">
        <v>120</v>
      </c>
      <c r="K25" s="351" t="str">
        <f>VLOOKUP(TabListaLojas[[#This Row],[UF]],UF!A:B,2,0)</f>
        <v>Bahia</v>
      </c>
      <c r="L25" s="351" t="s">
        <v>1195</v>
      </c>
      <c r="M25" s="351" t="s">
        <v>2543</v>
      </c>
      <c r="N25" s="484" t="s">
        <v>676</v>
      </c>
      <c r="O25" s="487">
        <v>330</v>
      </c>
    </row>
    <row r="26" spans="1:15" s="350" customFormat="1" ht="15" customHeight="1">
      <c r="A26" s="347"/>
      <c r="B26" s="483">
        <v>1</v>
      </c>
      <c r="C26" s="484" t="s">
        <v>2529</v>
      </c>
      <c r="D26" s="485" t="s">
        <v>116</v>
      </c>
      <c r="E26" s="485" t="str">
        <f t="shared" ref="E26:E31" si="3">IF(G26="","Open","Closed")</f>
        <v>Open</v>
      </c>
      <c r="F26" s="485">
        <v>46015</v>
      </c>
      <c r="G26" s="485"/>
      <c r="H26" s="486" t="s">
        <v>673</v>
      </c>
      <c r="I26" s="351" t="str">
        <f>VLOOKUP(TabListaLojas[[#This Row],[UF]],UF!A:E,3,0)</f>
        <v>Southest</v>
      </c>
      <c r="J26" s="351" t="s">
        <v>149</v>
      </c>
      <c r="K26" s="351" t="str">
        <f>VLOOKUP(TabListaLojas[[#This Row],[UF]],UF!A:B,2,0)</f>
        <v>Minas Gerais</v>
      </c>
      <c r="L26" s="351" t="s">
        <v>2539</v>
      </c>
      <c r="M26" s="351" t="s">
        <v>2540</v>
      </c>
      <c r="N26" s="484" t="s">
        <v>676</v>
      </c>
      <c r="O26" s="487">
        <v>1196</v>
      </c>
    </row>
    <row r="27" spans="1:15" s="350" customFormat="1" ht="15" customHeight="1">
      <c r="A27" s="347"/>
      <c r="B27" s="483">
        <v>1</v>
      </c>
      <c r="C27" s="484" t="s">
        <v>2528</v>
      </c>
      <c r="D27" s="485" t="s">
        <v>116</v>
      </c>
      <c r="E27" s="485" t="str">
        <f t="shared" si="3"/>
        <v>Open</v>
      </c>
      <c r="F27" s="485">
        <v>46007</v>
      </c>
      <c r="G27" s="485"/>
      <c r="H27" s="486" t="s">
        <v>673</v>
      </c>
      <c r="I27" s="351" t="str">
        <f>VLOOKUP(TabListaLojas[[#This Row],[UF]],UF!A:E,3,0)</f>
        <v>Southest</v>
      </c>
      <c r="J27" s="351" t="s">
        <v>118</v>
      </c>
      <c r="K27" s="351" t="str">
        <f>VLOOKUP(TabListaLojas[[#This Row],[UF]],UF!A:B,2,0)</f>
        <v>São Paulo</v>
      </c>
      <c r="L27" s="351" t="s">
        <v>2537</v>
      </c>
      <c r="M27" s="351" t="s">
        <v>2538</v>
      </c>
      <c r="N27" s="484" t="s">
        <v>676</v>
      </c>
      <c r="O27" s="487">
        <v>1135</v>
      </c>
    </row>
    <row r="28" spans="1:15" s="350" customFormat="1" ht="15" customHeight="1">
      <c r="A28" s="347"/>
      <c r="B28" s="483">
        <v>1</v>
      </c>
      <c r="C28" s="484" t="s">
        <v>2527</v>
      </c>
      <c r="D28" s="485" t="s">
        <v>116</v>
      </c>
      <c r="E28" s="485" t="str">
        <f t="shared" si="3"/>
        <v>Open</v>
      </c>
      <c r="F28" s="485">
        <v>46001</v>
      </c>
      <c r="G28" s="485"/>
      <c r="H28" s="486" t="s">
        <v>673</v>
      </c>
      <c r="I28" s="351" t="str">
        <f>VLOOKUP(TabListaLojas[[#This Row],[UF]],UF!A:E,3,0)</f>
        <v>Midwest</v>
      </c>
      <c r="J28" s="351" t="s">
        <v>119</v>
      </c>
      <c r="K28" s="351" t="str">
        <f>VLOOKUP(TabListaLojas[[#This Row],[UF]],UF!A:B,2,0)</f>
        <v>Mato Grosso</v>
      </c>
      <c r="L28" s="351" t="s">
        <v>2535</v>
      </c>
      <c r="M28" s="351" t="s">
        <v>2536</v>
      </c>
      <c r="N28" s="484" t="s">
        <v>676</v>
      </c>
      <c r="O28" s="487">
        <v>1406</v>
      </c>
    </row>
    <row r="29" spans="1:15" s="350" customFormat="1" ht="15" customHeight="1">
      <c r="A29" s="347"/>
      <c r="B29" s="483">
        <v>1</v>
      </c>
      <c r="C29" s="484" t="s">
        <v>2526</v>
      </c>
      <c r="D29" s="485" t="s">
        <v>116</v>
      </c>
      <c r="E29" s="485" t="str">
        <f t="shared" si="3"/>
        <v>Open</v>
      </c>
      <c r="F29" s="485">
        <v>45995</v>
      </c>
      <c r="G29" s="485"/>
      <c r="H29" s="486" t="s">
        <v>673</v>
      </c>
      <c r="I29" s="351" t="str">
        <f>VLOOKUP(TabListaLojas[[#This Row],[UF]],UF!A:E,3,0)</f>
        <v>Southest</v>
      </c>
      <c r="J29" s="351" t="s">
        <v>149</v>
      </c>
      <c r="K29" s="351" t="str">
        <f>VLOOKUP(TabListaLojas[[#This Row],[UF]],UF!A:B,2,0)</f>
        <v>Minas Gerais</v>
      </c>
      <c r="L29" s="351" t="s">
        <v>2533</v>
      </c>
      <c r="M29" s="351" t="s">
        <v>2534</v>
      </c>
      <c r="N29" s="484" t="s">
        <v>676</v>
      </c>
      <c r="O29" s="487">
        <v>1460</v>
      </c>
    </row>
    <row r="30" spans="1:15" s="350" customFormat="1" ht="15" customHeight="1">
      <c r="A30" s="347"/>
      <c r="B30" s="483">
        <v>1</v>
      </c>
      <c r="C30" s="484" t="s">
        <v>2525</v>
      </c>
      <c r="D30" s="485" t="s">
        <v>116</v>
      </c>
      <c r="E30" s="485" t="str">
        <f t="shared" si="3"/>
        <v>Open</v>
      </c>
      <c r="F30" s="485">
        <v>46002</v>
      </c>
      <c r="G30" s="485"/>
      <c r="H30" s="486" t="s">
        <v>673</v>
      </c>
      <c r="I30" s="351" t="str">
        <f>VLOOKUP(TabListaLojas[[#This Row],[UF]],UF!A:E,3,0)</f>
        <v>South</v>
      </c>
      <c r="J30" s="351" t="s">
        <v>161</v>
      </c>
      <c r="K30" s="351" t="str">
        <f>VLOOKUP(TabListaLojas[[#This Row],[UF]],UF!A:B,2,0)</f>
        <v>Paraná</v>
      </c>
      <c r="L30" s="351" t="s">
        <v>995</v>
      </c>
      <c r="M30" s="351" t="s">
        <v>2532</v>
      </c>
      <c r="N30" s="484" t="s">
        <v>676</v>
      </c>
      <c r="O30" s="487">
        <v>1400</v>
      </c>
    </row>
    <row r="31" spans="1:15" s="350" customFormat="1" ht="15" customHeight="1">
      <c r="A31" s="347"/>
      <c r="B31" s="483">
        <v>1</v>
      </c>
      <c r="C31" s="484" t="s">
        <v>2524</v>
      </c>
      <c r="D31" s="485" t="s">
        <v>116</v>
      </c>
      <c r="E31" s="485" t="str">
        <f t="shared" si="3"/>
        <v>Open</v>
      </c>
      <c r="F31" s="485">
        <v>45993</v>
      </c>
      <c r="G31" s="485"/>
      <c r="H31" s="486" t="s">
        <v>673</v>
      </c>
      <c r="I31" s="351" t="str">
        <f>VLOOKUP(TabListaLojas[[#This Row],[UF]],UF!A:E,3,0)</f>
        <v>Northest</v>
      </c>
      <c r="J31" s="351" t="s">
        <v>163</v>
      </c>
      <c r="K31" s="351" t="str">
        <f>VLOOKUP(TabListaLojas[[#This Row],[UF]],UF!A:B,2,0)</f>
        <v>Sergipe</v>
      </c>
      <c r="L31" s="351" t="s">
        <v>2530</v>
      </c>
      <c r="M31" s="351" t="s">
        <v>2531</v>
      </c>
      <c r="N31" s="484" t="s">
        <v>676</v>
      </c>
      <c r="O31" s="487">
        <v>1337</v>
      </c>
    </row>
    <row r="32" spans="1:15" s="350" customFormat="1" ht="15" customHeight="1">
      <c r="A32" s="347"/>
      <c r="B32" s="483">
        <v>1</v>
      </c>
      <c r="C32" s="484" t="s">
        <v>2521</v>
      </c>
      <c r="D32" s="488" t="s">
        <v>127</v>
      </c>
      <c r="E32" s="485" t="str">
        <f t="shared" ref="E32:E41" si="4">IF(G32="","Open","Closed")</f>
        <v>Open</v>
      </c>
      <c r="F32" s="485">
        <v>45990</v>
      </c>
      <c r="G32" s="485"/>
      <c r="H32" s="486" t="s">
        <v>673</v>
      </c>
      <c r="I32" s="351" t="str">
        <f>VLOOKUP(TabListaLojas[[#This Row],[UF]],UF!A:E,3,0)</f>
        <v>South</v>
      </c>
      <c r="J32" s="351" t="s">
        <v>147</v>
      </c>
      <c r="K32" s="351" t="str">
        <f>VLOOKUP(TabListaLojas[[#This Row],[UF]],UF!A:B,2,0)</f>
        <v>Santa Catarina</v>
      </c>
      <c r="L32" s="351" t="s">
        <v>2522</v>
      </c>
      <c r="M32" s="351" t="s">
        <v>2523</v>
      </c>
      <c r="N32" s="484" t="s">
        <v>676</v>
      </c>
      <c r="O32" s="487">
        <v>410.9</v>
      </c>
    </row>
    <row r="33" spans="1:15" s="350" customFormat="1" ht="15" customHeight="1">
      <c r="A33" s="347"/>
      <c r="B33" s="483">
        <v>1</v>
      </c>
      <c r="C33" s="484" t="s">
        <v>2519</v>
      </c>
      <c r="D33" s="488" t="s">
        <v>127</v>
      </c>
      <c r="E33" s="485" t="str">
        <f t="shared" si="4"/>
        <v>Open</v>
      </c>
      <c r="F33" s="485">
        <v>45989</v>
      </c>
      <c r="G33" s="485"/>
      <c r="H33" s="486" t="s">
        <v>673</v>
      </c>
      <c r="I33" s="351" t="str">
        <f>VLOOKUP(TabListaLojas[[#This Row],[UF]],UF!A:E,3,0)</f>
        <v>Southest</v>
      </c>
      <c r="J33" s="351" t="s">
        <v>122</v>
      </c>
      <c r="K33" s="351" t="str">
        <f>VLOOKUP(TabListaLojas[[#This Row],[UF]],UF!A:B,2,0)</f>
        <v>Rio de Janeiro</v>
      </c>
      <c r="L33" s="351" t="s">
        <v>128</v>
      </c>
      <c r="M33" s="351" t="s">
        <v>2520</v>
      </c>
      <c r="N33" s="484" t="s">
        <v>676</v>
      </c>
      <c r="O33" s="487">
        <v>230.5</v>
      </c>
    </row>
    <row r="34" spans="1:15" s="350" customFormat="1" ht="15" customHeight="1">
      <c r="A34" s="347"/>
      <c r="B34" s="483">
        <v>1</v>
      </c>
      <c r="C34" s="484" t="s">
        <v>2517</v>
      </c>
      <c r="D34" s="488" t="s">
        <v>127</v>
      </c>
      <c r="E34" s="485" t="str">
        <f t="shared" si="4"/>
        <v>Open</v>
      </c>
      <c r="F34" s="485">
        <v>45989</v>
      </c>
      <c r="G34" s="485"/>
      <c r="H34" s="486" t="s">
        <v>673</v>
      </c>
      <c r="I34" s="351" t="str">
        <f>VLOOKUP(TabListaLojas[[#This Row],[UF]],UF!A:E,3,0)</f>
        <v>Northest</v>
      </c>
      <c r="J34" s="351" t="s">
        <v>153</v>
      </c>
      <c r="K34" s="351" t="str">
        <f>VLOOKUP(TabListaLojas[[#This Row],[UF]],UF!A:B,2,0)</f>
        <v>Rio Grande do Norte</v>
      </c>
      <c r="L34" s="351" t="s">
        <v>145</v>
      </c>
      <c r="M34" s="351" t="s">
        <v>2518</v>
      </c>
      <c r="N34" s="484" t="s">
        <v>676</v>
      </c>
      <c r="O34" s="487">
        <v>293</v>
      </c>
    </row>
    <row r="35" spans="1:15" s="350" customFormat="1" ht="15" customHeight="1">
      <c r="A35" s="347"/>
      <c r="B35" s="483">
        <v>1</v>
      </c>
      <c r="C35" s="484" t="s">
        <v>2515</v>
      </c>
      <c r="D35" s="485" t="s">
        <v>116</v>
      </c>
      <c r="E35" s="485" t="str">
        <f t="shared" si="4"/>
        <v>Open</v>
      </c>
      <c r="F35" s="485">
        <v>45989</v>
      </c>
      <c r="G35" s="485"/>
      <c r="H35" s="486" t="s">
        <v>673</v>
      </c>
      <c r="I35" s="351" t="str">
        <f>VLOOKUP(TabListaLojas[[#This Row],[UF]],UF!A:E,3,0)</f>
        <v>Midwest</v>
      </c>
      <c r="J35" s="351" t="s">
        <v>123</v>
      </c>
      <c r="K35" s="351" t="str">
        <f>VLOOKUP(TabListaLojas[[#This Row],[UF]],UF!A:B,2,0)</f>
        <v>Goiás</v>
      </c>
      <c r="L35" s="351" t="s">
        <v>1397</v>
      </c>
      <c r="M35" s="351" t="s">
        <v>2516</v>
      </c>
      <c r="N35" s="484" t="s">
        <v>676</v>
      </c>
      <c r="O35" s="487">
        <v>1348.5</v>
      </c>
    </row>
    <row r="36" spans="1:15" s="350" customFormat="1" ht="15" customHeight="1">
      <c r="A36" s="347"/>
      <c r="B36" s="483">
        <v>1</v>
      </c>
      <c r="C36" s="484" t="s">
        <v>2514</v>
      </c>
      <c r="D36" s="485" t="s">
        <v>116</v>
      </c>
      <c r="E36" s="485" t="str">
        <f t="shared" si="4"/>
        <v>Open</v>
      </c>
      <c r="F36" s="485">
        <v>45989</v>
      </c>
      <c r="G36" s="485"/>
      <c r="H36" s="486" t="s">
        <v>673</v>
      </c>
      <c r="I36" s="351" t="str">
        <f>VLOOKUP(TabListaLojas[[#This Row],[UF]],UF!A:E,3,0)</f>
        <v>Southest</v>
      </c>
      <c r="J36" s="351" t="s">
        <v>149</v>
      </c>
      <c r="K36" s="351" t="str">
        <f>VLOOKUP(TabListaLojas[[#This Row],[UF]],UF!A:B,2,0)</f>
        <v>Minas Gerais</v>
      </c>
      <c r="L36" s="351" t="s">
        <v>2512</v>
      </c>
      <c r="M36" s="351" t="s">
        <v>2513</v>
      </c>
      <c r="N36" s="484" t="s">
        <v>676</v>
      </c>
      <c r="O36" s="487">
        <v>1450</v>
      </c>
    </row>
    <row r="37" spans="1:15" s="350" customFormat="1" ht="15" customHeight="1">
      <c r="A37" s="347"/>
      <c r="B37" s="483">
        <v>1</v>
      </c>
      <c r="C37" s="484" t="s">
        <v>2510</v>
      </c>
      <c r="D37" s="488" t="s">
        <v>126</v>
      </c>
      <c r="E37" s="485" t="str">
        <f t="shared" si="4"/>
        <v>Open</v>
      </c>
      <c r="F37" s="485">
        <v>45989</v>
      </c>
      <c r="G37" s="485"/>
      <c r="H37" s="486" t="s">
        <v>673</v>
      </c>
      <c r="I37" s="351" t="str">
        <f>VLOOKUP(TabListaLojas[[#This Row],[UF]],UF!A:E,3,0)</f>
        <v>South</v>
      </c>
      <c r="J37" s="351" t="s">
        <v>161</v>
      </c>
      <c r="K37" s="351" t="str">
        <f>VLOOKUP(TabListaLojas[[#This Row],[UF]],UF!A:B,2,0)</f>
        <v>Paraná</v>
      </c>
      <c r="L37" s="351" t="s">
        <v>787</v>
      </c>
      <c r="M37" s="351" t="s">
        <v>2511</v>
      </c>
      <c r="N37" s="484" t="s">
        <v>676</v>
      </c>
      <c r="O37" s="487">
        <v>498.9</v>
      </c>
    </row>
    <row r="38" spans="1:15" s="350" customFormat="1" ht="15" customHeight="1">
      <c r="A38" s="347"/>
      <c r="B38" s="483">
        <v>1</v>
      </c>
      <c r="C38" s="484" t="s">
        <v>2507</v>
      </c>
      <c r="D38" s="488" t="s">
        <v>127</v>
      </c>
      <c r="E38" s="485" t="str">
        <f t="shared" si="4"/>
        <v>Open</v>
      </c>
      <c r="F38" s="485">
        <v>45988</v>
      </c>
      <c r="G38" s="485"/>
      <c r="H38" s="486" t="s">
        <v>673</v>
      </c>
      <c r="I38" s="351" t="str">
        <f>VLOOKUP(TabListaLojas[[#This Row],[UF]],UF!A:E,3,0)</f>
        <v>South</v>
      </c>
      <c r="J38" s="351" t="s">
        <v>161</v>
      </c>
      <c r="K38" s="351" t="str">
        <f>VLOOKUP(TabListaLojas[[#This Row],[UF]],UF!A:B,2,0)</f>
        <v>Paraná</v>
      </c>
      <c r="L38" s="351" t="s">
        <v>2508</v>
      </c>
      <c r="M38" s="351" t="s">
        <v>2509</v>
      </c>
      <c r="N38" s="484" t="s">
        <v>676</v>
      </c>
      <c r="O38" s="487">
        <v>254.4</v>
      </c>
    </row>
    <row r="39" spans="1:15" s="350" customFormat="1" ht="15" customHeight="1">
      <c r="A39" s="347"/>
      <c r="B39" s="483">
        <v>1</v>
      </c>
      <c r="C39" s="484" t="s">
        <v>2504</v>
      </c>
      <c r="D39" s="485" t="s">
        <v>116</v>
      </c>
      <c r="E39" s="485" t="str">
        <f t="shared" si="4"/>
        <v>Open</v>
      </c>
      <c r="F39" s="485">
        <v>45986</v>
      </c>
      <c r="G39" s="485"/>
      <c r="H39" s="486" t="s">
        <v>673</v>
      </c>
      <c r="I39" s="351" t="str">
        <f>VLOOKUP(TabListaLojas[[#This Row],[UF]],UF!A:E,3,0)</f>
        <v>Southest</v>
      </c>
      <c r="J39" s="351" t="s">
        <v>149</v>
      </c>
      <c r="K39" s="351" t="str">
        <f>VLOOKUP(TabListaLojas[[#This Row],[UF]],UF!A:B,2,0)</f>
        <v>Minas Gerais</v>
      </c>
      <c r="L39" s="351" t="s">
        <v>2505</v>
      </c>
      <c r="M39" s="351" t="s">
        <v>2506</v>
      </c>
      <c r="N39" s="484" t="s">
        <v>676</v>
      </c>
      <c r="O39" s="487">
        <v>1488</v>
      </c>
    </row>
    <row r="40" spans="1:15" s="350" customFormat="1" ht="15" customHeight="1">
      <c r="A40" s="347"/>
      <c r="B40" s="483">
        <v>1</v>
      </c>
      <c r="C40" s="484" t="s">
        <v>2502</v>
      </c>
      <c r="D40" s="488" t="s">
        <v>127</v>
      </c>
      <c r="E40" s="485" t="str">
        <f t="shared" si="4"/>
        <v>Open</v>
      </c>
      <c r="F40" s="485">
        <v>45982</v>
      </c>
      <c r="G40" s="485"/>
      <c r="H40" s="486" t="s">
        <v>673</v>
      </c>
      <c r="I40" s="351" t="str">
        <f>VLOOKUP(TabListaLojas[[#This Row],[UF]],UF!A:E,3,0)</f>
        <v>Southest</v>
      </c>
      <c r="J40" s="351" t="s">
        <v>118</v>
      </c>
      <c r="K40" s="351" t="str">
        <f>VLOOKUP(TabListaLojas[[#This Row],[UF]],UF!A:B,2,0)</f>
        <v>São Paulo</v>
      </c>
      <c r="L40" s="351" t="s">
        <v>1214</v>
      </c>
      <c r="M40" s="351" t="s">
        <v>2503</v>
      </c>
      <c r="N40" s="484" t="s">
        <v>676</v>
      </c>
      <c r="O40" s="487">
        <v>208</v>
      </c>
    </row>
    <row r="41" spans="1:15" s="350" customFormat="1" ht="15" customHeight="1">
      <c r="A41" s="347"/>
      <c r="B41" s="483">
        <v>1</v>
      </c>
      <c r="C41" s="484" t="s">
        <v>2499</v>
      </c>
      <c r="D41" s="485" t="s">
        <v>116</v>
      </c>
      <c r="E41" s="485" t="str">
        <f t="shared" si="4"/>
        <v>Open</v>
      </c>
      <c r="F41" s="485">
        <v>45980</v>
      </c>
      <c r="G41" s="485"/>
      <c r="H41" s="486" t="s">
        <v>673</v>
      </c>
      <c r="I41" s="351" t="str">
        <f>VLOOKUP(TabListaLojas[[#This Row],[UF]],UF!A:E,3,0)</f>
        <v>South</v>
      </c>
      <c r="J41" s="351" t="s">
        <v>161</v>
      </c>
      <c r="K41" s="351" t="str">
        <f>VLOOKUP(TabListaLojas[[#This Row],[UF]],UF!A:B,2,0)</f>
        <v>Paraná</v>
      </c>
      <c r="L41" s="351" t="s">
        <v>2501</v>
      </c>
      <c r="M41" s="351" t="s">
        <v>2500</v>
      </c>
      <c r="N41" s="484" t="s">
        <v>676</v>
      </c>
      <c r="O41" s="487">
        <v>1276</v>
      </c>
    </row>
    <row r="42" spans="1:15" s="350" customFormat="1" ht="15" customHeight="1">
      <c r="A42" s="347"/>
      <c r="B42" s="483">
        <v>1</v>
      </c>
      <c r="C42" s="484" t="s">
        <v>2457</v>
      </c>
      <c r="D42" s="488" t="s">
        <v>127</v>
      </c>
      <c r="E42" s="485" t="str">
        <f t="shared" ref="E42:E43" si="5">IF(G42="","Open","Closed")</f>
        <v>Open</v>
      </c>
      <c r="F42" s="485">
        <v>45962</v>
      </c>
      <c r="G42" s="485"/>
      <c r="H42" s="486" t="s">
        <v>673</v>
      </c>
      <c r="I42" s="351" t="str">
        <f>VLOOKUP(TabListaLojas[[#This Row],[UF]],UF!A:E,3,0)</f>
        <v>Midwest</v>
      </c>
      <c r="J42" s="351" t="s">
        <v>156</v>
      </c>
      <c r="K42" s="351" t="str">
        <f>VLOOKUP(TabListaLojas[[#This Row],[UF]],UF!A:B,2,0)</f>
        <v>Distrito Federal</v>
      </c>
      <c r="L42" s="351" t="s">
        <v>142</v>
      </c>
      <c r="M42" s="351" t="s">
        <v>2458</v>
      </c>
      <c r="N42" s="484" t="s">
        <v>676</v>
      </c>
      <c r="O42" s="487">
        <v>265.7</v>
      </c>
    </row>
    <row r="43" spans="1:15" s="350" customFormat="1" ht="15" customHeight="1">
      <c r="A43" s="347"/>
      <c r="B43" s="483">
        <v>1</v>
      </c>
      <c r="C43" s="484" t="s">
        <v>2456</v>
      </c>
      <c r="D43" s="488" t="s">
        <v>126</v>
      </c>
      <c r="E43" s="485" t="str">
        <f t="shared" si="5"/>
        <v>Open</v>
      </c>
      <c r="F43" s="485">
        <v>45962</v>
      </c>
      <c r="G43" s="485"/>
      <c r="H43" s="486" t="s">
        <v>673</v>
      </c>
      <c r="I43" s="351" t="str">
        <f>VLOOKUP(TabListaLojas[[#This Row],[UF]],UF!A:E,3,0)</f>
        <v>Midwest</v>
      </c>
      <c r="J43" s="351" t="s">
        <v>156</v>
      </c>
      <c r="K43" s="351" t="str">
        <f>VLOOKUP(TabListaLojas[[#This Row],[UF]],UF!A:B,2,0)</f>
        <v>Distrito Federal</v>
      </c>
      <c r="L43" s="351" t="s">
        <v>142</v>
      </c>
      <c r="M43" s="351" t="s">
        <v>2458</v>
      </c>
      <c r="N43" s="484" t="s">
        <v>676</v>
      </c>
      <c r="O43" s="487">
        <v>340.25</v>
      </c>
    </row>
    <row r="44" spans="1:15" s="350" customFormat="1" ht="15" customHeight="1">
      <c r="A44" s="347"/>
      <c r="B44" s="483">
        <v>1</v>
      </c>
      <c r="C44" s="484" t="s">
        <v>2447</v>
      </c>
      <c r="D44" s="488" t="s">
        <v>116</v>
      </c>
      <c r="E44" s="485" t="str">
        <f>IF(G44="","Open","Closed")</f>
        <v>Open</v>
      </c>
      <c r="F44" s="485">
        <v>45960</v>
      </c>
      <c r="G44" s="485"/>
      <c r="H44" s="486" t="s">
        <v>673</v>
      </c>
      <c r="I44" s="351" t="str">
        <f>VLOOKUP(TabListaLojas[[#This Row],[UF]],UF!A:E,3,0)</f>
        <v>Southest</v>
      </c>
      <c r="J44" s="351" t="s">
        <v>118</v>
      </c>
      <c r="K44" s="351" t="str">
        <f>VLOOKUP(TabListaLojas[[#This Row],[UF]],UF!A:B,2,0)</f>
        <v>São Paulo</v>
      </c>
      <c r="L44" s="351" t="s">
        <v>2452</v>
      </c>
      <c r="M44" s="351" t="s">
        <v>2453</v>
      </c>
      <c r="N44" s="484" t="s">
        <v>676</v>
      </c>
      <c r="O44" s="487">
        <v>1805.3</v>
      </c>
    </row>
    <row r="45" spans="1:15" s="350" customFormat="1" ht="15" customHeight="1">
      <c r="A45" s="347"/>
      <c r="B45" s="483">
        <v>1</v>
      </c>
      <c r="C45" s="484" t="s">
        <v>2450</v>
      </c>
      <c r="D45" s="488" t="s">
        <v>127</v>
      </c>
      <c r="E45" s="485" t="str">
        <f>IF(G45="","Open","Closed")</f>
        <v>Open</v>
      </c>
      <c r="F45" s="485">
        <v>45960</v>
      </c>
      <c r="G45" s="485"/>
      <c r="H45" s="486" t="s">
        <v>673</v>
      </c>
      <c r="I45" s="351" t="str">
        <f>VLOOKUP(TabListaLojas[[#This Row],[UF]],UF!A:E,3,0)</f>
        <v>Southest</v>
      </c>
      <c r="J45" s="351" t="s">
        <v>118</v>
      </c>
      <c r="K45" s="351" t="str">
        <f>VLOOKUP(TabListaLojas[[#This Row],[UF]],UF!A:B,2,0)</f>
        <v>São Paulo</v>
      </c>
      <c r="L45" s="351" t="s">
        <v>2452</v>
      </c>
      <c r="M45" s="351" t="s">
        <v>2453</v>
      </c>
      <c r="N45" s="484" t="s">
        <v>676</v>
      </c>
      <c r="O45" s="487">
        <v>215</v>
      </c>
    </row>
    <row r="46" spans="1:15" s="350" customFormat="1" ht="15" customHeight="1">
      <c r="A46" s="347"/>
      <c r="B46" s="483">
        <v>1</v>
      </c>
      <c r="C46" s="484" t="s">
        <v>2448</v>
      </c>
      <c r="D46" s="488" t="s">
        <v>127</v>
      </c>
      <c r="E46" s="485" t="str">
        <f>IF(G46="","Open","Closed")</f>
        <v>Open</v>
      </c>
      <c r="F46" s="485">
        <v>45954</v>
      </c>
      <c r="G46" s="485"/>
      <c r="H46" s="486" t="s">
        <v>673</v>
      </c>
      <c r="I46" s="351" t="str">
        <f>VLOOKUP(TabListaLojas[[#This Row],[UF]],UF!A:E,3,0)</f>
        <v>Midwest</v>
      </c>
      <c r="J46" s="351" t="s">
        <v>156</v>
      </c>
      <c r="K46" s="351" t="str">
        <f>VLOOKUP(TabListaLojas[[#This Row],[UF]],UF!A:B,2,0)</f>
        <v>Distrito Federal</v>
      </c>
      <c r="L46" s="351" t="s">
        <v>142</v>
      </c>
      <c r="M46" s="351" t="s">
        <v>2455</v>
      </c>
      <c r="N46" s="484" t="s">
        <v>676</v>
      </c>
      <c r="O46" s="487">
        <v>222</v>
      </c>
    </row>
    <row r="47" spans="1:15" s="350" customFormat="1" ht="15" customHeight="1">
      <c r="A47" s="347"/>
      <c r="B47" s="483">
        <v>1</v>
      </c>
      <c r="C47" s="484" t="s">
        <v>2449</v>
      </c>
      <c r="D47" s="488" t="s">
        <v>127</v>
      </c>
      <c r="E47" s="485" t="str">
        <f>IF(G47="","Open","Closed")</f>
        <v>Open</v>
      </c>
      <c r="F47" s="485">
        <v>45948</v>
      </c>
      <c r="G47" s="485"/>
      <c r="H47" s="486" t="s">
        <v>673</v>
      </c>
      <c r="I47" s="351" t="str">
        <f>VLOOKUP(TabListaLojas[[#This Row],[UF]],UF!A:E,3,0)</f>
        <v>Southest</v>
      </c>
      <c r="J47" s="351" t="s">
        <v>118</v>
      </c>
      <c r="K47" s="351" t="str">
        <f>VLOOKUP(TabListaLojas[[#This Row],[UF]],UF!A:B,2,0)</f>
        <v>São Paulo</v>
      </c>
      <c r="L47" s="351" t="s">
        <v>2451</v>
      </c>
      <c r="M47" s="351" t="s">
        <v>2454</v>
      </c>
      <c r="N47" s="484" t="s">
        <v>676</v>
      </c>
      <c r="O47" s="487">
        <v>406</v>
      </c>
    </row>
    <row r="48" spans="1:15" s="350" customFormat="1" ht="15" customHeight="1">
      <c r="A48" s="347"/>
      <c r="B48" s="483">
        <v>1</v>
      </c>
      <c r="C48" s="484" t="s">
        <v>2440</v>
      </c>
      <c r="D48" s="488" t="s">
        <v>127</v>
      </c>
      <c r="E48" s="485" t="str">
        <f t="shared" ref="E48:E50" si="6">IF(G48="","Open","Closed")</f>
        <v>Open</v>
      </c>
      <c r="F48" s="485">
        <v>45933</v>
      </c>
      <c r="G48" s="485"/>
      <c r="H48" s="486" t="s">
        <v>673</v>
      </c>
      <c r="I48" s="484" t="str">
        <f>VLOOKUP(TabListaLojas[[#This Row],[UF]],UF!A:E,3,0)</f>
        <v>Southest</v>
      </c>
      <c r="J48" s="351" t="s">
        <v>122</v>
      </c>
      <c r="K48" s="351" t="str">
        <f>VLOOKUP(TabListaLojas[[#This Row],[UF]],UF!A:B,2,0)</f>
        <v>Rio de Janeiro</v>
      </c>
      <c r="L48" s="351" t="s">
        <v>128</v>
      </c>
      <c r="M48" s="351" t="s">
        <v>1278</v>
      </c>
      <c r="N48" s="484" t="s">
        <v>676</v>
      </c>
      <c r="O48" s="487">
        <v>301</v>
      </c>
    </row>
    <row r="49" spans="1:15" s="350" customFormat="1" ht="15" customHeight="1">
      <c r="A49" s="347"/>
      <c r="B49" s="483">
        <v>1</v>
      </c>
      <c r="C49" s="484" t="s">
        <v>2439</v>
      </c>
      <c r="D49" s="488" t="s">
        <v>127</v>
      </c>
      <c r="E49" s="485" t="str">
        <f t="shared" si="6"/>
        <v>Open</v>
      </c>
      <c r="F49" s="485">
        <v>45926</v>
      </c>
      <c r="G49" s="485"/>
      <c r="H49" s="486" t="s">
        <v>673</v>
      </c>
      <c r="I49" s="484" t="str">
        <f>VLOOKUP(TabListaLojas[[#This Row],[UF]],UF!A:E,3,0)</f>
        <v>Southest</v>
      </c>
      <c r="J49" s="351" t="s">
        <v>118</v>
      </c>
      <c r="K49" s="351" t="str">
        <f>VLOOKUP(TabListaLojas[[#This Row],[UF]],UF!A:B,2,0)</f>
        <v>São Paulo</v>
      </c>
      <c r="L49" s="351" t="s">
        <v>1164</v>
      </c>
      <c r="M49" s="351" t="s">
        <v>2443</v>
      </c>
      <c r="N49" s="484" t="s">
        <v>676</v>
      </c>
      <c r="O49" s="487">
        <v>209</v>
      </c>
    </row>
    <row r="50" spans="1:15" s="350" customFormat="1" ht="15" customHeight="1">
      <c r="A50" s="347"/>
      <c r="B50" s="483">
        <v>1</v>
      </c>
      <c r="C50" s="484" t="s">
        <v>2438</v>
      </c>
      <c r="D50" s="488" t="s">
        <v>116</v>
      </c>
      <c r="E50" s="485" t="str">
        <f t="shared" si="6"/>
        <v>Open</v>
      </c>
      <c r="F50" s="485">
        <v>45918</v>
      </c>
      <c r="G50" s="485"/>
      <c r="H50" s="486" t="s">
        <v>673</v>
      </c>
      <c r="I50" s="484" t="str">
        <f>VLOOKUP(TabListaLojas[[#This Row],[UF]],UF!A:E,3,0)</f>
        <v>Southest</v>
      </c>
      <c r="J50" s="351" t="s">
        <v>149</v>
      </c>
      <c r="K50" s="351" t="str">
        <f>VLOOKUP(TabListaLojas[[#This Row],[UF]],UF!A:B,2,0)</f>
        <v>Minas Gerais</v>
      </c>
      <c r="L50" s="351" t="s">
        <v>2441</v>
      </c>
      <c r="M50" s="351" t="s">
        <v>2442</v>
      </c>
      <c r="N50" s="484" t="s">
        <v>714</v>
      </c>
      <c r="O50" s="487">
        <v>1785</v>
      </c>
    </row>
    <row r="51" spans="1:15" s="350" customFormat="1" ht="15" customHeight="1">
      <c r="A51" s="347"/>
      <c r="B51" s="483">
        <v>1</v>
      </c>
      <c r="C51" s="484" t="s">
        <v>2434</v>
      </c>
      <c r="D51" s="488" t="s">
        <v>127</v>
      </c>
      <c r="E51" s="485" t="str">
        <f t="shared" ref="E51:E52" si="7">IF(G51="","Open","Closed")</f>
        <v>Open</v>
      </c>
      <c r="F51" s="485">
        <v>45870</v>
      </c>
      <c r="G51" s="485"/>
      <c r="H51" s="486" t="s">
        <v>673</v>
      </c>
      <c r="I51" s="484" t="str">
        <f>VLOOKUP(TabListaLojas[[#This Row],[UF]],UF!A:E,3,0)</f>
        <v>Southest</v>
      </c>
      <c r="J51" s="351" t="s">
        <v>118</v>
      </c>
      <c r="K51" s="351" t="str">
        <f>VLOOKUP(TabListaLojas[[#This Row],[UF]],UF!A:B,2,0)</f>
        <v>São Paulo</v>
      </c>
      <c r="L51" s="351" t="s">
        <v>124</v>
      </c>
      <c r="M51" s="351" t="s">
        <v>1431</v>
      </c>
      <c r="N51" s="484" t="s">
        <v>676</v>
      </c>
      <c r="O51" s="487">
        <v>255</v>
      </c>
    </row>
    <row r="52" spans="1:15" s="350" customFormat="1" ht="15" customHeight="1">
      <c r="A52" s="347"/>
      <c r="B52" s="483">
        <v>1</v>
      </c>
      <c r="C52" s="484" t="s">
        <v>2433</v>
      </c>
      <c r="D52" s="488" t="s">
        <v>126</v>
      </c>
      <c r="E52" s="485" t="str">
        <f t="shared" si="7"/>
        <v>Open</v>
      </c>
      <c r="F52" s="485">
        <v>45870</v>
      </c>
      <c r="G52" s="485"/>
      <c r="H52" s="486" t="s">
        <v>673</v>
      </c>
      <c r="I52" s="484" t="str">
        <f>VLOOKUP(TabListaLojas[[#This Row],[UF]],UF!A:E,3,0)</f>
        <v>Southest</v>
      </c>
      <c r="J52" s="351" t="s">
        <v>118</v>
      </c>
      <c r="K52" s="351" t="str">
        <f>VLOOKUP(TabListaLojas[[#This Row],[UF]],UF!A:B,2,0)</f>
        <v>São Paulo</v>
      </c>
      <c r="L52" s="351" t="s">
        <v>775</v>
      </c>
      <c r="M52" s="351" t="s">
        <v>2432</v>
      </c>
      <c r="N52" s="484" t="s">
        <v>676</v>
      </c>
      <c r="O52" s="487">
        <v>801</v>
      </c>
    </row>
    <row r="53" spans="1:15" s="350" customFormat="1" ht="15" customHeight="1">
      <c r="A53" s="347"/>
      <c r="B53" s="483">
        <v>1</v>
      </c>
      <c r="C53" s="484" t="s">
        <v>2435</v>
      </c>
      <c r="D53" s="488" t="s">
        <v>127</v>
      </c>
      <c r="E53" s="485" t="str">
        <f>IF(G53="","Open","Closed")</f>
        <v>Open</v>
      </c>
      <c r="F53" s="485">
        <v>45856</v>
      </c>
      <c r="G53" s="485"/>
      <c r="H53" s="486" t="s">
        <v>673</v>
      </c>
      <c r="I53" s="484" t="str">
        <f>VLOOKUP(TabListaLojas[[#This Row],[UF]],UF!A:E,3,0)</f>
        <v>South</v>
      </c>
      <c r="J53" s="351" t="s">
        <v>147</v>
      </c>
      <c r="K53" s="351" t="str">
        <f>VLOOKUP(TabListaLojas[[#This Row],[UF]],UF!A:B,2,0)</f>
        <v>Santa Catarina</v>
      </c>
      <c r="L53" s="351" t="s">
        <v>1145</v>
      </c>
      <c r="M53" s="351" t="s">
        <v>2436</v>
      </c>
      <c r="N53" s="484" t="s">
        <v>714</v>
      </c>
      <c r="O53" s="487">
        <v>342.02</v>
      </c>
    </row>
    <row r="54" spans="1:15" s="350" customFormat="1" ht="15" customHeight="1">
      <c r="A54" s="347"/>
      <c r="B54" s="483">
        <v>1</v>
      </c>
      <c r="C54" s="484" t="s">
        <v>2424</v>
      </c>
      <c r="D54" s="488" t="s">
        <v>127</v>
      </c>
      <c r="E54" s="485" t="str">
        <f t="shared" ref="E54:E56" si="8">IF(G54="","Open","Closed")</f>
        <v>Open</v>
      </c>
      <c r="F54" s="485">
        <v>45818</v>
      </c>
      <c r="G54" s="485"/>
      <c r="H54" s="486" t="s">
        <v>673</v>
      </c>
      <c r="I54" s="484" t="str">
        <f>VLOOKUP(TabListaLojas[[#This Row],[UF]],UF!A:E,3,0)</f>
        <v>Southest</v>
      </c>
      <c r="J54" s="351" t="s">
        <v>118</v>
      </c>
      <c r="K54" s="351" t="str">
        <f>VLOOKUP(TabListaLojas[[#This Row],[UF]],UF!A:B,2,0)</f>
        <v>São Paulo</v>
      </c>
      <c r="L54" s="351" t="s">
        <v>1249</v>
      </c>
      <c r="M54" s="351" t="s">
        <v>2426</v>
      </c>
      <c r="N54" s="484" t="s">
        <v>676</v>
      </c>
      <c r="O54" s="487">
        <v>260</v>
      </c>
    </row>
    <row r="55" spans="1:15" s="350" customFormat="1" ht="15" customHeight="1">
      <c r="A55" s="347"/>
      <c r="B55" s="483">
        <v>1</v>
      </c>
      <c r="C55" s="484" t="s">
        <v>2423</v>
      </c>
      <c r="D55" s="488" t="s">
        <v>127</v>
      </c>
      <c r="E55" s="485" t="str">
        <f t="shared" si="8"/>
        <v>Open</v>
      </c>
      <c r="F55" s="485">
        <v>45815</v>
      </c>
      <c r="G55" s="485"/>
      <c r="H55" s="486" t="s">
        <v>673</v>
      </c>
      <c r="I55" s="484" t="str">
        <f>VLOOKUP(TabListaLojas[[#This Row],[UF]],UF!A:E,3,0)</f>
        <v>South</v>
      </c>
      <c r="J55" s="351" t="s">
        <v>161</v>
      </c>
      <c r="K55" s="351" t="str">
        <f>VLOOKUP(TabListaLojas[[#This Row],[UF]],UF!A:B,2,0)</f>
        <v>Paraná</v>
      </c>
      <c r="L55" s="351" t="s">
        <v>1406</v>
      </c>
      <c r="M55" s="351" t="s">
        <v>2283</v>
      </c>
      <c r="N55" s="484" t="s">
        <v>676</v>
      </c>
      <c r="O55" s="487">
        <v>223</v>
      </c>
    </row>
    <row r="56" spans="1:15" s="350" customFormat="1" ht="15" customHeight="1">
      <c r="A56" s="347"/>
      <c r="B56" s="483">
        <v>1</v>
      </c>
      <c r="C56" s="484" t="s">
        <v>2422</v>
      </c>
      <c r="D56" s="488" t="s">
        <v>127</v>
      </c>
      <c r="E56" s="485" t="str">
        <f t="shared" si="8"/>
        <v>Open</v>
      </c>
      <c r="F56" s="485">
        <v>45813</v>
      </c>
      <c r="G56" s="485"/>
      <c r="H56" s="486" t="s">
        <v>673</v>
      </c>
      <c r="I56" s="484" t="str">
        <f>VLOOKUP(TabListaLojas[[#This Row],[UF]],UF!A:E,3,0)</f>
        <v>Southest</v>
      </c>
      <c r="J56" s="351" t="s">
        <v>122</v>
      </c>
      <c r="K56" s="351" t="str">
        <f>VLOOKUP(TabListaLojas[[#This Row],[UF]],UF!A:B,2,0)</f>
        <v>Rio de Janeiro</v>
      </c>
      <c r="L56" s="351" t="s">
        <v>938</v>
      </c>
      <c r="M56" s="351" t="s">
        <v>2425</v>
      </c>
      <c r="N56" s="484" t="s">
        <v>676</v>
      </c>
      <c r="O56" s="487">
        <v>240</v>
      </c>
    </row>
    <row r="57" spans="1:15" s="350" customFormat="1" ht="15" customHeight="1">
      <c r="A57" s="347"/>
      <c r="B57" s="483">
        <v>1</v>
      </c>
      <c r="C57" s="484" t="s">
        <v>2419</v>
      </c>
      <c r="D57" s="488" t="s">
        <v>127</v>
      </c>
      <c r="E57" s="485" t="str">
        <f>IF(G57="","Open","Closed")</f>
        <v>Open</v>
      </c>
      <c r="F57" s="485">
        <v>45807</v>
      </c>
      <c r="G57" s="485"/>
      <c r="H57" s="486" t="s">
        <v>673</v>
      </c>
      <c r="I57" s="484" t="str">
        <f>VLOOKUP(TabListaLojas[[#This Row],[UF]],UF!A:E,3,0)</f>
        <v>Southest</v>
      </c>
      <c r="J57" s="351" t="s">
        <v>118</v>
      </c>
      <c r="K57" s="351" t="str">
        <f>VLOOKUP(TabListaLojas[[#This Row],[UF]],UF!A:B,2,0)</f>
        <v>São Paulo</v>
      </c>
      <c r="L57" s="351" t="s">
        <v>1366</v>
      </c>
      <c r="M57" s="351" t="s">
        <v>2421</v>
      </c>
      <c r="N57" s="484" t="s">
        <v>676</v>
      </c>
      <c r="O57" s="487">
        <v>211</v>
      </c>
    </row>
    <row r="58" spans="1:15" s="350" customFormat="1" ht="15" customHeight="1">
      <c r="A58" s="347"/>
      <c r="B58" s="483">
        <v>1</v>
      </c>
      <c r="C58" s="484" t="s">
        <v>2418</v>
      </c>
      <c r="D58" s="488" t="s">
        <v>116</v>
      </c>
      <c r="E58" s="485" t="str">
        <f>IF(G58="","Open","Closed")</f>
        <v>Open</v>
      </c>
      <c r="F58" s="485">
        <v>45793</v>
      </c>
      <c r="G58" s="485"/>
      <c r="H58" s="486" t="s">
        <v>673</v>
      </c>
      <c r="I58" s="484" t="str">
        <f>VLOOKUP(TabListaLojas[[#This Row],[UF]],UF!A:E,3,0)</f>
        <v>Midwest</v>
      </c>
      <c r="J58" s="351" t="s">
        <v>123</v>
      </c>
      <c r="K58" s="351" t="str">
        <f>VLOOKUP(TabListaLojas[[#This Row],[UF]],UF!A:B,2,0)</f>
        <v>Goiás</v>
      </c>
      <c r="L58" s="351" t="s">
        <v>2417</v>
      </c>
      <c r="M58" s="351" t="s">
        <v>2420</v>
      </c>
      <c r="N58" s="484" t="s">
        <v>676</v>
      </c>
      <c r="O58" s="487">
        <v>1439</v>
      </c>
    </row>
    <row r="59" spans="1:15" s="350" customFormat="1" ht="15" customHeight="1">
      <c r="A59" s="347"/>
      <c r="B59" s="483">
        <v>1</v>
      </c>
      <c r="C59" s="484" t="s">
        <v>2302</v>
      </c>
      <c r="D59" s="488" t="s">
        <v>116</v>
      </c>
      <c r="E59" s="485" t="str">
        <f>IF(G59="","Open","Closed")</f>
        <v>Open</v>
      </c>
      <c r="F59" s="485">
        <v>45728</v>
      </c>
      <c r="G59" s="485"/>
      <c r="H59" s="486" t="s">
        <v>673</v>
      </c>
      <c r="I59" s="484" t="str">
        <f>VLOOKUP(TabListaLojas[[#This Row],[UF]],UF!A:E,3,0)</f>
        <v>North</v>
      </c>
      <c r="J59" s="351" t="s">
        <v>164</v>
      </c>
      <c r="K59" s="351" t="str">
        <f>VLOOKUP(TabListaLojas[[#This Row],[UF]],UF!A:B,2,0)</f>
        <v>Rondônia</v>
      </c>
      <c r="L59" s="351" t="s">
        <v>2303</v>
      </c>
      <c r="M59" s="351" t="s">
        <v>2304</v>
      </c>
      <c r="N59" s="484" t="s">
        <v>676</v>
      </c>
      <c r="O59" s="487">
        <v>1770</v>
      </c>
    </row>
    <row r="60" spans="1:15" s="350" customFormat="1" ht="15" customHeight="1">
      <c r="A60" s="347"/>
      <c r="B60" s="483">
        <v>1</v>
      </c>
      <c r="C60" s="484" t="s">
        <v>2294</v>
      </c>
      <c r="D60" s="488" t="s">
        <v>116</v>
      </c>
      <c r="E60" s="485" t="str">
        <f t="shared" ref="E60:E61" si="9">IF(G60="","Open","Closed")</f>
        <v>Open</v>
      </c>
      <c r="F60" s="485">
        <v>45630</v>
      </c>
      <c r="G60" s="485"/>
      <c r="H60" s="486" t="s">
        <v>673</v>
      </c>
      <c r="I60" s="484" t="str">
        <f>VLOOKUP(TabListaLojas[[#This Row],[UF]],UF!A:E,3,0)</f>
        <v>South</v>
      </c>
      <c r="J60" s="351" t="s">
        <v>161</v>
      </c>
      <c r="K60" s="484" t="str">
        <f>VLOOKUP(TabListaLojas[[#This Row],[UF]],UF!A:B,2,0)</f>
        <v>Paraná</v>
      </c>
      <c r="L60" s="351" t="s">
        <v>2295</v>
      </c>
      <c r="M60" s="351" t="s">
        <v>2296</v>
      </c>
      <c r="N60" s="484" t="s">
        <v>714</v>
      </c>
      <c r="O60" s="487">
        <v>1759</v>
      </c>
    </row>
    <row r="61" spans="1:15" s="350" customFormat="1" ht="15" customHeight="1">
      <c r="A61" s="347"/>
      <c r="B61" s="483">
        <v>1</v>
      </c>
      <c r="C61" s="484" t="s">
        <v>2293</v>
      </c>
      <c r="D61" s="488" t="s">
        <v>127</v>
      </c>
      <c r="E61" s="485" t="str">
        <f t="shared" si="9"/>
        <v>Open</v>
      </c>
      <c r="F61" s="485">
        <v>45629</v>
      </c>
      <c r="G61" s="485"/>
      <c r="H61" s="486" t="s">
        <v>673</v>
      </c>
      <c r="I61" s="484" t="str">
        <f>VLOOKUP(TabListaLojas[[#This Row],[UF]],UF!A:E,3,0)</f>
        <v>South</v>
      </c>
      <c r="J61" s="351" t="s">
        <v>161</v>
      </c>
      <c r="K61" s="484" t="str">
        <f>VLOOKUP(TabListaLojas[[#This Row],[UF]],UF!A:B,2,0)</f>
        <v>Paraná</v>
      </c>
      <c r="L61" s="351" t="s">
        <v>1160</v>
      </c>
      <c r="M61" s="351" t="s">
        <v>2297</v>
      </c>
      <c r="N61" s="484" t="s">
        <v>676</v>
      </c>
      <c r="O61" s="487">
        <v>200</v>
      </c>
    </row>
    <row r="62" spans="1:15" s="350" customFormat="1" ht="15" customHeight="1">
      <c r="A62" s="347"/>
      <c r="B62" s="483">
        <v>1</v>
      </c>
      <c r="C62" s="484" t="s">
        <v>2290</v>
      </c>
      <c r="D62" s="488" t="s">
        <v>127</v>
      </c>
      <c r="E62" s="485" t="str">
        <f t="shared" ref="E62:E66" si="10">IF(G62="","Open","Closed")</f>
        <v>Open</v>
      </c>
      <c r="F62" s="485">
        <v>45626</v>
      </c>
      <c r="G62" s="485"/>
      <c r="H62" s="486" t="s">
        <v>673</v>
      </c>
      <c r="I62" s="484" t="str">
        <f>VLOOKUP(TabListaLojas[[#This Row],[UF]],UF!A:E,3,0)</f>
        <v>Southest</v>
      </c>
      <c r="J62" s="351" t="s">
        <v>118</v>
      </c>
      <c r="K62" s="484" t="str">
        <f>VLOOKUP(TabListaLojas[[#This Row],[UF]],UF!A:B,2,0)</f>
        <v>São Paulo</v>
      </c>
      <c r="L62" s="351" t="s">
        <v>124</v>
      </c>
      <c r="M62" s="351" t="s">
        <v>2291</v>
      </c>
      <c r="N62" s="484" t="s">
        <v>676</v>
      </c>
      <c r="O62" s="487">
        <v>196</v>
      </c>
    </row>
    <row r="63" spans="1:15" s="350" customFormat="1" ht="15" customHeight="1">
      <c r="A63" s="347"/>
      <c r="B63" s="483">
        <v>1</v>
      </c>
      <c r="C63" s="484" t="s">
        <v>2289</v>
      </c>
      <c r="D63" s="488" t="s">
        <v>127</v>
      </c>
      <c r="E63" s="485" t="str">
        <f t="shared" si="10"/>
        <v>Open</v>
      </c>
      <c r="F63" s="485">
        <v>45625</v>
      </c>
      <c r="G63" s="485"/>
      <c r="H63" s="486" t="s">
        <v>673</v>
      </c>
      <c r="I63" s="484" t="str">
        <f>VLOOKUP(TabListaLojas[[#This Row],[UF]],UF!A:E,3,0)</f>
        <v>Southest</v>
      </c>
      <c r="J63" s="351" t="s">
        <v>122</v>
      </c>
      <c r="K63" s="484" t="str">
        <f>VLOOKUP(TabListaLojas[[#This Row],[UF]],UF!A:B,2,0)</f>
        <v>Rio de Janeiro</v>
      </c>
      <c r="L63" s="351" t="s">
        <v>128</v>
      </c>
      <c r="M63" s="351" t="s">
        <v>2288</v>
      </c>
      <c r="N63" s="484" t="s">
        <v>676</v>
      </c>
      <c r="O63" s="487">
        <v>192</v>
      </c>
    </row>
    <row r="64" spans="1:15" s="350" customFormat="1" ht="15" customHeight="1">
      <c r="A64" s="347"/>
      <c r="B64" s="483">
        <v>1</v>
      </c>
      <c r="C64" s="484" t="s">
        <v>2287</v>
      </c>
      <c r="D64" s="488" t="s">
        <v>127</v>
      </c>
      <c r="E64" s="485" t="str">
        <f t="shared" si="10"/>
        <v>Open</v>
      </c>
      <c r="F64" s="485">
        <v>45624</v>
      </c>
      <c r="G64" s="485"/>
      <c r="H64" s="486" t="s">
        <v>673</v>
      </c>
      <c r="I64" s="484" t="str">
        <f>VLOOKUP(TabListaLojas[[#This Row],[UF]],UF!A:E,3,0)</f>
        <v>Northest</v>
      </c>
      <c r="J64" s="351" t="s">
        <v>120</v>
      </c>
      <c r="K64" s="484" t="str">
        <f>VLOOKUP(TabListaLojas[[#This Row],[UF]],UF!A:B,2,0)</f>
        <v>Bahia</v>
      </c>
      <c r="L64" s="351" t="s">
        <v>134</v>
      </c>
      <c r="M64" s="351" t="s">
        <v>1147</v>
      </c>
      <c r="N64" s="484" t="s">
        <v>676</v>
      </c>
      <c r="O64" s="487">
        <v>250</v>
      </c>
    </row>
    <row r="65" spans="1:15" s="350" customFormat="1" ht="15" customHeight="1">
      <c r="A65" s="347"/>
      <c r="B65" s="483">
        <v>1</v>
      </c>
      <c r="C65" s="484" t="s">
        <v>2285</v>
      </c>
      <c r="D65" s="488" t="s">
        <v>116</v>
      </c>
      <c r="E65" s="485" t="str">
        <f t="shared" si="10"/>
        <v>Open</v>
      </c>
      <c r="F65" s="485">
        <v>45623</v>
      </c>
      <c r="G65" s="485"/>
      <c r="H65" s="486" t="s">
        <v>673</v>
      </c>
      <c r="I65" s="484" t="str">
        <f>VLOOKUP(TabListaLojas[[#This Row],[UF]],UF!A:E,3,0)</f>
        <v>Southest</v>
      </c>
      <c r="J65" s="351" t="s">
        <v>149</v>
      </c>
      <c r="K65" s="484" t="str">
        <f>VLOOKUP(TabListaLojas[[#This Row],[UF]],UF!A:B,2,0)</f>
        <v>Minas Gerais</v>
      </c>
      <c r="L65" s="351" t="s">
        <v>2286</v>
      </c>
      <c r="M65" s="351" t="s">
        <v>2292</v>
      </c>
      <c r="N65" s="484" t="s">
        <v>714</v>
      </c>
      <c r="O65" s="487">
        <v>1509</v>
      </c>
    </row>
    <row r="66" spans="1:15" s="350" customFormat="1" ht="15" customHeight="1">
      <c r="A66" s="347"/>
      <c r="B66" s="483">
        <v>1</v>
      </c>
      <c r="C66" s="484" t="s">
        <v>2284</v>
      </c>
      <c r="D66" s="488" t="s">
        <v>116</v>
      </c>
      <c r="E66" s="485" t="str">
        <f t="shared" si="10"/>
        <v>Open</v>
      </c>
      <c r="F66" s="485">
        <v>45608</v>
      </c>
      <c r="G66" s="485"/>
      <c r="H66" s="486" t="s">
        <v>673</v>
      </c>
      <c r="I66" s="484" t="str">
        <f>VLOOKUP(TabListaLojas[[#This Row],[UF]],UF!A:E,3,0)</f>
        <v>South</v>
      </c>
      <c r="J66" s="351" t="s">
        <v>161</v>
      </c>
      <c r="K66" s="484" t="str">
        <f>VLOOKUP(TabListaLojas[[#This Row],[UF]],UF!A:B,2,0)</f>
        <v>Paraná</v>
      </c>
      <c r="L66" s="351" t="s">
        <v>1406</v>
      </c>
      <c r="M66" s="351" t="s">
        <v>2283</v>
      </c>
      <c r="N66" s="484" t="s">
        <v>676</v>
      </c>
      <c r="O66" s="487">
        <v>1820</v>
      </c>
    </row>
    <row r="67" spans="1:15" customFormat="1" ht="15" customHeight="1">
      <c r="B67" s="483">
        <v>1</v>
      </c>
      <c r="C67" s="484" t="s">
        <v>2281</v>
      </c>
      <c r="D67" s="488" t="s">
        <v>127</v>
      </c>
      <c r="E67" s="488" t="str">
        <f t="shared" ref="E67:E70" si="11">IF(G67="","Open","Closed")</f>
        <v>Open</v>
      </c>
      <c r="F67" s="488">
        <v>45596</v>
      </c>
      <c r="G67" s="486"/>
      <c r="H67" s="486" t="s">
        <v>673</v>
      </c>
      <c r="I67" s="484" t="str">
        <f>VLOOKUP(TabListaLojas[[#This Row],[UF]],UF!A:E,3,0)</f>
        <v>North</v>
      </c>
      <c r="J67" s="484" t="s">
        <v>157</v>
      </c>
      <c r="K67" s="484" t="str">
        <f>VLOOKUP(TabListaLojas[[#This Row],[UF]],UF!A:B,2,0)</f>
        <v>Amazonas</v>
      </c>
      <c r="L67" s="484" t="s">
        <v>138</v>
      </c>
      <c r="M67" s="484" t="s">
        <v>1019</v>
      </c>
      <c r="N67" s="484" t="s">
        <v>676</v>
      </c>
      <c r="O67" s="487">
        <v>235.92</v>
      </c>
    </row>
    <row r="68" spans="1:15" customFormat="1" ht="15" customHeight="1">
      <c r="B68" s="483">
        <v>1</v>
      </c>
      <c r="C68" s="484" t="s">
        <v>2279</v>
      </c>
      <c r="D68" s="488" t="s">
        <v>116</v>
      </c>
      <c r="E68" s="488" t="str">
        <f t="shared" si="11"/>
        <v>Open</v>
      </c>
      <c r="F68" s="488">
        <v>45590</v>
      </c>
      <c r="G68" s="486"/>
      <c r="H68" s="486" t="s">
        <v>673</v>
      </c>
      <c r="I68" s="484" t="str">
        <f>VLOOKUP(TabListaLojas[[#This Row],[UF]],UF!A:E,3,0)</f>
        <v>North</v>
      </c>
      <c r="J68" s="484" t="s">
        <v>166</v>
      </c>
      <c r="K68" s="484" t="str">
        <f>VLOOKUP(TabListaLojas[[#This Row],[UF]],UF!A:B,2,0)</f>
        <v>Tocantins</v>
      </c>
      <c r="L68" s="484" t="s">
        <v>2278</v>
      </c>
      <c r="M68" s="484" t="s">
        <v>2280</v>
      </c>
      <c r="N68" s="484" t="s">
        <v>676</v>
      </c>
      <c r="O68" s="487">
        <v>1402.57</v>
      </c>
    </row>
    <row r="69" spans="1:15" customFormat="1" ht="15" customHeight="1">
      <c r="B69" s="483">
        <v>1</v>
      </c>
      <c r="C69" s="484" t="s">
        <v>2277</v>
      </c>
      <c r="D69" s="488" t="s">
        <v>116</v>
      </c>
      <c r="E69" s="488" t="str">
        <f t="shared" si="11"/>
        <v>Open</v>
      </c>
      <c r="F69" s="488">
        <v>45588</v>
      </c>
      <c r="G69" s="486"/>
      <c r="H69" s="486" t="s">
        <v>673</v>
      </c>
      <c r="I69" s="484" t="str">
        <f>VLOOKUP(TabListaLojas[[#This Row],[UF]],UF!A:E,3,0)</f>
        <v>South</v>
      </c>
      <c r="J69" s="484" t="s">
        <v>161</v>
      </c>
      <c r="K69" s="484" t="str">
        <f>VLOOKUP(TabListaLojas[[#This Row],[UF]],UF!A:B,2,0)</f>
        <v>Paraná</v>
      </c>
      <c r="L69" s="484" t="s">
        <v>2275</v>
      </c>
      <c r="M69" s="484" t="s">
        <v>2276</v>
      </c>
      <c r="N69" s="484" t="s">
        <v>676</v>
      </c>
      <c r="O69" s="487">
        <v>1367.07</v>
      </c>
    </row>
    <row r="70" spans="1:15" customFormat="1" ht="15" customHeight="1">
      <c r="B70" s="483">
        <v>1</v>
      </c>
      <c r="C70" s="484" t="s">
        <v>2274</v>
      </c>
      <c r="D70" s="488" t="s">
        <v>127</v>
      </c>
      <c r="E70" s="488" t="str">
        <f t="shared" si="11"/>
        <v>Open</v>
      </c>
      <c r="F70" s="488">
        <v>45573</v>
      </c>
      <c r="G70" s="486"/>
      <c r="H70" s="486" t="s">
        <v>673</v>
      </c>
      <c r="I70" s="484" t="str">
        <f>VLOOKUP(TabListaLojas[[#This Row],[UF]],UF!A:E,3,0)</f>
        <v>North</v>
      </c>
      <c r="J70" s="484" t="s">
        <v>166</v>
      </c>
      <c r="K70" s="484" t="str">
        <f>VLOOKUP(TabListaLojas[[#This Row],[UF]],UF!A:B,2,0)</f>
        <v>Tocantins</v>
      </c>
      <c r="L70" s="484" t="s">
        <v>177</v>
      </c>
      <c r="M70" s="484" t="s">
        <v>965</v>
      </c>
      <c r="N70" s="484" t="s">
        <v>676</v>
      </c>
      <c r="O70" s="487">
        <v>235.13</v>
      </c>
    </row>
    <row r="71" spans="1:15" customFormat="1" ht="15" customHeight="1">
      <c r="B71" s="483">
        <v>1</v>
      </c>
      <c r="C71" s="484" t="s">
        <v>2269</v>
      </c>
      <c r="D71" s="488" t="s">
        <v>116</v>
      </c>
      <c r="E71" s="488" t="str">
        <f t="shared" ref="E71:E77" si="12">IF(G71="","Open","Closed")</f>
        <v>Open</v>
      </c>
      <c r="F71" s="488">
        <v>45567</v>
      </c>
      <c r="G71" s="486"/>
      <c r="H71" s="486" t="s">
        <v>673</v>
      </c>
      <c r="I71" s="484" t="str">
        <f>VLOOKUP(TabListaLojas[[#This Row],[UF]],UF!A:E,3,0)</f>
        <v>Midwest</v>
      </c>
      <c r="J71" s="484" t="s">
        <v>119</v>
      </c>
      <c r="K71" s="484" t="str">
        <f>VLOOKUP(TabListaLojas[[#This Row],[UF]],UF!A:B,2,0)</f>
        <v>Mato Grosso</v>
      </c>
      <c r="L71" s="484" t="s">
        <v>133</v>
      </c>
      <c r="M71" s="484" t="s">
        <v>2270</v>
      </c>
      <c r="N71" s="484" t="s">
        <v>676</v>
      </c>
      <c r="O71" s="487">
        <v>1660.59</v>
      </c>
    </row>
    <row r="72" spans="1:15" customFormat="1" ht="15" customHeight="1">
      <c r="B72" s="483">
        <v>1</v>
      </c>
      <c r="C72" s="484" t="s">
        <v>2266</v>
      </c>
      <c r="D72" s="488" t="s">
        <v>116</v>
      </c>
      <c r="E72" s="488" t="str">
        <f t="shared" si="12"/>
        <v>Open</v>
      </c>
      <c r="F72" s="488">
        <v>45566</v>
      </c>
      <c r="G72" s="486"/>
      <c r="H72" s="486" t="s">
        <v>673</v>
      </c>
      <c r="I72" s="484" t="str">
        <f>VLOOKUP(TabListaLojas[[#This Row],[UF]],UF!A:E,3,0)</f>
        <v>Southest</v>
      </c>
      <c r="J72" s="484" t="s">
        <v>122</v>
      </c>
      <c r="K72" s="484" t="str">
        <f>VLOOKUP(TabListaLojas[[#This Row],[UF]],UF!A:B,2,0)</f>
        <v>Rio de Janeiro</v>
      </c>
      <c r="L72" s="484" t="s">
        <v>2267</v>
      </c>
      <c r="M72" s="484" t="s">
        <v>2268</v>
      </c>
      <c r="N72" s="484" t="s">
        <v>676</v>
      </c>
      <c r="O72" s="487">
        <v>2136.16</v>
      </c>
    </row>
    <row r="73" spans="1:15" customFormat="1" ht="15" customHeight="1">
      <c r="B73" s="483">
        <v>1</v>
      </c>
      <c r="C73" s="484" t="s">
        <v>1495</v>
      </c>
      <c r="D73" s="488" t="s">
        <v>116</v>
      </c>
      <c r="E73" s="488" t="str">
        <f t="shared" si="12"/>
        <v>Open</v>
      </c>
      <c r="F73" s="488">
        <v>45554</v>
      </c>
      <c r="G73" s="486"/>
      <c r="H73" s="486" t="s">
        <v>673</v>
      </c>
      <c r="I73" s="484" t="str">
        <f>VLOOKUP(TabListaLojas[[#This Row],[UF]],UF!A:E,3,0)</f>
        <v>South</v>
      </c>
      <c r="J73" s="484" t="s">
        <v>117</v>
      </c>
      <c r="K73" s="484" t="str">
        <f>VLOOKUP(TabListaLojas[[#This Row],[UF]],UF!A:B,2,0)</f>
        <v>Rio Grande do Sul</v>
      </c>
      <c r="L73" s="484" t="s">
        <v>1502</v>
      </c>
      <c r="M73" s="484" t="s">
        <v>1504</v>
      </c>
      <c r="N73" s="484" t="s">
        <v>714</v>
      </c>
      <c r="O73" s="487">
        <v>1513.21</v>
      </c>
    </row>
    <row r="74" spans="1:15" customFormat="1" ht="15" customHeight="1">
      <c r="B74" s="483">
        <v>1</v>
      </c>
      <c r="C74" s="484" t="s">
        <v>1500</v>
      </c>
      <c r="D74" s="488" t="s">
        <v>116</v>
      </c>
      <c r="E74" s="488" t="str">
        <f t="shared" si="12"/>
        <v>Open</v>
      </c>
      <c r="F74" s="488">
        <v>45526</v>
      </c>
      <c r="G74" s="486"/>
      <c r="H74" s="486" t="s">
        <v>673</v>
      </c>
      <c r="I74" s="484" t="str">
        <f>VLOOKUP(TabListaLojas[[#This Row],[UF]],UF!A:E,3,0)</f>
        <v>Southest</v>
      </c>
      <c r="J74" s="484" t="s">
        <v>118</v>
      </c>
      <c r="K74" s="484" t="str">
        <f>VLOOKUP(TabListaLojas[[#This Row],[UF]],UF!A:B,2,0)</f>
        <v>São Paulo</v>
      </c>
      <c r="L74" s="484" t="s">
        <v>1501</v>
      </c>
      <c r="M74" s="484" t="s">
        <v>1503</v>
      </c>
      <c r="N74" s="484" t="s">
        <v>714</v>
      </c>
      <c r="O74" s="487">
        <v>1927.28</v>
      </c>
    </row>
    <row r="75" spans="1:15" customFormat="1" ht="15" customHeight="1">
      <c r="B75" s="483">
        <v>1</v>
      </c>
      <c r="C75" s="484" t="s">
        <v>1499</v>
      </c>
      <c r="D75" s="488" t="s">
        <v>127</v>
      </c>
      <c r="E75" s="488" t="str">
        <f t="shared" si="12"/>
        <v>Open</v>
      </c>
      <c r="F75" s="488">
        <v>45512</v>
      </c>
      <c r="G75" s="486"/>
      <c r="H75" s="486" t="s">
        <v>673</v>
      </c>
      <c r="I75" s="484" t="str">
        <f>VLOOKUP(TabListaLojas[[#This Row],[UF]],UF!A:E,3,0)</f>
        <v>Northest</v>
      </c>
      <c r="J75" s="484" t="s">
        <v>151</v>
      </c>
      <c r="K75" s="484" t="str">
        <f>VLOOKUP(TabListaLojas[[#This Row],[UF]],UF!A:B,2,0)</f>
        <v>Piauí</v>
      </c>
      <c r="L75" s="484" t="s">
        <v>132</v>
      </c>
      <c r="M75" s="484" t="s">
        <v>1308</v>
      </c>
      <c r="N75" s="484" t="s">
        <v>676</v>
      </c>
      <c r="O75" s="487">
        <v>279.64999999999998</v>
      </c>
    </row>
    <row r="76" spans="1:15" customFormat="1" ht="15" customHeight="1">
      <c r="B76" s="483">
        <v>1</v>
      </c>
      <c r="C76" s="484" t="s">
        <v>1498</v>
      </c>
      <c r="D76" s="488" t="s">
        <v>116</v>
      </c>
      <c r="E76" s="488" t="str">
        <f t="shared" si="12"/>
        <v>Open</v>
      </c>
      <c r="F76" s="488">
        <v>45506</v>
      </c>
      <c r="G76" s="486"/>
      <c r="H76" s="486" t="s">
        <v>673</v>
      </c>
      <c r="I76" s="484" t="str">
        <f>VLOOKUP(TabListaLojas[[#This Row],[UF]],UF!A:E,3,0)</f>
        <v>Midwest</v>
      </c>
      <c r="J76" s="484" t="s">
        <v>123</v>
      </c>
      <c r="K76" s="484" t="str">
        <f>VLOOKUP(TabListaLojas[[#This Row],[UF]],UF!A:B,2,0)</f>
        <v>Goiás</v>
      </c>
      <c r="L76" s="484" t="s">
        <v>1496</v>
      </c>
      <c r="M76" s="484" t="s">
        <v>1497</v>
      </c>
      <c r="N76" s="484" t="s">
        <v>676</v>
      </c>
      <c r="O76" s="487">
        <v>1510.25</v>
      </c>
    </row>
    <row r="77" spans="1:15" customFormat="1" ht="15" customHeight="1">
      <c r="B77" s="483">
        <v>1</v>
      </c>
      <c r="C77" s="484" t="s">
        <v>1490</v>
      </c>
      <c r="D77" s="488" t="s">
        <v>701</v>
      </c>
      <c r="E77" s="488" t="str">
        <f t="shared" si="12"/>
        <v>Open</v>
      </c>
      <c r="F77" s="488">
        <v>45471</v>
      </c>
      <c r="G77" s="486"/>
      <c r="H77" s="486" t="s">
        <v>673</v>
      </c>
      <c r="I77" s="484" t="str">
        <f>VLOOKUP(TabListaLojas[[#This Row],[UF]],UF!A:E,3,0)</f>
        <v>South</v>
      </c>
      <c r="J77" s="484" t="s">
        <v>147</v>
      </c>
      <c r="K77" s="484" t="str">
        <f>VLOOKUP(TabListaLojas[[#This Row],[UF]],UF!A:B,2,0)</f>
        <v>Santa Catarina</v>
      </c>
      <c r="L77" s="484" t="s">
        <v>135</v>
      </c>
      <c r="M77" s="484" t="s">
        <v>1983</v>
      </c>
      <c r="N77" s="484" t="s">
        <v>676</v>
      </c>
      <c r="O77" s="487">
        <v>166.54</v>
      </c>
    </row>
    <row r="78" spans="1:15" customFormat="1" ht="15" customHeight="1">
      <c r="B78" s="483">
        <v>1</v>
      </c>
      <c r="C78" s="484" t="s">
        <v>1491</v>
      </c>
      <c r="D78" s="488" t="s">
        <v>127</v>
      </c>
      <c r="E78" s="488" t="str">
        <f t="shared" ref="E78:E90" si="13">IF(G78="","Open","Closed")</f>
        <v>Open</v>
      </c>
      <c r="F78" s="488">
        <v>45444</v>
      </c>
      <c r="G78" s="486"/>
      <c r="H78" s="486" t="s">
        <v>673</v>
      </c>
      <c r="I78" s="484" t="str">
        <f>VLOOKUP(TabListaLojas[[#This Row],[UF]],UF!A:E,3,0)</f>
        <v>South</v>
      </c>
      <c r="J78" s="484" t="s">
        <v>161</v>
      </c>
      <c r="K78" s="484" t="str">
        <f>VLOOKUP(TabListaLojas[[#This Row],[UF]],UF!A:B,2,0)</f>
        <v>Paraná</v>
      </c>
      <c r="L78" s="484" t="s">
        <v>1406</v>
      </c>
      <c r="M78" s="484" t="s">
        <v>1407</v>
      </c>
      <c r="N78" s="484" t="s">
        <v>676</v>
      </c>
      <c r="O78" s="487">
        <v>289.69</v>
      </c>
    </row>
    <row r="79" spans="1:15" customFormat="1" ht="15" customHeight="1">
      <c r="B79" s="483">
        <v>1</v>
      </c>
      <c r="C79" s="484" t="s">
        <v>1489</v>
      </c>
      <c r="D79" s="488" t="s">
        <v>127</v>
      </c>
      <c r="E79" s="488" t="str">
        <f t="shared" si="13"/>
        <v>Open</v>
      </c>
      <c r="F79" s="488">
        <v>45422</v>
      </c>
      <c r="G79" s="486"/>
      <c r="H79" s="486" t="s">
        <v>673</v>
      </c>
      <c r="I79" s="484" t="str">
        <f>VLOOKUP(TabListaLojas[[#This Row],[UF]],UF!A:E,3,0)</f>
        <v>South</v>
      </c>
      <c r="J79" s="484" t="s">
        <v>161</v>
      </c>
      <c r="K79" s="484" t="str">
        <f>VLOOKUP(TabListaLojas[[#This Row],[UF]],UF!A:B,2,0)</f>
        <v>Paraná</v>
      </c>
      <c r="L79" s="484" t="s">
        <v>146</v>
      </c>
      <c r="M79" s="484" t="s">
        <v>1430</v>
      </c>
      <c r="N79" s="484" t="s">
        <v>676</v>
      </c>
      <c r="O79" s="487">
        <v>558.98</v>
      </c>
    </row>
    <row r="80" spans="1:15" s="353" customFormat="1" ht="15" customHeight="1">
      <c r="A80" s="352"/>
      <c r="B80" s="483">
        <v>1</v>
      </c>
      <c r="C80" s="484" t="s">
        <v>680</v>
      </c>
      <c r="D80" s="488" t="s">
        <v>127</v>
      </c>
      <c r="E80" s="488" t="str">
        <f t="shared" si="13"/>
        <v>Open</v>
      </c>
      <c r="F80" s="488">
        <v>45419</v>
      </c>
      <c r="G80" s="486"/>
      <c r="H80" s="486" t="s">
        <v>673</v>
      </c>
      <c r="I80" s="484" t="str">
        <f>VLOOKUP(TabListaLojas[[#This Row],[UF]],UF!A:E,3,0)</f>
        <v>Southest</v>
      </c>
      <c r="J80" s="484" t="s">
        <v>149</v>
      </c>
      <c r="K80" s="484" t="str">
        <f>VLOOKUP(TabListaLojas[[#This Row],[UF]],UF!A:B,2,0)</f>
        <v>Minas Gerais</v>
      </c>
      <c r="L80" s="484" t="s">
        <v>681</v>
      </c>
      <c r="M80" s="484" t="s">
        <v>682</v>
      </c>
      <c r="N80" s="484" t="s">
        <v>676</v>
      </c>
      <c r="O80" s="487">
        <v>241.6</v>
      </c>
    </row>
    <row r="81" spans="1:15" s="353" customFormat="1" ht="15" customHeight="1">
      <c r="A81" s="352"/>
      <c r="B81" s="483">
        <v>1</v>
      </c>
      <c r="C81" s="484" t="s">
        <v>672</v>
      </c>
      <c r="D81" s="488" t="s">
        <v>116</v>
      </c>
      <c r="E81" s="488" t="str">
        <f t="shared" si="13"/>
        <v>Open</v>
      </c>
      <c r="F81" s="488">
        <v>45412</v>
      </c>
      <c r="G81" s="486"/>
      <c r="H81" s="486" t="s">
        <v>673</v>
      </c>
      <c r="I81" s="484" t="str">
        <f>VLOOKUP(TabListaLojas[[#This Row],[UF]],UF!A:E,3,0)</f>
        <v>South</v>
      </c>
      <c r="J81" s="484" t="s">
        <v>147</v>
      </c>
      <c r="K81" s="484" t="str">
        <f>VLOOKUP(TabListaLojas[[#This Row],[UF]],UF!A:B,2,0)</f>
        <v>Santa Catarina</v>
      </c>
      <c r="L81" s="484" t="s">
        <v>678</v>
      </c>
      <c r="M81" s="484" t="s">
        <v>679</v>
      </c>
      <c r="N81" s="484" t="s">
        <v>676</v>
      </c>
      <c r="O81" s="487">
        <v>2178</v>
      </c>
    </row>
    <row r="82" spans="1:15" s="353" customFormat="1" ht="15" customHeight="1">
      <c r="A82" s="352"/>
      <c r="B82" s="483">
        <v>1</v>
      </c>
      <c r="C82" s="484" t="s">
        <v>677</v>
      </c>
      <c r="D82" s="488" t="s">
        <v>116</v>
      </c>
      <c r="E82" s="488" t="str">
        <f t="shared" si="13"/>
        <v>Open</v>
      </c>
      <c r="F82" s="488">
        <v>45412</v>
      </c>
      <c r="G82" s="486"/>
      <c r="H82" s="486" t="s">
        <v>673</v>
      </c>
      <c r="I82" s="484" t="str">
        <f>VLOOKUP(TabListaLojas[[#This Row],[UF]],UF!A:E,3,0)</f>
        <v>Southest</v>
      </c>
      <c r="J82" s="484" t="s">
        <v>122</v>
      </c>
      <c r="K82" s="484" t="str">
        <f>VLOOKUP(TabListaLojas[[#This Row],[UF]],UF!A:B,2,0)</f>
        <v>Rio de Janeiro</v>
      </c>
      <c r="L82" s="484" t="s">
        <v>674</v>
      </c>
      <c r="M82" s="484" t="s">
        <v>675</v>
      </c>
      <c r="N82" s="484" t="s">
        <v>676</v>
      </c>
      <c r="O82" s="487">
        <v>1706.29</v>
      </c>
    </row>
    <row r="83" spans="1:15" s="353" customFormat="1" ht="15" customHeight="1">
      <c r="A83" s="352"/>
      <c r="B83" s="483">
        <v>1</v>
      </c>
      <c r="C83" s="484" t="s">
        <v>683</v>
      </c>
      <c r="D83" s="488" t="s">
        <v>127</v>
      </c>
      <c r="E83" s="488" t="str">
        <f t="shared" si="13"/>
        <v>Open</v>
      </c>
      <c r="F83" s="488">
        <v>45401</v>
      </c>
      <c r="G83" s="486"/>
      <c r="H83" s="486" t="s">
        <v>673</v>
      </c>
      <c r="I83" s="484" t="str">
        <f>VLOOKUP(TabListaLojas[[#This Row],[UF]],UF!A:E,3,0)</f>
        <v>Southest</v>
      </c>
      <c r="J83" s="484" t="s">
        <v>118</v>
      </c>
      <c r="K83" s="484" t="str">
        <f>VLOOKUP(TabListaLojas[[#This Row],[UF]],UF!A:B,2,0)</f>
        <v>São Paulo</v>
      </c>
      <c r="L83" s="484" t="s">
        <v>684</v>
      </c>
      <c r="M83" s="484" t="s">
        <v>685</v>
      </c>
      <c r="N83" s="484" t="s">
        <v>676</v>
      </c>
      <c r="O83" s="487">
        <v>266.58</v>
      </c>
    </row>
    <row r="84" spans="1:15" s="353" customFormat="1" ht="15" customHeight="1">
      <c r="A84" s="352"/>
      <c r="B84" s="483">
        <v>1</v>
      </c>
      <c r="C84" s="484" t="s">
        <v>686</v>
      </c>
      <c r="D84" s="488" t="s">
        <v>116</v>
      </c>
      <c r="E84" s="488" t="str">
        <f t="shared" si="13"/>
        <v>Open</v>
      </c>
      <c r="F84" s="488">
        <v>45281</v>
      </c>
      <c r="G84" s="486"/>
      <c r="H84" s="486" t="s">
        <v>202</v>
      </c>
      <c r="I84" s="484" t="str">
        <f>VLOOKUP(TabListaLojas[[#This Row],[UF]],UF!A:E,3,0)</f>
        <v>Uruguay</v>
      </c>
      <c r="J84" s="484" t="s">
        <v>318</v>
      </c>
      <c r="K84" s="484" t="str">
        <f>VLOOKUP(TabListaLojas[[#This Row],[UF]],UF!A:B,2,0)</f>
        <v>Uruguay</v>
      </c>
      <c r="L84" s="484" t="s">
        <v>687</v>
      </c>
      <c r="M84" s="484" t="s">
        <v>688</v>
      </c>
      <c r="N84" s="484" t="s">
        <v>676</v>
      </c>
      <c r="O84" s="487">
        <v>1660.7399999999998</v>
      </c>
    </row>
    <row r="85" spans="1:15" s="353" customFormat="1" ht="15" customHeight="1">
      <c r="A85" s="352"/>
      <c r="B85" s="483">
        <v>1</v>
      </c>
      <c r="C85" s="484" t="s">
        <v>691</v>
      </c>
      <c r="D85" s="488" t="s">
        <v>116</v>
      </c>
      <c r="E85" s="488" t="str">
        <f t="shared" si="13"/>
        <v>Open</v>
      </c>
      <c r="F85" s="488">
        <v>45260</v>
      </c>
      <c r="G85" s="486"/>
      <c r="H85" s="486" t="s">
        <v>673</v>
      </c>
      <c r="I85" s="484" t="str">
        <f>VLOOKUP(TabListaLojas[[#This Row],[UF]],UF!A:E,3,0)</f>
        <v>Southest</v>
      </c>
      <c r="J85" s="484" t="s">
        <v>152</v>
      </c>
      <c r="K85" s="484" t="str">
        <f>VLOOKUP(TabListaLojas[[#This Row],[UF]],UF!A:B,2,0)</f>
        <v>Espírito Santo</v>
      </c>
      <c r="L85" s="484" t="s">
        <v>692</v>
      </c>
      <c r="M85" s="484" t="s">
        <v>693</v>
      </c>
      <c r="N85" s="484" t="s">
        <v>676</v>
      </c>
      <c r="O85" s="487">
        <v>1632</v>
      </c>
    </row>
    <row r="86" spans="1:15" s="353" customFormat="1" ht="15" customHeight="1">
      <c r="A86" s="352"/>
      <c r="B86" s="483">
        <v>1</v>
      </c>
      <c r="C86" s="484" t="s">
        <v>689</v>
      </c>
      <c r="D86" s="488" t="s">
        <v>127</v>
      </c>
      <c r="E86" s="488" t="str">
        <f t="shared" si="13"/>
        <v>Open</v>
      </c>
      <c r="F86" s="488">
        <v>45260</v>
      </c>
      <c r="G86" s="486"/>
      <c r="H86" s="486" t="s">
        <v>673</v>
      </c>
      <c r="I86" s="484" t="str">
        <f>VLOOKUP(TabListaLojas[[#This Row],[UF]],UF!A:E,3,0)</f>
        <v>Northest</v>
      </c>
      <c r="J86" s="484" t="s">
        <v>120</v>
      </c>
      <c r="K86" s="484" t="str">
        <f>VLOOKUP(TabListaLojas[[#This Row],[UF]],UF!A:B,2,0)</f>
        <v>Bahia</v>
      </c>
      <c r="L86" s="484" t="s">
        <v>134</v>
      </c>
      <c r="M86" s="484" t="s">
        <v>690</v>
      </c>
      <c r="N86" s="484" t="s">
        <v>676</v>
      </c>
      <c r="O86" s="487">
        <v>250.88000000000002</v>
      </c>
    </row>
    <row r="87" spans="1:15" s="353" customFormat="1" ht="15" customHeight="1">
      <c r="A87" s="352"/>
      <c r="B87" s="483">
        <v>1</v>
      </c>
      <c r="C87" s="484" t="s">
        <v>694</v>
      </c>
      <c r="D87" s="488" t="s">
        <v>127</v>
      </c>
      <c r="E87" s="488" t="str">
        <f t="shared" si="13"/>
        <v>Open</v>
      </c>
      <c r="F87" s="488">
        <v>45260</v>
      </c>
      <c r="G87" s="486"/>
      <c r="H87" s="486" t="s">
        <v>673</v>
      </c>
      <c r="I87" s="484" t="str">
        <f>VLOOKUP(TabListaLojas[[#This Row],[UF]],UF!A:E,3,0)</f>
        <v>Northest</v>
      </c>
      <c r="J87" s="484" t="s">
        <v>120</v>
      </c>
      <c r="K87" s="484" t="str">
        <f>VLOOKUP(TabListaLojas[[#This Row],[UF]],UF!A:B,2,0)</f>
        <v>Bahia</v>
      </c>
      <c r="L87" s="484" t="s">
        <v>695</v>
      </c>
      <c r="M87" s="484" t="s">
        <v>696</v>
      </c>
      <c r="N87" s="484" t="s">
        <v>676</v>
      </c>
      <c r="O87" s="487">
        <v>260.64</v>
      </c>
    </row>
    <row r="88" spans="1:15" s="353" customFormat="1" ht="15" customHeight="1">
      <c r="A88" s="352"/>
      <c r="B88" s="483">
        <v>1</v>
      </c>
      <c r="C88" s="484" t="s">
        <v>697</v>
      </c>
      <c r="D88" s="488" t="s">
        <v>127</v>
      </c>
      <c r="E88" s="488" t="str">
        <f t="shared" si="13"/>
        <v>Open</v>
      </c>
      <c r="F88" s="488">
        <v>45253</v>
      </c>
      <c r="G88" s="486"/>
      <c r="H88" s="486" t="s">
        <v>673</v>
      </c>
      <c r="I88" s="484" t="str">
        <f>VLOOKUP(TabListaLojas[[#This Row],[UF]],UF!A:E,3,0)</f>
        <v>Southest</v>
      </c>
      <c r="J88" s="484" t="s">
        <v>118</v>
      </c>
      <c r="K88" s="484" t="str">
        <f>VLOOKUP(TabListaLojas[[#This Row],[UF]],UF!A:B,2,0)</f>
        <v>São Paulo</v>
      </c>
      <c r="L88" s="484" t="s">
        <v>124</v>
      </c>
      <c r="M88" s="484" t="s">
        <v>698</v>
      </c>
      <c r="N88" s="484" t="s">
        <v>676</v>
      </c>
      <c r="O88" s="487">
        <v>278.07</v>
      </c>
    </row>
    <row r="89" spans="1:15" s="353" customFormat="1" ht="15" customHeight="1">
      <c r="A89" s="7"/>
      <c r="B89" s="483">
        <v>1</v>
      </c>
      <c r="C89" s="484" t="s">
        <v>1571</v>
      </c>
      <c r="D89" s="489" t="s">
        <v>116</v>
      </c>
      <c r="E89" s="488" t="str">
        <f t="shared" si="13"/>
        <v>Open</v>
      </c>
      <c r="F89" s="489">
        <v>45252</v>
      </c>
      <c r="G89" s="489"/>
      <c r="H89" s="490" t="s">
        <v>673</v>
      </c>
      <c r="I89" s="490" t="str">
        <f>VLOOKUP(TabListaLojas[[#This Row],[UF]],UF!A:E,3,0)</f>
        <v>Southest</v>
      </c>
      <c r="J89" s="490" t="s">
        <v>118</v>
      </c>
      <c r="K89" s="490" t="str">
        <f>VLOOKUP(TabListaLojas[[#This Row],[UF]],UF!A:B,2,0)</f>
        <v>São Paulo</v>
      </c>
      <c r="L89" s="490" t="s">
        <v>124</v>
      </c>
      <c r="M89" s="490" t="s">
        <v>699</v>
      </c>
      <c r="N89" s="490" t="s">
        <v>676</v>
      </c>
      <c r="O89" s="487">
        <v>1415.03</v>
      </c>
    </row>
    <row r="90" spans="1:15" s="353" customFormat="1" ht="15" customHeight="1">
      <c r="A90" s="352"/>
      <c r="B90" s="483">
        <v>1</v>
      </c>
      <c r="C90" s="484" t="s">
        <v>700</v>
      </c>
      <c r="D90" s="488" t="s">
        <v>701</v>
      </c>
      <c r="E90" s="488" t="str">
        <f t="shared" si="13"/>
        <v>Open</v>
      </c>
      <c r="F90" s="488">
        <v>45248</v>
      </c>
      <c r="G90" s="486"/>
      <c r="H90" s="486" t="s">
        <v>673</v>
      </c>
      <c r="I90" s="484" t="str">
        <f>VLOOKUP(TabListaLojas[[#This Row],[UF]],UF!A:E,3,0)</f>
        <v>Southest</v>
      </c>
      <c r="J90" s="484" t="s">
        <v>118</v>
      </c>
      <c r="K90" s="484" t="str">
        <f>VLOOKUP(TabListaLojas[[#This Row],[UF]],UF!A:B,2,0)</f>
        <v>São Paulo</v>
      </c>
      <c r="L90" s="484" t="s">
        <v>702</v>
      </c>
      <c r="M90" s="484" t="s">
        <v>703</v>
      </c>
      <c r="N90" s="484" t="s">
        <v>676</v>
      </c>
      <c r="O90" s="487">
        <v>199</v>
      </c>
    </row>
    <row r="91" spans="1:15" s="353" customFormat="1" ht="15" customHeight="1">
      <c r="A91" s="352"/>
      <c r="B91" s="483">
        <v>1</v>
      </c>
      <c r="C91" s="484" t="s">
        <v>704</v>
      </c>
      <c r="D91" s="488" t="s">
        <v>127</v>
      </c>
      <c r="E91" s="488" t="str">
        <f t="shared" ref="E91:E101" si="14">IF(G91="","Open","Closed")</f>
        <v>Open</v>
      </c>
      <c r="F91" s="488">
        <v>45248</v>
      </c>
      <c r="G91" s="486"/>
      <c r="H91" s="486" t="s">
        <v>673</v>
      </c>
      <c r="I91" s="484" t="str">
        <f>VLOOKUP(TabListaLojas[[#This Row],[UF]],UF!A:E,3,0)</f>
        <v>Southest</v>
      </c>
      <c r="J91" s="484" t="s">
        <v>118</v>
      </c>
      <c r="K91" s="484" t="str">
        <f>VLOOKUP(TabListaLojas[[#This Row],[UF]],UF!A:B,2,0)</f>
        <v>São Paulo</v>
      </c>
      <c r="L91" s="484" t="s">
        <v>702</v>
      </c>
      <c r="M91" s="484" t="s">
        <v>703</v>
      </c>
      <c r="N91" s="484" t="s">
        <v>676</v>
      </c>
      <c r="O91" s="487">
        <v>329.37</v>
      </c>
    </row>
    <row r="92" spans="1:15" s="353" customFormat="1" ht="15" customHeight="1">
      <c r="A92" s="352"/>
      <c r="B92" s="483">
        <v>1</v>
      </c>
      <c r="C92" s="484" t="s">
        <v>705</v>
      </c>
      <c r="D92" s="488" t="s">
        <v>127</v>
      </c>
      <c r="E92" s="488" t="str">
        <f t="shared" si="14"/>
        <v>Open</v>
      </c>
      <c r="F92" s="488">
        <v>45247</v>
      </c>
      <c r="G92" s="486"/>
      <c r="H92" s="486" t="s">
        <v>673</v>
      </c>
      <c r="I92" s="484" t="str">
        <f>VLOOKUP(TabListaLojas[[#This Row],[UF]],UF!A:E,3,0)</f>
        <v>South</v>
      </c>
      <c r="J92" s="484" t="s">
        <v>117</v>
      </c>
      <c r="K92" s="484" t="str">
        <f>VLOOKUP(TabListaLojas[[#This Row],[UF]],UF!A:B,2,0)</f>
        <v>Rio Grande do Sul</v>
      </c>
      <c r="L92" s="484" t="s">
        <v>129</v>
      </c>
      <c r="M92" s="484" t="s">
        <v>706</v>
      </c>
      <c r="N92" s="484" t="s">
        <v>676</v>
      </c>
      <c r="O92" s="487">
        <v>270.88</v>
      </c>
    </row>
    <row r="93" spans="1:15" s="353" customFormat="1" ht="15" customHeight="1">
      <c r="A93" s="352"/>
      <c r="B93" s="483">
        <v>1</v>
      </c>
      <c r="C93" s="484" t="s">
        <v>707</v>
      </c>
      <c r="D93" s="488" t="s">
        <v>116</v>
      </c>
      <c r="E93" s="488" t="str">
        <f t="shared" si="14"/>
        <v>Open</v>
      </c>
      <c r="F93" s="488">
        <v>45239</v>
      </c>
      <c r="G93" s="486"/>
      <c r="H93" s="486" t="s">
        <v>673</v>
      </c>
      <c r="I93" s="484" t="str">
        <f>VLOOKUP(TabListaLojas[[#This Row],[UF]],UF!A:E,3,0)</f>
        <v>Southest</v>
      </c>
      <c r="J93" s="484" t="s">
        <v>118</v>
      </c>
      <c r="K93" s="484" t="str">
        <f>VLOOKUP(TabListaLojas[[#This Row],[UF]],UF!A:B,2,0)</f>
        <v>São Paulo</v>
      </c>
      <c r="L93" s="484" t="s">
        <v>124</v>
      </c>
      <c r="M93" s="484" t="s">
        <v>708</v>
      </c>
      <c r="N93" s="484" t="s">
        <v>676</v>
      </c>
      <c r="O93" s="487">
        <v>1926.01</v>
      </c>
    </row>
    <row r="94" spans="1:15" s="353" customFormat="1" ht="15" customHeight="1">
      <c r="A94" s="352"/>
      <c r="B94" s="483">
        <v>1</v>
      </c>
      <c r="C94" s="484" t="s">
        <v>711</v>
      </c>
      <c r="D94" s="488" t="s">
        <v>116</v>
      </c>
      <c r="E94" s="488" t="str">
        <f t="shared" si="14"/>
        <v>Open</v>
      </c>
      <c r="F94" s="488">
        <v>45226</v>
      </c>
      <c r="G94" s="486"/>
      <c r="H94" s="486" t="s">
        <v>673</v>
      </c>
      <c r="I94" s="484" t="str">
        <f>VLOOKUP(TabListaLojas[[#This Row],[UF]],UF!A:E,3,0)</f>
        <v>South</v>
      </c>
      <c r="J94" s="484" t="s">
        <v>117</v>
      </c>
      <c r="K94" s="484" t="str">
        <f>VLOOKUP(TabListaLojas[[#This Row],[UF]],UF!A:B,2,0)</f>
        <v>Rio Grande do Sul</v>
      </c>
      <c r="L94" s="484" t="s">
        <v>712</v>
      </c>
      <c r="M94" s="484" t="s">
        <v>713</v>
      </c>
      <c r="N94" s="484" t="s">
        <v>714</v>
      </c>
      <c r="O94" s="487">
        <v>1735.67</v>
      </c>
    </row>
    <row r="95" spans="1:15" s="353" customFormat="1" ht="15" customHeight="1">
      <c r="A95" s="7"/>
      <c r="B95" s="483">
        <v>1</v>
      </c>
      <c r="C95" s="484" t="s">
        <v>709</v>
      </c>
      <c r="D95" s="488" t="s">
        <v>127</v>
      </c>
      <c r="E95" s="488" t="str">
        <f t="shared" si="14"/>
        <v>Open</v>
      </c>
      <c r="F95" s="488">
        <v>45226</v>
      </c>
      <c r="G95" s="486"/>
      <c r="H95" s="486" t="s">
        <v>673</v>
      </c>
      <c r="I95" s="484" t="str">
        <f>VLOOKUP(TabListaLojas[[#This Row],[UF]],UF!A:E,3,0)</f>
        <v>Midwest</v>
      </c>
      <c r="J95" s="484" t="s">
        <v>156</v>
      </c>
      <c r="K95" s="484" t="str">
        <f>VLOOKUP(TabListaLojas[[#This Row],[UF]],UF!A:B,2,0)</f>
        <v>Distrito Federal</v>
      </c>
      <c r="L95" s="484" t="s">
        <v>142</v>
      </c>
      <c r="M95" s="484" t="s">
        <v>710</v>
      </c>
      <c r="N95" s="484" t="s">
        <v>676</v>
      </c>
      <c r="O95" s="487">
        <v>330.33</v>
      </c>
    </row>
    <row r="96" spans="1:15" s="353" customFormat="1" ht="15" customHeight="1">
      <c r="A96" s="7"/>
      <c r="B96" s="483">
        <v>1</v>
      </c>
      <c r="C96" s="484" t="s">
        <v>715</v>
      </c>
      <c r="D96" s="488" t="s">
        <v>116</v>
      </c>
      <c r="E96" s="488" t="str">
        <f t="shared" si="14"/>
        <v>Open</v>
      </c>
      <c r="F96" s="488">
        <v>45216</v>
      </c>
      <c r="G96" s="488"/>
      <c r="H96" s="486" t="s">
        <v>673</v>
      </c>
      <c r="I96" s="484" t="str">
        <f>VLOOKUP(TabListaLojas[[#This Row],[UF]],UF!A:E,3,0)</f>
        <v>Southest</v>
      </c>
      <c r="J96" s="484" t="s">
        <v>149</v>
      </c>
      <c r="K96" s="484" t="str">
        <f>VLOOKUP(TabListaLojas[[#This Row],[UF]],UF!A:B,2,0)</f>
        <v>Minas Gerais</v>
      </c>
      <c r="L96" s="484" t="s">
        <v>716</v>
      </c>
      <c r="M96" s="484" t="s">
        <v>717</v>
      </c>
      <c r="N96" s="484" t="s">
        <v>676</v>
      </c>
      <c r="O96" s="487">
        <v>1525.49</v>
      </c>
    </row>
    <row r="97" spans="1:15" s="353" customFormat="1" ht="15" customHeight="1">
      <c r="A97" s="7"/>
      <c r="B97" s="483">
        <v>1</v>
      </c>
      <c r="C97" s="484" t="s">
        <v>718</v>
      </c>
      <c r="D97" s="488" t="s">
        <v>116</v>
      </c>
      <c r="E97" s="488" t="str">
        <f t="shared" si="14"/>
        <v>Open</v>
      </c>
      <c r="F97" s="488">
        <v>45210</v>
      </c>
      <c r="G97" s="488"/>
      <c r="H97" s="486" t="s">
        <v>673</v>
      </c>
      <c r="I97" s="484" t="str">
        <f>VLOOKUP(TabListaLojas[[#This Row],[UF]],UF!A:E,3,0)</f>
        <v>South</v>
      </c>
      <c r="J97" s="484" t="s">
        <v>147</v>
      </c>
      <c r="K97" s="484" t="str">
        <f>VLOOKUP(TabListaLojas[[#This Row],[UF]],UF!A:B,2,0)</f>
        <v>Santa Catarina</v>
      </c>
      <c r="L97" s="484" t="s">
        <v>719</v>
      </c>
      <c r="M97" s="484" t="s">
        <v>720</v>
      </c>
      <c r="N97" s="484" t="s">
        <v>676</v>
      </c>
      <c r="O97" s="487">
        <v>1466.92</v>
      </c>
    </row>
    <row r="98" spans="1:15" s="353" customFormat="1" ht="15" customHeight="1">
      <c r="A98" s="7"/>
      <c r="B98" s="483">
        <v>1</v>
      </c>
      <c r="C98" s="484" t="s">
        <v>721</v>
      </c>
      <c r="D98" s="488" t="s">
        <v>701</v>
      </c>
      <c r="E98" s="488" t="str">
        <f t="shared" si="14"/>
        <v>Open</v>
      </c>
      <c r="F98" s="488">
        <v>45189</v>
      </c>
      <c r="G98" s="488"/>
      <c r="H98" s="486" t="s">
        <v>673</v>
      </c>
      <c r="I98" s="484" t="str">
        <f>VLOOKUP(TabListaLojas[[#This Row],[UF]],UF!A:E,3,0)</f>
        <v>Southest</v>
      </c>
      <c r="J98" s="484" t="s">
        <v>152</v>
      </c>
      <c r="K98" s="484" t="str">
        <f>VLOOKUP(TabListaLojas[[#This Row],[UF]],UF!A:B,2,0)</f>
        <v>Espírito Santo</v>
      </c>
      <c r="L98" s="484" t="s">
        <v>168</v>
      </c>
      <c r="M98" s="484" t="s">
        <v>722</v>
      </c>
      <c r="N98" s="484" t="s">
        <v>676</v>
      </c>
      <c r="O98" s="487">
        <v>158.07</v>
      </c>
    </row>
    <row r="99" spans="1:15" s="353" customFormat="1" ht="15" customHeight="1">
      <c r="A99" s="7"/>
      <c r="B99" s="483">
        <v>1</v>
      </c>
      <c r="C99" s="484" t="s">
        <v>723</v>
      </c>
      <c r="D99" s="488" t="s">
        <v>127</v>
      </c>
      <c r="E99" s="488" t="str">
        <f t="shared" si="14"/>
        <v>Open</v>
      </c>
      <c r="F99" s="488">
        <v>45184</v>
      </c>
      <c r="G99" s="488"/>
      <c r="H99" s="486" t="s">
        <v>673</v>
      </c>
      <c r="I99" s="484" t="str">
        <f>VLOOKUP(TabListaLojas[[#This Row],[UF]],UF!A:E,3,0)</f>
        <v>Northest</v>
      </c>
      <c r="J99" s="484" t="s">
        <v>158</v>
      </c>
      <c r="K99" s="484" t="str">
        <f>VLOOKUP(TabListaLojas[[#This Row],[UF]],UF!A:B,2,0)</f>
        <v>Paraíba</v>
      </c>
      <c r="L99" s="484" t="s">
        <v>139</v>
      </c>
      <c r="M99" s="484" t="s">
        <v>724</v>
      </c>
      <c r="N99" s="484" t="s">
        <v>676</v>
      </c>
      <c r="O99" s="487">
        <v>256.18</v>
      </c>
    </row>
    <row r="100" spans="1:15" s="353" customFormat="1" ht="15" customHeight="1">
      <c r="A100" s="7"/>
      <c r="B100" s="483">
        <v>1</v>
      </c>
      <c r="C100" s="484" t="s">
        <v>725</v>
      </c>
      <c r="D100" s="488" t="s">
        <v>127</v>
      </c>
      <c r="E100" s="488" t="str">
        <f t="shared" si="14"/>
        <v>Open</v>
      </c>
      <c r="F100" s="488">
        <v>45178</v>
      </c>
      <c r="G100" s="488"/>
      <c r="H100" s="486" t="s">
        <v>673</v>
      </c>
      <c r="I100" s="484" t="str">
        <f>VLOOKUP(TabListaLojas[[#This Row],[UF]],UF!A:E,3,0)</f>
        <v>Midwest</v>
      </c>
      <c r="J100" s="484" t="s">
        <v>123</v>
      </c>
      <c r="K100" s="484" t="str">
        <f>VLOOKUP(TabListaLojas[[#This Row],[UF]],UF!A:B,2,0)</f>
        <v>Goiás</v>
      </c>
      <c r="L100" s="484" t="s">
        <v>140</v>
      </c>
      <c r="M100" s="484" t="s">
        <v>726</v>
      </c>
      <c r="N100" s="484" t="s">
        <v>676</v>
      </c>
      <c r="O100" s="487">
        <v>267.63</v>
      </c>
    </row>
    <row r="101" spans="1:15" s="353" customFormat="1" ht="15" customHeight="1">
      <c r="A101" s="7"/>
      <c r="B101" s="483">
        <v>1</v>
      </c>
      <c r="C101" s="484" t="s">
        <v>727</v>
      </c>
      <c r="D101" s="488" t="s">
        <v>127</v>
      </c>
      <c r="E101" s="488" t="str">
        <f t="shared" si="14"/>
        <v>Open</v>
      </c>
      <c r="F101" s="488">
        <v>45170</v>
      </c>
      <c r="G101" s="488"/>
      <c r="H101" s="486" t="s">
        <v>673</v>
      </c>
      <c r="I101" s="484" t="str">
        <f>VLOOKUP(TabListaLojas[[#This Row],[UF]],UF!A:E,3,0)</f>
        <v>Southest</v>
      </c>
      <c r="J101" s="484" t="s">
        <v>118</v>
      </c>
      <c r="K101" s="484" t="str">
        <f>VLOOKUP(TabListaLojas[[#This Row],[UF]],UF!A:B,2,0)</f>
        <v>São Paulo</v>
      </c>
      <c r="L101" s="484" t="s">
        <v>124</v>
      </c>
      <c r="M101" s="484" t="s">
        <v>728</v>
      </c>
      <c r="N101" s="484" t="s">
        <v>676</v>
      </c>
      <c r="O101" s="487">
        <v>273.3</v>
      </c>
    </row>
    <row r="102" spans="1:15" s="353" customFormat="1" ht="15" customHeight="1">
      <c r="A102" s="7"/>
      <c r="B102" s="483">
        <v>1</v>
      </c>
      <c r="C102" s="484" t="s">
        <v>729</v>
      </c>
      <c r="D102" s="488" t="s">
        <v>116</v>
      </c>
      <c r="E102" s="488" t="str">
        <f t="shared" ref="E102:E107" si="15">IF(G102="","Open","Closed")</f>
        <v>Open</v>
      </c>
      <c r="F102" s="488">
        <v>45169</v>
      </c>
      <c r="G102" s="488"/>
      <c r="H102" s="486" t="s">
        <v>673</v>
      </c>
      <c r="I102" s="484" t="str">
        <f>VLOOKUP(TabListaLojas[[#This Row],[UF]],UF!A:E,3,0)</f>
        <v>South</v>
      </c>
      <c r="J102" s="484" t="s">
        <v>117</v>
      </c>
      <c r="K102" s="484" t="str">
        <f>VLOOKUP(TabListaLojas[[#This Row],[UF]],UF!A:B,2,0)</f>
        <v>Rio Grande do Sul</v>
      </c>
      <c r="L102" s="484" t="s">
        <v>730</v>
      </c>
      <c r="M102" s="484" t="s">
        <v>731</v>
      </c>
      <c r="N102" s="484" t="s">
        <v>714</v>
      </c>
      <c r="O102" s="487">
        <v>1334.9</v>
      </c>
    </row>
    <row r="103" spans="1:15" s="353" customFormat="1" ht="15" customHeight="1">
      <c r="A103" s="7"/>
      <c r="B103" s="483">
        <v>1</v>
      </c>
      <c r="C103" s="484" t="s">
        <v>732</v>
      </c>
      <c r="D103" s="488" t="s">
        <v>116</v>
      </c>
      <c r="E103" s="488" t="str">
        <f t="shared" si="15"/>
        <v>Open</v>
      </c>
      <c r="F103" s="488">
        <v>45147</v>
      </c>
      <c r="G103" s="488"/>
      <c r="H103" s="486" t="s">
        <v>673</v>
      </c>
      <c r="I103" s="484" t="str">
        <f>VLOOKUP(TabListaLojas[[#This Row],[UF]],UF!A:E,3,0)</f>
        <v>Southest</v>
      </c>
      <c r="J103" s="484" t="s">
        <v>118</v>
      </c>
      <c r="K103" s="484" t="str">
        <f>VLOOKUP(TabListaLojas[[#This Row],[UF]],UF!A:B,2,0)</f>
        <v>São Paulo</v>
      </c>
      <c r="L103" s="484" t="s">
        <v>733</v>
      </c>
      <c r="M103" s="484" t="s">
        <v>734</v>
      </c>
      <c r="N103" s="484" t="s">
        <v>676</v>
      </c>
      <c r="O103" s="487">
        <v>1874.44</v>
      </c>
    </row>
    <row r="104" spans="1:15" s="353" customFormat="1" ht="15" customHeight="1">
      <c r="A104" s="7"/>
      <c r="B104" s="483">
        <v>1</v>
      </c>
      <c r="C104" s="484" t="s">
        <v>735</v>
      </c>
      <c r="D104" s="488" t="s">
        <v>116</v>
      </c>
      <c r="E104" s="488" t="str">
        <f t="shared" si="15"/>
        <v>Open</v>
      </c>
      <c r="F104" s="488">
        <v>45141</v>
      </c>
      <c r="G104" s="488"/>
      <c r="H104" s="486" t="s">
        <v>673</v>
      </c>
      <c r="I104" s="484" t="str">
        <f>VLOOKUP(TabListaLojas[[#This Row],[UF]],UF!A:E,3,0)</f>
        <v>South</v>
      </c>
      <c r="J104" s="484" t="s">
        <v>117</v>
      </c>
      <c r="K104" s="484" t="str">
        <f>VLOOKUP(TabListaLojas[[#This Row],[UF]],UF!A:B,2,0)</f>
        <v>Rio Grande do Sul</v>
      </c>
      <c r="L104" s="484" t="s">
        <v>736</v>
      </c>
      <c r="M104" s="484" t="s">
        <v>737</v>
      </c>
      <c r="N104" s="484" t="s">
        <v>714</v>
      </c>
      <c r="O104" s="487">
        <v>1607.59</v>
      </c>
    </row>
    <row r="105" spans="1:15" s="353" customFormat="1" ht="15" customHeight="1">
      <c r="A105" s="7"/>
      <c r="B105" s="483">
        <v>1</v>
      </c>
      <c r="C105" s="484" t="s">
        <v>738</v>
      </c>
      <c r="D105" s="488" t="s">
        <v>116</v>
      </c>
      <c r="E105" s="488" t="str">
        <f t="shared" si="15"/>
        <v>Open</v>
      </c>
      <c r="F105" s="488">
        <v>45140</v>
      </c>
      <c r="G105" s="488"/>
      <c r="H105" s="486" t="s">
        <v>673</v>
      </c>
      <c r="I105" s="484" t="str">
        <f>VLOOKUP(TabListaLojas[[#This Row],[UF]],UF!A:E,3,0)</f>
        <v>Southest</v>
      </c>
      <c r="J105" s="484" t="s">
        <v>149</v>
      </c>
      <c r="K105" s="484" t="str">
        <f>VLOOKUP(TabListaLojas[[#This Row],[UF]],UF!A:B,2,0)</f>
        <v>Minas Gerais</v>
      </c>
      <c r="L105" s="484" t="s">
        <v>739</v>
      </c>
      <c r="M105" s="484" t="s">
        <v>740</v>
      </c>
      <c r="N105" s="484" t="s">
        <v>714</v>
      </c>
      <c r="O105" s="487">
        <v>1133.78</v>
      </c>
    </row>
    <row r="106" spans="1:15" s="353" customFormat="1" ht="15" customHeight="1">
      <c r="A106" s="7"/>
      <c r="B106" s="483">
        <v>1</v>
      </c>
      <c r="C106" s="484" t="s">
        <v>741</v>
      </c>
      <c r="D106" s="488" t="s">
        <v>116</v>
      </c>
      <c r="E106" s="488" t="str">
        <f t="shared" si="15"/>
        <v>Open</v>
      </c>
      <c r="F106" s="488">
        <v>45139</v>
      </c>
      <c r="G106" s="488"/>
      <c r="H106" s="486" t="s">
        <v>673</v>
      </c>
      <c r="I106" s="484" t="str">
        <f>VLOOKUP(TabListaLojas[[#This Row],[UF]],UF!A:E,3,0)</f>
        <v>Southest</v>
      </c>
      <c r="J106" s="484" t="s">
        <v>149</v>
      </c>
      <c r="K106" s="484" t="str">
        <f>VLOOKUP(TabListaLojas[[#This Row],[UF]],UF!A:B,2,0)</f>
        <v>Minas Gerais</v>
      </c>
      <c r="L106" s="484" t="s">
        <v>742</v>
      </c>
      <c r="M106" s="484" t="s">
        <v>743</v>
      </c>
      <c r="N106" s="484" t="s">
        <v>676</v>
      </c>
      <c r="O106" s="487">
        <v>1757.44</v>
      </c>
    </row>
    <row r="107" spans="1:15" s="353" customFormat="1" ht="15" customHeight="1">
      <c r="A107" s="7"/>
      <c r="B107" s="483">
        <v>1</v>
      </c>
      <c r="C107" s="484" t="s">
        <v>744</v>
      </c>
      <c r="D107" s="488" t="s">
        <v>701</v>
      </c>
      <c r="E107" s="488" t="str">
        <f t="shared" si="15"/>
        <v>Open</v>
      </c>
      <c r="F107" s="488">
        <v>45132</v>
      </c>
      <c r="G107" s="488"/>
      <c r="H107" s="486" t="s">
        <v>673</v>
      </c>
      <c r="I107" s="484" t="str">
        <f>VLOOKUP(TabListaLojas[[#This Row],[UF]],UF!A:E,3,0)</f>
        <v>South</v>
      </c>
      <c r="J107" s="484" t="s">
        <v>161</v>
      </c>
      <c r="K107" s="484" t="str">
        <f>VLOOKUP(TabListaLojas[[#This Row],[UF]],UF!A:B,2,0)</f>
        <v>Paraná</v>
      </c>
      <c r="L107" s="484" t="s">
        <v>146</v>
      </c>
      <c r="M107" s="484" t="s">
        <v>1982</v>
      </c>
      <c r="N107" s="484" t="s">
        <v>676</v>
      </c>
      <c r="O107" s="487">
        <v>263</v>
      </c>
    </row>
    <row r="108" spans="1:15" s="353" customFormat="1" ht="15" customHeight="1">
      <c r="A108" s="7"/>
      <c r="B108" s="483">
        <v>1</v>
      </c>
      <c r="C108" s="484" t="s">
        <v>745</v>
      </c>
      <c r="D108" s="488" t="s">
        <v>116</v>
      </c>
      <c r="E108" s="488" t="str">
        <f>IF(G108="","Open","Closed")</f>
        <v>Open</v>
      </c>
      <c r="F108" s="488">
        <v>45125</v>
      </c>
      <c r="G108" s="488"/>
      <c r="H108" s="486" t="s">
        <v>673</v>
      </c>
      <c r="I108" s="484" t="str">
        <f>VLOOKUP(TabListaLojas[[#This Row],[UF]],UF!A:E,3,0)</f>
        <v>Northest</v>
      </c>
      <c r="J108" s="484" t="s">
        <v>148</v>
      </c>
      <c r="K108" s="484" t="str">
        <f>VLOOKUP(TabListaLojas[[#This Row],[UF]],UF!A:B,2,0)</f>
        <v>Ceará</v>
      </c>
      <c r="L108" s="484" t="s">
        <v>746</v>
      </c>
      <c r="M108" s="484" t="s">
        <v>747</v>
      </c>
      <c r="N108" s="484" t="s">
        <v>676</v>
      </c>
      <c r="O108" s="487">
        <v>1741.47</v>
      </c>
    </row>
    <row r="109" spans="1:15" s="353" customFormat="1" ht="15" customHeight="1">
      <c r="A109" s="7"/>
      <c r="B109" s="483">
        <v>1</v>
      </c>
      <c r="C109" s="484" t="s">
        <v>748</v>
      </c>
      <c r="D109" s="488" t="s">
        <v>127</v>
      </c>
      <c r="E109" s="488" t="str">
        <f>IF(G109="","Open","Closed")</f>
        <v>Open</v>
      </c>
      <c r="F109" s="488">
        <v>45107</v>
      </c>
      <c r="G109" s="488"/>
      <c r="H109" s="486" t="s">
        <v>673</v>
      </c>
      <c r="I109" s="484" t="str">
        <f>VLOOKUP(TabListaLojas[[#This Row],[UF]],UF!A:E,3,0)</f>
        <v>North</v>
      </c>
      <c r="J109" s="484" t="s">
        <v>165</v>
      </c>
      <c r="K109" s="484" t="str">
        <f>VLOOKUP(TabListaLojas[[#This Row],[UF]],UF!A:B,2,0)</f>
        <v>Acre</v>
      </c>
      <c r="L109" s="484" t="s">
        <v>170</v>
      </c>
      <c r="M109" s="484" t="s">
        <v>749</v>
      </c>
      <c r="N109" s="484" t="s">
        <v>676</v>
      </c>
      <c r="O109" s="487">
        <v>246.7</v>
      </c>
    </row>
    <row r="110" spans="1:15" s="353" customFormat="1" ht="15" customHeight="1">
      <c r="A110" s="7"/>
      <c r="B110" s="483">
        <v>1</v>
      </c>
      <c r="C110" s="484" t="s">
        <v>753</v>
      </c>
      <c r="D110" s="488" t="s">
        <v>127</v>
      </c>
      <c r="E110" s="488" t="str">
        <f>IF(G110="","Open","Closed")</f>
        <v>Open</v>
      </c>
      <c r="F110" s="488">
        <v>45084</v>
      </c>
      <c r="G110" s="488"/>
      <c r="H110" s="486" t="s">
        <v>673</v>
      </c>
      <c r="I110" s="484" t="str">
        <f>VLOOKUP(TabListaLojas[[#This Row],[UF]],UF!A:E,3,0)</f>
        <v>Northest</v>
      </c>
      <c r="J110" s="484" t="s">
        <v>151</v>
      </c>
      <c r="K110" s="484" t="str">
        <f>VLOOKUP(TabListaLojas[[#This Row],[UF]],UF!A:B,2,0)</f>
        <v>Piauí</v>
      </c>
      <c r="L110" s="484" t="s">
        <v>132</v>
      </c>
      <c r="M110" s="484" t="s">
        <v>754</v>
      </c>
      <c r="N110" s="484" t="s">
        <v>676</v>
      </c>
      <c r="O110" s="487">
        <v>284.29000000000002</v>
      </c>
    </row>
    <row r="111" spans="1:15" s="353" customFormat="1" ht="15" customHeight="1">
      <c r="A111" s="7"/>
      <c r="B111" s="483">
        <v>1</v>
      </c>
      <c r="C111" s="484" t="s">
        <v>1970</v>
      </c>
      <c r="D111" s="488" t="s">
        <v>701</v>
      </c>
      <c r="E111" s="488" t="str">
        <f t="shared" ref="E111:E121" si="16">IF(G111="","Open","Closed")</f>
        <v>Open</v>
      </c>
      <c r="F111" s="488">
        <v>45077</v>
      </c>
      <c r="G111" s="488"/>
      <c r="H111" s="486" t="s">
        <v>673</v>
      </c>
      <c r="I111" s="484" t="str">
        <f>VLOOKUP(TabListaLojas[[#This Row],[UF]],UF!A:E,3,0)</f>
        <v>Southest</v>
      </c>
      <c r="J111" s="484" t="s">
        <v>122</v>
      </c>
      <c r="K111" s="484" t="str">
        <f>VLOOKUP(TabListaLojas[[#This Row],[UF]],UF!A:B,2,0)</f>
        <v>Rio de Janeiro</v>
      </c>
      <c r="L111" s="484" t="s">
        <v>755</v>
      </c>
      <c r="M111" s="484" t="s">
        <v>1981</v>
      </c>
      <c r="N111" s="484" t="s">
        <v>676</v>
      </c>
      <c r="O111" s="487">
        <v>150</v>
      </c>
    </row>
    <row r="112" spans="1:15" s="353" customFormat="1" ht="15" customHeight="1">
      <c r="A112" s="7"/>
      <c r="B112" s="483">
        <v>1</v>
      </c>
      <c r="C112" s="484" t="s">
        <v>750</v>
      </c>
      <c r="D112" s="488" t="s">
        <v>116</v>
      </c>
      <c r="E112" s="488" t="str">
        <f t="shared" si="16"/>
        <v>Open</v>
      </c>
      <c r="F112" s="488">
        <v>45077</v>
      </c>
      <c r="G112" s="488"/>
      <c r="H112" s="486" t="s">
        <v>673</v>
      </c>
      <c r="I112" s="484" t="str">
        <f>VLOOKUP(TabListaLojas[[#This Row],[UF]],UF!A:E,3,0)</f>
        <v>Southest</v>
      </c>
      <c r="J112" s="484" t="s">
        <v>118</v>
      </c>
      <c r="K112" s="484" t="str">
        <f>VLOOKUP(TabListaLojas[[#This Row],[UF]],UF!A:B,2,0)</f>
        <v>São Paulo</v>
      </c>
      <c r="L112" s="484" t="s">
        <v>751</v>
      </c>
      <c r="M112" s="484" t="s">
        <v>752</v>
      </c>
      <c r="N112" s="484" t="s">
        <v>676</v>
      </c>
      <c r="O112" s="487">
        <v>1247.68</v>
      </c>
    </row>
    <row r="113" spans="1:15" s="353" customFormat="1" ht="15" customHeight="1">
      <c r="A113" s="7"/>
      <c r="B113" s="483">
        <v>1</v>
      </c>
      <c r="C113" s="484" t="s">
        <v>757</v>
      </c>
      <c r="D113" s="488" t="s">
        <v>116</v>
      </c>
      <c r="E113" s="488" t="str">
        <f t="shared" si="16"/>
        <v>Open</v>
      </c>
      <c r="F113" s="488">
        <v>45077</v>
      </c>
      <c r="G113" s="488"/>
      <c r="H113" s="486" t="s">
        <v>673</v>
      </c>
      <c r="I113" s="484" t="str">
        <f>VLOOKUP(TabListaLojas[[#This Row],[UF]],UF!A:E,3,0)</f>
        <v>Southest</v>
      </c>
      <c r="J113" s="484" t="s">
        <v>118</v>
      </c>
      <c r="K113" s="484" t="str">
        <f>VLOOKUP(TabListaLojas[[#This Row],[UF]],UF!A:B,2,0)</f>
        <v>São Paulo</v>
      </c>
      <c r="L113" s="484" t="s">
        <v>758</v>
      </c>
      <c r="M113" s="484" t="s">
        <v>759</v>
      </c>
      <c r="N113" s="484" t="s">
        <v>676</v>
      </c>
      <c r="O113" s="487">
        <v>749.76</v>
      </c>
    </row>
    <row r="114" spans="1:15" s="353" customFormat="1" ht="15" customHeight="1">
      <c r="A114" s="7"/>
      <c r="B114" s="483">
        <v>1</v>
      </c>
      <c r="C114" s="484" t="s">
        <v>760</v>
      </c>
      <c r="D114" s="484" t="s">
        <v>127</v>
      </c>
      <c r="E114" s="488" t="str">
        <f t="shared" si="16"/>
        <v>Open</v>
      </c>
      <c r="F114" s="488">
        <v>45077</v>
      </c>
      <c r="G114" s="488"/>
      <c r="H114" s="486" t="s">
        <v>673</v>
      </c>
      <c r="I114" s="484" t="str">
        <f>VLOOKUP(TabListaLojas[[#This Row],[UF]],UF!A:E,3,0)</f>
        <v>Southest</v>
      </c>
      <c r="J114" s="484" t="s">
        <v>122</v>
      </c>
      <c r="K114" s="484" t="str">
        <f>VLOOKUP(TabListaLojas[[#This Row],[UF]],UF!A:B,2,0)</f>
        <v>Rio de Janeiro</v>
      </c>
      <c r="L114" s="484" t="s">
        <v>755</v>
      </c>
      <c r="M114" s="484" t="s">
        <v>756</v>
      </c>
      <c r="N114" s="484" t="s">
        <v>676</v>
      </c>
      <c r="O114" s="487">
        <v>250.25</v>
      </c>
    </row>
    <row r="115" spans="1:15" s="353" customFormat="1" ht="15" customHeight="1">
      <c r="A115" s="7"/>
      <c r="B115" s="483">
        <v>1</v>
      </c>
      <c r="C115" s="484" t="s">
        <v>2231</v>
      </c>
      <c r="D115" s="484" t="s">
        <v>127</v>
      </c>
      <c r="E115" s="488" t="str">
        <f t="shared" si="16"/>
        <v>Open</v>
      </c>
      <c r="F115" s="488">
        <v>45066</v>
      </c>
      <c r="G115" s="488"/>
      <c r="H115" s="486" t="s">
        <v>673</v>
      </c>
      <c r="I115" s="484" t="str">
        <f>VLOOKUP(TabListaLojas[[#This Row],[UF]],UF!A:E,3,0)</f>
        <v>Southest</v>
      </c>
      <c r="J115" s="484" t="s">
        <v>118</v>
      </c>
      <c r="K115" s="484" t="str">
        <f>VLOOKUP(TabListaLojas[[#This Row],[UF]],UF!A:B,2,0)</f>
        <v>São Paulo</v>
      </c>
      <c r="L115" s="484" t="s">
        <v>761</v>
      </c>
      <c r="M115" s="484" t="s">
        <v>762</v>
      </c>
      <c r="N115" s="484" t="s">
        <v>676</v>
      </c>
      <c r="O115" s="487">
        <v>268.77</v>
      </c>
    </row>
    <row r="116" spans="1:15" s="353" customFormat="1" ht="15" customHeight="1">
      <c r="A116" s="7"/>
      <c r="B116" s="483">
        <v>1</v>
      </c>
      <c r="C116" s="484" t="s">
        <v>763</v>
      </c>
      <c r="D116" s="488" t="s">
        <v>701</v>
      </c>
      <c r="E116" s="488" t="str">
        <f t="shared" si="16"/>
        <v>Open</v>
      </c>
      <c r="F116" s="488">
        <v>45055</v>
      </c>
      <c r="G116" s="488"/>
      <c r="H116" s="486" t="s">
        <v>673</v>
      </c>
      <c r="I116" s="484" t="str">
        <f>VLOOKUP(TabListaLojas[[#This Row],[UF]],UF!A:E,3,0)</f>
        <v>Southest</v>
      </c>
      <c r="J116" s="484" t="s">
        <v>118</v>
      </c>
      <c r="K116" s="484" t="str">
        <f>VLOOKUP(TabListaLojas[[#This Row],[UF]],UF!A:B,2,0)</f>
        <v>São Paulo</v>
      </c>
      <c r="L116" s="484" t="s">
        <v>764</v>
      </c>
      <c r="M116" s="484" t="s">
        <v>1980</v>
      </c>
      <c r="N116" s="484" t="s">
        <v>676</v>
      </c>
      <c r="O116" s="487">
        <v>199</v>
      </c>
    </row>
    <row r="117" spans="1:15" s="353" customFormat="1" ht="15" customHeight="1">
      <c r="A117" s="7"/>
      <c r="B117" s="483">
        <v>1</v>
      </c>
      <c r="C117" s="484" t="s">
        <v>766</v>
      </c>
      <c r="D117" s="488" t="s">
        <v>116</v>
      </c>
      <c r="E117" s="488" t="str">
        <f>IF(G117="","Open","Closed")</f>
        <v>Open</v>
      </c>
      <c r="F117" s="488">
        <v>45043</v>
      </c>
      <c r="G117" s="488"/>
      <c r="H117" s="486" t="s">
        <v>673</v>
      </c>
      <c r="I117" s="484" t="str">
        <f>VLOOKUP(TabListaLojas[[#This Row],[UF]],UF!A:E,3,0)</f>
        <v>Southest</v>
      </c>
      <c r="J117" s="484" t="s">
        <v>118</v>
      </c>
      <c r="K117" s="484" t="str">
        <f>VLOOKUP(TabListaLojas[[#This Row],[UF]],UF!A:B,2,0)</f>
        <v>São Paulo</v>
      </c>
      <c r="L117" s="484" t="s">
        <v>767</v>
      </c>
      <c r="M117" s="484" t="s">
        <v>768</v>
      </c>
      <c r="N117" s="484" t="s">
        <v>676</v>
      </c>
      <c r="O117" s="487">
        <v>1592.6</v>
      </c>
    </row>
    <row r="118" spans="1:15" s="353" customFormat="1" ht="15" customHeight="1">
      <c r="A118" s="7"/>
      <c r="B118" s="483">
        <v>1</v>
      </c>
      <c r="C118" s="484" t="s">
        <v>769</v>
      </c>
      <c r="D118" s="488" t="s">
        <v>116</v>
      </c>
      <c r="E118" s="488" t="str">
        <f t="shared" si="16"/>
        <v>Open</v>
      </c>
      <c r="F118" s="488">
        <v>45034</v>
      </c>
      <c r="G118" s="488"/>
      <c r="H118" s="486" t="s">
        <v>673</v>
      </c>
      <c r="I118" s="484" t="str">
        <f>VLOOKUP(TabListaLojas[[#This Row],[UF]],UF!A:E,3,0)</f>
        <v>Southest</v>
      </c>
      <c r="J118" s="484" t="s">
        <v>118</v>
      </c>
      <c r="K118" s="484" t="str">
        <f>VLOOKUP(TabListaLojas[[#This Row],[UF]],UF!A:B,2,0)</f>
        <v>São Paulo</v>
      </c>
      <c r="L118" s="484" t="s">
        <v>770</v>
      </c>
      <c r="M118" s="484" t="s">
        <v>771</v>
      </c>
      <c r="N118" s="484" t="s">
        <v>676</v>
      </c>
      <c r="O118" s="487">
        <v>2299.1799999999998</v>
      </c>
    </row>
    <row r="119" spans="1:15" s="353" customFormat="1" ht="15" hidden="1" customHeight="1">
      <c r="A119" s="7"/>
      <c r="B119" s="491">
        <v>0</v>
      </c>
      <c r="C119" s="492" t="s">
        <v>772</v>
      </c>
      <c r="D119" s="493" t="s">
        <v>116</v>
      </c>
      <c r="E119" s="493" t="s">
        <v>2282</v>
      </c>
      <c r="F119" s="493">
        <v>44916</v>
      </c>
      <c r="G119" s="493">
        <v>45586</v>
      </c>
      <c r="H119" s="494" t="s">
        <v>202</v>
      </c>
      <c r="I119" s="492" t="str">
        <f>VLOOKUP(TabListaLojas[[#This Row],[UF]],UF!A:E,3,0)</f>
        <v>Uruguay</v>
      </c>
      <c r="J119" s="492" t="s">
        <v>318</v>
      </c>
      <c r="K119" s="492" t="str">
        <f>VLOOKUP(TabListaLojas[[#This Row],[UF]],UF!A:B,2,0)</f>
        <v>Uruguay</v>
      </c>
      <c r="L119" s="492" t="s">
        <v>687</v>
      </c>
      <c r="M119" s="492" t="s">
        <v>773</v>
      </c>
      <c r="N119" s="492" t="s">
        <v>676</v>
      </c>
      <c r="O119" s="495">
        <v>0</v>
      </c>
    </row>
    <row r="120" spans="1:15" s="353" customFormat="1" ht="15" customHeight="1">
      <c r="A120" s="352"/>
      <c r="B120" s="483">
        <v>1</v>
      </c>
      <c r="C120" s="484" t="s">
        <v>774</v>
      </c>
      <c r="D120" s="488" t="s">
        <v>701</v>
      </c>
      <c r="E120" s="488" t="str">
        <f t="shared" si="16"/>
        <v>Open</v>
      </c>
      <c r="F120" s="488">
        <v>44903</v>
      </c>
      <c r="G120" s="488"/>
      <c r="H120" s="486" t="s">
        <v>673</v>
      </c>
      <c r="I120" s="484" t="str">
        <f>VLOOKUP(TabListaLojas[[#This Row],[UF]],UF!A:E,3,0)</f>
        <v>Southest</v>
      </c>
      <c r="J120" s="484" t="s">
        <v>118</v>
      </c>
      <c r="K120" s="484" t="str">
        <f>VLOOKUP(TabListaLojas[[#This Row],[UF]],UF!A:B,2,0)</f>
        <v>São Paulo</v>
      </c>
      <c r="L120" s="484" t="s">
        <v>775</v>
      </c>
      <c r="M120" s="484" t="s">
        <v>776</v>
      </c>
      <c r="N120" s="484" t="s">
        <v>676</v>
      </c>
      <c r="O120" s="487">
        <v>193</v>
      </c>
    </row>
    <row r="121" spans="1:15" s="353" customFormat="1" ht="15" customHeight="1">
      <c r="A121" s="352"/>
      <c r="B121" s="483">
        <v>1</v>
      </c>
      <c r="C121" s="484" t="s">
        <v>777</v>
      </c>
      <c r="D121" s="488" t="s">
        <v>701</v>
      </c>
      <c r="E121" s="488" t="str">
        <f t="shared" si="16"/>
        <v>Open</v>
      </c>
      <c r="F121" s="488">
        <v>44903</v>
      </c>
      <c r="G121" s="488"/>
      <c r="H121" s="486" t="s">
        <v>673</v>
      </c>
      <c r="I121" s="484" t="str">
        <f>VLOOKUP(TabListaLojas[[#This Row],[UF]],UF!A:E,3,0)</f>
        <v>Northest</v>
      </c>
      <c r="J121" s="484" t="s">
        <v>120</v>
      </c>
      <c r="K121" s="484" t="str">
        <f>VLOOKUP(TabListaLojas[[#This Row],[UF]],UF!A:B,2,0)</f>
        <v>Bahia</v>
      </c>
      <c r="L121" s="484" t="s">
        <v>134</v>
      </c>
      <c r="M121" s="484" t="s">
        <v>778</v>
      </c>
      <c r="N121" s="484" t="s">
        <v>676</v>
      </c>
      <c r="O121" s="487">
        <v>135</v>
      </c>
    </row>
    <row r="122" spans="1:15" s="353" customFormat="1" ht="15" customHeight="1">
      <c r="A122" s="352"/>
      <c r="B122" s="483">
        <v>1</v>
      </c>
      <c r="C122" s="484" t="s">
        <v>779</v>
      </c>
      <c r="D122" s="488" t="s">
        <v>116</v>
      </c>
      <c r="E122" s="488" t="str">
        <f t="shared" ref="E122:E132" si="17">IF(G122="","Open","Closed")</f>
        <v>Open</v>
      </c>
      <c r="F122" s="488">
        <v>44898</v>
      </c>
      <c r="G122" s="488"/>
      <c r="H122" s="486" t="s">
        <v>673</v>
      </c>
      <c r="I122" s="484" t="str">
        <f>VLOOKUP(TabListaLojas[[#This Row],[UF]],UF!A:E,3,0)</f>
        <v>Southest</v>
      </c>
      <c r="J122" s="484" t="s">
        <v>122</v>
      </c>
      <c r="K122" s="484" t="str">
        <f>VLOOKUP(TabListaLojas[[#This Row],[UF]],UF!A:B,2,0)</f>
        <v>Rio de Janeiro</v>
      </c>
      <c r="L122" s="484" t="s">
        <v>780</v>
      </c>
      <c r="M122" s="484" t="s">
        <v>781</v>
      </c>
      <c r="N122" s="484" t="s">
        <v>676</v>
      </c>
      <c r="O122" s="487">
        <v>1319.04</v>
      </c>
    </row>
    <row r="123" spans="1:15" s="353" customFormat="1" ht="15" customHeight="1">
      <c r="A123" s="352"/>
      <c r="B123" s="483">
        <v>1</v>
      </c>
      <c r="C123" s="484" t="s">
        <v>1572</v>
      </c>
      <c r="D123" s="488" t="s">
        <v>116</v>
      </c>
      <c r="E123" s="488" t="str">
        <f t="shared" si="17"/>
        <v>Open</v>
      </c>
      <c r="F123" s="488">
        <v>44895</v>
      </c>
      <c r="G123" s="488"/>
      <c r="H123" s="486" t="s">
        <v>673</v>
      </c>
      <c r="I123" s="484" t="str">
        <f>VLOOKUP(TabListaLojas[[#This Row],[UF]],UF!A:E,3,0)</f>
        <v>Southest</v>
      </c>
      <c r="J123" s="484" t="s">
        <v>118</v>
      </c>
      <c r="K123" s="484" t="str">
        <f>VLOOKUP(TabListaLojas[[#This Row],[UF]],UF!A:B,2,0)</f>
        <v>São Paulo</v>
      </c>
      <c r="L123" s="484" t="s">
        <v>785</v>
      </c>
      <c r="M123" s="484" t="s">
        <v>786</v>
      </c>
      <c r="N123" s="484" t="s">
        <v>714</v>
      </c>
      <c r="O123" s="487">
        <v>1939.66</v>
      </c>
    </row>
    <row r="124" spans="1:15" s="353" customFormat="1" ht="15" customHeight="1">
      <c r="A124" s="352"/>
      <c r="B124" s="483">
        <v>1</v>
      </c>
      <c r="C124" s="484" t="s">
        <v>782</v>
      </c>
      <c r="D124" s="484" t="s">
        <v>127</v>
      </c>
      <c r="E124" s="488" t="str">
        <f t="shared" si="17"/>
        <v>Open</v>
      </c>
      <c r="F124" s="488">
        <v>44895</v>
      </c>
      <c r="G124" s="488"/>
      <c r="H124" s="486" t="s">
        <v>673</v>
      </c>
      <c r="I124" s="484" t="str">
        <f>VLOOKUP(TabListaLojas[[#This Row],[UF]],UF!A:E,3,0)</f>
        <v>Southest</v>
      </c>
      <c r="J124" s="484" t="s">
        <v>118</v>
      </c>
      <c r="K124" s="484" t="str">
        <f>VLOOKUP(TabListaLojas[[#This Row],[UF]],UF!A:B,2,0)</f>
        <v>São Paulo</v>
      </c>
      <c r="L124" s="484" t="s">
        <v>783</v>
      </c>
      <c r="M124" s="484" t="s">
        <v>784</v>
      </c>
      <c r="N124" s="484" t="s">
        <v>676</v>
      </c>
      <c r="O124" s="487">
        <v>345.29</v>
      </c>
    </row>
    <row r="125" spans="1:15" s="353" customFormat="1" ht="15" customHeight="1">
      <c r="A125" s="352"/>
      <c r="B125" s="483">
        <v>1</v>
      </c>
      <c r="C125" s="484" t="s">
        <v>1573</v>
      </c>
      <c r="D125" s="488" t="s">
        <v>116</v>
      </c>
      <c r="E125" s="488" t="str">
        <f t="shared" si="17"/>
        <v>Open</v>
      </c>
      <c r="F125" s="488">
        <v>44894</v>
      </c>
      <c r="G125" s="488"/>
      <c r="H125" s="486" t="s">
        <v>673</v>
      </c>
      <c r="I125" s="484" t="str">
        <f>VLOOKUP(TabListaLojas[[#This Row],[UF]],UF!A:E,3,0)</f>
        <v>South</v>
      </c>
      <c r="J125" s="484" t="s">
        <v>161</v>
      </c>
      <c r="K125" s="484" t="str">
        <f>VLOOKUP(TabListaLojas[[#This Row],[UF]],UF!A:B,2,0)</f>
        <v>Paraná</v>
      </c>
      <c r="L125" s="484" t="s">
        <v>787</v>
      </c>
      <c r="M125" s="484" t="s">
        <v>788</v>
      </c>
      <c r="N125" s="484" t="s">
        <v>676</v>
      </c>
      <c r="O125" s="487">
        <v>1884.28</v>
      </c>
    </row>
    <row r="126" spans="1:15" s="353" customFormat="1" ht="15" customHeight="1">
      <c r="A126" s="352"/>
      <c r="B126" s="483">
        <v>1</v>
      </c>
      <c r="C126" s="484" t="s">
        <v>1574</v>
      </c>
      <c r="D126" s="488" t="s">
        <v>116</v>
      </c>
      <c r="E126" s="488" t="str">
        <f t="shared" si="17"/>
        <v>Open</v>
      </c>
      <c r="F126" s="488">
        <v>44894</v>
      </c>
      <c r="G126" s="488"/>
      <c r="H126" s="486" t="s">
        <v>673</v>
      </c>
      <c r="I126" s="484" t="str">
        <f>VLOOKUP(TabListaLojas[[#This Row],[UF]],UF!A:E,3,0)</f>
        <v>Northest</v>
      </c>
      <c r="J126" s="484" t="s">
        <v>120</v>
      </c>
      <c r="K126" s="484" t="str">
        <f>VLOOKUP(TabListaLojas[[#This Row],[UF]],UF!A:B,2,0)</f>
        <v>Bahia</v>
      </c>
      <c r="L126" s="484" t="s">
        <v>789</v>
      </c>
      <c r="M126" s="484" t="s">
        <v>790</v>
      </c>
      <c r="N126" s="484" t="s">
        <v>676</v>
      </c>
      <c r="O126" s="487">
        <v>1523.23</v>
      </c>
    </row>
    <row r="127" spans="1:15" s="354" customFormat="1" ht="15" customHeight="1">
      <c r="A127" s="352"/>
      <c r="B127" s="483">
        <v>1</v>
      </c>
      <c r="C127" s="484" t="s">
        <v>791</v>
      </c>
      <c r="D127" s="484" t="s">
        <v>127</v>
      </c>
      <c r="E127" s="488" t="str">
        <f t="shared" si="17"/>
        <v>Open</v>
      </c>
      <c r="F127" s="496">
        <v>44869</v>
      </c>
      <c r="G127" s="497"/>
      <c r="H127" s="486" t="s">
        <v>673</v>
      </c>
      <c r="I127" s="484" t="str">
        <f>VLOOKUP(TabListaLojas[[#This Row],[UF]],UF!A:E,3,0)</f>
        <v>South</v>
      </c>
      <c r="J127" s="484" t="s">
        <v>117</v>
      </c>
      <c r="K127" s="484" t="str">
        <f>VLOOKUP(TabListaLojas[[#This Row],[UF]],UF!A:B,2,0)</f>
        <v>Rio Grande do Sul</v>
      </c>
      <c r="L127" s="484" t="s">
        <v>792</v>
      </c>
      <c r="M127" s="484" t="s">
        <v>793</v>
      </c>
      <c r="N127" s="484" t="s">
        <v>676</v>
      </c>
      <c r="O127" s="487">
        <v>251.07</v>
      </c>
    </row>
    <row r="128" spans="1:15" s="354" customFormat="1" ht="15" customHeight="1">
      <c r="A128" s="352"/>
      <c r="B128" s="483">
        <v>1</v>
      </c>
      <c r="C128" s="484" t="s">
        <v>1575</v>
      </c>
      <c r="D128" s="488" t="s">
        <v>116</v>
      </c>
      <c r="E128" s="488" t="str">
        <f t="shared" si="17"/>
        <v>Open</v>
      </c>
      <c r="F128" s="496">
        <v>44848</v>
      </c>
      <c r="G128" s="497"/>
      <c r="H128" s="486" t="s">
        <v>673</v>
      </c>
      <c r="I128" s="484" t="str">
        <f>VLOOKUP(TabListaLojas[[#This Row],[UF]],UF!A:E,3,0)</f>
        <v>South</v>
      </c>
      <c r="J128" s="484" t="s">
        <v>117</v>
      </c>
      <c r="K128" s="484" t="str">
        <f>VLOOKUP(TabListaLojas[[#This Row],[UF]],UF!A:B,2,0)</f>
        <v>Rio Grande do Sul</v>
      </c>
      <c r="L128" s="484" t="s">
        <v>794</v>
      </c>
      <c r="M128" s="484" t="s">
        <v>795</v>
      </c>
      <c r="N128" s="484" t="s">
        <v>714</v>
      </c>
      <c r="O128" s="487">
        <v>1751.9</v>
      </c>
    </row>
    <row r="129" spans="1:15" s="354" customFormat="1" ht="15" customHeight="1">
      <c r="A129" s="352"/>
      <c r="B129" s="483">
        <v>1</v>
      </c>
      <c r="C129" s="484" t="s">
        <v>796</v>
      </c>
      <c r="D129" s="488" t="s">
        <v>701</v>
      </c>
      <c r="E129" s="488" t="str">
        <f t="shared" si="17"/>
        <v>Open</v>
      </c>
      <c r="F129" s="496">
        <v>44833</v>
      </c>
      <c r="G129" s="497"/>
      <c r="H129" s="486" t="s">
        <v>673</v>
      </c>
      <c r="I129" s="484" t="str">
        <f>VLOOKUP(TabListaLojas[[#This Row],[UF]],UF!A:E,3,0)</f>
        <v>Southest</v>
      </c>
      <c r="J129" s="484" t="s">
        <v>149</v>
      </c>
      <c r="K129" s="484" t="str">
        <f>VLOOKUP(TabListaLojas[[#This Row],[UF]],UF!A:B,2,0)</f>
        <v>Minas Gerais</v>
      </c>
      <c r="L129" s="484" t="s">
        <v>136</v>
      </c>
      <c r="M129" s="484" t="s">
        <v>797</v>
      </c>
      <c r="N129" s="484" t="s">
        <v>676</v>
      </c>
      <c r="O129" s="487">
        <v>149</v>
      </c>
    </row>
    <row r="130" spans="1:15" s="354" customFormat="1" ht="15" customHeight="1">
      <c r="A130" s="352"/>
      <c r="B130" s="483">
        <v>1</v>
      </c>
      <c r="C130" s="484" t="s">
        <v>798</v>
      </c>
      <c r="D130" s="484" t="s">
        <v>127</v>
      </c>
      <c r="E130" s="488" t="str">
        <f t="shared" si="17"/>
        <v>Open</v>
      </c>
      <c r="F130" s="496">
        <v>44827</v>
      </c>
      <c r="G130" s="497"/>
      <c r="H130" s="486" t="s">
        <v>673</v>
      </c>
      <c r="I130" s="484" t="str">
        <f>VLOOKUP(TabListaLojas[[#This Row],[UF]],UF!A:E,3,0)</f>
        <v>Northest</v>
      </c>
      <c r="J130" s="484" t="s">
        <v>148</v>
      </c>
      <c r="K130" s="484" t="str">
        <f>VLOOKUP(TabListaLojas[[#This Row],[UF]],UF!A:B,2,0)</f>
        <v>Ceará</v>
      </c>
      <c r="L130" s="484" t="s">
        <v>130</v>
      </c>
      <c r="M130" s="484" t="s">
        <v>799</v>
      </c>
      <c r="N130" s="484" t="s">
        <v>676</v>
      </c>
      <c r="O130" s="487">
        <v>262</v>
      </c>
    </row>
    <row r="131" spans="1:15" s="173" customFormat="1" ht="15" customHeight="1">
      <c r="A131" s="352"/>
      <c r="B131" s="483">
        <v>1</v>
      </c>
      <c r="C131" s="484" t="s">
        <v>2115</v>
      </c>
      <c r="D131" s="484" t="s">
        <v>126</v>
      </c>
      <c r="E131" s="488" t="str">
        <f t="shared" si="17"/>
        <v>Open</v>
      </c>
      <c r="F131" s="496">
        <v>44818</v>
      </c>
      <c r="G131" s="497"/>
      <c r="H131" s="486" t="s">
        <v>673</v>
      </c>
      <c r="I131" s="484" t="str">
        <f>VLOOKUP(TabListaLojas[[#This Row],[UF]],UF!A:E,3,0)</f>
        <v>South</v>
      </c>
      <c r="J131" s="484" t="s">
        <v>147</v>
      </c>
      <c r="K131" s="484" t="str">
        <f>VLOOKUP(TabListaLojas[[#This Row],[UF]],UF!A:B,2,0)</f>
        <v>Santa Catarina</v>
      </c>
      <c r="L131" s="484" t="s">
        <v>800</v>
      </c>
      <c r="M131" s="484" t="s">
        <v>801</v>
      </c>
      <c r="N131" s="484" t="s">
        <v>676</v>
      </c>
      <c r="O131" s="487">
        <v>615.92999999999995</v>
      </c>
    </row>
    <row r="132" spans="1:15" s="173" customFormat="1" ht="15" customHeight="1">
      <c r="A132" s="352"/>
      <c r="B132" s="483">
        <v>1</v>
      </c>
      <c r="C132" s="484" t="s">
        <v>1576</v>
      </c>
      <c r="D132" s="486" t="s">
        <v>116</v>
      </c>
      <c r="E132" s="488" t="str">
        <f t="shared" si="17"/>
        <v>Open</v>
      </c>
      <c r="F132" s="496">
        <v>44817</v>
      </c>
      <c r="G132" s="497"/>
      <c r="H132" s="486" t="s">
        <v>673</v>
      </c>
      <c r="I132" s="484" t="str">
        <f>VLOOKUP(TabListaLojas[[#This Row],[UF]],UF!A:E,3,0)</f>
        <v>South</v>
      </c>
      <c r="J132" s="484" t="s">
        <v>117</v>
      </c>
      <c r="K132" s="484" t="str">
        <f>VLOOKUP(TabListaLojas[[#This Row],[UF]],UF!A:B,2,0)</f>
        <v>Rio Grande do Sul</v>
      </c>
      <c r="L132" s="484" t="s">
        <v>802</v>
      </c>
      <c r="M132" s="484" t="s">
        <v>803</v>
      </c>
      <c r="N132" s="484" t="s">
        <v>714</v>
      </c>
      <c r="O132" s="487">
        <v>1626.88</v>
      </c>
    </row>
    <row r="133" spans="1:15" s="173" customFormat="1" ht="15" customHeight="1">
      <c r="A133" s="352"/>
      <c r="B133" s="483">
        <v>1</v>
      </c>
      <c r="C133" s="484" t="s">
        <v>1577</v>
      </c>
      <c r="D133" s="486" t="s">
        <v>116</v>
      </c>
      <c r="E133" s="488" t="str">
        <f t="shared" ref="E133:E142" si="18">IF(G133="","Open","Closed")</f>
        <v>Open</v>
      </c>
      <c r="F133" s="496">
        <v>44812</v>
      </c>
      <c r="G133" s="497"/>
      <c r="H133" s="486" t="s">
        <v>673</v>
      </c>
      <c r="I133" s="484" t="str">
        <f>VLOOKUP(TabListaLojas[[#This Row],[UF]],UF!A:E,3,0)</f>
        <v>South</v>
      </c>
      <c r="J133" s="484" t="s">
        <v>117</v>
      </c>
      <c r="K133" s="484" t="str">
        <f>VLOOKUP(TabListaLojas[[#This Row],[UF]],UF!A:B,2,0)</f>
        <v>Rio Grande do Sul</v>
      </c>
      <c r="L133" s="484" t="s">
        <v>804</v>
      </c>
      <c r="M133" s="484" t="s">
        <v>805</v>
      </c>
      <c r="N133" s="484" t="s">
        <v>714</v>
      </c>
      <c r="O133" s="487">
        <v>1654.62</v>
      </c>
    </row>
    <row r="134" spans="1:15" s="173" customFormat="1" ht="15" customHeight="1">
      <c r="A134" s="352"/>
      <c r="B134" s="483">
        <v>1</v>
      </c>
      <c r="C134" s="484" t="s">
        <v>1578</v>
      </c>
      <c r="D134" s="486" t="s">
        <v>116</v>
      </c>
      <c r="E134" s="488" t="str">
        <f t="shared" si="18"/>
        <v>Open</v>
      </c>
      <c r="F134" s="496">
        <v>44799</v>
      </c>
      <c r="G134" s="497"/>
      <c r="H134" s="497" t="s">
        <v>202</v>
      </c>
      <c r="I134" s="484" t="str">
        <f>VLOOKUP(TabListaLojas[[#This Row],[UF]],UF!A:E,3,0)</f>
        <v>Uruguay</v>
      </c>
      <c r="J134" s="497" t="s">
        <v>318</v>
      </c>
      <c r="K134" s="484" t="str">
        <f>VLOOKUP(TabListaLojas[[#This Row],[UF]],UF!A:B,2,0)</f>
        <v>Uruguay</v>
      </c>
      <c r="L134" s="484" t="s">
        <v>806</v>
      </c>
      <c r="M134" s="484" t="s">
        <v>807</v>
      </c>
      <c r="N134" s="484" t="s">
        <v>676</v>
      </c>
      <c r="O134" s="487">
        <v>2464.6499999999996</v>
      </c>
    </row>
    <row r="135" spans="1:15" s="173" customFormat="1" ht="15" customHeight="1">
      <c r="A135" s="352"/>
      <c r="B135" s="483">
        <v>1</v>
      </c>
      <c r="C135" s="484" t="s">
        <v>1579</v>
      </c>
      <c r="D135" s="486" t="s">
        <v>116</v>
      </c>
      <c r="E135" s="488" t="str">
        <f t="shared" si="18"/>
        <v>Open</v>
      </c>
      <c r="F135" s="496">
        <v>44796</v>
      </c>
      <c r="G135" s="497"/>
      <c r="H135" s="486" t="s">
        <v>673</v>
      </c>
      <c r="I135" s="484" t="str">
        <f>VLOOKUP(TabListaLojas[[#This Row],[UF]],UF!A:E,3,0)</f>
        <v>South</v>
      </c>
      <c r="J135" s="484" t="s">
        <v>117</v>
      </c>
      <c r="K135" s="484" t="str">
        <f>VLOOKUP(TabListaLojas[[#This Row],[UF]],UF!A:B,2,0)</f>
        <v>Rio Grande do Sul</v>
      </c>
      <c r="L135" s="497" t="s">
        <v>808</v>
      </c>
      <c r="M135" s="484" t="s">
        <v>809</v>
      </c>
      <c r="N135" s="484" t="s">
        <v>714</v>
      </c>
      <c r="O135" s="487">
        <v>1748.29</v>
      </c>
    </row>
    <row r="136" spans="1:15" s="173" customFormat="1" ht="15" customHeight="1">
      <c r="A136" s="352"/>
      <c r="B136" s="483">
        <v>1</v>
      </c>
      <c r="C136" s="484" t="s">
        <v>1580</v>
      </c>
      <c r="D136" s="486" t="s">
        <v>116</v>
      </c>
      <c r="E136" s="488" t="str">
        <f t="shared" si="18"/>
        <v>Open</v>
      </c>
      <c r="F136" s="496">
        <v>44792</v>
      </c>
      <c r="G136" s="497"/>
      <c r="H136" s="486" t="s">
        <v>673</v>
      </c>
      <c r="I136" s="484" t="str">
        <f>VLOOKUP(TabListaLojas[[#This Row],[UF]],UF!A:E,3,0)</f>
        <v>South</v>
      </c>
      <c r="J136" s="497" t="s">
        <v>147</v>
      </c>
      <c r="K136" s="484" t="str">
        <f>VLOOKUP(TabListaLojas[[#This Row],[UF]],UF!A:B,2,0)</f>
        <v>Santa Catarina</v>
      </c>
      <c r="L136" s="497" t="s">
        <v>810</v>
      </c>
      <c r="M136" s="484" t="s">
        <v>811</v>
      </c>
      <c r="N136" s="484" t="s">
        <v>714</v>
      </c>
      <c r="O136" s="487">
        <v>1787.95</v>
      </c>
    </row>
    <row r="137" spans="1:15" s="353" customFormat="1" ht="15" customHeight="1">
      <c r="A137" s="352"/>
      <c r="B137" s="483">
        <v>1</v>
      </c>
      <c r="C137" s="484" t="s">
        <v>1581</v>
      </c>
      <c r="D137" s="484" t="s">
        <v>116</v>
      </c>
      <c r="E137" s="488" t="str">
        <f t="shared" si="18"/>
        <v>Open</v>
      </c>
      <c r="F137" s="488">
        <v>44778</v>
      </c>
      <c r="G137" s="488"/>
      <c r="H137" s="484" t="s">
        <v>673</v>
      </c>
      <c r="I137" s="484" t="str">
        <f>VLOOKUP(TabListaLojas[[#This Row],[UF]],UF!A:E,3,0)</f>
        <v>South</v>
      </c>
      <c r="J137" s="484" t="s">
        <v>117</v>
      </c>
      <c r="K137" s="484" t="str">
        <f>VLOOKUP(TabListaLojas[[#This Row],[UF]],UF!A:B,2,0)</f>
        <v>Rio Grande do Sul</v>
      </c>
      <c r="L137" s="484" t="s">
        <v>812</v>
      </c>
      <c r="M137" s="484" t="s">
        <v>813</v>
      </c>
      <c r="N137" s="484" t="s">
        <v>714</v>
      </c>
      <c r="O137" s="487">
        <v>1816.14</v>
      </c>
    </row>
    <row r="138" spans="1:15" s="353" customFormat="1" ht="15" customHeight="1">
      <c r="A138" s="352"/>
      <c r="B138" s="483">
        <v>1</v>
      </c>
      <c r="C138" s="484" t="s">
        <v>2114</v>
      </c>
      <c r="D138" s="484" t="s">
        <v>126</v>
      </c>
      <c r="E138" s="488" t="str">
        <f t="shared" si="18"/>
        <v>Open</v>
      </c>
      <c r="F138" s="488">
        <v>44777</v>
      </c>
      <c r="G138" s="488"/>
      <c r="H138" s="484" t="s">
        <v>673</v>
      </c>
      <c r="I138" s="484" t="str">
        <f>VLOOKUP(TabListaLojas[[#This Row],[UF]],UF!A:E,3,0)</f>
        <v>South</v>
      </c>
      <c r="J138" s="484" t="s">
        <v>147</v>
      </c>
      <c r="K138" s="484" t="str">
        <f>VLOOKUP(TabListaLojas[[#This Row],[UF]],UF!A:B,2,0)</f>
        <v>Santa Catarina</v>
      </c>
      <c r="L138" s="484" t="s">
        <v>814</v>
      </c>
      <c r="M138" s="484" t="s">
        <v>676</v>
      </c>
      <c r="N138" s="484" t="s">
        <v>676</v>
      </c>
      <c r="O138" s="487">
        <v>645.1</v>
      </c>
    </row>
    <row r="139" spans="1:15" s="353" customFormat="1" ht="15" customHeight="1">
      <c r="A139" s="352"/>
      <c r="B139" s="483">
        <v>1</v>
      </c>
      <c r="C139" s="484" t="s">
        <v>2113</v>
      </c>
      <c r="D139" s="488" t="s">
        <v>126</v>
      </c>
      <c r="E139" s="488" t="str">
        <f t="shared" si="18"/>
        <v>Open</v>
      </c>
      <c r="F139" s="488">
        <v>44763</v>
      </c>
      <c r="G139" s="488"/>
      <c r="H139" s="484" t="s">
        <v>673</v>
      </c>
      <c r="I139" s="484" t="str">
        <f>VLOOKUP(TabListaLojas[[#This Row],[UF]],UF!A:E,3,0)</f>
        <v>Southest</v>
      </c>
      <c r="J139" s="484" t="s">
        <v>118</v>
      </c>
      <c r="K139" s="484" t="str">
        <f>VLOOKUP(TabListaLojas[[#This Row],[UF]],UF!A:B,2,0)</f>
        <v>São Paulo</v>
      </c>
      <c r="L139" s="484" t="s">
        <v>815</v>
      </c>
      <c r="M139" s="484" t="s">
        <v>816</v>
      </c>
      <c r="N139" s="484" t="s">
        <v>676</v>
      </c>
      <c r="O139" s="487">
        <v>604.24</v>
      </c>
    </row>
    <row r="140" spans="1:15" s="353" customFormat="1" ht="15" customHeight="1">
      <c r="A140" s="352"/>
      <c r="B140" s="483">
        <v>1</v>
      </c>
      <c r="C140" s="484" t="s">
        <v>1582</v>
      </c>
      <c r="D140" s="488" t="s">
        <v>116</v>
      </c>
      <c r="E140" s="488" t="str">
        <f t="shared" si="18"/>
        <v>Open</v>
      </c>
      <c r="F140" s="488">
        <v>44749</v>
      </c>
      <c r="G140" s="488"/>
      <c r="H140" s="484" t="s">
        <v>673</v>
      </c>
      <c r="I140" s="484" t="str">
        <f>VLOOKUP(TabListaLojas[[#This Row],[UF]],UF!A:E,3,0)</f>
        <v>South</v>
      </c>
      <c r="J140" s="484" t="s">
        <v>117</v>
      </c>
      <c r="K140" s="484" t="str">
        <f>VLOOKUP(TabListaLojas[[#This Row],[UF]],UF!A:B,2,0)</f>
        <v>Rio Grande do Sul</v>
      </c>
      <c r="L140" s="484" t="s">
        <v>817</v>
      </c>
      <c r="M140" s="484" t="s">
        <v>818</v>
      </c>
      <c r="N140" s="484" t="s">
        <v>714</v>
      </c>
      <c r="O140" s="487">
        <v>1983.38</v>
      </c>
    </row>
    <row r="141" spans="1:15" s="353" customFormat="1" ht="15" customHeight="1">
      <c r="A141" s="352"/>
      <c r="B141" s="483">
        <v>1</v>
      </c>
      <c r="C141" s="484" t="s">
        <v>1583</v>
      </c>
      <c r="D141" s="488" t="s">
        <v>116</v>
      </c>
      <c r="E141" s="488" t="str">
        <f t="shared" si="18"/>
        <v>Open</v>
      </c>
      <c r="F141" s="488">
        <v>44734</v>
      </c>
      <c r="G141" s="488"/>
      <c r="H141" s="484" t="s">
        <v>673</v>
      </c>
      <c r="I141" s="484" t="str">
        <f>VLOOKUP(TabListaLojas[[#This Row],[UF]],UF!A:E,3,0)</f>
        <v>South</v>
      </c>
      <c r="J141" s="484" t="s">
        <v>161</v>
      </c>
      <c r="K141" s="484" t="str">
        <f>VLOOKUP(TabListaLojas[[#This Row],[UF]],UF!A:B,2,0)</f>
        <v>Paraná</v>
      </c>
      <c r="L141" s="484" t="s">
        <v>819</v>
      </c>
      <c r="M141" s="484" t="s">
        <v>820</v>
      </c>
      <c r="N141" s="484" t="s">
        <v>714</v>
      </c>
      <c r="O141" s="487">
        <v>1603.25</v>
      </c>
    </row>
    <row r="142" spans="1:15" s="353" customFormat="1" ht="15" customHeight="1">
      <c r="A142" s="352"/>
      <c r="B142" s="483">
        <v>1</v>
      </c>
      <c r="C142" s="484" t="s">
        <v>821</v>
      </c>
      <c r="D142" s="488" t="s">
        <v>701</v>
      </c>
      <c r="E142" s="488" t="str">
        <f t="shared" si="18"/>
        <v>Open</v>
      </c>
      <c r="F142" s="488">
        <v>44733</v>
      </c>
      <c r="G142" s="488"/>
      <c r="H142" s="484" t="s">
        <v>673</v>
      </c>
      <c r="I142" s="484" t="str">
        <f>VLOOKUP(TabListaLojas[[#This Row],[UF]],UF!A:E,3,0)</f>
        <v>Northest</v>
      </c>
      <c r="J142" s="484" t="s">
        <v>121</v>
      </c>
      <c r="K142" s="484" t="str">
        <f>VLOOKUP(TabListaLojas[[#This Row],[UF]],UF!A:B,2,0)</f>
        <v>Pernambuco</v>
      </c>
      <c r="L142" s="484" t="s">
        <v>125</v>
      </c>
      <c r="M142" s="484" t="s">
        <v>822</v>
      </c>
      <c r="N142" s="484" t="s">
        <v>676</v>
      </c>
      <c r="O142" s="487">
        <v>212.6</v>
      </c>
    </row>
    <row r="143" spans="1:15" s="353" customFormat="1" ht="15" customHeight="1">
      <c r="A143" s="352"/>
      <c r="B143" s="483">
        <v>1</v>
      </c>
      <c r="C143" s="484" t="s">
        <v>823</v>
      </c>
      <c r="D143" s="488" t="s">
        <v>127</v>
      </c>
      <c r="E143" s="488" t="str">
        <f t="shared" ref="E143:E182" si="19">IF(G143="","Open","Closed")</f>
        <v>Open</v>
      </c>
      <c r="F143" s="488">
        <v>44722</v>
      </c>
      <c r="G143" s="488"/>
      <c r="H143" s="484" t="s">
        <v>673</v>
      </c>
      <c r="I143" s="484" t="str">
        <f>VLOOKUP(TabListaLojas[[#This Row],[UF]],UF!A:E,3,0)</f>
        <v>Northest</v>
      </c>
      <c r="J143" s="484" t="s">
        <v>153</v>
      </c>
      <c r="K143" s="484" t="str">
        <f>VLOOKUP(TabListaLojas[[#This Row],[UF]],UF!A:B,2,0)</f>
        <v>Rio Grande do Norte</v>
      </c>
      <c r="L143" s="484" t="s">
        <v>145</v>
      </c>
      <c r="M143" s="484" t="s">
        <v>824</v>
      </c>
      <c r="N143" s="484" t="s">
        <v>676</v>
      </c>
      <c r="O143" s="487">
        <v>307.29000000000002</v>
      </c>
    </row>
    <row r="144" spans="1:15" s="353" customFormat="1" ht="15" customHeight="1">
      <c r="A144" s="352"/>
      <c r="B144" s="483">
        <v>1</v>
      </c>
      <c r="C144" s="484" t="s">
        <v>825</v>
      </c>
      <c r="D144" s="488" t="s">
        <v>127</v>
      </c>
      <c r="E144" s="488" t="str">
        <f t="shared" si="19"/>
        <v>Open</v>
      </c>
      <c r="F144" s="488">
        <v>44719</v>
      </c>
      <c r="G144" s="488"/>
      <c r="H144" s="484" t="s">
        <v>673</v>
      </c>
      <c r="I144" s="484" t="str">
        <f>VLOOKUP(TabListaLojas[[#This Row],[UF]],UF!A:E,3,0)</f>
        <v>Northest</v>
      </c>
      <c r="J144" s="484" t="s">
        <v>159</v>
      </c>
      <c r="K144" s="484" t="str">
        <f>VLOOKUP(TabListaLojas[[#This Row],[UF]],UF!A:B,2,0)</f>
        <v>Alagoas</v>
      </c>
      <c r="L144" s="484" t="s">
        <v>144</v>
      </c>
      <c r="M144" s="484" t="s">
        <v>826</v>
      </c>
      <c r="N144" s="484" t="s">
        <v>676</v>
      </c>
      <c r="O144" s="487">
        <v>409.22999999999996</v>
      </c>
    </row>
    <row r="145" spans="1:15" s="353" customFormat="1" ht="15" hidden="1" customHeight="1">
      <c r="A145" s="352"/>
      <c r="B145" s="491">
        <v>0</v>
      </c>
      <c r="C145" s="492" t="s">
        <v>1571</v>
      </c>
      <c r="D145" s="493" t="s">
        <v>116</v>
      </c>
      <c r="E145" s="493" t="str">
        <f t="shared" si="19"/>
        <v>Closed</v>
      </c>
      <c r="F145" s="493">
        <v>44712</v>
      </c>
      <c r="G145" s="493">
        <v>45252</v>
      </c>
      <c r="H145" s="492" t="s">
        <v>673</v>
      </c>
      <c r="I145" s="492" t="str">
        <f>VLOOKUP(TabListaLojas[[#This Row],[UF]],UF!A:E,3,0)</f>
        <v>Southest</v>
      </c>
      <c r="J145" s="492" t="s">
        <v>118</v>
      </c>
      <c r="K145" s="492" t="str">
        <f>VLOOKUP(TabListaLojas[[#This Row],[UF]],UF!A:B,2,0)</f>
        <v>São Paulo</v>
      </c>
      <c r="L145" s="492" t="s">
        <v>124</v>
      </c>
      <c r="M145" s="492" t="s">
        <v>728</v>
      </c>
      <c r="N145" s="492" t="s">
        <v>676</v>
      </c>
      <c r="O145" s="495">
        <v>0</v>
      </c>
    </row>
    <row r="146" spans="1:15" s="353" customFormat="1" ht="15" customHeight="1">
      <c r="A146" s="352"/>
      <c r="B146" s="483">
        <v>1</v>
      </c>
      <c r="C146" s="484" t="s">
        <v>827</v>
      </c>
      <c r="D146" s="488" t="s">
        <v>127</v>
      </c>
      <c r="E146" s="488" t="str">
        <f t="shared" si="19"/>
        <v>Open</v>
      </c>
      <c r="F146" s="488">
        <v>44709</v>
      </c>
      <c r="G146" s="488"/>
      <c r="H146" s="484" t="s">
        <v>673</v>
      </c>
      <c r="I146" s="484" t="str">
        <f>VLOOKUP(TabListaLojas[[#This Row],[UF]],UF!A:E,3,0)</f>
        <v>Northest</v>
      </c>
      <c r="J146" s="484" t="s">
        <v>154</v>
      </c>
      <c r="K146" s="484" t="str">
        <f>VLOOKUP(TabListaLojas[[#This Row],[UF]],UF!A:B,2,0)</f>
        <v>Maranhão</v>
      </c>
      <c r="L146" s="484" t="s">
        <v>171</v>
      </c>
      <c r="M146" s="484" t="s">
        <v>828</v>
      </c>
      <c r="N146" s="484" t="s">
        <v>676</v>
      </c>
      <c r="O146" s="487">
        <v>254.51</v>
      </c>
    </row>
    <row r="147" spans="1:15" s="173" customFormat="1" ht="15" customHeight="1">
      <c r="A147" s="352"/>
      <c r="B147" s="483">
        <v>1</v>
      </c>
      <c r="C147" s="484" t="s">
        <v>829</v>
      </c>
      <c r="D147" s="488" t="s">
        <v>127</v>
      </c>
      <c r="E147" s="488" t="str">
        <f t="shared" si="19"/>
        <v>Open</v>
      </c>
      <c r="F147" s="488">
        <v>44694</v>
      </c>
      <c r="G147" s="488"/>
      <c r="H147" s="484" t="s">
        <v>673</v>
      </c>
      <c r="I147" s="484" t="str">
        <f>VLOOKUP(TabListaLojas[[#This Row],[UF]],UF!A:E,3,0)</f>
        <v>Northest</v>
      </c>
      <c r="J147" s="484" t="s">
        <v>163</v>
      </c>
      <c r="K147" s="484" t="str">
        <f>VLOOKUP(TabListaLojas[[#This Row],[UF]],UF!A:B,2,0)</f>
        <v>Sergipe</v>
      </c>
      <c r="L147" s="484" t="s">
        <v>830</v>
      </c>
      <c r="M147" s="484" t="s">
        <v>831</v>
      </c>
      <c r="N147" s="484" t="s">
        <v>676</v>
      </c>
      <c r="O147" s="487">
        <v>223</v>
      </c>
    </row>
    <row r="148" spans="1:15" s="173" customFormat="1" ht="15" customHeight="1">
      <c r="A148" s="352"/>
      <c r="B148" s="483">
        <v>1</v>
      </c>
      <c r="C148" s="484" t="s">
        <v>2232</v>
      </c>
      <c r="D148" s="488" t="s">
        <v>127</v>
      </c>
      <c r="E148" s="488" t="str">
        <f t="shared" si="19"/>
        <v>Open</v>
      </c>
      <c r="F148" s="488">
        <v>44687</v>
      </c>
      <c r="G148" s="488"/>
      <c r="H148" s="484" t="s">
        <v>673</v>
      </c>
      <c r="I148" s="484" t="str">
        <f>VLOOKUP(TabListaLojas[[#This Row],[UF]],UF!A:E,3,0)</f>
        <v>Northest</v>
      </c>
      <c r="J148" s="484" t="s">
        <v>148</v>
      </c>
      <c r="K148" s="484" t="str">
        <f>VLOOKUP(TabListaLojas[[#This Row],[UF]],UF!A:B,2,0)</f>
        <v>Ceará</v>
      </c>
      <c r="L148" s="484" t="s">
        <v>130</v>
      </c>
      <c r="M148" s="484" t="s">
        <v>832</v>
      </c>
      <c r="N148" s="484" t="s">
        <v>676</v>
      </c>
      <c r="O148" s="487">
        <v>268.56</v>
      </c>
    </row>
    <row r="149" spans="1:15" s="173" customFormat="1" ht="15" customHeight="1">
      <c r="A149" s="352"/>
      <c r="B149" s="483">
        <v>1</v>
      </c>
      <c r="C149" s="484" t="s">
        <v>1584</v>
      </c>
      <c r="D149" s="488" t="s">
        <v>116</v>
      </c>
      <c r="E149" s="488" t="str">
        <f t="shared" si="19"/>
        <v>Open</v>
      </c>
      <c r="F149" s="488">
        <v>44684</v>
      </c>
      <c r="G149" s="488"/>
      <c r="H149" s="484" t="s">
        <v>673</v>
      </c>
      <c r="I149" s="484" t="str">
        <f>VLOOKUP(TabListaLojas[[#This Row],[UF]],UF!A:E,3,0)</f>
        <v>Southest</v>
      </c>
      <c r="J149" s="484" t="s">
        <v>118</v>
      </c>
      <c r="K149" s="484" t="str">
        <f>VLOOKUP(TabListaLojas[[#This Row],[UF]],UF!A:B,2,0)</f>
        <v>São Paulo</v>
      </c>
      <c r="L149" s="484" t="s">
        <v>833</v>
      </c>
      <c r="M149" s="484" t="s">
        <v>834</v>
      </c>
      <c r="N149" s="484" t="s">
        <v>714</v>
      </c>
      <c r="O149" s="487">
        <v>2323.77</v>
      </c>
    </row>
    <row r="150" spans="1:15" s="173" customFormat="1" ht="15" customHeight="1">
      <c r="A150" s="352"/>
      <c r="B150" s="483">
        <v>1</v>
      </c>
      <c r="C150" s="484" t="s">
        <v>835</v>
      </c>
      <c r="D150" s="488" t="s">
        <v>127</v>
      </c>
      <c r="E150" s="488" t="str">
        <f t="shared" si="19"/>
        <v>Open</v>
      </c>
      <c r="F150" s="488">
        <v>44681</v>
      </c>
      <c r="G150" s="488"/>
      <c r="H150" s="484" t="s">
        <v>673</v>
      </c>
      <c r="I150" s="484" t="str">
        <f>VLOOKUP(TabListaLojas[[#This Row],[UF]],UF!A:E,3,0)</f>
        <v>Southest</v>
      </c>
      <c r="J150" s="484" t="s">
        <v>152</v>
      </c>
      <c r="K150" s="484" t="str">
        <f>VLOOKUP(TabListaLojas[[#This Row],[UF]],UF!A:B,2,0)</f>
        <v>Espírito Santo</v>
      </c>
      <c r="L150" s="484" t="s">
        <v>836</v>
      </c>
      <c r="M150" s="484" t="s">
        <v>837</v>
      </c>
      <c r="N150" s="484" t="s">
        <v>676</v>
      </c>
      <c r="O150" s="487">
        <v>194.84</v>
      </c>
    </row>
    <row r="151" spans="1:15" s="173" customFormat="1" ht="15" customHeight="1">
      <c r="A151" s="352"/>
      <c r="B151" s="483">
        <v>1</v>
      </c>
      <c r="C151" s="484" t="s">
        <v>1585</v>
      </c>
      <c r="D151" s="488" t="s">
        <v>116</v>
      </c>
      <c r="E151" s="488" t="str">
        <f t="shared" si="19"/>
        <v>Open</v>
      </c>
      <c r="F151" s="488">
        <v>44680</v>
      </c>
      <c r="G151" s="488"/>
      <c r="H151" s="484" t="s">
        <v>673</v>
      </c>
      <c r="I151" s="484" t="str">
        <f>VLOOKUP(TabListaLojas[[#This Row],[UF]],UF!A:E,3,0)</f>
        <v>South</v>
      </c>
      <c r="J151" s="484" t="s">
        <v>117</v>
      </c>
      <c r="K151" s="484" t="str">
        <f>VLOOKUP(TabListaLojas[[#This Row],[UF]],UF!A:B,2,0)</f>
        <v>Rio Grande do Sul</v>
      </c>
      <c r="L151" s="484" t="s">
        <v>838</v>
      </c>
      <c r="M151" s="484" t="s">
        <v>839</v>
      </c>
      <c r="N151" s="484" t="s">
        <v>676</v>
      </c>
      <c r="O151" s="487">
        <v>2000.87</v>
      </c>
    </row>
    <row r="152" spans="1:15" s="173" customFormat="1" ht="15" customHeight="1">
      <c r="A152" s="7"/>
      <c r="B152" s="483">
        <v>1</v>
      </c>
      <c r="C152" s="484" t="s">
        <v>1586</v>
      </c>
      <c r="D152" s="488" t="s">
        <v>116</v>
      </c>
      <c r="E152" s="488" t="str">
        <f t="shared" si="19"/>
        <v>Open</v>
      </c>
      <c r="F152" s="488">
        <v>44680</v>
      </c>
      <c r="G152" s="488"/>
      <c r="H152" s="484" t="s">
        <v>673</v>
      </c>
      <c r="I152" s="484" t="str">
        <f>VLOOKUP(TabListaLojas[[#This Row],[UF]],UF!A:E,3,0)</f>
        <v>South</v>
      </c>
      <c r="J152" s="484" t="s">
        <v>117</v>
      </c>
      <c r="K152" s="484" t="str">
        <f>VLOOKUP(TabListaLojas[[#This Row],[UF]],UF!A:B,2,0)</f>
        <v>Rio Grande do Sul</v>
      </c>
      <c r="L152" s="484" t="s">
        <v>129</v>
      </c>
      <c r="M152" s="484" t="s">
        <v>840</v>
      </c>
      <c r="N152" s="484" t="s">
        <v>676</v>
      </c>
      <c r="O152" s="487">
        <v>1808.23</v>
      </c>
    </row>
    <row r="153" spans="1:15" s="173" customFormat="1" ht="15" customHeight="1">
      <c r="A153" s="7"/>
      <c r="B153" s="483">
        <v>1</v>
      </c>
      <c r="C153" s="484" t="s">
        <v>1587</v>
      </c>
      <c r="D153" s="488" t="s">
        <v>116</v>
      </c>
      <c r="E153" s="488" t="str">
        <f t="shared" si="19"/>
        <v>Open</v>
      </c>
      <c r="F153" s="488">
        <v>44679</v>
      </c>
      <c r="G153" s="488"/>
      <c r="H153" s="484" t="s">
        <v>673</v>
      </c>
      <c r="I153" s="484" t="str">
        <f>VLOOKUP(TabListaLojas[[#This Row],[UF]],UF!A:E,3,0)</f>
        <v>South</v>
      </c>
      <c r="J153" s="484" t="s">
        <v>161</v>
      </c>
      <c r="K153" s="484" t="str">
        <f>VLOOKUP(TabListaLojas[[#This Row],[UF]],UF!A:B,2,0)</f>
        <v>Paraná</v>
      </c>
      <c r="L153" s="484" t="s">
        <v>841</v>
      </c>
      <c r="M153" s="484" t="s">
        <v>841</v>
      </c>
      <c r="N153" s="484" t="s">
        <v>676</v>
      </c>
      <c r="O153" s="487">
        <v>1952.23</v>
      </c>
    </row>
    <row r="154" spans="1:15" s="173" customFormat="1" ht="15" customHeight="1">
      <c r="A154" s="7"/>
      <c r="B154" s="483">
        <v>1</v>
      </c>
      <c r="C154" s="484" t="s">
        <v>1588</v>
      </c>
      <c r="D154" s="488" t="s">
        <v>116</v>
      </c>
      <c r="E154" s="488" t="str">
        <f t="shared" si="19"/>
        <v>Open</v>
      </c>
      <c r="F154" s="488">
        <v>44678</v>
      </c>
      <c r="G154" s="488"/>
      <c r="H154" s="484" t="s">
        <v>673</v>
      </c>
      <c r="I154" s="484" t="str">
        <f>VLOOKUP(TabListaLojas[[#This Row],[UF]],UF!A:E,3,0)</f>
        <v>South</v>
      </c>
      <c r="J154" s="484" t="s">
        <v>117</v>
      </c>
      <c r="K154" s="484" t="str">
        <f>VLOOKUP(TabListaLojas[[#This Row],[UF]],UF!A:B,2,0)</f>
        <v>Rio Grande do Sul</v>
      </c>
      <c r="L154" s="484" t="s">
        <v>842</v>
      </c>
      <c r="M154" s="484" t="s">
        <v>843</v>
      </c>
      <c r="N154" s="484" t="s">
        <v>714</v>
      </c>
      <c r="O154" s="487">
        <v>2019.38</v>
      </c>
    </row>
    <row r="155" spans="1:15" s="173" customFormat="1" ht="15" customHeight="1">
      <c r="A155" s="7"/>
      <c r="B155" s="483">
        <v>1</v>
      </c>
      <c r="C155" s="484" t="s">
        <v>844</v>
      </c>
      <c r="D155" s="488" t="s">
        <v>127</v>
      </c>
      <c r="E155" s="488" t="str">
        <f t="shared" si="19"/>
        <v>Open</v>
      </c>
      <c r="F155" s="488">
        <v>44665</v>
      </c>
      <c r="G155" s="488"/>
      <c r="H155" s="484" t="s">
        <v>673</v>
      </c>
      <c r="I155" s="484" t="str">
        <f>VLOOKUP(TabListaLojas[[#This Row],[UF]],UF!A:E,3,0)</f>
        <v>Southest</v>
      </c>
      <c r="J155" s="484" t="s">
        <v>152</v>
      </c>
      <c r="K155" s="484" t="str">
        <f>VLOOKUP(TabListaLojas[[#This Row],[UF]],UF!A:B,2,0)</f>
        <v>Espírito Santo</v>
      </c>
      <c r="L155" s="484" t="s">
        <v>168</v>
      </c>
      <c r="M155" s="484" t="s">
        <v>722</v>
      </c>
      <c r="N155" s="484" t="s">
        <v>676</v>
      </c>
      <c r="O155" s="487">
        <v>344.17</v>
      </c>
    </row>
    <row r="156" spans="1:15" s="173" customFormat="1" ht="15" customHeight="1">
      <c r="A156" s="7"/>
      <c r="B156" s="483">
        <v>1</v>
      </c>
      <c r="C156" s="484" t="s">
        <v>845</v>
      </c>
      <c r="D156" s="488" t="s">
        <v>127</v>
      </c>
      <c r="E156" s="488" t="str">
        <f t="shared" si="19"/>
        <v>Open</v>
      </c>
      <c r="F156" s="488">
        <v>44652</v>
      </c>
      <c r="G156" s="488"/>
      <c r="H156" s="484" t="s">
        <v>673</v>
      </c>
      <c r="I156" s="484" t="str">
        <f>VLOOKUP(TabListaLojas[[#This Row],[UF]],UF!A:E,3,0)</f>
        <v>Southest</v>
      </c>
      <c r="J156" s="484" t="s">
        <v>122</v>
      </c>
      <c r="K156" s="484" t="str">
        <f>VLOOKUP(TabListaLojas[[#This Row],[UF]],UF!A:B,2,0)</f>
        <v>Rio de Janeiro</v>
      </c>
      <c r="L156" s="484" t="s">
        <v>846</v>
      </c>
      <c r="M156" s="484" t="s">
        <v>847</v>
      </c>
      <c r="N156" s="484" t="s">
        <v>676</v>
      </c>
      <c r="O156" s="487">
        <v>193</v>
      </c>
    </row>
    <row r="157" spans="1:15" s="173" customFormat="1" ht="15" customHeight="1">
      <c r="A157" s="7"/>
      <c r="B157" s="483">
        <v>1</v>
      </c>
      <c r="C157" s="484" t="s">
        <v>1589</v>
      </c>
      <c r="D157" s="488" t="s">
        <v>116</v>
      </c>
      <c r="E157" s="488" t="str">
        <f t="shared" si="19"/>
        <v>Open</v>
      </c>
      <c r="F157" s="488">
        <v>44649</v>
      </c>
      <c r="G157" s="488"/>
      <c r="H157" s="484" t="s">
        <v>673</v>
      </c>
      <c r="I157" s="484" t="str">
        <f>VLOOKUP(TabListaLojas[[#This Row],[UF]],UF!A:E,3,0)</f>
        <v>Southest</v>
      </c>
      <c r="J157" s="484" t="s">
        <v>122</v>
      </c>
      <c r="K157" s="484" t="str">
        <f>VLOOKUP(TabListaLojas[[#This Row],[UF]],UF!A:B,2,0)</f>
        <v>Rio de Janeiro</v>
      </c>
      <c r="L157" s="484" t="s">
        <v>848</v>
      </c>
      <c r="M157" s="484" t="s">
        <v>849</v>
      </c>
      <c r="N157" s="484" t="s">
        <v>676</v>
      </c>
      <c r="O157" s="487">
        <v>2577.25</v>
      </c>
    </row>
    <row r="158" spans="1:15" s="173" customFormat="1" ht="15" customHeight="1">
      <c r="A158" s="7"/>
      <c r="B158" s="483">
        <v>1</v>
      </c>
      <c r="C158" s="484" t="s">
        <v>2112</v>
      </c>
      <c r="D158" s="488" t="s">
        <v>126</v>
      </c>
      <c r="E158" s="488" t="str">
        <f t="shared" si="19"/>
        <v>Open</v>
      </c>
      <c r="F158" s="488">
        <v>44647</v>
      </c>
      <c r="G158" s="488"/>
      <c r="H158" s="484" t="s">
        <v>673</v>
      </c>
      <c r="I158" s="484" t="str">
        <f>VLOOKUP(TabListaLojas[[#This Row],[UF]],UF!A:E,3,0)</f>
        <v>South</v>
      </c>
      <c r="J158" s="484" t="s">
        <v>117</v>
      </c>
      <c r="K158" s="484" t="str">
        <f>VLOOKUP(TabListaLojas[[#This Row],[UF]],UF!A:B,2,0)</f>
        <v>Rio Grande do Sul</v>
      </c>
      <c r="L158" s="484" t="s">
        <v>850</v>
      </c>
      <c r="M158" s="484" t="s">
        <v>851</v>
      </c>
      <c r="N158" s="484" t="s">
        <v>676</v>
      </c>
      <c r="O158" s="487">
        <v>639.44000000000005</v>
      </c>
    </row>
    <row r="159" spans="1:15" s="173" customFormat="1" ht="15" customHeight="1">
      <c r="A159" s="7"/>
      <c r="B159" s="483">
        <v>1</v>
      </c>
      <c r="C159" s="484" t="s">
        <v>1590</v>
      </c>
      <c r="D159" s="488" t="s">
        <v>116</v>
      </c>
      <c r="E159" s="488" t="str">
        <f t="shared" si="19"/>
        <v>Open</v>
      </c>
      <c r="F159" s="488">
        <v>44530</v>
      </c>
      <c r="G159" s="488"/>
      <c r="H159" s="484" t="s">
        <v>673</v>
      </c>
      <c r="I159" s="484" t="str">
        <f>VLOOKUP(TabListaLojas[[#This Row],[UF]],UF!A:E,3,0)</f>
        <v>Midwest</v>
      </c>
      <c r="J159" s="484" t="s">
        <v>119</v>
      </c>
      <c r="K159" s="484" t="str">
        <f>VLOOKUP(TabListaLojas[[#This Row],[UF]],UF!A:B,2,0)</f>
        <v>Mato Grosso</v>
      </c>
      <c r="L159" s="484" t="s">
        <v>852</v>
      </c>
      <c r="M159" s="484" t="s">
        <v>853</v>
      </c>
      <c r="N159" s="484" t="s">
        <v>676</v>
      </c>
      <c r="O159" s="487">
        <v>2210.6999999999998</v>
      </c>
    </row>
    <row r="160" spans="1:15" s="173" customFormat="1" ht="15" customHeight="1">
      <c r="A160" s="7"/>
      <c r="B160" s="483">
        <v>1</v>
      </c>
      <c r="C160" s="484" t="s">
        <v>2233</v>
      </c>
      <c r="D160" s="488" t="s">
        <v>116</v>
      </c>
      <c r="E160" s="488" t="str">
        <f t="shared" si="19"/>
        <v>Open</v>
      </c>
      <c r="F160" s="488">
        <v>44492</v>
      </c>
      <c r="G160" s="488"/>
      <c r="H160" s="484" t="s">
        <v>673</v>
      </c>
      <c r="I160" s="484" t="str">
        <f>VLOOKUP(TabListaLojas[[#This Row],[UF]],UF!A:E,3,0)</f>
        <v>South</v>
      </c>
      <c r="J160" s="484" t="s">
        <v>117</v>
      </c>
      <c r="K160" s="484" t="str">
        <f>VLOOKUP(TabListaLojas[[#This Row],[UF]],UF!A:B,2,0)</f>
        <v>Rio Grande do Sul</v>
      </c>
      <c r="L160" s="484" t="s">
        <v>854</v>
      </c>
      <c r="M160" s="484" t="s">
        <v>855</v>
      </c>
      <c r="N160" s="484" t="s">
        <v>676</v>
      </c>
      <c r="O160" s="487">
        <v>2019.2799999999997</v>
      </c>
    </row>
    <row r="161" spans="1:15" s="173" customFormat="1" ht="15" hidden="1" customHeight="1">
      <c r="A161" s="7"/>
      <c r="B161" s="491">
        <v>0</v>
      </c>
      <c r="C161" s="492" t="s">
        <v>856</v>
      </c>
      <c r="D161" s="493" t="s">
        <v>127</v>
      </c>
      <c r="E161" s="493" t="str">
        <f t="shared" si="19"/>
        <v>Closed</v>
      </c>
      <c r="F161" s="493">
        <v>44414</v>
      </c>
      <c r="G161" s="493">
        <v>46055</v>
      </c>
      <c r="H161" s="492" t="s">
        <v>673</v>
      </c>
      <c r="I161" s="492" t="str">
        <f>VLOOKUP(TabListaLojas[[#This Row],[UF]],UF!A:E,3,0)</f>
        <v>Southest</v>
      </c>
      <c r="J161" s="492" t="s">
        <v>118</v>
      </c>
      <c r="K161" s="492" t="str">
        <f>VLOOKUP(TabListaLojas[[#This Row],[UF]],UF!A:B,2,0)</f>
        <v>São Paulo</v>
      </c>
      <c r="L161" s="492" t="s">
        <v>124</v>
      </c>
      <c r="M161" s="492" t="s">
        <v>857</v>
      </c>
      <c r="N161" s="492" t="s">
        <v>676</v>
      </c>
      <c r="O161" s="495">
        <v>0</v>
      </c>
    </row>
    <row r="162" spans="1:15" s="173" customFormat="1" ht="15" customHeight="1">
      <c r="A162" s="7"/>
      <c r="B162" s="483">
        <v>1</v>
      </c>
      <c r="C162" s="484" t="s">
        <v>1592</v>
      </c>
      <c r="D162" s="488" t="s">
        <v>116</v>
      </c>
      <c r="E162" s="488" t="str">
        <f t="shared" si="19"/>
        <v>Open</v>
      </c>
      <c r="F162" s="488">
        <v>44384</v>
      </c>
      <c r="G162" s="488"/>
      <c r="H162" s="484" t="s">
        <v>673</v>
      </c>
      <c r="I162" s="484" t="str">
        <f>VLOOKUP(TabListaLojas[[#This Row],[UF]],UF!A:E,3,0)</f>
        <v>Northest</v>
      </c>
      <c r="J162" s="484" t="s">
        <v>121</v>
      </c>
      <c r="K162" s="484" t="str">
        <f>VLOOKUP(TabListaLojas[[#This Row],[UF]],UF!A:B,2,0)</f>
        <v>Pernambuco</v>
      </c>
      <c r="L162" s="484" t="s">
        <v>125</v>
      </c>
      <c r="M162" s="484" t="s">
        <v>858</v>
      </c>
      <c r="N162" s="484" t="s">
        <v>676</v>
      </c>
      <c r="O162" s="487">
        <v>1136.9099999999999</v>
      </c>
    </row>
    <row r="163" spans="1:15" s="173" customFormat="1" ht="15" customHeight="1">
      <c r="A163" s="7"/>
      <c r="B163" s="483">
        <v>1</v>
      </c>
      <c r="C163" s="484" t="s">
        <v>1593</v>
      </c>
      <c r="D163" s="488" t="s">
        <v>116</v>
      </c>
      <c r="E163" s="488" t="str">
        <f t="shared" si="19"/>
        <v>Open</v>
      </c>
      <c r="F163" s="488">
        <v>44370</v>
      </c>
      <c r="G163" s="488"/>
      <c r="H163" s="484" t="s">
        <v>673</v>
      </c>
      <c r="I163" s="484" t="str">
        <f>VLOOKUP(TabListaLojas[[#This Row],[UF]],UF!A:E,3,0)</f>
        <v>Midwest</v>
      </c>
      <c r="J163" s="484" t="s">
        <v>123</v>
      </c>
      <c r="K163" s="484" t="str">
        <f>VLOOKUP(TabListaLojas[[#This Row],[UF]],UF!A:B,2,0)</f>
        <v>Goiás</v>
      </c>
      <c r="L163" s="484" t="s">
        <v>859</v>
      </c>
      <c r="M163" s="484" t="s">
        <v>860</v>
      </c>
      <c r="N163" s="484" t="s">
        <v>676</v>
      </c>
      <c r="O163" s="487">
        <v>1663.71</v>
      </c>
    </row>
    <row r="164" spans="1:15" s="173" customFormat="1" ht="15" hidden="1" customHeight="1">
      <c r="A164" s="7"/>
      <c r="B164" s="491">
        <v>0</v>
      </c>
      <c r="C164" s="492" t="s">
        <v>2264</v>
      </c>
      <c r="D164" s="493" t="s">
        <v>116</v>
      </c>
      <c r="E164" s="493" t="str">
        <f t="shared" si="19"/>
        <v>Closed</v>
      </c>
      <c r="F164" s="493">
        <v>44355</v>
      </c>
      <c r="G164" s="493">
        <v>45343</v>
      </c>
      <c r="H164" s="492" t="s">
        <v>673</v>
      </c>
      <c r="I164" s="492" t="str">
        <f>VLOOKUP(TabListaLojas[[#This Row],[UF]],UF!A:E,3,0)</f>
        <v>Northest</v>
      </c>
      <c r="J164" s="492" t="s">
        <v>153</v>
      </c>
      <c r="K164" s="492" t="str">
        <f>VLOOKUP(TabListaLojas[[#This Row],[UF]],UF!A:B,2,0)</f>
        <v>Rio Grande do Norte</v>
      </c>
      <c r="L164" s="492" t="s">
        <v>145</v>
      </c>
      <c r="M164" s="492" t="s">
        <v>861</v>
      </c>
      <c r="N164" s="492" t="s">
        <v>676</v>
      </c>
      <c r="O164" s="495">
        <v>0</v>
      </c>
    </row>
    <row r="165" spans="1:15" s="173" customFormat="1" ht="15" customHeight="1">
      <c r="A165" s="352"/>
      <c r="B165" s="483">
        <v>1</v>
      </c>
      <c r="C165" s="484" t="s">
        <v>2111</v>
      </c>
      <c r="D165" s="488" t="s">
        <v>126</v>
      </c>
      <c r="E165" s="488" t="str">
        <f t="shared" si="19"/>
        <v>Open</v>
      </c>
      <c r="F165" s="488">
        <v>44352</v>
      </c>
      <c r="G165" s="488"/>
      <c r="H165" s="484" t="s">
        <v>673</v>
      </c>
      <c r="I165" s="484" t="str">
        <f>VLOOKUP(TabListaLojas[[#This Row],[UF]],UF!A:E,3,0)</f>
        <v>South</v>
      </c>
      <c r="J165" s="484" t="s">
        <v>147</v>
      </c>
      <c r="K165" s="484" t="str">
        <f>VLOOKUP(TabListaLojas[[#This Row],[UF]],UF!A:B,2,0)</f>
        <v>Santa Catarina</v>
      </c>
      <c r="L165" s="484" t="s">
        <v>135</v>
      </c>
      <c r="M165" s="484" t="s">
        <v>1983</v>
      </c>
      <c r="N165" s="484" t="s">
        <v>676</v>
      </c>
      <c r="O165" s="487">
        <v>786.24</v>
      </c>
    </row>
    <row r="166" spans="1:15" s="173" customFormat="1" ht="15" customHeight="1">
      <c r="A166" s="7"/>
      <c r="B166" s="483">
        <v>1</v>
      </c>
      <c r="C166" s="484" t="s">
        <v>1594</v>
      </c>
      <c r="D166" s="488" t="s">
        <v>116</v>
      </c>
      <c r="E166" s="488" t="str">
        <f t="shared" si="19"/>
        <v>Open</v>
      </c>
      <c r="F166" s="488">
        <v>44351</v>
      </c>
      <c r="G166" s="488"/>
      <c r="H166" s="484" t="s">
        <v>673</v>
      </c>
      <c r="I166" s="484" t="str">
        <f>VLOOKUP(TabListaLojas[[#This Row],[UF]],UF!A:E,3,0)</f>
        <v>South</v>
      </c>
      <c r="J166" s="484" t="s">
        <v>161</v>
      </c>
      <c r="K166" s="484" t="str">
        <f>VLOOKUP(TabListaLojas[[#This Row],[UF]],UF!A:B,2,0)</f>
        <v>Paraná</v>
      </c>
      <c r="L166" s="484" t="s">
        <v>862</v>
      </c>
      <c r="M166" s="484" t="s">
        <v>863</v>
      </c>
      <c r="N166" s="484" t="s">
        <v>676</v>
      </c>
      <c r="O166" s="487">
        <v>1818.8</v>
      </c>
    </row>
    <row r="167" spans="1:15" ht="15" customHeight="1">
      <c r="B167" s="483">
        <v>1</v>
      </c>
      <c r="C167" s="484" t="s">
        <v>1595</v>
      </c>
      <c r="D167" s="488" t="s">
        <v>116</v>
      </c>
      <c r="E167" s="488" t="str">
        <f t="shared" si="19"/>
        <v>Open</v>
      </c>
      <c r="F167" s="488">
        <v>44347</v>
      </c>
      <c r="G167" s="488"/>
      <c r="H167" s="484" t="s">
        <v>673</v>
      </c>
      <c r="I167" s="484" t="str">
        <f>VLOOKUP(TabListaLojas[[#This Row],[UF]],UF!A:E,3,0)</f>
        <v>Southest</v>
      </c>
      <c r="J167" s="484" t="s">
        <v>122</v>
      </c>
      <c r="K167" s="484" t="str">
        <f>VLOOKUP(TabListaLojas[[#This Row],[UF]],UF!A:B,2,0)</f>
        <v>Rio de Janeiro</v>
      </c>
      <c r="L167" s="484" t="s">
        <v>864</v>
      </c>
      <c r="M167" s="484" t="s">
        <v>865</v>
      </c>
      <c r="N167" s="484" t="s">
        <v>676</v>
      </c>
      <c r="O167" s="487">
        <v>1786.44</v>
      </c>
    </row>
    <row r="168" spans="1:15" ht="15" customHeight="1">
      <c r="B168" s="483">
        <v>1</v>
      </c>
      <c r="C168" s="484" t="s">
        <v>1596</v>
      </c>
      <c r="D168" s="488" t="s">
        <v>116</v>
      </c>
      <c r="E168" s="488" t="str">
        <f t="shared" si="19"/>
        <v>Open</v>
      </c>
      <c r="F168" s="488">
        <v>44347</v>
      </c>
      <c r="G168" s="488"/>
      <c r="H168" s="484" t="s">
        <v>673</v>
      </c>
      <c r="I168" s="484" t="str">
        <f>VLOOKUP(TabListaLojas[[#This Row],[UF]],UF!A:E,3,0)</f>
        <v>Southest</v>
      </c>
      <c r="J168" s="484" t="s">
        <v>118</v>
      </c>
      <c r="K168" s="484" t="str">
        <f>VLOOKUP(TabListaLojas[[#This Row],[UF]],UF!A:B,2,0)</f>
        <v>São Paulo</v>
      </c>
      <c r="L168" s="484" t="s">
        <v>866</v>
      </c>
      <c r="M168" s="484" t="s">
        <v>867</v>
      </c>
      <c r="N168" s="484" t="s">
        <v>714</v>
      </c>
      <c r="O168" s="487">
        <v>2089.92</v>
      </c>
    </row>
    <row r="169" spans="1:15" ht="15" customHeight="1">
      <c r="B169" s="483">
        <v>1</v>
      </c>
      <c r="C169" s="484" t="s">
        <v>2230</v>
      </c>
      <c r="D169" s="488" t="s">
        <v>127</v>
      </c>
      <c r="E169" s="488" t="str">
        <f t="shared" si="19"/>
        <v>Open</v>
      </c>
      <c r="F169" s="488">
        <v>44345</v>
      </c>
      <c r="G169" s="488"/>
      <c r="H169" s="484" t="s">
        <v>673</v>
      </c>
      <c r="I169" s="484" t="str">
        <f>VLOOKUP(TabListaLojas[[#This Row],[UF]],UF!A:E,3,0)</f>
        <v>Midwest</v>
      </c>
      <c r="J169" s="484" t="s">
        <v>160</v>
      </c>
      <c r="K169" s="484" t="str">
        <f>VLOOKUP(TabListaLojas[[#This Row],[UF]],UF!A:B,2,0)</f>
        <v>Mato Grosso do Sul</v>
      </c>
      <c r="L169" s="484" t="s">
        <v>141</v>
      </c>
      <c r="M169" s="484" t="s">
        <v>868</v>
      </c>
      <c r="N169" s="484" t="s">
        <v>676</v>
      </c>
      <c r="O169" s="487">
        <v>233.15</v>
      </c>
    </row>
    <row r="170" spans="1:15" ht="15" hidden="1" customHeight="1">
      <c r="B170" s="491">
        <v>0</v>
      </c>
      <c r="C170" s="492" t="s">
        <v>2263</v>
      </c>
      <c r="D170" s="493" t="s">
        <v>116</v>
      </c>
      <c r="E170" s="493" t="str">
        <f t="shared" si="19"/>
        <v>Closed</v>
      </c>
      <c r="F170" s="493">
        <v>44341</v>
      </c>
      <c r="G170" s="493">
        <v>45034</v>
      </c>
      <c r="H170" s="492" t="s">
        <v>673</v>
      </c>
      <c r="I170" s="492" t="str">
        <f>VLOOKUP(TabListaLojas[[#This Row],[UF]],UF!A:E,3,0)</f>
        <v>Southest</v>
      </c>
      <c r="J170" s="492" t="s">
        <v>122</v>
      </c>
      <c r="K170" s="492" t="str">
        <f>VLOOKUP(TabListaLojas[[#This Row],[UF]],UF!A:B,2,0)</f>
        <v>Rio de Janeiro</v>
      </c>
      <c r="L170" s="492" t="s">
        <v>846</v>
      </c>
      <c r="M170" s="492" t="s">
        <v>869</v>
      </c>
      <c r="N170" s="492" t="s">
        <v>714</v>
      </c>
      <c r="O170" s="495">
        <v>0</v>
      </c>
    </row>
    <row r="171" spans="1:15" ht="15" customHeight="1">
      <c r="B171" s="483">
        <v>1</v>
      </c>
      <c r="C171" s="484" t="s">
        <v>1597</v>
      </c>
      <c r="D171" s="488" t="s">
        <v>116</v>
      </c>
      <c r="E171" s="488" t="str">
        <f t="shared" si="19"/>
        <v>Open</v>
      </c>
      <c r="F171" s="488">
        <v>44321</v>
      </c>
      <c r="G171" s="488"/>
      <c r="H171" s="484" t="s">
        <v>673</v>
      </c>
      <c r="I171" s="484" t="str">
        <f>VLOOKUP(TabListaLojas[[#This Row],[UF]],UF!A:E,3,0)</f>
        <v>Southest</v>
      </c>
      <c r="J171" s="484" t="s">
        <v>118</v>
      </c>
      <c r="K171" s="484" t="str">
        <f>VLOOKUP(TabListaLojas[[#This Row],[UF]],UF!A:B,2,0)</f>
        <v>São Paulo</v>
      </c>
      <c r="L171" s="484" t="s">
        <v>870</v>
      </c>
      <c r="M171" s="484" t="s">
        <v>871</v>
      </c>
      <c r="N171" s="484" t="s">
        <v>676</v>
      </c>
      <c r="O171" s="487">
        <v>1882.6899999999998</v>
      </c>
    </row>
    <row r="172" spans="1:15" ht="15" customHeight="1">
      <c r="B172" s="483">
        <v>1</v>
      </c>
      <c r="C172" s="484" t="s">
        <v>1598</v>
      </c>
      <c r="D172" s="488" t="s">
        <v>116</v>
      </c>
      <c r="E172" s="488" t="str">
        <f t="shared" si="19"/>
        <v>Open</v>
      </c>
      <c r="F172" s="488">
        <v>44321</v>
      </c>
      <c r="G172" s="488"/>
      <c r="H172" s="484" t="s">
        <v>673</v>
      </c>
      <c r="I172" s="484" t="str">
        <f>VLOOKUP(TabListaLojas[[#This Row],[UF]],UF!A:E,3,0)</f>
        <v>South</v>
      </c>
      <c r="J172" s="484" t="s">
        <v>117</v>
      </c>
      <c r="K172" s="484" t="str">
        <f>VLOOKUP(TabListaLojas[[#This Row],[UF]],UF!A:B,2,0)</f>
        <v>Rio Grande do Sul</v>
      </c>
      <c r="L172" s="484" t="s">
        <v>872</v>
      </c>
      <c r="M172" s="484" t="s">
        <v>873</v>
      </c>
      <c r="N172" s="484" t="s">
        <v>714</v>
      </c>
      <c r="O172" s="487">
        <v>1693.5</v>
      </c>
    </row>
    <row r="173" spans="1:15" ht="15" customHeight="1">
      <c r="B173" s="483">
        <v>1</v>
      </c>
      <c r="C173" s="484" t="s">
        <v>1599</v>
      </c>
      <c r="D173" s="488" t="s">
        <v>116</v>
      </c>
      <c r="E173" s="488" t="str">
        <f t="shared" si="19"/>
        <v>Open</v>
      </c>
      <c r="F173" s="488">
        <v>44320</v>
      </c>
      <c r="G173" s="488"/>
      <c r="H173" s="484" t="s">
        <v>673</v>
      </c>
      <c r="I173" s="484" t="str">
        <f>VLOOKUP(TabListaLojas[[#This Row],[UF]],UF!A:E,3,0)</f>
        <v>Southest</v>
      </c>
      <c r="J173" s="484" t="s">
        <v>122</v>
      </c>
      <c r="K173" s="484" t="str">
        <f>VLOOKUP(TabListaLojas[[#This Row],[UF]],UF!A:B,2,0)</f>
        <v>Rio de Janeiro</v>
      </c>
      <c r="L173" s="484" t="s">
        <v>874</v>
      </c>
      <c r="M173" s="484" t="s">
        <v>875</v>
      </c>
      <c r="N173" s="484" t="s">
        <v>676</v>
      </c>
      <c r="O173" s="487">
        <v>1510.69</v>
      </c>
    </row>
    <row r="174" spans="1:15" ht="15" customHeight="1">
      <c r="B174" s="483">
        <v>1</v>
      </c>
      <c r="C174" s="484" t="s">
        <v>2110</v>
      </c>
      <c r="D174" s="488" t="s">
        <v>126</v>
      </c>
      <c r="E174" s="488" t="str">
        <f t="shared" si="19"/>
        <v>Open</v>
      </c>
      <c r="F174" s="488">
        <v>44319</v>
      </c>
      <c r="G174" s="488"/>
      <c r="H174" s="484" t="s">
        <v>673</v>
      </c>
      <c r="I174" s="484" t="str">
        <f>VLOOKUP(TabListaLojas[[#This Row],[UF]],UF!A:E,3,0)</f>
        <v>North</v>
      </c>
      <c r="J174" s="484" t="s">
        <v>150</v>
      </c>
      <c r="K174" s="484" t="str">
        <f>VLOOKUP(TabListaLojas[[#This Row],[UF]],UF!A:B,2,0)</f>
        <v>Pará</v>
      </c>
      <c r="L174" s="484" t="s">
        <v>131</v>
      </c>
      <c r="M174" s="484" t="s">
        <v>876</v>
      </c>
      <c r="N174" s="484" t="s">
        <v>676</v>
      </c>
      <c r="O174" s="487">
        <v>639.07000000000005</v>
      </c>
    </row>
    <row r="175" spans="1:15" ht="15" hidden="1" customHeight="1">
      <c r="B175" s="491">
        <v>0</v>
      </c>
      <c r="C175" s="492" t="s">
        <v>2262</v>
      </c>
      <c r="D175" s="493" t="s">
        <v>116</v>
      </c>
      <c r="E175" s="493" t="str">
        <f t="shared" si="19"/>
        <v>Closed</v>
      </c>
      <c r="F175" s="493">
        <v>44316</v>
      </c>
      <c r="G175" s="493">
        <v>45282</v>
      </c>
      <c r="H175" s="492" t="s">
        <v>673</v>
      </c>
      <c r="I175" s="492" t="str">
        <f>VLOOKUP(TabListaLojas[[#This Row],[UF]],UF!A:E,3,0)</f>
        <v>South</v>
      </c>
      <c r="J175" s="492" t="s">
        <v>147</v>
      </c>
      <c r="K175" s="492" t="str">
        <f>VLOOKUP(TabListaLojas[[#This Row],[UF]],UF!A:B,2,0)</f>
        <v>Santa Catarina</v>
      </c>
      <c r="L175" s="492" t="s">
        <v>877</v>
      </c>
      <c r="M175" s="492" t="s">
        <v>1507</v>
      </c>
      <c r="N175" s="492" t="s">
        <v>714</v>
      </c>
      <c r="O175" s="495">
        <v>0</v>
      </c>
    </row>
    <row r="176" spans="1:15" ht="15" customHeight="1">
      <c r="B176" s="483">
        <v>1</v>
      </c>
      <c r="C176" s="484" t="s">
        <v>1600</v>
      </c>
      <c r="D176" s="488" t="s">
        <v>116</v>
      </c>
      <c r="E176" s="488" t="str">
        <f t="shared" si="19"/>
        <v>Open</v>
      </c>
      <c r="F176" s="488">
        <v>44315</v>
      </c>
      <c r="G176" s="488"/>
      <c r="H176" s="484" t="s">
        <v>673</v>
      </c>
      <c r="I176" s="484" t="str">
        <f>VLOOKUP(TabListaLojas[[#This Row],[UF]],UF!A:E,3,0)</f>
        <v>South</v>
      </c>
      <c r="J176" s="484" t="s">
        <v>117</v>
      </c>
      <c r="K176" s="484" t="str">
        <f>VLOOKUP(TabListaLojas[[#This Row],[UF]],UF!A:B,2,0)</f>
        <v>Rio Grande do Sul</v>
      </c>
      <c r="L176" s="484" t="s">
        <v>878</v>
      </c>
      <c r="M176" s="484" t="s">
        <v>879</v>
      </c>
      <c r="N176" s="484" t="s">
        <v>714</v>
      </c>
      <c r="O176" s="487">
        <v>1804.75</v>
      </c>
    </row>
    <row r="177" spans="2:15" ht="15" customHeight="1">
      <c r="B177" s="483">
        <v>1</v>
      </c>
      <c r="C177" s="484" t="s">
        <v>1601</v>
      </c>
      <c r="D177" s="488" t="s">
        <v>116</v>
      </c>
      <c r="E177" s="488" t="str">
        <f t="shared" si="19"/>
        <v>Open</v>
      </c>
      <c r="F177" s="488">
        <v>44315</v>
      </c>
      <c r="G177" s="488"/>
      <c r="H177" s="484" t="s">
        <v>673</v>
      </c>
      <c r="I177" s="484" t="str">
        <f>VLOOKUP(TabListaLojas[[#This Row],[UF]],UF!A:E,3,0)</f>
        <v>North</v>
      </c>
      <c r="J177" s="484" t="s">
        <v>162</v>
      </c>
      <c r="K177" s="484" t="str">
        <f>VLOOKUP(TabListaLojas[[#This Row],[UF]],UF!A:B,2,0)</f>
        <v>Amapá</v>
      </c>
      <c r="L177" s="484" t="s">
        <v>143</v>
      </c>
      <c r="M177" s="484" t="s">
        <v>880</v>
      </c>
      <c r="N177" s="484" t="s">
        <v>676</v>
      </c>
      <c r="O177" s="487">
        <v>1871.67</v>
      </c>
    </row>
    <row r="178" spans="2:15" ht="15" customHeight="1">
      <c r="B178" s="483">
        <v>1</v>
      </c>
      <c r="C178" s="484" t="s">
        <v>1602</v>
      </c>
      <c r="D178" s="488" t="s">
        <v>116</v>
      </c>
      <c r="E178" s="488" t="str">
        <f t="shared" si="19"/>
        <v>Open</v>
      </c>
      <c r="F178" s="488">
        <v>44314</v>
      </c>
      <c r="G178" s="488"/>
      <c r="H178" s="484" t="s">
        <v>673</v>
      </c>
      <c r="I178" s="484" t="str">
        <f>VLOOKUP(TabListaLojas[[#This Row],[UF]],UF!A:E,3,0)</f>
        <v>Southest</v>
      </c>
      <c r="J178" s="484" t="s">
        <v>118</v>
      </c>
      <c r="K178" s="484" t="str">
        <f>VLOOKUP(TabListaLojas[[#This Row],[UF]],UF!A:B,2,0)</f>
        <v>São Paulo</v>
      </c>
      <c r="L178" s="484" t="s">
        <v>881</v>
      </c>
      <c r="M178" s="484" t="s">
        <v>882</v>
      </c>
      <c r="N178" s="484" t="s">
        <v>676</v>
      </c>
      <c r="O178" s="487">
        <v>1494.9299999999998</v>
      </c>
    </row>
    <row r="179" spans="2:15" ht="15" customHeight="1">
      <c r="B179" s="483">
        <v>1</v>
      </c>
      <c r="C179" s="484" t="s">
        <v>2109</v>
      </c>
      <c r="D179" s="488" t="s">
        <v>126</v>
      </c>
      <c r="E179" s="488" t="str">
        <f t="shared" si="19"/>
        <v>Open</v>
      </c>
      <c r="F179" s="488">
        <v>44313</v>
      </c>
      <c r="G179" s="488"/>
      <c r="H179" s="484" t="s">
        <v>673</v>
      </c>
      <c r="I179" s="484" t="str">
        <f>VLOOKUP(TabListaLojas[[#This Row],[UF]],UF!A:E,3,0)</f>
        <v>Southest</v>
      </c>
      <c r="J179" s="484" t="s">
        <v>118</v>
      </c>
      <c r="K179" s="484" t="str">
        <f>VLOOKUP(TabListaLojas[[#This Row],[UF]],UF!A:B,2,0)</f>
        <v>São Paulo</v>
      </c>
      <c r="L179" s="484" t="s">
        <v>124</v>
      </c>
      <c r="M179" s="484" t="s">
        <v>883</v>
      </c>
      <c r="N179" s="484" t="s">
        <v>676</v>
      </c>
      <c r="O179" s="487">
        <v>709.14</v>
      </c>
    </row>
    <row r="180" spans="2:15" ht="15" customHeight="1">
      <c r="B180" s="483">
        <v>1</v>
      </c>
      <c r="C180" s="484" t="s">
        <v>2228</v>
      </c>
      <c r="D180" s="488" t="s">
        <v>127</v>
      </c>
      <c r="E180" s="488" t="str">
        <f t="shared" si="19"/>
        <v>Open</v>
      </c>
      <c r="F180" s="488">
        <v>44313</v>
      </c>
      <c r="G180" s="488"/>
      <c r="H180" s="484" t="s">
        <v>673</v>
      </c>
      <c r="I180" s="484" t="str">
        <f>VLOOKUP(TabListaLojas[[#This Row],[UF]],UF!A:E,3,0)</f>
        <v>South</v>
      </c>
      <c r="J180" s="484" t="s">
        <v>161</v>
      </c>
      <c r="K180" s="484" t="str">
        <f>VLOOKUP(TabListaLojas[[#This Row],[UF]],UF!A:B,2,0)</f>
        <v>Paraná</v>
      </c>
      <c r="L180" s="484" t="s">
        <v>146</v>
      </c>
      <c r="M180" s="484" t="s">
        <v>884</v>
      </c>
      <c r="N180" s="484" t="s">
        <v>676</v>
      </c>
      <c r="O180" s="487">
        <v>294.64999999999998</v>
      </c>
    </row>
    <row r="181" spans="2:15" ht="15" customHeight="1">
      <c r="B181" s="483">
        <v>1</v>
      </c>
      <c r="C181" s="484" t="s">
        <v>2229</v>
      </c>
      <c r="D181" s="488" t="s">
        <v>127</v>
      </c>
      <c r="E181" s="488" t="str">
        <f t="shared" si="19"/>
        <v>Open</v>
      </c>
      <c r="F181" s="488">
        <v>44313</v>
      </c>
      <c r="G181" s="488"/>
      <c r="H181" s="484" t="s">
        <v>673</v>
      </c>
      <c r="I181" s="484" t="str">
        <f>VLOOKUP(TabListaLojas[[#This Row],[UF]],UF!A:E,3,0)</f>
        <v>Southest</v>
      </c>
      <c r="J181" s="484" t="s">
        <v>122</v>
      </c>
      <c r="K181" s="484" t="str">
        <f>VLOOKUP(TabListaLojas[[#This Row],[UF]],UF!A:B,2,0)</f>
        <v>Rio de Janeiro</v>
      </c>
      <c r="L181" s="484" t="s">
        <v>128</v>
      </c>
      <c r="M181" s="484" t="s">
        <v>883</v>
      </c>
      <c r="N181" s="484" t="s">
        <v>676</v>
      </c>
      <c r="O181" s="487">
        <v>247.32</v>
      </c>
    </row>
    <row r="182" spans="2:15" ht="15" customHeight="1">
      <c r="B182" s="483">
        <v>1</v>
      </c>
      <c r="C182" s="484" t="s">
        <v>1971</v>
      </c>
      <c r="D182" s="484" t="s">
        <v>701</v>
      </c>
      <c r="E182" s="488" t="str">
        <f t="shared" si="19"/>
        <v>Open</v>
      </c>
      <c r="F182" s="488">
        <v>44312</v>
      </c>
      <c r="G182" s="488"/>
      <c r="H182" s="484" t="s">
        <v>673</v>
      </c>
      <c r="I182" s="484" t="str">
        <f>VLOOKUP(TabListaLojas[[#This Row],[UF]],UF!A:E,3,0)</f>
        <v>Southest</v>
      </c>
      <c r="J182" s="484" t="s">
        <v>118</v>
      </c>
      <c r="K182" s="484" t="str">
        <f>VLOOKUP(TabListaLojas[[#This Row],[UF]],UF!A:B,2,0)</f>
        <v>São Paulo</v>
      </c>
      <c r="L182" s="484" t="s">
        <v>124</v>
      </c>
      <c r="M182" s="484" t="s">
        <v>885</v>
      </c>
      <c r="N182" s="484" t="s">
        <v>676</v>
      </c>
      <c r="O182" s="487">
        <v>198</v>
      </c>
    </row>
    <row r="183" spans="2:15" ht="15" hidden="1" customHeight="1">
      <c r="B183" s="491">
        <v>0</v>
      </c>
      <c r="C183" s="492" t="s">
        <v>2108</v>
      </c>
      <c r="D183" s="493" t="s">
        <v>126</v>
      </c>
      <c r="E183" s="493" t="str">
        <f t="shared" ref="E183:E224" si="20">IF(G183="","Open","Closed")</f>
        <v>Closed</v>
      </c>
      <c r="F183" s="493">
        <v>44306</v>
      </c>
      <c r="G183" s="493">
        <v>45657</v>
      </c>
      <c r="H183" s="492" t="s">
        <v>673</v>
      </c>
      <c r="I183" s="492" t="str">
        <f>VLOOKUP(TabListaLojas[[#This Row],[UF]],UF!A:E,3,0)</f>
        <v>Southest</v>
      </c>
      <c r="J183" s="492" t="s">
        <v>118</v>
      </c>
      <c r="K183" s="492" t="str">
        <f>VLOOKUP(TabListaLojas[[#This Row],[UF]],UF!A:B,2,0)</f>
        <v>São Paulo</v>
      </c>
      <c r="L183" s="492" t="s">
        <v>124</v>
      </c>
      <c r="M183" s="492" t="s">
        <v>886</v>
      </c>
      <c r="N183" s="492" t="s">
        <v>676</v>
      </c>
      <c r="O183" s="495">
        <v>0</v>
      </c>
    </row>
    <row r="184" spans="2:15" ht="15" customHeight="1">
      <c r="B184" s="483">
        <v>1</v>
      </c>
      <c r="C184" s="484" t="s">
        <v>2107</v>
      </c>
      <c r="D184" s="488" t="s">
        <v>126</v>
      </c>
      <c r="E184" s="488" t="str">
        <f t="shared" si="20"/>
        <v>Open</v>
      </c>
      <c r="F184" s="488">
        <v>44304</v>
      </c>
      <c r="G184" s="488"/>
      <c r="H184" s="484" t="s">
        <v>673</v>
      </c>
      <c r="I184" s="484" t="str">
        <f>VLOOKUP(TabListaLojas[[#This Row],[UF]],UF!A:E,3,0)</f>
        <v>Southest</v>
      </c>
      <c r="J184" s="484" t="s">
        <v>118</v>
      </c>
      <c r="K184" s="484" t="str">
        <f>VLOOKUP(TabListaLojas[[#This Row],[UF]],UF!A:B,2,0)</f>
        <v>São Paulo</v>
      </c>
      <c r="L184" s="484" t="s">
        <v>124</v>
      </c>
      <c r="M184" s="484" t="s">
        <v>728</v>
      </c>
      <c r="N184" s="484" t="s">
        <v>676</v>
      </c>
      <c r="O184" s="487">
        <v>373</v>
      </c>
    </row>
    <row r="185" spans="2:15" ht="15" customHeight="1">
      <c r="B185" s="483">
        <v>1</v>
      </c>
      <c r="C185" s="484" t="s">
        <v>2227</v>
      </c>
      <c r="D185" s="488" t="s">
        <v>127</v>
      </c>
      <c r="E185" s="488" t="str">
        <f t="shared" si="20"/>
        <v>Open</v>
      </c>
      <c r="F185" s="488">
        <v>44304</v>
      </c>
      <c r="G185" s="488"/>
      <c r="H185" s="484" t="s">
        <v>673</v>
      </c>
      <c r="I185" s="484" t="str">
        <f>VLOOKUP(TabListaLojas[[#This Row],[UF]],UF!A:E,3,0)</f>
        <v>Southest</v>
      </c>
      <c r="J185" s="484" t="s">
        <v>118</v>
      </c>
      <c r="K185" s="484" t="str">
        <f>VLOOKUP(TabListaLojas[[#This Row],[UF]],UF!A:B,2,0)</f>
        <v>São Paulo</v>
      </c>
      <c r="L185" s="484" t="s">
        <v>124</v>
      </c>
      <c r="M185" s="484" t="s">
        <v>887</v>
      </c>
      <c r="N185" s="484" t="s">
        <v>676</v>
      </c>
      <c r="O185" s="487">
        <v>333.28000000000003</v>
      </c>
    </row>
    <row r="186" spans="2:15" ht="15" hidden="1" customHeight="1">
      <c r="B186" s="491">
        <v>0</v>
      </c>
      <c r="C186" s="492" t="s">
        <v>2261</v>
      </c>
      <c r="D186" s="493" t="s">
        <v>116</v>
      </c>
      <c r="E186" s="493" t="str">
        <f t="shared" si="20"/>
        <v>Closed</v>
      </c>
      <c r="F186" s="493">
        <v>44301</v>
      </c>
      <c r="G186" s="493">
        <v>45288</v>
      </c>
      <c r="H186" s="492" t="s">
        <v>673</v>
      </c>
      <c r="I186" s="492" t="str">
        <f>VLOOKUP(TabListaLojas[[#This Row],[UF]],UF!A:E,3,0)</f>
        <v>South</v>
      </c>
      <c r="J186" s="492" t="s">
        <v>117</v>
      </c>
      <c r="K186" s="492" t="str">
        <f>VLOOKUP(TabListaLojas[[#This Row],[UF]],UF!A:B,2,0)</f>
        <v>Rio Grande do Sul</v>
      </c>
      <c r="L186" s="492" t="s">
        <v>888</v>
      </c>
      <c r="M186" s="492" t="s">
        <v>1508</v>
      </c>
      <c r="N186" s="492" t="s">
        <v>676</v>
      </c>
      <c r="O186" s="495">
        <v>0</v>
      </c>
    </row>
    <row r="187" spans="2:15" ht="15" customHeight="1">
      <c r="B187" s="483">
        <v>1</v>
      </c>
      <c r="C187" s="484" t="s">
        <v>1603</v>
      </c>
      <c r="D187" s="488" t="s">
        <v>116</v>
      </c>
      <c r="E187" s="488" t="str">
        <f t="shared" si="20"/>
        <v>Open</v>
      </c>
      <c r="F187" s="488">
        <v>44299</v>
      </c>
      <c r="G187" s="488"/>
      <c r="H187" s="484" t="s">
        <v>673</v>
      </c>
      <c r="I187" s="484" t="str">
        <f>VLOOKUP(TabListaLojas[[#This Row],[UF]],UF!A:E,3,0)</f>
        <v>Northest</v>
      </c>
      <c r="J187" s="484" t="s">
        <v>148</v>
      </c>
      <c r="K187" s="484" t="str">
        <f>VLOOKUP(TabListaLojas[[#This Row],[UF]],UF!A:B,2,0)</f>
        <v>Ceará</v>
      </c>
      <c r="L187" s="484" t="s">
        <v>889</v>
      </c>
      <c r="M187" s="484" t="s">
        <v>890</v>
      </c>
      <c r="N187" s="484" t="s">
        <v>676</v>
      </c>
      <c r="O187" s="487">
        <v>2455.77</v>
      </c>
    </row>
    <row r="188" spans="2:15" ht="15" customHeight="1">
      <c r="B188" s="483">
        <v>1</v>
      </c>
      <c r="C188" s="484" t="s">
        <v>2106</v>
      </c>
      <c r="D188" s="488" t="s">
        <v>126</v>
      </c>
      <c r="E188" s="488" t="str">
        <f t="shared" si="20"/>
        <v>Open</v>
      </c>
      <c r="F188" s="488">
        <v>44296</v>
      </c>
      <c r="G188" s="488"/>
      <c r="H188" s="484" t="s">
        <v>673</v>
      </c>
      <c r="I188" s="484" t="str">
        <f>VLOOKUP(TabListaLojas[[#This Row],[UF]],UF!A:E,3,0)</f>
        <v>Southest</v>
      </c>
      <c r="J188" s="484" t="s">
        <v>122</v>
      </c>
      <c r="K188" s="484" t="str">
        <f>VLOOKUP(TabListaLojas[[#This Row],[UF]],UF!A:B,2,0)</f>
        <v>Rio de Janeiro</v>
      </c>
      <c r="L188" s="484" t="s">
        <v>128</v>
      </c>
      <c r="M188" s="484" t="s">
        <v>891</v>
      </c>
      <c r="N188" s="484" t="s">
        <v>676</v>
      </c>
      <c r="O188" s="487">
        <v>417</v>
      </c>
    </row>
    <row r="189" spans="2:15" ht="15" customHeight="1">
      <c r="B189" s="483">
        <v>1</v>
      </c>
      <c r="C189" s="484" t="s">
        <v>1604</v>
      </c>
      <c r="D189" s="488" t="s">
        <v>116</v>
      </c>
      <c r="E189" s="488" t="str">
        <f t="shared" si="20"/>
        <v>Open</v>
      </c>
      <c r="F189" s="488">
        <v>44291</v>
      </c>
      <c r="G189" s="488"/>
      <c r="H189" s="484" t="s">
        <v>673</v>
      </c>
      <c r="I189" s="484" t="str">
        <f>VLOOKUP(TabListaLojas[[#This Row],[UF]],UF!A:E,3,0)</f>
        <v>North</v>
      </c>
      <c r="J189" s="484" t="s">
        <v>164</v>
      </c>
      <c r="K189" s="484" t="str">
        <f>VLOOKUP(TabListaLojas[[#This Row],[UF]],UF!A:B,2,0)</f>
        <v>Rondônia</v>
      </c>
      <c r="L189" s="484" t="s">
        <v>892</v>
      </c>
      <c r="M189" s="484" t="s">
        <v>893</v>
      </c>
      <c r="N189" s="484" t="s">
        <v>676</v>
      </c>
      <c r="O189" s="487">
        <v>1683.9099999999999</v>
      </c>
    </row>
    <row r="190" spans="2:15" ht="15" customHeight="1">
      <c r="B190" s="483">
        <v>1</v>
      </c>
      <c r="C190" s="484" t="s">
        <v>1605</v>
      </c>
      <c r="D190" s="488" t="s">
        <v>116</v>
      </c>
      <c r="E190" s="488" t="str">
        <f t="shared" si="20"/>
        <v>Open</v>
      </c>
      <c r="F190" s="488">
        <v>44258</v>
      </c>
      <c r="G190" s="488"/>
      <c r="H190" s="484" t="s">
        <v>673</v>
      </c>
      <c r="I190" s="484" t="str">
        <f>VLOOKUP(TabListaLojas[[#This Row],[UF]],UF!A:E,3,0)</f>
        <v>Southest</v>
      </c>
      <c r="J190" s="484" t="s">
        <v>118</v>
      </c>
      <c r="K190" s="484" t="str">
        <f>VLOOKUP(TabListaLojas[[#This Row],[UF]],UF!A:B,2,0)</f>
        <v>São Paulo</v>
      </c>
      <c r="L190" s="484" t="s">
        <v>894</v>
      </c>
      <c r="M190" s="484" t="s">
        <v>895</v>
      </c>
      <c r="N190" s="484" t="s">
        <v>676</v>
      </c>
      <c r="O190" s="487">
        <v>2619.29</v>
      </c>
    </row>
    <row r="191" spans="2:15" ht="15" customHeight="1">
      <c r="B191" s="483">
        <v>1</v>
      </c>
      <c r="C191" s="484" t="s">
        <v>1606</v>
      </c>
      <c r="D191" s="488" t="s">
        <v>116</v>
      </c>
      <c r="E191" s="488" t="str">
        <f t="shared" si="20"/>
        <v>Open</v>
      </c>
      <c r="F191" s="488">
        <v>44152</v>
      </c>
      <c r="G191" s="488"/>
      <c r="H191" s="484" t="s">
        <v>673</v>
      </c>
      <c r="I191" s="484" t="str">
        <f>VLOOKUP(TabListaLojas[[#This Row],[UF]],UF!A:E,3,0)</f>
        <v>Southest</v>
      </c>
      <c r="J191" s="484" t="s">
        <v>118</v>
      </c>
      <c r="K191" s="484" t="str">
        <f>VLOOKUP(TabListaLojas[[#This Row],[UF]],UF!A:B,2,0)</f>
        <v>São Paulo</v>
      </c>
      <c r="L191" s="484" t="s">
        <v>124</v>
      </c>
      <c r="M191" s="484" t="s">
        <v>885</v>
      </c>
      <c r="N191" s="484" t="s">
        <v>676</v>
      </c>
      <c r="O191" s="487">
        <v>3810.07</v>
      </c>
    </row>
    <row r="192" spans="2:15" ht="15" customHeight="1">
      <c r="B192" s="483">
        <v>1</v>
      </c>
      <c r="C192" s="484" t="s">
        <v>1591</v>
      </c>
      <c r="D192" s="488" t="s">
        <v>116</v>
      </c>
      <c r="E192" s="488" t="str">
        <f t="shared" si="20"/>
        <v>Open</v>
      </c>
      <c r="F192" s="488">
        <v>44124</v>
      </c>
      <c r="G192" s="488"/>
      <c r="H192" s="484" t="s">
        <v>673</v>
      </c>
      <c r="I192" s="484" t="str">
        <f>VLOOKUP(TabListaLojas[[#This Row],[UF]],UF!A:E,3,0)</f>
        <v>Southest</v>
      </c>
      <c r="J192" s="484" t="s">
        <v>122</v>
      </c>
      <c r="K192" s="484" t="str">
        <f>VLOOKUP(TabListaLojas[[#This Row],[UF]],UF!A:B,2,0)</f>
        <v>Rio de Janeiro</v>
      </c>
      <c r="L192" s="484" t="s">
        <v>128</v>
      </c>
      <c r="M192" s="484" t="s">
        <v>896</v>
      </c>
      <c r="N192" s="484" t="s">
        <v>676</v>
      </c>
      <c r="O192" s="487">
        <v>1150.96</v>
      </c>
    </row>
    <row r="193" spans="2:15" ht="15" customHeight="1">
      <c r="B193" s="483">
        <v>1</v>
      </c>
      <c r="C193" s="484" t="s">
        <v>1607</v>
      </c>
      <c r="D193" s="488" t="s">
        <v>116</v>
      </c>
      <c r="E193" s="488" t="str">
        <f t="shared" si="20"/>
        <v>Open</v>
      </c>
      <c r="F193" s="488">
        <v>44103</v>
      </c>
      <c r="G193" s="488"/>
      <c r="H193" s="484" t="s">
        <v>673</v>
      </c>
      <c r="I193" s="484" t="str">
        <f>VLOOKUP(TabListaLojas[[#This Row],[UF]],UF!A:E,3,0)</f>
        <v>Southest</v>
      </c>
      <c r="J193" s="484" t="s">
        <v>118</v>
      </c>
      <c r="K193" s="484" t="str">
        <f>VLOOKUP(TabListaLojas[[#This Row],[UF]],UF!A:B,2,0)</f>
        <v>São Paulo</v>
      </c>
      <c r="L193" s="484" t="s">
        <v>897</v>
      </c>
      <c r="M193" s="484" t="s">
        <v>898</v>
      </c>
      <c r="N193" s="484" t="s">
        <v>676</v>
      </c>
      <c r="O193" s="487">
        <v>747.91</v>
      </c>
    </row>
    <row r="194" spans="2:15" ht="15" customHeight="1">
      <c r="B194" s="483">
        <v>1</v>
      </c>
      <c r="C194" s="484" t="s">
        <v>1608</v>
      </c>
      <c r="D194" s="488" t="s">
        <v>116</v>
      </c>
      <c r="E194" s="488" t="str">
        <f t="shared" si="20"/>
        <v>Open</v>
      </c>
      <c r="F194" s="488">
        <v>44096</v>
      </c>
      <c r="G194" s="488"/>
      <c r="H194" s="484" t="s">
        <v>673</v>
      </c>
      <c r="I194" s="484" t="str">
        <f>VLOOKUP(TabListaLojas[[#This Row],[UF]],UF!A:E,3,0)</f>
        <v>Midwest</v>
      </c>
      <c r="J194" s="484" t="s">
        <v>119</v>
      </c>
      <c r="K194" s="484" t="str">
        <f>VLOOKUP(TabListaLojas[[#This Row],[UF]],UF!A:B,2,0)</f>
        <v>Mato Grosso</v>
      </c>
      <c r="L194" s="484" t="s">
        <v>899</v>
      </c>
      <c r="M194" s="484" t="s">
        <v>900</v>
      </c>
      <c r="N194" s="484" t="s">
        <v>676</v>
      </c>
      <c r="O194" s="487">
        <v>1710.44</v>
      </c>
    </row>
    <row r="195" spans="2:15" ht="15" customHeight="1">
      <c r="B195" s="483">
        <v>1</v>
      </c>
      <c r="C195" s="484" t="s">
        <v>2226</v>
      </c>
      <c r="D195" s="488" t="s">
        <v>127</v>
      </c>
      <c r="E195" s="488" t="str">
        <f t="shared" si="20"/>
        <v>Open</v>
      </c>
      <c r="F195" s="488">
        <v>44070</v>
      </c>
      <c r="G195" s="488"/>
      <c r="H195" s="484" t="s">
        <v>673</v>
      </c>
      <c r="I195" s="484" t="str">
        <f>VLOOKUP(TabListaLojas[[#This Row],[UF]],UF!A:E,3,0)</f>
        <v>Southest</v>
      </c>
      <c r="J195" s="484" t="s">
        <v>122</v>
      </c>
      <c r="K195" s="484" t="str">
        <f>VLOOKUP(TabListaLojas[[#This Row],[UF]],UF!A:B,2,0)</f>
        <v>Rio de Janeiro</v>
      </c>
      <c r="L195" s="484" t="s">
        <v>128</v>
      </c>
      <c r="M195" s="484" t="s">
        <v>901</v>
      </c>
      <c r="N195" s="484" t="s">
        <v>676</v>
      </c>
      <c r="O195" s="487">
        <v>256.82</v>
      </c>
    </row>
    <row r="196" spans="2:15" ht="15" customHeight="1">
      <c r="B196" s="483">
        <v>1</v>
      </c>
      <c r="C196" s="484" t="s">
        <v>2225</v>
      </c>
      <c r="D196" s="488" t="s">
        <v>127</v>
      </c>
      <c r="E196" s="488" t="str">
        <f t="shared" si="20"/>
        <v>Open</v>
      </c>
      <c r="F196" s="488">
        <v>44063</v>
      </c>
      <c r="G196" s="488"/>
      <c r="H196" s="484" t="s">
        <v>673</v>
      </c>
      <c r="I196" s="484" t="str">
        <f>VLOOKUP(TabListaLojas[[#This Row],[UF]],UF!A:E,3,0)</f>
        <v>Northest</v>
      </c>
      <c r="J196" s="484" t="s">
        <v>121</v>
      </c>
      <c r="K196" s="484" t="str">
        <f>VLOOKUP(TabListaLojas[[#This Row],[UF]],UF!A:B,2,0)</f>
        <v>Pernambuco</v>
      </c>
      <c r="L196" s="484" t="s">
        <v>125</v>
      </c>
      <c r="M196" s="484" t="s">
        <v>902</v>
      </c>
      <c r="N196" s="484" t="s">
        <v>676</v>
      </c>
      <c r="O196" s="487">
        <v>219.12</v>
      </c>
    </row>
    <row r="197" spans="2:15" ht="15" customHeight="1">
      <c r="B197" s="483">
        <v>1</v>
      </c>
      <c r="C197" s="484" t="s">
        <v>1609</v>
      </c>
      <c r="D197" s="488" t="s">
        <v>116</v>
      </c>
      <c r="E197" s="488" t="str">
        <f t="shared" si="20"/>
        <v>Open</v>
      </c>
      <c r="F197" s="488">
        <v>44054</v>
      </c>
      <c r="G197" s="488"/>
      <c r="H197" s="484" t="s">
        <v>673</v>
      </c>
      <c r="I197" s="484" t="str">
        <f>VLOOKUP(TabListaLojas[[#This Row],[UF]],UF!A:E,3,0)</f>
        <v>Midwest</v>
      </c>
      <c r="J197" s="484" t="s">
        <v>119</v>
      </c>
      <c r="K197" s="484" t="str">
        <f>VLOOKUP(TabListaLojas[[#This Row],[UF]],UF!A:B,2,0)</f>
        <v>Mato Grosso</v>
      </c>
      <c r="L197" s="484" t="s">
        <v>903</v>
      </c>
      <c r="M197" s="484" t="s">
        <v>904</v>
      </c>
      <c r="N197" s="484" t="s">
        <v>676</v>
      </c>
      <c r="O197" s="487">
        <v>1465.73</v>
      </c>
    </row>
    <row r="198" spans="2:15" ht="15" customHeight="1">
      <c r="B198" s="483">
        <v>1</v>
      </c>
      <c r="C198" s="484" t="s">
        <v>2105</v>
      </c>
      <c r="D198" s="488" t="s">
        <v>126</v>
      </c>
      <c r="E198" s="488" t="str">
        <f t="shared" si="20"/>
        <v>Open</v>
      </c>
      <c r="F198" s="488">
        <v>44051</v>
      </c>
      <c r="G198" s="488"/>
      <c r="H198" s="484" t="s">
        <v>673</v>
      </c>
      <c r="I198" s="484" t="str">
        <f>VLOOKUP(TabListaLojas[[#This Row],[UF]],UF!A:E,3,0)</f>
        <v>Southest</v>
      </c>
      <c r="J198" s="484" t="s">
        <v>118</v>
      </c>
      <c r="K198" s="484" t="str">
        <f>VLOOKUP(TabListaLojas[[#This Row],[UF]],UF!A:B,2,0)</f>
        <v>São Paulo</v>
      </c>
      <c r="L198" s="484" t="s">
        <v>905</v>
      </c>
      <c r="M198" s="484" t="s">
        <v>906</v>
      </c>
      <c r="N198" s="484" t="s">
        <v>676</v>
      </c>
      <c r="O198" s="487">
        <v>490</v>
      </c>
    </row>
    <row r="199" spans="2:15" ht="15" customHeight="1">
      <c r="B199" s="483">
        <v>1</v>
      </c>
      <c r="C199" s="484" t="s">
        <v>1610</v>
      </c>
      <c r="D199" s="488" t="s">
        <v>116</v>
      </c>
      <c r="E199" s="488" t="str">
        <f t="shared" si="20"/>
        <v>Open</v>
      </c>
      <c r="F199" s="488">
        <v>44047</v>
      </c>
      <c r="G199" s="488"/>
      <c r="H199" s="484" t="s">
        <v>673</v>
      </c>
      <c r="I199" s="484" t="str">
        <f>VLOOKUP(TabListaLojas[[#This Row],[UF]],UF!A:E,3,0)</f>
        <v>Midwest</v>
      </c>
      <c r="J199" s="484" t="s">
        <v>123</v>
      </c>
      <c r="K199" s="484" t="str">
        <f>VLOOKUP(TabListaLojas[[#This Row],[UF]],UF!A:B,2,0)</f>
        <v>Goiás</v>
      </c>
      <c r="L199" s="484" t="s">
        <v>907</v>
      </c>
      <c r="M199" s="484" t="s">
        <v>908</v>
      </c>
      <c r="N199" s="484" t="s">
        <v>676</v>
      </c>
      <c r="O199" s="487">
        <v>1916.01</v>
      </c>
    </row>
    <row r="200" spans="2:15" ht="15" customHeight="1">
      <c r="B200" s="483">
        <v>1</v>
      </c>
      <c r="C200" s="484" t="s">
        <v>1611</v>
      </c>
      <c r="D200" s="488" t="s">
        <v>116</v>
      </c>
      <c r="E200" s="488" t="str">
        <f t="shared" si="20"/>
        <v>Open</v>
      </c>
      <c r="F200" s="488">
        <v>44044</v>
      </c>
      <c r="G200" s="488"/>
      <c r="H200" s="484" t="s">
        <v>673</v>
      </c>
      <c r="I200" s="484" t="str">
        <f>VLOOKUP(TabListaLojas[[#This Row],[UF]],UF!A:E,3,0)</f>
        <v>Northest</v>
      </c>
      <c r="J200" s="484" t="s">
        <v>120</v>
      </c>
      <c r="K200" s="484" t="str">
        <f>VLOOKUP(TabListaLojas[[#This Row],[UF]],UF!A:B,2,0)</f>
        <v>Bahia</v>
      </c>
      <c r="L200" s="484" t="s">
        <v>695</v>
      </c>
      <c r="M200" s="484" t="s">
        <v>909</v>
      </c>
      <c r="N200" s="484" t="s">
        <v>676</v>
      </c>
      <c r="O200" s="487">
        <v>2759.32</v>
      </c>
    </row>
    <row r="201" spans="2:15" ht="15" customHeight="1">
      <c r="B201" s="483">
        <v>1</v>
      </c>
      <c r="C201" s="484" t="s">
        <v>2104</v>
      </c>
      <c r="D201" s="488" t="s">
        <v>126</v>
      </c>
      <c r="E201" s="488" t="str">
        <f t="shared" si="20"/>
        <v>Open</v>
      </c>
      <c r="F201" s="488">
        <v>43907</v>
      </c>
      <c r="G201" s="488"/>
      <c r="H201" s="484" t="s">
        <v>673</v>
      </c>
      <c r="I201" s="484" t="str">
        <f>VLOOKUP(TabListaLojas[[#This Row],[UF]],UF!A:E,3,0)</f>
        <v>Northest</v>
      </c>
      <c r="J201" s="484" t="s">
        <v>120</v>
      </c>
      <c r="K201" s="484" t="str">
        <f>VLOOKUP(TabListaLojas[[#This Row],[UF]],UF!A:B,2,0)</f>
        <v>Bahia</v>
      </c>
      <c r="L201" s="484" t="s">
        <v>695</v>
      </c>
      <c r="M201" s="484" t="s">
        <v>696</v>
      </c>
      <c r="N201" s="484" t="s">
        <v>676</v>
      </c>
      <c r="O201" s="487">
        <v>478.58</v>
      </c>
    </row>
    <row r="202" spans="2:15" ht="15" customHeight="1">
      <c r="B202" s="483">
        <v>1</v>
      </c>
      <c r="C202" s="484" t="s">
        <v>1612</v>
      </c>
      <c r="D202" s="488" t="s">
        <v>116</v>
      </c>
      <c r="E202" s="488" t="str">
        <f t="shared" si="20"/>
        <v>Open</v>
      </c>
      <c r="F202" s="488">
        <v>43817</v>
      </c>
      <c r="G202" s="488"/>
      <c r="H202" s="484" t="s">
        <v>222</v>
      </c>
      <c r="I202" s="484" t="str">
        <f>VLOOKUP(TabListaLojas[[#This Row],[UF]],UF!A:E,3,0)</f>
        <v>Argentina</v>
      </c>
      <c r="J202" s="484" t="s">
        <v>319</v>
      </c>
      <c r="K202" s="484" t="str">
        <f>VLOOKUP(TabListaLojas[[#This Row],[UF]],UF!A:B,2,0)</f>
        <v>Argentina</v>
      </c>
      <c r="L202" s="484" t="s">
        <v>910</v>
      </c>
      <c r="M202" s="484" t="s">
        <v>911</v>
      </c>
      <c r="N202" s="484" t="s">
        <v>714</v>
      </c>
      <c r="O202" s="487">
        <v>4853</v>
      </c>
    </row>
    <row r="203" spans="2:15" ht="15" customHeight="1">
      <c r="B203" s="483">
        <v>1</v>
      </c>
      <c r="C203" s="484" t="s">
        <v>1613</v>
      </c>
      <c r="D203" s="488" t="s">
        <v>116</v>
      </c>
      <c r="E203" s="488" t="str">
        <f t="shared" si="20"/>
        <v>Open</v>
      </c>
      <c r="F203" s="488">
        <v>43816</v>
      </c>
      <c r="G203" s="488"/>
      <c r="H203" s="484" t="s">
        <v>222</v>
      </c>
      <c r="I203" s="484" t="str">
        <f>VLOOKUP(TabListaLojas[[#This Row],[UF]],UF!A:E,3,0)</f>
        <v>Argentina</v>
      </c>
      <c r="J203" s="484" t="s">
        <v>319</v>
      </c>
      <c r="K203" s="484" t="str">
        <f>VLOOKUP(TabListaLojas[[#This Row],[UF]],UF!A:B,2,0)</f>
        <v>Argentina</v>
      </c>
      <c r="L203" s="484" t="s">
        <v>910</v>
      </c>
      <c r="M203" s="484" t="s">
        <v>912</v>
      </c>
      <c r="N203" s="484" t="s">
        <v>714</v>
      </c>
      <c r="O203" s="487">
        <v>2867.99</v>
      </c>
    </row>
    <row r="204" spans="2:15" ht="15" customHeight="1">
      <c r="B204" s="483">
        <v>1</v>
      </c>
      <c r="C204" s="484" t="s">
        <v>1614</v>
      </c>
      <c r="D204" s="488" t="s">
        <v>116</v>
      </c>
      <c r="E204" s="488" t="str">
        <f t="shared" si="20"/>
        <v>Open</v>
      </c>
      <c r="F204" s="488">
        <v>43813</v>
      </c>
      <c r="G204" s="488"/>
      <c r="H204" s="484" t="s">
        <v>222</v>
      </c>
      <c r="I204" s="484" t="str">
        <f>VLOOKUP(TabListaLojas[[#This Row],[UF]],UF!A:E,3,0)</f>
        <v>Argentina</v>
      </c>
      <c r="J204" s="484" t="s">
        <v>319</v>
      </c>
      <c r="K204" s="484" t="str">
        <f>VLOOKUP(TabListaLojas[[#This Row],[UF]],UF!A:B,2,0)</f>
        <v>Argentina</v>
      </c>
      <c r="L204" s="484" t="s">
        <v>913</v>
      </c>
      <c r="M204" s="484" t="s">
        <v>914</v>
      </c>
      <c r="N204" s="484" t="s">
        <v>676</v>
      </c>
      <c r="O204" s="487">
        <v>3739.1</v>
      </c>
    </row>
    <row r="205" spans="2:15" ht="15" customHeight="1">
      <c r="B205" s="483">
        <v>1</v>
      </c>
      <c r="C205" s="484" t="s">
        <v>1615</v>
      </c>
      <c r="D205" s="488" t="s">
        <v>116</v>
      </c>
      <c r="E205" s="488" t="str">
        <f t="shared" si="20"/>
        <v>Open</v>
      </c>
      <c r="F205" s="488">
        <v>43812</v>
      </c>
      <c r="G205" s="488"/>
      <c r="H205" s="484" t="s">
        <v>673</v>
      </c>
      <c r="I205" s="484" t="str">
        <f>VLOOKUP(TabListaLojas[[#This Row],[UF]],UF!A:E,3,0)</f>
        <v>Midwest</v>
      </c>
      <c r="J205" s="484" t="s">
        <v>160</v>
      </c>
      <c r="K205" s="484" t="str">
        <f>VLOOKUP(TabListaLojas[[#This Row],[UF]],UF!A:B,2,0)</f>
        <v>Mato Grosso do Sul</v>
      </c>
      <c r="L205" s="484" t="s">
        <v>915</v>
      </c>
      <c r="M205" s="484" t="s">
        <v>916</v>
      </c>
      <c r="N205" s="484" t="s">
        <v>676</v>
      </c>
      <c r="O205" s="487">
        <v>1972.09</v>
      </c>
    </row>
    <row r="206" spans="2:15" ht="15" customHeight="1">
      <c r="B206" s="483">
        <v>1</v>
      </c>
      <c r="C206" s="484" t="s">
        <v>1616</v>
      </c>
      <c r="D206" s="488" t="s">
        <v>116</v>
      </c>
      <c r="E206" s="488" t="str">
        <f t="shared" si="20"/>
        <v>Open</v>
      </c>
      <c r="F206" s="488">
        <v>43812</v>
      </c>
      <c r="G206" s="488"/>
      <c r="H206" s="484" t="s">
        <v>673</v>
      </c>
      <c r="I206" s="484" t="str">
        <f>VLOOKUP(TabListaLojas[[#This Row],[UF]],UF!A:E,3,0)</f>
        <v>Southest</v>
      </c>
      <c r="J206" s="484" t="s">
        <v>149</v>
      </c>
      <c r="K206" s="484" t="str">
        <f>VLOOKUP(TabListaLojas[[#This Row],[UF]],UF!A:B,2,0)</f>
        <v>Minas Gerais</v>
      </c>
      <c r="L206" s="484" t="s">
        <v>136</v>
      </c>
      <c r="M206" s="484" t="s">
        <v>917</v>
      </c>
      <c r="N206" s="484" t="s">
        <v>676</v>
      </c>
      <c r="O206" s="487">
        <v>1316.3</v>
      </c>
    </row>
    <row r="207" spans="2:15" ht="15" customHeight="1">
      <c r="B207" s="483">
        <v>1</v>
      </c>
      <c r="C207" s="484" t="s">
        <v>1617</v>
      </c>
      <c r="D207" s="488" t="s">
        <v>116</v>
      </c>
      <c r="E207" s="488" t="str">
        <f t="shared" si="20"/>
        <v>Open</v>
      </c>
      <c r="F207" s="488">
        <v>43811</v>
      </c>
      <c r="G207" s="488"/>
      <c r="H207" s="484" t="s">
        <v>202</v>
      </c>
      <c r="I207" s="484" t="str">
        <f>VLOOKUP(TabListaLojas[[#This Row],[UF]],UF!A:E,3,0)</f>
        <v>Uruguay</v>
      </c>
      <c r="J207" s="484" t="s">
        <v>318</v>
      </c>
      <c r="K207" s="484" t="str">
        <f>VLOOKUP(TabListaLojas[[#This Row],[UF]],UF!A:B,2,0)</f>
        <v>Uruguay</v>
      </c>
      <c r="L207" s="484" t="s">
        <v>806</v>
      </c>
      <c r="M207" s="484" t="s">
        <v>918</v>
      </c>
      <c r="N207" s="484" t="s">
        <v>676</v>
      </c>
      <c r="O207" s="487">
        <v>2403.17</v>
      </c>
    </row>
    <row r="208" spans="2:15" ht="15" customHeight="1">
      <c r="B208" s="483">
        <v>1</v>
      </c>
      <c r="C208" s="484" t="s">
        <v>1618</v>
      </c>
      <c r="D208" s="488" t="s">
        <v>116</v>
      </c>
      <c r="E208" s="488" t="str">
        <f t="shared" si="20"/>
        <v>Open</v>
      </c>
      <c r="F208" s="488">
        <v>43811</v>
      </c>
      <c r="G208" s="488"/>
      <c r="H208" s="484" t="s">
        <v>222</v>
      </c>
      <c r="I208" s="484" t="str">
        <f>VLOOKUP(TabListaLojas[[#This Row],[UF]],UF!A:E,3,0)</f>
        <v>Argentina</v>
      </c>
      <c r="J208" s="484" t="s">
        <v>319</v>
      </c>
      <c r="K208" s="484" t="str">
        <f>VLOOKUP(TabListaLojas[[#This Row],[UF]],UF!A:B,2,0)</f>
        <v>Argentina</v>
      </c>
      <c r="L208" s="484" t="s">
        <v>913</v>
      </c>
      <c r="M208" s="484" t="s">
        <v>919</v>
      </c>
      <c r="N208" s="484" t="s">
        <v>676</v>
      </c>
      <c r="O208" s="487">
        <v>2288.67</v>
      </c>
    </row>
    <row r="209" spans="2:15" ht="15" customHeight="1">
      <c r="B209" s="483">
        <v>1</v>
      </c>
      <c r="C209" s="484" t="s">
        <v>1619</v>
      </c>
      <c r="D209" s="488" t="s">
        <v>116</v>
      </c>
      <c r="E209" s="488" t="str">
        <f t="shared" si="20"/>
        <v>Open</v>
      </c>
      <c r="F209" s="488">
        <v>43811</v>
      </c>
      <c r="G209" s="488"/>
      <c r="H209" s="484" t="s">
        <v>673</v>
      </c>
      <c r="I209" s="484" t="str">
        <f>VLOOKUP(TabListaLojas[[#This Row],[UF]],UF!A:E,3,0)</f>
        <v>South</v>
      </c>
      <c r="J209" s="484" t="s">
        <v>117</v>
      </c>
      <c r="K209" s="484" t="str">
        <f>VLOOKUP(TabListaLojas[[#This Row],[UF]],UF!A:B,2,0)</f>
        <v>Rio Grande do Sul</v>
      </c>
      <c r="L209" s="484" t="s">
        <v>129</v>
      </c>
      <c r="M209" s="484" t="s">
        <v>920</v>
      </c>
      <c r="N209" s="484" t="s">
        <v>676</v>
      </c>
      <c r="O209" s="487">
        <v>773.26</v>
      </c>
    </row>
    <row r="210" spans="2:15" ht="15" customHeight="1">
      <c r="B210" s="483">
        <v>1</v>
      </c>
      <c r="C210" s="484" t="s">
        <v>1972</v>
      </c>
      <c r="D210" s="484" t="s">
        <v>701</v>
      </c>
      <c r="E210" s="488" t="str">
        <f t="shared" si="20"/>
        <v>Open</v>
      </c>
      <c r="F210" s="488">
        <v>43810</v>
      </c>
      <c r="G210" s="488"/>
      <c r="H210" s="484" t="s">
        <v>673</v>
      </c>
      <c r="I210" s="484" t="str">
        <f>VLOOKUP(TabListaLojas[[#This Row],[UF]],UF!A:E,3,0)</f>
        <v>Southest</v>
      </c>
      <c r="J210" s="484" t="s">
        <v>118</v>
      </c>
      <c r="K210" s="484" t="str">
        <f>VLOOKUP(TabListaLojas[[#This Row],[UF]],UF!A:B,2,0)</f>
        <v>São Paulo</v>
      </c>
      <c r="L210" s="484" t="s">
        <v>921</v>
      </c>
      <c r="M210" s="484" t="s">
        <v>922</v>
      </c>
      <c r="N210" s="484" t="s">
        <v>676</v>
      </c>
      <c r="O210" s="487">
        <v>274</v>
      </c>
    </row>
    <row r="211" spans="2:15" ht="15" customHeight="1">
      <c r="B211" s="483">
        <v>1</v>
      </c>
      <c r="C211" s="484" t="s">
        <v>1620</v>
      </c>
      <c r="D211" s="488" t="s">
        <v>116</v>
      </c>
      <c r="E211" s="488" t="str">
        <f t="shared" si="20"/>
        <v>Open</v>
      </c>
      <c r="F211" s="488">
        <v>43810</v>
      </c>
      <c r="G211" s="488"/>
      <c r="H211" s="484" t="s">
        <v>202</v>
      </c>
      <c r="I211" s="484" t="str">
        <f>VLOOKUP(TabListaLojas[[#This Row],[UF]],UF!A:E,3,0)</f>
        <v>Uruguay</v>
      </c>
      <c r="J211" s="484" t="s">
        <v>318</v>
      </c>
      <c r="K211" s="484" t="str">
        <f>VLOOKUP(TabListaLojas[[#This Row],[UF]],UF!A:B,2,0)</f>
        <v>Uruguay</v>
      </c>
      <c r="L211" s="484" t="s">
        <v>806</v>
      </c>
      <c r="M211" s="484" t="s">
        <v>923</v>
      </c>
      <c r="N211" s="484" t="s">
        <v>676</v>
      </c>
      <c r="O211" s="487">
        <v>2356.33</v>
      </c>
    </row>
    <row r="212" spans="2:15" ht="15" customHeight="1">
      <c r="B212" s="483">
        <v>1</v>
      </c>
      <c r="C212" s="484" t="s">
        <v>1621</v>
      </c>
      <c r="D212" s="488" t="s">
        <v>116</v>
      </c>
      <c r="E212" s="488" t="str">
        <f t="shared" si="20"/>
        <v>Open</v>
      </c>
      <c r="F212" s="488">
        <v>43809</v>
      </c>
      <c r="G212" s="488"/>
      <c r="H212" s="484" t="s">
        <v>673</v>
      </c>
      <c r="I212" s="484" t="str">
        <f>VLOOKUP(TabListaLojas[[#This Row],[UF]],UF!A:E,3,0)</f>
        <v>South</v>
      </c>
      <c r="J212" s="484" t="s">
        <v>117</v>
      </c>
      <c r="K212" s="484" t="str">
        <f>VLOOKUP(TabListaLojas[[#This Row],[UF]],UF!A:B,2,0)</f>
        <v>Rio Grande do Sul</v>
      </c>
      <c r="L212" s="484" t="s">
        <v>924</v>
      </c>
      <c r="M212" s="484" t="s">
        <v>925</v>
      </c>
      <c r="N212" s="484" t="s">
        <v>714</v>
      </c>
      <c r="O212" s="487">
        <v>1709.41</v>
      </c>
    </row>
    <row r="213" spans="2:15" ht="15" customHeight="1">
      <c r="B213" s="483">
        <v>1</v>
      </c>
      <c r="C213" s="484" t="s">
        <v>1622</v>
      </c>
      <c r="D213" s="488" t="s">
        <v>116</v>
      </c>
      <c r="E213" s="488" t="str">
        <f t="shared" si="20"/>
        <v>Open</v>
      </c>
      <c r="F213" s="488">
        <v>43802</v>
      </c>
      <c r="G213" s="488"/>
      <c r="H213" s="484" t="s">
        <v>673</v>
      </c>
      <c r="I213" s="484" t="str">
        <f>VLOOKUP(TabListaLojas[[#This Row],[UF]],UF!A:E,3,0)</f>
        <v>Southest</v>
      </c>
      <c r="J213" s="484" t="s">
        <v>118</v>
      </c>
      <c r="K213" s="484" t="str">
        <f>VLOOKUP(TabListaLojas[[#This Row],[UF]],UF!A:B,2,0)</f>
        <v>São Paulo</v>
      </c>
      <c r="L213" s="484" t="s">
        <v>124</v>
      </c>
      <c r="M213" s="484" t="s">
        <v>926</v>
      </c>
      <c r="N213" s="484" t="s">
        <v>676</v>
      </c>
      <c r="O213" s="487">
        <v>1535.34</v>
      </c>
    </row>
    <row r="214" spans="2:15" ht="15" customHeight="1">
      <c r="B214" s="483">
        <v>1</v>
      </c>
      <c r="C214" s="484" t="s">
        <v>1623</v>
      </c>
      <c r="D214" s="488" t="s">
        <v>116</v>
      </c>
      <c r="E214" s="488" t="str">
        <f t="shared" si="20"/>
        <v>Open</v>
      </c>
      <c r="F214" s="488">
        <v>43798</v>
      </c>
      <c r="G214" s="488"/>
      <c r="H214" s="484" t="s">
        <v>673</v>
      </c>
      <c r="I214" s="484" t="str">
        <f>VLOOKUP(TabListaLojas[[#This Row],[UF]],UF!A:E,3,0)</f>
        <v>South</v>
      </c>
      <c r="J214" s="484" t="s">
        <v>117</v>
      </c>
      <c r="K214" s="484" t="str">
        <f>VLOOKUP(TabListaLojas[[#This Row],[UF]],UF!A:B,2,0)</f>
        <v>Rio Grande do Sul</v>
      </c>
      <c r="L214" s="484" t="s">
        <v>927</v>
      </c>
      <c r="M214" s="484" t="s">
        <v>928</v>
      </c>
      <c r="N214" s="484" t="s">
        <v>714</v>
      </c>
      <c r="O214" s="487">
        <v>2028.91</v>
      </c>
    </row>
    <row r="215" spans="2:15" ht="15" customHeight="1">
      <c r="B215" s="483">
        <v>1</v>
      </c>
      <c r="C215" s="484" t="s">
        <v>2224</v>
      </c>
      <c r="D215" s="488" t="s">
        <v>127</v>
      </c>
      <c r="E215" s="488" t="str">
        <f t="shared" si="20"/>
        <v>Open</v>
      </c>
      <c r="F215" s="488">
        <v>43798</v>
      </c>
      <c r="G215" s="488"/>
      <c r="H215" s="484" t="s">
        <v>673</v>
      </c>
      <c r="I215" s="484" t="str">
        <f>VLOOKUP(TabListaLojas[[#This Row],[UF]],UF!A:E,3,0)</f>
        <v>Northest</v>
      </c>
      <c r="J215" s="484" t="s">
        <v>121</v>
      </c>
      <c r="K215" s="484" t="str">
        <f>VLOOKUP(TabListaLojas[[#This Row],[UF]],UF!A:B,2,0)</f>
        <v>Pernambuco</v>
      </c>
      <c r="L215" s="484" t="s">
        <v>125</v>
      </c>
      <c r="M215" s="484" t="s">
        <v>822</v>
      </c>
      <c r="N215" s="484" t="s">
        <v>676</v>
      </c>
      <c r="O215" s="487">
        <v>334.76</v>
      </c>
    </row>
    <row r="216" spans="2:15" ht="15" customHeight="1">
      <c r="B216" s="483">
        <v>1</v>
      </c>
      <c r="C216" s="484" t="s">
        <v>2223</v>
      </c>
      <c r="D216" s="488" t="s">
        <v>127</v>
      </c>
      <c r="E216" s="488" t="str">
        <f t="shared" si="20"/>
        <v>Open</v>
      </c>
      <c r="F216" s="488">
        <v>43797</v>
      </c>
      <c r="G216" s="488"/>
      <c r="H216" s="484" t="s">
        <v>673</v>
      </c>
      <c r="I216" s="484" t="str">
        <f>VLOOKUP(TabListaLojas[[#This Row],[UF]],UF!A:E,3,0)</f>
        <v>Midwest</v>
      </c>
      <c r="J216" s="484" t="s">
        <v>156</v>
      </c>
      <c r="K216" s="484" t="str">
        <f>VLOOKUP(TabListaLojas[[#This Row],[UF]],UF!A:B,2,0)</f>
        <v>Distrito Federal</v>
      </c>
      <c r="L216" s="484" t="s">
        <v>142</v>
      </c>
      <c r="M216" s="484" t="s">
        <v>929</v>
      </c>
      <c r="N216" s="484" t="s">
        <v>676</v>
      </c>
      <c r="O216" s="487">
        <v>252.34</v>
      </c>
    </row>
    <row r="217" spans="2:15" ht="15" customHeight="1">
      <c r="B217" s="483">
        <v>1</v>
      </c>
      <c r="C217" s="484" t="s">
        <v>1624</v>
      </c>
      <c r="D217" s="488" t="s">
        <v>116</v>
      </c>
      <c r="E217" s="488" t="str">
        <f t="shared" si="20"/>
        <v>Open</v>
      </c>
      <c r="F217" s="488">
        <v>43795</v>
      </c>
      <c r="G217" s="488"/>
      <c r="H217" s="484" t="s">
        <v>673</v>
      </c>
      <c r="I217" s="484" t="str">
        <f>VLOOKUP(TabListaLojas[[#This Row],[UF]],UF!A:E,3,0)</f>
        <v>Southest</v>
      </c>
      <c r="J217" s="484" t="s">
        <v>122</v>
      </c>
      <c r="K217" s="484" t="str">
        <f>VLOOKUP(TabListaLojas[[#This Row],[UF]],UF!A:B,2,0)</f>
        <v>Rio de Janeiro</v>
      </c>
      <c r="L217" s="484" t="s">
        <v>930</v>
      </c>
      <c r="M217" s="484" t="s">
        <v>931</v>
      </c>
      <c r="N217" s="484" t="s">
        <v>676</v>
      </c>
      <c r="O217" s="487">
        <v>1818.26</v>
      </c>
    </row>
    <row r="218" spans="2:15" ht="15" customHeight="1">
      <c r="B218" s="483">
        <v>1</v>
      </c>
      <c r="C218" s="484" t="s">
        <v>1625</v>
      </c>
      <c r="D218" s="488" t="s">
        <v>116</v>
      </c>
      <c r="E218" s="488" t="str">
        <f t="shared" si="20"/>
        <v>Open</v>
      </c>
      <c r="F218" s="488">
        <v>43790</v>
      </c>
      <c r="G218" s="488"/>
      <c r="H218" s="484" t="s">
        <v>673</v>
      </c>
      <c r="I218" s="484" t="str">
        <f>VLOOKUP(TabListaLojas[[#This Row],[UF]],UF!A:E,3,0)</f>
        <v>Southest</v>
      </c>
      <c r="J218" s="484" t="s">
        <v>118</v>
      </c>
      <c r="K218" s="484" t="str">
        <f>VLOOKUP(TabListaLojas[[#This Row],[UF]],UF!A:B,2,0)</f>
        <v>São Paulo</v>
      </c>
      <c r="L218" s="484" t="s">
        <v>124</v>
      </c>
      <c r="M218" s="484" t="s">
        <v>932</v>
      </c>
      <c r="N218" s="484" t="s">
        <v>676</v>
      </c>
      <c r="O218" s="487">
        <v>1937.67</v>
      </c>
    </row>
    <row r="219" spans="2:15" ht="15" customHeight="1">
      <c r="B219" s="483">
        <v>1</v>
      </c>
      <c r="C219" s="484" t="s">
        <v>2124</v>
      </c>
      <c r="D219" s="488" t="s">
        <v>127</v>
      </c>
      <c r="E219" s="488" t="str">
        <f t="shared" si="20"/>
        <v>Open</v>
      </c>
      <c r="F219" s="488">
        <v>43790</v>
      </c>
      <c r="G219" s="488"/>
      <c r="H219" s="484" t="s">
        <v>673</v>
      </c>
      <c r="I219" s="484" t="str">
        <f>VLOOKUP(TabListaLojas[[#This Row],[UF]],UF!A:E,3,0)</f>
        <v>South</v>
      </c>
      <c r="J219" s="484" t="s">
        <v>117</v>
      </c>
      <c r="K219" s="484" t="str">
        <f>VLOOKUP(TabListaLojas[[#This Row],[UF]],UF!A:B,2,0)</f>
        <v>Rio Grande do Sul</v>
      </c>
      <c r="L219" s="484" t="s">
        <v>129</v>
      </c>
      <c r="M219" s="484" t="s">
        <v>933</v>
      </c>
      <c r="N219" s="484" t="s">
        <v>676</v>
      </c>
      <c r="O219" s="487">
        <v>245.69</v>
      </c>
    </row>
    <row r="220" spans="2:15" ht="15" customHeight="1">
      <c r="B220" s="483">
        <v>1</v>
      </c>
      <c r="C220" s="484" t="s">
        <v>1626</v>
      </c>
      <c r="D220" s="488" t="s">
        <v>116</v>
      </c>
      <c r="E220" s="488" t="str">
        <f t="shared" si="20"/>
        <v>Open</v>
      </c>
      <c r="F220" s="488">
        <v>43783</v>
      </c>
      <c r="G220" s="488"/>
      <c r="H220" s="484" t="s">
        <v>673</v>
      </c>
      <c r="I220" s="484" t="str">
        <f>VLOOKUP(TabListaLojas[[#This Row],[UF]],UF!A:E,3,0)</f>
        <v>Southest</v>
      </c>
      <c r="J220" s="484" t="s">
        <v>118</v>
      </c>
      <c r="K220" s="484" t="str">
        <f>VLOOKUP(TabListaLojas[[#This Row],[UF]],UF!A:B,2,0)</f>
        <v>São Paulo</v>
      </c>
      <c r="L220" s="484" t="s">
        <v>934</v>
      </c>
      <c r="M220" s="484" t="s">
        <v>935</v>
      </c>
      <c r="N220" s="484" t="s">
        <v>676</v>
      </c>
      <c r="O220" s="487">
        <v>1741.56</v>
      </c>
    </row>
    <row r="221" spans="2:15" ht="15" customHeight="1">
      <c r="B221" s="483">
        <v>1</v>
      </c>
      <c r="C221" s="484" t="s">
        <v>1627</v>
      </c>
      <c r="D221" s="488" t="s">
        <v>116</v>
      </c>
      <c r="E221" s="488" t="str">
        <f t="shared" si="20"/>
        <v>Open</v>
      </c>
      <c r="F221" s="488">
        <v>43774</v>
      </c>
      <c r="G221" s="488"/>
      <c r="H221" s="484" t="s">
        <v>673</v>
      </c>
      <c r="I221" s="484" t="str">
        <f>VLOOKUP(TabListaLojas[[#This Row],[UF]],UF!A:E,3,0)</f>
        <v>Southest</v>
      </c>
      <c r="J221" s="484" t="s">
        <v>149</v>
      </c>
      <c r="K221" s="484" t="str">
        <f>VLOOKUP(TabListaLojas[[#This Row],[UF]],UF!A:B,2,0)</f>
        <v>Minas Gerais</v>
      </c>
      <c r="L221" s="484" t="s">
        <v>936</v>
      </c>
      <c r="M221" s="484" t="s">
        <v>937</v>
      </c>
      <c r="N221" s="484" t="s">
        <v>676</v>
      </c>
      <c r="O221" s="487">
        <v>1599.1</v>
      </c>
    </row>
    <row r="222" spans="2:15" ht="15" customHeight="1">
      <c r="B222" s="483">
        <v>1</v>
      </c>
      <c r="C222" s="484" t="s">
        <v>1628</v>
      </c>
      <c r="D222" s="488" t="s">
        <v>116</v>
      </c>
      <c r="E222" s="488" t="str">
        <f t="shared" si="20"/>
        <v>Open</v>
      </c>
      <c r="F222" s="488">
        <v>43770</v>
      </c>
      <c r="G222" s="488"/>
      <c r="H222" s="484" t="s">
        <v>673</v>
      </c>
      <c r="I222" s="484" t="str">
        <f>VLOOKUP(TabListaLojas[[#This Row],[UF]],UF!A:E,3,0)</f>
        <v>Southest</v>
      </c>
      <c r="J222" s="484" t="s">
        <v>122</v>
      </c>
      <c r="K222" s="484" t="str">
        <f>VLOOKUP(TabListaLojas[[#This Row],[UF]],UF!A:B,2,0)</f>
        <v>Rio de Janeiro</v>
      </c>
      <c r="L222" s="484" t="s">
        <v>938</v>
      </c>
      <c r="M222" s="484" t="s">
        <v>939</v>
      </c>
      <c r="N222" s="484" t="s">
        <v>676</v>
      </c>
      <c r="O222" s="487">
        <v>2425.8900000000003</v>
      </c>
    </row>
    <row r="223" spans="2:15" ht="15" customHeight="1">
      <c r="B223" s="483">
        <v>1</v>
      </c>
      <c r="C223" s="484" t="s">
        <v>2222</v>
      </c>
      <c r="D223" s="488" t="s">
        <v>127</v>
      </c>
      <c r="E223" s="488" t="str">
        <f t="shared" si="20"/>
        <v>Open</v>
      </c>
      <c r="F223" s="488">
        <v>43769</v>
      </c>
      <c r="G223" s="488"/>
      <c r="H223" s="484" t="s">
        <v>673</v>
      </c>
      <c r="I223" s="484" t="str">
        <f>VLOOKUP(TabListaLojas[[#This Row],[UF]],UF!A:E,3,0)</f>
        <v>South</v>
      </c>
      <c r="J223" s="484" t="s">
        <v>147</v>
      </c>
      <c r="K223" s="484" t="str">
        <f>VLOOKUP(TabListaLojas[[#This Row],[UF]],UF!A:B,2,0)</f>
        <v>Santa Catarina</v>
      </c>
      <c r="L223" s="484" t="s">
        <v>135</v>
      </c>
      <c r="M223" s="484" t="s">
        <v>940</v>
      </c>
      <c r="N223" s="484" t="s">
        <v>676</v>
      </c>
      <c r="O223" s="487">
        <v>272.73</v>
      </c>
    </row>
    <row r="224" spans="2:15" ht="15" hidden="1" customHeight="1">
      <c r="B224" s="491">
        <v>0</v>
      </c>
      <c r="C224" s="492" t="s">
        <v>1973</v>
      </c>
      <c r="D224" s="492" t="s">
        <v>701</v>
      </c>
      <c r="E224" s="493" t="str">
        <f t="shared" si="20"/>
        <v>Closed</v>
      </c>
      <c r="F224" s="493">
        <v>43762</v>
      </c>
      <c r="G224" s="493">
        <v>46203</v>
      </c>
      <c r="H224" s="492" t="s">
        <v>673</v>
      </c>
      <c r="I224" s="492" t="str">
        <f>VLOOKUP(TabListaLojas[[#This Row],[UF]],UF!A:E,3,0)</f>
        <v>Southest</v>
      </c>
      <c r="J224" s="492" t="s">
        <v>122</v>
      </c>
      <c r="K224" s="492" t="str">
        <f>VLOOKUP(TabListaLojas[[#This Row],[UF]],UF!A:B,2,0)</f>
        <v>Rio de Janeiro</v>
      </c>
      <c r="L224" s="492" t="s">
        <v>128</v>
      </c>
      <c r="M224" s="492" t="s">
        <v>901</v>
      </c>
      <c r="N224" s="492" t="s">
        <v>676</v>
      </c>
      <c r="O224" s="495">
        <v>0</v>
      </c>
    </row>
    <row r="225" spans="1:15" ht="15" hidden="1" customHeight="1">
      <c r="A225" s="173"/>
      <c r="B225" s="491">
        <v>0</v>
      </c>
      <c r="C225" s="492" t="s">
        <v>1974</v>
      </c>
      <c r="D225" s="492" t="s">
        <v>701</v>
      </c>
      <c r="E225" s="493" t="s">
        <v>2282</v>
      </c>
      <c r="F225" s="493">
        <v>43755</v>
      </c>
      <c r="G225" s="493">
        <v>46040</v>
      </c>
      <c r="H225" s="492" t="s">
        <v>673</v>
      </c>
      <c r="I225" s="492" t="str">
        <f>VLOOKUP(TabListaLojas[[#This Row],[UF]],UF!A:E,3,0)</f>
        <v>South</v>
      </c>
      <c r="J225" s="492" t="s">
        <v>117</v>
      </c>
      <c r="K225" s="492" t="str">
        <f>VLOOKUP(TabListaLojas[[#This Row],[UF]],UF!A:B,2,0)</f>
        <v>Rio Grande do Sul</v>
      </c>
      <c r="L225" s="492" t="s">
        <v>129</v>
      </c>
      <c r="M225" s="492" t="s">
        <v>941</v>
      </c>
      <c r="N225" s="492" t="s">
        <v>676</v>
      </c>
      <c r="O225" s="495">
        <v>0</v>
      </c>
    </row>
    <row r="226" spans="1:15" ht="15" customHeight="1">
      <c r="B226" s="483">
        <v>1</v>
      </c>
      <c r="C226" s="484" t="s">
        <v>2221</v>
      </c>
      <c r="D226" s="488" t="s">
        <v>127</v>
      </c>
      <c r="E226" s="488" t="str">
        <f t="shared" ref="E226:E233" si="21">IF(G226="","Open","Closed")</f>
        <v>Open</v>
      </c>
      <c r="F226" s="488">
        <v>43755</v>
      </c>
      <c r="G226" s="488"/>
      <c r="H226" s="484" t="s">
        <v>673</v>
      </c>
      <c r="I226" s="484" t="str">
        <f>VLOOKUP(TabListaLojas[[#This Row],[UF]],UF!A:E,3,0)</f>
        <v>Midwest</v>
      </c>
      <c r="J226" s="484" t="s">
        <v>119</v>
      </c>
      <c r="K226" s="484" t="str">
        <f>VLOOKUP(TabListaLojas[[#This Row],[UF]],UF!A:B,2,0)</f>
        <v>Mato Grosso</v>
      </c>
      <c r="L226" s="484" t="s">
        <v>133</v>
      </c>
      <c r="M226" s="484" t="s">
        <v>942</v>
      </c>
      <c r="N226" s="484" t="s">
        <v>676</v>
      </c>
      <c r="O226" s="487">
        <v>229.12</v>
      </c>
    </row>
    <row r="227" spans="1:15" ht="15" customHeight="1">
      <c r="B227" s="483">
        <v>1</v>
      </c>
      <c r="C227" s="484" t="s">
        <v>2220</v>
      </c>
      <c r="D227" s="488" t="s">
        <v>127</v>
      </c>
      <c r="E227" s="488" t="str">
        <f t="shared" si="21"/>
        <v>Open</v>
      </c>
      <c r="F227" s="488">
        <v>43748</v>
      </c>
      <c r="G227" s="488"/>
      <c r="H227" s="484" t="s">
        <v>673</v>
      </c>
      <c r="I227" s="484" t="str">
        <f>VLOOKUP(TabListaLojas[[#This Row],[UF]],UF!A:E,3,0)</f>
        <v>South</v>
      </c>
      <c r="J227" s="484" t="s">
        <v>161</v>
      </c>
      <c r="K227" s="484" t="str">
        <f>VLOOKUP(TabListaLojas[[#This Row],[UF]],UF!A:B,2,0)</f>
        <v>Paraná</v>
      </c>
      <c r="L227" s="484" t="s">
        <v>146</v>
      </c>
      <c r="M227" s="484" t="s">
        <v>943</v>
      </c>
      <c r="N227" s="484" t="s">
        <v>676</v>
      </c>
      <c r="O227" s="487">
        <v>227.52</v>
      </c>
    </row>
    <row r="228" spans="1:15" ht="15" hidden="1" customHeight="1">
      <c r="B228" s="491">
        <v>0</v>
      </c>
      <c r="C228" s="492" t="s">
        <v>2103</v>
      </c>
      <c r="D228" s="493" t="s">
        <v>126</v>
      </c>
      <c r="E228" s="493" t="str">
        <f t="shared" si="21"/>
        <v>Closed</v>
      </c>
      <c r="F228" s="493">
        <v>43746</v>
      </c>
      <c r="G228" s="493">
        <v>46174</v>
      </c>
      <c r="H228" s="492" t="s">
        <v>673</v>
      </c>
      <c r="I228" s="492" t="str">
        <f>VLOOKUP(TabListaLojas[[#This Row],[UF]],UF!A:E,3,0)</f>
        <v>Southest</v>
      </c>
      <c r="J228" s="492" t="s">
        <v>118</v>
      </c>
      <c r="K228" s="492" t="str">
        <f>VLOOKUP(TabListaLojas[[#This Row],[UF]],UF!A:B,2,0)</f>
        <v>São Paulo</v>
      </c>
      <c r="L228" s="492" t="s">
        <v>124</v>
      </c>
      <c r="M228" s="492" t="s">
        <v>944</v>
      </c>
      <c r="N228" s="492" t="s">
        <v>676</v>
      </c>
      <c r="O228" s="495">
        <v>0</v>
      </c>
    </row>
    <row r="229" spans="1:15" ht="15" hidden="1" customHeight="1">
      <c r="B229" s="491">
        <v>0</v>
      </c>
      <c r="C229" s="492" t="s">
        <v>2260</v>
      </c>
      <c r="D229" s="493" t="s">
        <v>116</v>
      </c>
      <c r="E229" s="493" t="str">
        <f t="shared" si="21"/>
        <v>Closed</v>
      </c>
      <c r="F229" s="493">
        <v>43727</v>
      </c>
      <c r="G229" s="493">
        <v>44928</v>
      </c>
      <c r="H229" s="492" t="s">
        <v>673</v>
      </c>
      <c r="I229" s="492" t="str">
        <f>VLOOKUP(TabListaLojas[[#This Row],[UF]],UF!A:E,3,0)</f>
        <v>Northest</v>
      </c>
      <c r="J229" s="492" t="s">
        <v>163</v>
      </c>
      <c r="K229" s="492" t="str">
        <f>VLOOKUP(TabListaLojas[[#This Row],[UF]],UF!A:B,2,0)</f>
        <v>Sergipe</v>
      </c>
      <c r="L229" s="492" t="s">
        <v>169</v>
      </c>
      <c r="M229" s="492" t="s">
        <v>1509</v>
      </c>
      <c r="N229" s="492" t="s">
        <v>676</v>
      </c>
      <c r="O229" s="495">
        <v>0</v>
      </c>
    </row>
    <row r="230" spans="1:15" ht="15" customHeight="1">
      <c r="B230" s="483">
        <v>1</v>
      </c>
      <c r="C230" s="484" t="s">
        <v>1629</v>
      </c>
      <c r="D230" s="488" t="s">
        <v>116</v>
      </c>
      <c r="E230" s="488" t="str">
        <f t="shared" si="21"/>
        <v>Open</v>
      </c>
      <c r="F230" s="488">
        <v>43706</v>
      </c>
      <c r="G230" s="488"/>
      <c r="H230" s="484" t="s">
        <v>673</v>
      </c>
      <c r="I230" s="484" t="str">
        <f>VLOOKUP(TabListaLojas[[#This Row],[UF]],UF!A:E,3,0)</f>
        <v>Southest</v>
      </c>
      <c r="J230" s="484" t="s">
        <v>152</v>
      </c>
      <c r="K230" s="484" t="str">
        <f>VLOOKUP(TabListaLojas[[#This Row],[UF]],UF!A:B,2,0)</f>
        <v>Espírito Santo</v>
      </c>
      <c r="L230" s="484" t="s">
        <v>945</v>
      </c>
      <c r="M230" s="484" t="s">
        <v>946</v>
      </c>
      <c r="N230" s="484" t="s">
        <v>676</v>
      </c>
      <c r="O230" s="487">
        <v>2044.54</v>
      </c>
    </row>
    <row r="231" spans="1:15" ht="15" customHeight="1">
      <c r="B231" s="483">
        <v>1</v>
      </c>
      <c r="C231" s="484" t="s">
        <v>1630</v>
      </c>
      <c r="D231" s="488" t="s">
        <v>116</v>
      </c>
      <c r="E231" s="488" t="str">
        <f t="shared" si="21"/>
        <v>Open</v>
      </c>
      <c r="F231" s="488">
        <v>43698</v>
      </c>
      <c r="G231" s="488"/>
      <c r="H231" s="484" t="s">
        <v>673</v>
      </c>
      <c r="I231" s="484" t="str">
        <f>VLOOKUP(TabListaLojas[[#This Row],[UF]],UF!A:E,3,0)</f>
        <v>Northest</v>
      </c>
      <c r="J231" s="484" t="s">
        <v>154</v>
      </c>
      <c r="K231" s="484" t="str">
        <f>VLOOKUP(TabListaLojas[[#This Row],[UF]],UF!A:B,2,0)</f>
        <v>Maranhão</v>
      </c>
      <c r="L231" s="484" t="s">
        <v>947</v>
      </c>
      <c r="M231" s="484" t="s">
        <v>948</v>
      </c>
      <c r="N231" s="484" t="s">
        <v>676</v>
      </c>
      <c r="O231" s="487">
        <v>1732.6399999999999</v>
      </c>
    </row>
    <row r="232" spans="1:15" ht="15" customHeight="1">
      <c r="B232" s="483">
        <v>1</v>
      </c>
      <c r="C232" s="484" t="s">
        <v>1975</v>
      </c>
      <c r="D232" s="484" t="s">
        <v>701</v>
      </c>
      <c r="E232" s="488" t="str">
        <f t="shared" si="21"/>
        <v>Open</v>
      </c>
      <c r="F232" s="488">
        <v>43692</v>
      </c>
      <c r="G232" s="488"/>
      <c r="H232" s="484" t="s">
        <v>673</v>
      </c>
      <c r="I232" s="484" t="str">
        <f>VLOOKUP(TabListaLojas[[#This Row],[UF]],UF!A:E,3,0)</f>
        <v>Southest</v>
      </c>
      <c r="J232" s="484" t="s">
        <v>118</v>
      </c>
      <c r="K232" s="484" t="str">
        <f>VLOOKUP(TabListaLojas[[#This Row],[UF]],UF!A:B,2,0)</f>
        <v>São Paulo</v>
      </c>
      <c r="L232" s="484" t="s">
        <v>124</v>
      </c>
      <c r="M232" s="484" t="s">
        <v>949</v>
      </c>
      <c r="N232" s="484" t="s">
        <v>676</v>
      </c>
      <c r="O232" s="487">
        <v>160</v>
      </c>
    </row>
    <row r="233" spans="1:15" ht="15" customHeight="1">
      <c r="B233" s="483">
        <v>1</v>
      </c>
      <c r="C233" s="484" t="s">
        <v>1976</v>
      </c>
      <c r="D233" s="484" t="s">
        <v>701</v>
      </c>
      <c r="E233" s="488" t="str">
        <f t="shared" si="21"/>
        <v>Open</v>
      </c>
      <c r="F233" s="488">
        <v>43678</v>
      </c>
      <c r="G233" s="488"/>
      <c r="H233" s="484" t="s">
        <v>673</v>
      </c>
      <c r="I233" s="484" t="str">
        <f>VLOOKUP(TabListaLojas[[#This Row],[UF]],UF!A:E,3,0)</f>
        <v>South</v>
      </c>
      <c r="J233" s="484" t="s">
        <v>117</v>
      </c>
      <c r="K233" s="484" t="str">
        <f>VLOOKUP(TabListaLojas[[#This Row],[UF]],UF!A:B,2,0)</f>
        <v>Rio Grande do Sul</v>
      </c>
      <c r="L233" s="484" t="s">
        <v>950</v>
      </c>
      <c r="M233" s="484" t="s">
        <v>951</v>
      </c>
      <c r="N233" s="484" t="s">
        <v>676</v>
      </c>
      <c r="O233" s="487">
        <v>223</v>
      </c>
    </row>
    <row r="234" spans="1:15" ht="15" customHeight="1">
      <c r="B234" s="483">
        <v>1</v>
      </c>
      <c r="C234" s="484" t="s">
        <v>1631</v>
      </c>
      <c r="D234" s="488" t="s">
        <v>116</v>
      </c>
      <c r="E234" s="488" t="str">
        <f t="shared" ref="E234:E276" si="22">IF(G234="","Open","Closed")</f>
        <v>Open</v>
      </c>
      <c r="F234" s="488">
        <v>43678</v>
      </c>
      <c r="G234" s="488"/>
      <c r="H234" s="484" t="s">
        <v>673</v>
      </c>
      <c r="I234" s="484" t="str">
        <f>VLOOKUP(TabListaLojas[[#This Row],[UF]],UF!A:E,3,0)</f>
        <v>Southest</v>
      </c>
      <c r="J234" s="484" t="s">
        <v>118</v>
      </c>
      <c r="K234" s="484" t="str">
        <f>VLOOKUP(TabListaLojas[[#This Row],[UF]],UF!A:B,2,0)</f>
        <v>São Paulo</v>
      </c>
      <c r="L234" s="484" t="s">
        <v>124</v>
      </c>
      <c r="M234" s="484" t="s">
        <v>952</v>
      </c>
      <c r="N234" s="484" t="s">
        <v>714</v>
      </c>
      <c r="O234" s="487">
        <v>1840.5300000000002</v>
      </c>
    </row>
    <row r="235" spans="1:15" ht="15" customHeight="1">
      <c r="B235" s="483">
        <v>1</v>
      </c>
      <c r="C235" s="484" t="s">
        <v>1632</v>
      </c>
      <c r="D235" s="488" t="s">
        <v>116</v>
      </c>
      <c r="E235" s="488" t="str">
        <f t="shared" si="22"/>
        <v>Open</v>
      </c>
      <c r="F235" s="488">
        <v>43677</v>
      </c>
      <c r="G235" s="488"/>
      <c r="H235" s="484" t="s">
        <v>673</v>
      </c>
      <c r="I235" s="484" t="str">
        <f>VLOOKUP(TabListaLojas[[#This Row],[UF]],UF!A:E,3,0)</f>
        <v>Southest</v>
      </c>
      <c r="J235" s="484" t="s">
        <v>118</v>
      </c>
      <c r="K235" s="484" t="str">
        <f>VLOOKUP(TabListaLojas[[#This Row],[UF]],UF!A:B,2,0)</f>
        <v>São Paulo</v>
      </c>
      <c r="L235" s="484" t="s">
        <v>953</v>
      </c>
      <c r="M235" s="484" t="s">
        <v>954</v>
      </c>
      <c r="N235" s="484" t="s">
        <v>676</v>
      </c>
      <c r="O235" s="487">
        <v>2017.97</v>
      </c>
    </row>
    <row r="236" spans="1:15" ht="15" customHeight="1">
      <c r="B236" s="483">
        <v>1</v>
      </c>
      <c r="C236" s="484" t="s">
        <v>1633</v>
      </c>
      <c r="D236" s="488" t="s">
        <v>116</v>
      </c>
      <c r="E236" s="488" t="str">
        <f t="shared" si="22"/>
        <v>Open</v>
      </c>
      <c r="F236" s="488">
        <v>43671</v>
      </c>
      <c r="G236" s="488"/>
      <c r="H236" s="484" t="s">
        <v>673</v>
      </c>
      <c r="I236" s="484" t="str">
        <f>VLOOKUP(TabListaLojas[[#This Row],[UF]],UF!A:E,3,0)</f>
        <v>South</v>
      </c>
      <c r="J236" s="484" t="s">
        <v>117</v>
      </c>
      <c r="K236" s="484" t="str">
        <f>VLOOKUP(TabListaLojas[[#This Row],[UF]],UF!A:B,2,0)</f>
        <v>Rio Grande do Sul</v>
      </c>
      <c r="L236" s="484" t="s">
        <v>955</v>
      </c>
      <c r="M236" s="484" t="s">
        <v>956</v>
      </c>
      <c r="N236" s="484" t="s">
        <v>714</v>
      </c>
      <c r="O236" s="487">
        <v>1920.8</v>
      </c>
    </row>
    <row r="237" spans="1:15" ht="15" customHeight="1">
      <c r="B237" s="483">
        <v>1</v>
      </c>
      <c r="C237" s="484" t="s">
        <v>1634</v>
      </c>
      <c r="D237" s="488" t="s">
        <v>116</v>
      </c>
      <c r="E237" s="488" t="str">
        <f t="shared" si="22"/>
        <v>Open</v>
      </c>
      <c r="F237" s="488">
        <v>43621</v>
      </c>
      <c r="G237" s="488"/>
      <c r="H237" s="484" t="s">
        <v>673</v>
      </c>
      <c r="I237" s="484" t="str">
        <f>VLOOKUP(TabListaLojas[[#This Row],[UF]],UF!A:E,3,0)</f>
        <v>South</v>
      </c>
      <c r="J237" s="484" t="s">
        <v>161</v>
      </c>
      <c r="K237" s="484" t="str">
        <f>VLOOKUP(TabListaLojas[[#This Row],[UF]],UF!A:B,2,0)</f>
        <v>Paraná</v>
      </c>
      <c r="L237" s="484" t="s">
        <v>146</v>
      </c>
      <c r="M237" s="484" t="s">
        <v>943</v>
      </c>
      <c r="N237" s="484" t="s">
        <v>676</v>
      </c>
      <c r="O237" s="487">
        <v>3299.91</v>
      </c>
    </row>
    <row r="238" spans="1:15" ht="15" customHeight="1">
      <c r="B238" s="483">
        <v>1</v>
      </c>
      <c r="C238" s="484" t="s">
        <v>1635</v>
      </c>
      <c r="D238" s="488" t="s">
        <v>116</v>
      </c>
      <c r="E238" s="488" t="str">
        <f t="shared" si="22"/>
        <v>Open</v>
      </c>
      <c r="F238" s="488">
        <v>43621</v>
      </c>
      <c r="G238" s="488"/>
      <c r="H238" s="484" t="s">
        <v>673</v>
      </c>
      <c r="I238" s="484" t="str">
        <f>VLOOKUP(TabListaLojas[[#This Row],[UF]],UF!A:E,3,0)</f>
        <v>South</v>
      </c>
      <c r="J238" s="484" t="s">
        <v>161</v>
      </c>
      <c r="K238" s="484" t="str">
        <f>VLOOKUP(TabListaLojas[[#This Row],[UF]],UF!A:B,2,0)</f>
        <v>Paraná</v>
      </c>
      <c r="L238" s="484" t="s">
        <v>957</v>
      </c>
      <c r="M238" s="484" t="s">
        <v>958</v>
      </c>
      <c r="N238" s="484" t="s">
        <v>676</v>
      </c>
      <c r="O238" s="487">
        <v>1941</v>
      </c>
    </row>
    <row r="239" spans="1:15" ht="15" customHeight="1">
      <c r="B239" s="483">
        <v>1</v>
      </c>
      <c r="C239" s="484" t="s">
        <v>1636</v>
      </c>
      <c r="D239" s="488" t="s">
        <v>116</v>
      </c>
      <c r="E239" s="488" t="str">
        <f t="shared" si="22"/>
        <v>Open</v>
      </c>
      <c r="F239" s="488">
        <v>43620</v>
      </c>
      <c r="G239" s="488"/>
      <c r="H239" s="484" t="s">
        <v>673</v>
      </c>
      <c r="I239" s="484" t="str">
        <f>VLOOKUP(TabListaLojas[[#This Row],[UF]],UF!A:E,3,0)</f>
        <v>Northest</v>
      </c>
      <c r="J239" s="484" t="s">
        <v>148</v>
      </c>
      <c r="K239" s="484" t="str">
        <f>VLOOKUP(TabListaLojas[[#This Row],[UF]],UF!A:B,2,0)</f>
        <v>Ceará</v>
      </c>
      <c r="L239" s="484" t="s">
        <v>959</v>
      </c>
      <c r="M239" s="484" t="s">
        <v>960</v>
      </c>
      <c r="N239" s="484" t="s">
        <v>676</v>
      </c>
      <c r="O239" s="487">
        <v>1677.92</v>
      </c>
    </row>
    <row r="240" spans="1:15" ht="15" customHeight="1">
      <c r="B240" s="483">
        <v>1</v>
      </c>
      <c r="C240" s="484" t="s">
        <v>2219</v>
      </c>
      <c r="D240" s="488" t="s">
        <v>127</v>
      </c>
      <c r="E240" s="488" t="str">
        <f t="shared" si="22"/>
        <v>Open</v>
      </c>
      <c r="F240" s="488">
        <v>43616</v>
      </c>
      <c r="G240" s="488"/>
      <c r="H240" s="484" t="s">
        <v>673</v>
      </c>
      <c r="I240" s="484" t="str">
        <f>VLOOKUP(TabListaLojas[[#This Row],[UF]],UF!A:E,3,0)</f>
        <v>Midwest</v>
      </c>
      <c r="J240" s="484" t="s">
        <v>123</v>
      </c>
      <c r="K240" s="484" t="str">
        <f>VLOOKUP(TabListaLojas[[#This Row],[UF]],UF!A:B,2,0)</f>
        <v>Goiás</v>
      </c>
      <c r="L240" s="484" t="s">
        <v>140</v>
      </c>
      <c r="M240" s="484" t="s">
        <v>961</v>
      </c>
      <c r="N240" s="484" t="s">
        <v>676</v>
      </c>
      <c r="O240" s="487">
        <v>264.02999999999997</v>
      </c>
    </row>
    <row r="241" spans="2:15" ht="15" customHeight="1">
      <c r="B241" s="483">
        <v>1</v>
      </c>
      <c r="C241" s="484" t="s">
        <v>1637</v>
      </c>
      <c r="D241" s="488" t="s">
        <v>116</v>
      </c>
      <c r="E241" s="488" t="str">
        <f t="shared" si="22"/>
        <v>Open</v>
      </c>
      <c r="F241" s="488">
        <v>43615</v>
      </c>
      <c r="G241" s="488"/>
      <c r="H241" s="484" t="s">
        <v>673</v>
      </c>
      <c r="I241" s="484" t="str">
        <f>VLOOKUP(TabListaLojas[[#This Row],[UF]],UF!A:E,3,0)</f>
        <v>Southest</v>
      </c>
      <c r="J241" s="484" t="s">
        <v>118</v>
      </c>
      <c r="K241" s="484" t="str">
        <f>VLOOKUP(TabListaLojas[[#This Row],[UF]],UF!A:B,2,0)</f>
        <v>São Paulo</v>
      </c>
      <c r="L241" s="484" t="s">
        <v>124</v>
      </c>
      <c r="M241" s="484" t="s">
        <v>962</v>
      </c>
      <c r="N241" s="484" t="s">
        <v>676</v>
      </c>
      <c r="O241" s="487">
        <v>1450.79</v>
      </c>
    </row>
    <row r="242" spans="2:15" ht="15" customHeight="1">
      <c r="B242" s="483">
        <v>1</v>
      </c>
      <c r="C242" s="484" t="s">
        <v>1638</v>
      </c>
      <c r="D242" s="488" t="s">
        <v>116</v>
      </c>
      <c r="E242" s="488" t="str">
        <f t="shared" si="22"/>
        <v>Open</v>
      </c>
      <c r="F242" s="488">
        <v>43615</v>
      </c>
      <c r="G242" s="488"/>
      <c r="H242" s="484" t="s">
        <v>673</v>
      </c>
      <c r="I242" s="484" t="str">
        <f>VLOOKUP(TabListaLojas[[#This Row],[UF]],UF!A:E,3,0)</f>
        <v>Southest</v>
      </c>
      <c r="J242" s="484" t="s">
        <v>122</v>
      </c>
      <c r="K242" s="484" t="str">
        <f>VLOOKUP(TabListaLojas[[#This Row],[UF]],UF!A:B,2,0)</f>
        <v>Rio de Janeiro</v>
      </c>
      <c r="L242" s="484" t="s">
        <v>128</v>
      </c>
      <c r="M242" s="484" t="s">
        <v>963</v>
      </c>
      <c r="N242" s="484" t="s">
        <v>676</v>
      </c>
      <c r="O242" s="487">
        <v>1322.85</v>
      </c>
    </row>
    <row r="243" spans="2:15" ht="15" customHeight="1">
      <c r="B243" s="483">
        <v>1</v>
      </c>
      <c r="C243" s="484" t="s">
        <v>2218</v>
      </c>
      <c r="D243" s="488" t="s">
        <v>127</v>
      </c>
      <c r="E243" s="488" t="str">
        <f t="shared" si="22"/>
        <v>Open</v>
      </c>
      <c r="F243" s="488">
        <v>43615</v>
      </c>
      <c r="G243" s="488"/>
      <c r="H243" s="484" t="s">
        <v>673</v>
      </c>
      <c r="I243" s="484" t="str">
        <f>VLOOKUP(TabListaLojas[[#This Row],[UF]],UF!A:E,3,0)</f>
        <v>Southest</v>
      </c>
      <c r="J243" s="484" t="s">
        <v>118</v>
      </c>
      <c r="K243" s="484" t="str">
        <f>VLOOKUP(TabListaLojas[[#This Row],[UF]],UF!A:B,2,0)</f>
        <v>São Paulo</v>
      </c>
      <c r="L243" s="484" t="s">
        <v>894</v>
      </c>
      <c r="M243" s="484" t="s">
        <v>964</v>
      </c>
      <c r="N243" s="484" t="s">
        <v>676</v>
      </c>
      <c r="O243" s="487">
        <v>262.5</v>
      </c>
    </row>
    <row r="244" spans="2:15" ht="15" customHeight="1">
      <c r="B244" s="483">
        <v>1</v>
      </c>
      <c r="C244" s="484" t="s">
        <v>2102</v>
      </c>
      <c r="D244" s="488" t="s">
        <v>126</v>
      </c>
      <c r="E244" s="488" t="str">
        <f t="shared" si="22"/>
        <v>Open</v>
      </c>
      <c r="F244" s="488">
        <v>43592</v>
      </c>
      <c r="G244" s="488"/>
      <c r="H244" s="484" t="s">
        <v>673</v>
      </c>
      <c r="I244" s="484" t="str">
        <f>VLOOKUP(TabListaLojas[[#This Row],[UF]],UF!A:E,3,0)</f>
        <v>North</v>
      </c>
      <c r="J244" s="484" t="s">
        <v>166</v>
      </c>
      <c r="K244" s="484" t="str">
        <f>VLOOKUP(TabListaLojas[[#This Row],[UF]],UF!A:B,2,0)</f>
        <v>Tocantins</v>
      </c>
      <c r="L244" s="484" t="s">
        <v>177</v>
      </c>
      <c r="M244" s="484" t="s">
        <v>965</v>
      </c>
      <c r="N244" s="484" t="s">
        <v>676</v>
      </c>
      <c r="O244" s="487">
        <v>493.25</v>
      </c>
    </row>
    <row r="245" spans="2:15" ht="15" hidden="1" customHeight="1">
      <c r="B245" s="491">
        <v>1</v>
      </c>
      <c r="C245" s="492" t="s">
        <v>2101</v>
      </c>
      <c r="D245" s="493" t="s">
        <v>126</v>
      </c>
      <c r="E245" s="493" t="str">
        <f t="shared" si="22"/>
        <v>Closed</v>
      </c>
      <c r="F245" s="493">
        <v>43588</v>
      </c>
      <c r="G245" s="493">
        <v>46097</v>
      </c>
      <c r="H245" s="492" t="s">
        <v>673</v>
      </c>
      <c r="I245" s="492" t="str">
        <f>VLOOKUP(TabListaLojas[[#This Row],[UF]],UF!A:E,3,0)</f>
        <v>Southest</v>
      </c>
      <c r="J245" s="492" t="s">
        <v>118</v>
      </c>
      <c r="K245" s="492" t="str">
        <f>VLOOKUP(TabListaLojas[[#This Row],[UF]],UF!A:B,2,0)</f>
        <v>São Paulo</v>
      </c>
      <c r="L245" s="492" t="s">
        <v>124</v>
      </c>
      <c r="M245" s="492" t="s">
        <v>966</v>
      </c>
      <c r="N245" s="492" t="s">
        <v>676</v>
      </c>
      <c r="O245" s="495">
        <v>375.68</v>
      </c>
    </row>
    <row r="246" spans="2:15" ht="15" customHeight="1">
      <c r="B246" s="483">
        <v>1</v>
      </c>
      <c r="C246" s="484" t="s">
        <v>2100</v>
      </c>
      <c r="D246" s="488" t="s">
        <v>126</v>
      </c>
      <c r="E246" s="488" t="str">
        <f t="shared" si="22"/>
        <v>Open</v>
      </c>
      <c r="F246" s="488">
        <v>43587</v>
      </c>
      <c r="G246" s="488"/>
      <c r="H246" s="484" t="s">
        <v>673</v>
      </c>
      <c r="I246" s="484" t="str">
        <f>VLOOKUP(TabListaLojas[[#This Row],[UF]],UF!A:E,3,0)</f>
        <v>Southest</v>
      </c>
      <c r="J246" s="484" t="s">
        <v>118</v>
      </c>
      <c r="K246" s="484" t="str">
        <f>VLOOKUP(TabListaLojas[[#This Row],[UF]],UF!A:B,2,0)</f>
        <v>São Paulo</v>
      </c>
      <c r="L246" s="484" t="s">
        <v>124</v>
      </c>
      <c r="M246" s="484" t="s">
        <v>949</v>
      </c>
      <c r="N246" s="484" t="s">
        <v>676</v>
      </c>
      <c r="O246" s="487">
        <v>544.19000000000005</v>
      </c>
    </row>
    <row r="247" spans="2:15" ht="15" customHeight="1">
      <c r="B247" s="483">
        <v>1</v>
      </c>
      <c r="C247" s="484" t="s">
        <v>1639</v>
      </c>
      <c r="D247" s="488" t="s">
        <v>116</v>
      </c>
      <c r="E247" s="488" t="str">
        <f t="shared" si="22"/>
        <v>Open</v>
      </c>
      <c r="F247" s="488">
        <v>43580</v>
      </c>
      <c r="G247" s="488"/>
      <c r="H247" s="484" t="s">
        <v>673</v>
      </c>
      <c r="I247" s="484" t="str">
        <f>VLOOKUP(TabListaLojas[[#This Row],[UF]],UF!A:E,3,0)</f>
        <v>Southest</v>
      </c>
      <c r="J247" s="484" t="s">
        <v>118</v>
      </c>
      <c r="K247" s="484" t="str">
        <f>VLOOKUP(TabListaLojas[[#This Row],[UF]],UF!A:B,2,0)</f>
        <v>São Paulo</v>
      </c>
      <c r="L247" s="484" t="s">
        <v>967</v>
      </c>
      <c r="M247" s="484" t="s">
        <v>968</v>
      </c>
      <c r="N247" s="484" t="s">
        <v>676</v>
      </c>
      <c r="O247" s="487">
        <v>1647.42</v>
      </c>
    </row>
    <row r="248" spans="2:15" ht="15" customHeight="1">
      <c r="B248" s="483">
        <v>1</v>
      </c>
      <c r="C248" s="484" t="s">
        <v>2217</v>
      </c>
      <c r="D248" s="488" t="s">
        <v>127</v>
      </c>
      <c r="E248" s="488" t="str">
        <f t="shared" si="22"/>
        <v>Open</v>
      </c>
      <c r="F248" s="488">
        <v>43573</v>
      </c>
      <c r="G248" s="488"/>
      <c r="H248" s="484" t="s">
        <v>673</v>
      </c>
      <c r="I248" s="484" t="str">
        <f>VLOOKUP(TabListaLojas[[#This Row],[UF]],UF!A:E,3,0)</f>
        <v>North</v>
      </c>
      <c r="J248" s="484" t="s">
        <v>164</v>
      </c>
      <c r="K248" s="484" t="str">
        <f>VLOOKUP(TabListaLojas[[#This Row],[UF]],UF!A:B,2,0)</f>
        <v>Rondônia</v>
      </c>
      <c r="L248" s="484" t="s">
        <v>178</v>
      </c>
      <c r="M248" s="484" t="s">
        <v>969</v>
      </c>
      <c r="N248" s="484" t="s">
        <v>676</v>
      </c>
      <c r="O248" s="487">
        <v>211.12</v>
      </c>
    </row>
    <row r="249" spans="2:15" ht="15" customHeight="1">
      <c r="B249" s="483">
        <v>1</v>
      </c>
      <c r="C249" s="484" t="s">
        <v>2099</v>
      </c>
      <c r="D249" s="488" t="s">
        <v>126</v>
      </c>
      <c r="E249" s="488" t="str">
        <f t="shared" si="22"/>
        <v>Open</v>
      </c>
      <c r="F249" s="488">
        <v>43571</v>
      </c>
      <c r="G249" s="488"/>
      <c r="H249" s="484" t="s">
        <v>673</v>
      </c>
      <c r="I249" s="484" t="str">
        <f>VLOOKUP(TabListaLojas[[#This Row],[UF]],UF!A:E,3,0)</f>
        <v>Southest</v>
      </c>
      <c r="J249" s="484" t="s">
        <v>118</v>
      </c>
      <c r="K249" s="484" t="str">
        <f>VLOOKUP(TabListaLojas[[#This Row],[UF]],UF!A:B,2,0)</f>
        <v>São Paulo</v>
      </c>
      <c r="L249" s="484" t="s">
        <v>970</v>
      </c>
      <c r="M249" s="484" t="s">
        <v>971</v>
      </c>
      <c r="N249" s="484" t="s">
        <v>676</v>
      </c>
      <c r="O249" s="487">
        <v>627.08000000000004</v>
      </c>
    </row>
    <row r="250" spans="2:15" ht="15" customHeight="1">
      <c r="B250" s="483">
        <v>1</v>
      </c>
      <c r="C250" s="484" t="s">
        <v>2216</v>
      </c>
      <c r="D250" s="488" t="s">
        <v>127</v>
      </c>
      <c r="E250" s="488" t="str">
        <f t="shared" si="22"/>
        <v>Open</v>
      </c>
      <c r="F250" s="488">
        <v>43566</v>
      </c>
      <c r="G250" s="488"/>
      <c r="H250" s="484" t="s">
        <v>673</v>
      </c>
      <c r="I250" s="484" t="str">
        <f>VLOOKUP(TabListaLojas[[#This Row],[UF]],UF!A:E,3,0)</f>
        <v>Midwest</v>
      </c>
      <c r="J250" s="484" t="s">
        <v>156</v>
      </c>
      <c r="K250" s="484" t="str">
        <f>VLOOKUP(TabListaLojas[[#This Row],[UF]],UF!A:B,2,0)</f>
        <v>Distrito Federal</v>
      </c>
      <c r="L250" s="484" t="s">
        <v>142</v>
      </c>
      <c r="M250" s="484" t="s">
        <v>972</v>
      </c>
      <c r="N250" s="484" t="s">
        <v>676</v>
      </c>
      <c r="O250" s="487">
        <v>258.29000000000002</v>
      </c>
    </row>
    <row r="251" spans="2:15" ht="15" customHeight="1">
      <c r="B251" s="483">
        <v>1</v>
      </c>
      <c r="C251" s="484" t="s">
        <v>2098</v>
      </c>
      <c r="D251" s="488" t="s">
        <v>126</v>
      </c>
      <c r="E251" s="488" t="str">
        <f t="shared" si="22"/>
        <v>Open</v>
      </c>
      <c r="F251" s="488">
        <v>43551</v>
      </c>
      <c r="G251" s="488"/>
      <c r="H251" s="484" t="s">
        <v>673</v>
      </c>
      <c r="I251" s="484" t="str">
        <f>VLOOKUP(TabListaLojas[[#This Row],[UF]],UF!A:E,3,0)</f>
        <v>Southest</v>
      </c>
      <c r="J251" s="484" t="s">
        <v>152</v>
      </c>
      <c r="K251" s="484" t="str">
        <f>VLOOKUP(TabListaLojas[[#This Row],[UF]],UF!A:B,2,0)</f>
        <v>Espírito Santo</v>
      </c>
      <c r="L251" s="484" t="s">
        <v>836</v>
      </c>
      <c r="M251" s="484" t="s">
        <v>973</v>
      </c>
      <c r="N251" s="484" t="s">
        <v>676</v>
      </c>
      <c r="O251" s="487">
        <v>454.58</v>
      </c>
    </row>
    <row r="252" spans="2:15" ht="15" customHeight="1">
      <c r="B252" s="483">
        <v>1</v>
      </c>
      <c r="C252" s="484" t="s">
        <v>2097</v>
      </c>
      <c r="D252" s="488" t="s">
        <v>126</v>
      </c>
      <c r="E252" s="488" t="str">
        <f t="shared" si="22"/>
        <v>Open</v>
      </c>
      <c r="F252" s="488">
        <v>43545</v>
      </c>
      <c r="G252" s="488"/>
      <c r="H252" s="484" t="s">
        <v>673</v>
      </c>
      <c r="I252" s="484" t="str">
        <f>VLOOKUP(TabListaLojas[[#This Row],[UF]],UF!A:E,3,0)</f>
        <v>South</v>
      </c>
      <c r="J252" s="484" t="s">
        <v>117</v>
      </c>
      <c r="K252" s="484" t="str">
        <f>VLOOKUP(TabListaLojas[[#This Row],[UF]],UF!A:B,2,0)</f>
        <v>Rio Grande do Sul</v>
      </c>
      <c r="L252" s="484" t="s">
        <v>792</v>
      </c>
      <c r="M252" s="484" t="s">
        <v>974</v>
      </c>
      <c r="N252" s="484" t="s">
        <v>676</v>
      </c>
      <c r="O252" s="487">
        <v>491.65</v>
      </c>
    </row>
    <row r="253" spans="2:15" ht="15" hidden="1" customHeight="1">
      <c r="B253" s="491">
        <v>0</v>
      </c>
      <c r="C253" s="492" t="s">
        <v>2096</v>
      </c>
      <c r="D253" s="493" t="s">
        <v>126</v>
      </c>
      <c r="E253" s="493" t="str">
        <f t="shared" si="22"/>
        <v>Closed</v>
      </c>
      <c r="F253" s="493">
        <v>43524</v>
      </c>
      <c r="G253" s="493">
        <v>45169</v>
      </c>
      <c r="H253" s="492" t="s">
        <v>673</v>
      </c>
      <c r="I253" s="492" t="str">
        <f>VLOOKUP(TabListaLojas[[#This Row],[UF]],UF!A:E,3,0)</f>
        <v>Northest</v>
      </c>
      <c r="J253" s="492" t="s">
        <v>121</v>
      </c>
      <c r="K253" s="492" t="str">
        <f>VLOOKUP(TabListaLojas[[#This Row],[UF]],UF!A:B,2,0)</f>
        <v>Pernambuco</v>
      </c>
      <c r="L253" s="492" t="s">
        <v>125</v>
      </c>
      <c r="M253" s="492" t="s">
        <v>1510</v>
      </c>
      <c r="N253" s="492" t="s">
        <v>676</v>
      </c>
      <c r="O253" s="495">
        <v>0</v>
      </c>
    </row>
    <row r="254" spans="2:15" ht="15" hidden="1" customHeight="1">
      <c r="B254" s="491">
        <v>0</v>
      </c>
      <c r="C254" s="492" t="s">
        <v>2095</v>
      </c>
      <c r="D254" s="493" t="s">
        <v>126</v>
      </c>
      <c r="E254" s="493" t="str">
        <f t="shared" si="22"/>
        <v>Closed</v>
      </c>
      <c r="F254" s="493">
        <v>43523</v>
      </c>
      <c r="G254" s="493">
        <v>45348</v>
      </c>
      <c r="H254" s="492" t="s">
        <v>673</v>
      </c>
      <c r="I254" s="492" t="str">
        <f>VLOOKUP(TabListaLojas[[#This Row],[UF]],UF!A:E,3,0)</f>
        <v>North</v>
      </c>
      <c r="J254" s="492" t="s">
        <v>150</v>
      </c>
      <c r="K254" s="492" t="str">
        <f>VLOOKUP(TabListaLojas[[#This Row],[UF]],UF!A:B,2,0)</f>
        <v>Pará</v>
      </c>
      <c r="L254" s="492" t="s">
        <v>131</v>
      </c>
      <c r="M254" s="492" t="s">
        <v>975</v>
      </c>
      <c r="N254" s="492" t="s">
        <v>676</v>
      </c>
      <c r="O254" s="495">
        <v>0</v>
      </c>
    </row>
    <row r="255" spans="2:15" ht="15" customHeight="1">
      <c r="B255" s="483">
        <v>1</v>
      </c>
      <c r="C255" s="484" t="s">
        <v>1640</v>
      </c>
      <c r="D255" s="488" t="s">
        <v>116</v>
      </c>
      <c r="E255" s="488" t="str">
        <f t="shared" si="22"/>
        <v>Open</v>
      </c>
      <c r="F255" s="488">
        <v>43452</v>
      </c>
      <c r="G255" s="488"/>
      <c r="H255" s="484" t="s">
        <v>202</v>
      </c>
      <c r="I255" s="484" t="str">
        <f>VLOOKUP(TabListaLojas[[#This Row],[UF]],UF!A:E,3,0)</f>
        <v>Uruguay</v>
      </c>
      <c r="J255" s="484" t="s">
        <v>318</v>
      </c>
      <c r="K255" s="484" t="str">
        <f>VLOOKUP(TabListaLojas[[#This Row],[UF]],UF!A:B,2,0)</f>
        <v>Uruguay</v>
      </c>
      <c r="L255" s="484" t="s">
        <v>806</v>
      </c>
      <c r="M255" s="484" t="s">
        <v>976</v>
      </c>
      <c r="N255" s="484" t="s">
        <v>676</v>
      </c>
      <c r="O255" s="487">
        <v>1574.37</v>
      </c>
    </row>
    <row r="256" spans="2:15" ht="15" customHeight="1">
      <c r="B256" s="483">
        <v>1</v>
      </c>
      <c r="C256" s="484" t="s">
        <v>1641</v>
      </c>
      <c r="D256" s="488" t="s">
        <v>116</v>
      </c>
      <c r="E256" s="488" t="str">
        <f t="shared" si="22"/>
        <v>Open</v>
      </c>
      <c r="F256" s="488">
        <v>43448</v>
      </c>
      <c r="G256" s="488"/>
      <c r="H256" s="484" t="s">
        <v>673</v>
      </c>
      <c r="I256" s="484" t="str">
        <f>VLOOKUP(TabListaLojas[[#This Row],[UF]],UF!A:E,3,0)</f>
        <v>North</v>
      </c>
      <c r="J256" s="484" t="s">
        <v>150</v>
      </c>
      <c r="K256" s="484" t="str">
        <f>VLOOKUP(TabListaLojas[[#This Row],[UF]],UF!A:B,2,0)</f>
        <v>Pará</v>
      </c>
      <c r="L256" s="484" t="s">
        <v>977</v>
      </c>
      <c r="M256" s="484" t="s">
        <v>978</v>
      </c>
      <c r="N256" s="484" t="s">
        <v>676</v>
      </c>
      <c r="O256" s="487">
        <v>1574</v>
      </c>
    </row>
    <row r="257" spans="2:15" ht="15" customHeight="1">
      <c r="B257" s="483">
        <v>1</v>
      </c>
      <c r="C257" s="484" t="s">
        <v>1642</v>
      </c>
      <c r="D257" s="488" t="s">
        <v>116</v>
      </c>
      <c r="E257" s="488" t="str">
        <f t="shared" si="22"/>
        <v>Open</v>
      </c>
      <c r="F257" s="488">
        <v>43447</v>
      </c>
      <c r="G257" s="488"/>
      <c r="H257" s="484" t="s">
        <v>673</v>
      </c>
      <c r="I257" s="484" t="str">
        <f>VLOOKUP(TabListaLojas[[#This Row],[UF]],UF!A:E,3,0)</f>
        <v>South</v>
      </c>
      <c r="J257" s="484" t="s">
        <v>147</v>
      </c>
      <c r="K257" s="484" t="str">
        <f>VLOOKUP(TabListaLojas[[#This Row],[UF]],UF!A:B,2,0)</f>
        <v>Santa Catarina</v>
      </c>
      <c r="L257" s="484" t="s">
        <v>135</v>
      </c>
      <c r="M257" s="484" t="s">
        <v>979</v>
      </c>
      <c r="N257" s="484" t="s">
        <v>714</v>
      </c>
      <c r="O257" s="487">
        <v>2198.11</v>
      </c>
    </row>
    <row r="258" spans="2:15" ht="15" customHeight="1">
      <c r="B258" s="483">
        <v>1</v>
      </c>
      <c r="C258" s="484" t="s">
        <v>1643</v>
      </c>
      <c r="D258" s="488" t="s">
        <v>116</v>
      </c>
      <c r="E258" s="488" t="str">
        <f t="shared" si="22"/>
        <v>Open</v>
      </c>
      <c r="F258" s="488">
        <v>43441</v>
      </c>
      <c r="G258" s="488"/>
      <c r="H258" s="484" t="s">
        <v>673</v>
      </c>
      <c r="I258" s="484" t="str">
        <f>VLOOKUP(TabListaLojas[[#This Row],[UF]],UF!A:E,3,0)</f>
        <v>Midwest</v>
      </c>
      <c r="J258" s="484" t="s">
        <v>156</v>
      </c>
      <c r="K258" s="484" t="str">
        <f>VLOOKUP(TabListaLojas[[#This Row],[UF]],UF!A:B,2,0)</f>
        <v>Distrito Federal</v>
      </c>
      <c r="L258" s="484" t="s">
        <v>142</v>
      </c>
      <c r="M258" s="484" t="s">
        <v>980</v>
      </c>
      <c r="N258" s="484" t="s">
        <v>676</v>
      </c>
      <c r="O258" s="487">
        <v>1965.82</v>
      </c>
    </row>
    <row r="259" spans="2:15" ht="15" customHeight="1">
      <c r="B259" s="483">
        <v>1</v>
      </c>
      <c r="C259" s="484" t="s">
        <v>1644</v>
      </c>
      <c r="D259" s="488" t="s">
        <v>116</v>
      </c>
      <c r="E259" s="488" t="str">
        <f t="shared" si="22"/>
        <v>Open</v>
      </c>
      <c r="F259" s="488">
        <v>43441</v>
      </c>
      <c r="G259" s="488"/>
      <c r="H259" s="484" t="s">
        <v>673</v>
      </c>
      <c r="I259" s="484" t="str">
        <f>VLOOKUP(TabListaLojas[[#This Row],[UF]],UF!A:E,3,0)</f>
        <v>Southest</v>
      </c>
      <c r="J259" s="484" t="s">
        <v>149</v>
      </c>
      <c r="K259" s="484" t="str">
        <f>VLOOKUP(TabListaLojas[[#This Row],[UF]],UF!A:B,2,0)</f>
        <v>Minas Gerais</v>
      </c>
      <c r="L259" s="484" t="s">
        <v>981</v>
      </c>
      <c r="M259" s="484" t="s">
        <v>982</v>
      </c>
      <c r="N259" s="484" t="s">
        <v>676</v>
      </c>
      <c r="O259" s="487">
        <v>2240.46</v>
      </c>
    </row>
    <row r="260" spans="2:15" ht="15" customHeight="1">
      <c r="B260" s="483">
        <v>1</v>
      </c>
      <c r="C260" s="484" t="s">
        <v>1645</v>
      </c>
      <c r="D260" s="488" t="s">
        <v>116</v>
      </c>
      <c r="E260" s="488" t="str">
        <f t="shared" si="22"/>
        <v>Open</v>
      </c>
      <c r="F260" s="488">
        <v>43440</v>
      </c>
      <c r="G260" s="488"/>
      <c r="H260" s="484" t="s">
        <v>673</v>
      </c>
      <c r="I260" s="484" t="str">
        <f>VLOOKUP(TabListaLojas[[#This Row],[UF]],UF!A:E,3,0)</f>
        <v>Southest</v>
      </c>
      <c r="J260" s="484" t="s">
        <v>149</v>
      </c>
      <c r="K260" s="484" t="str">
        <f>VLOOKUP(TabListaLojas[[#This Row],[UF]],UF!A:B,2,0)</f>
        <v>Minas Gerais</v>
      </c>
      <c r="L260" s="484" t="s">
        <v>983</v>
      </c>
      <c r="M260" s="484" t="s">
        <v>984</v>
      </c>
      <c r="N260" s="484" t="s">
        <v>676</v>
      </c>
      <c r="O260" s="487">
        <v>1568.67</v>
      </c>
    </row>
    <row r="261" spans="2:15" ht="15" customHeight="1">
      <c r="B261" s="483">
        <v>1</v>
      </c>
      <c r="C261" s="484" t="s">
        <v>1646</v>
      </c>
      <c r="D261" s="488" t="s">
        <v>116</v>
      </c>
      <c r="E261" s="488" t="str">
        <f t="shared" si="22"/>
        <v>Open</v>
      </c>
      <c r="F261" s="488">
        <v>43439</v>
      </c>
      <c r="G261" s="488"/>
      <c r="H261" s="484" t="s">
        <v>673</v>
      </c>
      <c r="I261" s="484" t="str">
        <f>VLOOKUP(TabListaLojas[[#This Row],[UF]],UF!A:E,3,0)</f>
        <v>Midwest</v>
      </c>
      <c r="J261" s="484" t="s">
        <v>119</v>
      </c>
      <c r="K261" s="484" t="str">
        <f>VLOOKUP(TabListaLojas[[#This Row],[UF]],UF!A:B,2,0)</f>
        <v>Mato Grosso</v>
      </c>
      <c r="L261" s="484" t="s">
        <v>985</v>
      </c>
      <c r="M261" s="484" t="s">
        <v>986</v>
      </c>
      <c r="N261" s="484" t="s">
        <v>676</v>
      </c>
      <c r="O261" s="487">
        <v>2062.9499999999998</v>
      </c>
    </row>
    <row r="262" spans="2:15" ht="15" customHeight="1">
      <c r="B262" s="483">
        <v>1</v>
      </c>
      <c r="C262" s="484" t="s">
        <v>1647</v>
      </c>
      <c r="D262" s="488" t="s">
        <v>116</v>
      </c>
      <c r="E262" s="488" t="str">
        <f t="shared" si="22"/>
        <v>Open</v>
      </c>
      <c r="F262" s="488">
        <v>43427</v>
      </c>
      <c r="G262" s="488"/>
      <c r="H262" s="484" t="s">
        <v>202</v>
      </c>
      <c r="I262" s="484" t="str">
        <f>VLOOKUP(TabListaLojas[[#This Row],[UF]],UF!A:E,3,0)</f>
        <v>Uruguay</v>
      </c>
      <c r="J262" s="484" t="s">
        <v>318</v>
      </c>
      <c r="K262" s="484" t="str">
        <f>VLOOKUP(TabListaLojas[[#This Row],[UF]],UF!A:B,2,0)</f>
        <v>Uruguay</v>
      </c>
      <c r="L262" s="484" t="s">
        <v>987</v>
      </c>
      <c r="M262" s="484" t="s">
        <v>988</v>
      </c>
      <c r="N262" s="484" t="s">
        <v>676</v>
      </c>
      <c r="O262" s="487">
        <v>2282.9499999999998</v>
      </c>
    </row>
    <row r="263" spans="2:15" ht="15" customHeight="1">
      <c r="B263" s="483">
        <v>1</v>
      </c>
      <c r="C263" s="484" t="s">
        <v>1648</v>
      </c>
      <c r="D263" s="488" t="s">
        <v>116</v>
      </c>
      <c r="E263" s="488" t="str">
        <f t="shared" si="22"/>
        <v>Open</v>
      </c>
      <c r="F263" s="488">
        <v>43423</v>
      </c>
      <c r="G263" s="488"/>
      <c r="H263" s="484" t="s">
        <v>673</v>
      </c>
      <c r="I263" s="484" t="str">
        <f>VLOOKUP(TabListaLojas[[#This Row],[UF]],UF!A:E,3,0)</f>
        <v>Southest</v>
      </c>
      <c r="J263" s="484" t="s">
        <v>118</v>
      </c>
      <c r="K263" s="484" t="str">
        <f>VLOOKUP(TabListaLojas[[#This Row],[UF]],UF!A:B,2,0)</f>
        <v>São Paulo</v>
      </c>
      <c r="L263" s="484" t="s">
        <v>970</v>
      </c>
      <c r="M263" s="484" t="s">
        <v>971</v>
      </c>
      <c r="N263" s="484" t="s">
        <v>676</v>
      </c>
      <c r="O263" s="487">
        <v>2759.24</v>
      </c>
    </row>
    <row r="264" spans="2:15" ht="15" customHeight="1">
      <c r="B264" s="483">
        <v>1</v>
      </c>
      <c r="C264" s="484" t="s">
        <v>2215</v>
      </c>
      <c r="D264" s="488" t="s">
        <v>127</v>
      </c>
      <c r="E264" s="488" t="str">
        <f t="shared" si="22"/>
        <v>Open</v>
      </c>
      <c r="F264" s="488">
        <v>43423</v>
      </c>
      <c r="G264" s="488"/>
      <c r="H264" s="484" t="s">
        <v>673</v>
      </c>
      <c r="I264" s="484" t="str">
        <f>VLOOKUP(TabListaLojas[[#This Row],[UF]],UF!A:E,3,0)</f>
        <v>Southest</v>
      </c>
      <c r="J264" s="484" t="s">
        <v>118</v>
      </c>
      <c r="K264" s="484" t="str">
        <f>VLOOKUP(TabListaLojas[[#This Row],[UF]],UF!A:B,2,0)</f>
        <v>São Paulo</v>
      </c>
      <c r="L264" s="484" t="s">
        <v>970</v>
      </c>
      <c r="M264" s="484" t="s">
        <v>989</v>
      </c>
      <c r="N264" s="484" t="s">
        <v>676</v>
      </c>
      <c r="O264" s="487">
        <v>206.36</v>
      </c>
    </row>
    <row r="265" spans="2:15" ht="15" customHeight="1">
      <c r="B265" s="483">
        <v>1</v>
      </c>
      <c r="C265" s="484" t="s">
        <v>1649</v>
      </c>
      <c r="D265" s="488" t="s">
        <v>116</v>
      </c>
      <c r="E265" s="488" t="str">
        <f t="shared" si="22"/>
        <v>Open</v>
      </c>
      <c r="F265" s="488">
        <v>43417</v>
      </c>
      <c r="G265" s="488"/>
      <c r="H265" s="484" t="s">
        <v>673</v>
      </c>
      <c r="I265" s="484" t="str">
        <f>VLOOKUP(TabListaLojas[[#This Row],[UF]],UF!A:E,3,0)</f>
        <v>South</v>
      </c>
      <c r="J265" s="484" t="s">
        <v>161</v>
      </c>
      <c r="K265" s="484" t="str">
        <f>VLOOKUP(TabListaLojas[[#This Row],[UF]],UF!A:B,2,0)</f>
        <v>Paraná</v>
      </c>
      <c r="L265" s="484" t="s">
        <v>990</v>
      </c>
      <c r="M265" s="484" t="s">
        <v>991</v>
      </c>
      <c r="N265" s="484" t="s">
        <v>676</v>
      </c>
      <c r="O265" s="487">
        <v>1607.69</v>
      </c>
    </row>
    <row r="266" spans="2:15" ht="15" customHeight="1">
      <c r="B266" s="483">
        <v>1</v>
      </c>
      <c r="C266" s="484" t="s">
        <v>1650</v>
      </c>
      <c r="D266" s="488" t="s">
        <v>116</v>
      </c>
      <c r="E266" s="488" t="str">
        <f t="shared" si="22"/>
        <v>Open</v>
      </c>
      <c r="F266" s="488">
        <v>43412</v>
      </c>
      <c r="G266" s="488"/>
      <c r="H266" s="484" t="s">
        <v>673</v>
      </c>
      <c r="I266" s="484" t="str">
        <f>VLOOKUP(TabListaLojas[[#This Row],[UF]],UF!A:E,3,0)</f>
        <v>South</v>
      </c>
      <c r="J266" s="484" t="s">
        <v>117</v>
      </c>
      <c r="K266" s="484" t="str">
        <f>VLOOKUP(TabListaLojas[[#This Row],[UF]],UF!A:B,2,0)</f>
        <v>Rio Grande do Sul</v>
      </c>
      <c r="L266" s="484" t="s">
        <v>792</v>
      </c>
      <c r="M266" s="484" t="s">
        <v>974</v>
      </c>
      <c r="N266" s="484" t="s">
        <v>676</v>
      </c>
      <c r="O266" s="487">
        <v>2840</v>
      </c>
    </row>
    <row r="267" spans="2:15" ht="15" customHeight="1">
      <c r="B267" s="483">
        <v>1</v>
      </c>
      <c r="C267" s="484" t="s">
        <v>1651</v>
      </c>
      <c r="D267" s="488" t="s">
        <v>116</v>
      </c>
      <c r="E267" s="488" t="str">
        <f t="shared" si="22"/>
        <v>Open</v>
      </c>
      <c r="F267" s="488">
        <v>43403</v>
      </c>
      <c r="G267" s="488"/>
      <c r="H267" s="484" t="s">
        <v>673</v>
      </c>
      <c r="I267" s="484" t="str">
        <f>VLOOKUP(TabListaLojas[[#This Row],[UF]],UF!A:E,3,0)</f>
        <v>Southest</v>
      </c>
      <c r="J267" s="484" t="s">
        <v>118</v>
      </c>
      <c r="K267" s="484" t="str">
        <f>VLOOKUP(TabListaLojas[[#This Row],[UF]],UF!A:B,2,0)</f>
        <v>São Paulo</v>
      </c>
      <c r="L267" s="484" t="s">
        <v>992</v>
      </c>
      <c r="M267" s="484" t="s">
        <v>993</v>
      </c>
      <c r="N267" s="484" t="s">
        <v>676</v>
      </c>
      <c r="O267" s="487">
        <v>1734.69</v>
      </c>
    </row>
    <row r="268" spans="2:15" ht="15" customHeight="1">
      <c r="B268" s="483">
        <v>1</v>
      </c>
      <c r="C268" s="484" t="s">
        <v>2094</v>
      </c>
      <c r="D268" s="488" t="s">
        <v>126</v>
      </c>
      <c r="E268" s="488" t="str">
        <f t="shared" si="22"/>
        <v>Open</v>
      </c>
      <c r="F268" s="488">
        <v>43396</v>
      </c>
      <c r="G268" s="488"/>
      <c r="H268" s="484" t="s">
        <v>673</v>
      </c>
      <c r="I268" s="484" t="str">
        <f>VLOOKUP(TabListaLojas[[#This Row],[UF]],UF!A:E,3,0)</f>
        <v>Midwest</v>
      </c>
      <c r="J268" s="484" t="s">
        <v>119</v>
      </c>
      <c r="K268" s="484" t="str">
        <f>VLOOKUP(TabListaLojas[[#This Row],[UF]],UF!A:B,2,0)</f>
        <v>Mato Grosso</v>
      </c>
      <c r="L268" s="484" t="s">
        <v>133</v>
      </c>
      <c r="M268" s="484" t="s">
        <v>994</v>
      </c>
      <c r="N268" s="484" t="s">
        <v>676</v>
      </c>
      <c r="O268" s="487">
        <v>532.37</v>
      </c>
    </row>
    <row r="269" spans="2:15" ht="15" customHeight="1">
      <c r="B269" s="483">
        <v>1</v>
      </c>
      <c r="C269" s="484" t="s">
        <v>1652</v>
      </c>
      <c r="D269" s="488" t="s">
        <v>116</v>
      </c>
      <c r="E269" s="488" t="str">
        <f t="shared" si="22"/>
        <v>Open</v>
      </c>
      <c r="F269" s="488">
        <v>43396</v>
      </c>
      <c r="G269" s="488"/>
      <c r="H269" s="484" t="s">
        <v>673</v>
      </c>
      <c r="I269" s="484" t="str">
        <f>VLOOKUP(TabListaLojas[[#This Row],[UF]],UF!A:E,3,0)</f>
        <v>Midwest</v>
      </c>
      <c r="J269" s="484" t="s">
        <v>119</v>
      </c>
      <c r="K269" s="484" t="str">
        <f>VLOOKUP(TabListaLojas[[#This Row],[UF]],UF!A:B,2,0)</f>
        <v>Mato Grosso</v>
      </c>
      <c r="L269" s="484" t="s">
        <v>133</v>
      </c>
      <c r="M269" s="484" t="s">
        <v>994</v>
      </c>
      <c r="N269" s="484" t="s">
        <v>676</v>
      </c>
      <c r="O269" s="487">
        <v>2921.21</v>
      </c>
    </row>
    <row r="270" spans="2:15" ht="15" customHeight="1">
      <c r="B270" s="483">
        <v>1</v>
      </c>
      <c r="C270" s="484" t="s">
        <v>2214</v>
      </c>
      <c r="D270" s="488" t="s">
        <v>127</v>
      </c>
      <c r="E270" s="488" t="str">
        <f t="shared" si="22"/>
        <v>Open</v>
      </c>
      <c r="F270" s="488">
        <v>43396</v>
      </c>
      <c r="G270" s="488"/>
      <c r="H270" s="484" t="s">
        <v>673</v>
      </c>
      <c r="I270" s="484" t="str">
        <f>VLOOKUP(TabListaLojas[[#This Row],[UF]],UF!A:E,3,0)</f>
        <v>Midwest</v>
      </c>
      <c r="J270" s="484" t="s">
        <v>119</v>
      </c>
      <c r="K270" s="484" t="str">
        <f>VLOOKUP(TabListaLojas[[#This Row],[UF]],UF!A:B,2,0)</f>
        <v>Mato Grosso</v>
      </c>
      <c r="L270" s="484" t="s">
        <v>133</v>
      </c>
      <c r="M270" s="484" t="s">
        <v>994</v>
      </c>
      <c r="N270" s="484" t="s">
        <v>676</v>
      </c>
      <c r="O270" s="487">
        <v>192.78</v>
      </c>
    </row>
    <row r="271" spans="2:15" ht="15" customHeight="1">
      <c r="B271" s="483">
        <v>1</v>
      </c>
      <c r="C271" s="484" t="s">
        <v>2213</v>
      </c>
      <c r="D271" s="488" t="s">
        <v>127</v>
      </c>
      <c r="E271" s="488" t="str">
        <f t="shared" si="22"/>
        <v>Open</v>
      </c>
      <c r="F271" s="488">
        <v>43391</v>
      </c>
      <c r="G271" s="488"/>
      <c r="H271" s="484" t="s">
        <v>673</v>
      </c>
      <c r="I271" s="484" t="str">
        <f>VLOOKUP(TabListaLojas[[#This Row],[UF]],UF!A:E,3,0)</f>
        <v>South</v>
      </c>
      <c r="J271" s="484" t="s">
        <v>161</v>
      </c>
      <c r="K271" s="484" t="str">
        <f>VLOOKUP(TabListaLojas[[#This Row],[UF]],UF!A:B,2,0)</f>
        <v>Paraná</v>
      </c>
      <c r="L271" s="484" t="s">
        <v>995</v>
      </c>
      <c r="M271" s="484" t="s">
        <v>996</v>
      </c>
      <c r="N271" s="484" t="s">
        <v>676</v>
      </c>
      <c r="O271" s="487">
        <v>216.81</v>
      </c>
    </row>
    <row r="272" spans="2:15" ht="15" customHeight="1">
      <c r="B272" s="483">
        <v>1</v>
      </c>
      <c r="C272" s="484" t="s">
        <v>2212</v>
      </c>
      <c r="D272" s="488" t="s">
        <v>127</v>
      </c>
      <c r="E272" s="488" t="str">
        <f t="shared" si="22"/>
        <v>Open</v>
      </c>
      <c r="F272" s="488">
        <v>43378</v>
      </c>
      <c r="G272" s="488"/>
      <c r="H272" s="484" t="s">
        <v>673</v>
      </c>
      <c r="I272" s="484" t="str">
        <f>VLOOKUP(TabListaLojas[[#This Row],[UF]],UF!A:E,3,0)</f>
        <v>North</v>
      </c>
      <c r="J272" s="484" t="s">
        <v>157</v>
      </c>
      <c r="K272" s="484" t="str">
        <f>VLOOKUP(TabListaLojas[[#This Row],[UF]],UF!A:B,2,0)</f>
        <v>Amazonas</v>
      </c>
      <c r="L272" s="484" t="s">
        <v>138</v>
      </c>
      <c r="M272" s="484" t="s">
        <v>997</v>
      </c>
      <c r="N272" s="484" t="s">
        <v>676</v>
      </c>
      <c r="O272" s="487">
        <v>372.79</v>
      </c>
    </row>
    <row r="273" spans="2:15" ht="15" customHeight="1">
      <c r="B273" s="483">
        <v>1</v>
      </c>
      <c r="C273" s="484" t="s">
        <v>1653</v>
      </c>
      <c r="D273" s="488" t="s">
        <v>116</v>
      </c>
      <c r="E273" s="488" t="str">
        <f t="shared" si="22"/>
        <v>Open</v>
      </c>
      <c r="F273" s="488">
        <v>43377</v>
      </c>
      <c r="G273" s="488"/>
      <c r="H273" s="484" t="s">
        <v>673</v>
      </c>
      <c r="I273" s="484" t="str">
        <f>VLOOKUP(TabListaLojas[[#This Row],[UF]],UF!A:E,3,0)</f>
        <v>Southest</v>
      </c>
      <c r="J273" s="484" t="s">
        <v>118</v>
      </c>
      <c r="K273" s="484" t="str">
        <f>VLOOKUP(TabListaLojas[[#This Row],[UF]],UF!A:B,2,0)</f>
        <v>São Paulo</v>
      </c>
      <c r="L273" s="484" t="s">
        <v>998</v>
      </c>
      <c r="M273" s="484" t="s">
        <v>999</v>
      </c>
      <c r="N273" s="484" t="s">
        <v>676</v>
      </c>
      <c r="O273" s="487">
        <v>1755.6599999999999</v>
      </c>
    </row>
    <row r="274" spans="2:15" ht="15" hidden="1" customHeight="1">
      <c r="B274" s="483">
        <v>1</v>
      </c>
      <c r="C274" s="492" t="s">
        <v>1977</v>
      </c>
      <c r="D274" s="492" t="s">
        <v>701</v>
      </c>
      <c r="E274" s="493" t="str">
        <f t="shared" si="22"/>
        <v>Closed</v>
      </c>
      <c r="F274" s="493">
        <v>43370</v>
      </c>
      <c r="G274" s="493">
        <v>46215</v>
      </c>
      <c r="H274" s="492" t="s">
        <v>673</v>
      </c>
      <c r="I274" s="492" t="str">
        <f>VLOOKUP(TabListaLojas[[#This Row],[UF]],UF!A:E,3,0)</f>
        <v>Southest</v>
      </c>
      <c r="J274" s="492" t="s">
        <v>118</v>
      </c>
      <c r="K274" s="492" t="str">
        <f>VLOOKUP(TabListaLojas[[#This Row],[UF]],UF!A:B,2,0)</f>
        <v>São Paulo</v>
      </c>
      <c r="L274" s="492" t="s">
        <v>124</v>
      </c>
      <c r="M274" s="492" t="s">
        <v>1000</v>
      </c>
      <c r="N274" s="492" t="s">
        <v>676</v>
      </c>
      <c r="O274" s="495">
        <v>172.81</v>
      </c>
    </row>
    <row r="275" spans="2:15" ht="15" customHeight="1">
      <c r="B275" s="483">
        <v>1</v>
      </c>
      <c r="C275" s="484" t="s">
        <v>2093</v>
      </c>
      <c r="D275" s="488" t="s">
        <v>126</v>
      </c>
      <c r="E275" s="488" t="str">
        <f t="shared" si="22"/>
        <v>Open</v>
      </c>
      <c r="F275" s="488">
        <v>43357</v>
      </c>
      <c r="G275" s="488"/>
      <c r="H275" s="484" t="s">
        <v>673</v>
      </c>
      <c r="I275" s="484" t="str">
        <f>VLOOKUP(TabListaLojas[[#This Row],[UF]],UF!A:E,3,0)</f>
        <v>Southest</v>
      </c>
      <c r="J275" s="484" t="s">
        <v>149</v>
      </c>
      <c r="K275" s="484" t="str">
        <f>VLOOKUP(TabListaLojas[[#This Row],[UF]],UF!A:B,2,0)</f>
        <v>Minas Gerais</v>
      </c>
      <c r="L275" s="484" t="s">
        <v>681</v>
      </c>
      <c r="M275" s="484" t="s">
        <v>1001</v>
      </c>
      <c r="N275" s="484" t="s">
        <v>676</v>
      </c>
      <c r="O275" s="487">
        <v>566.14</v>
      </c>
    </row>
    <row r="276" spans="2:15" ht="15" customHeight="1">
      <c r="B276" s="483">
        <v>1</v>
      </c>
      <c r="C276" s="484" t="s">
        <v>1978</v>
      </c>
      <c r="D276" s="484" t="s">
        <v>701</v>
      </c>
      <c r="E276" s="488" t="str">
        <f t="shared" si="22"/>
        <v>Open</v>
      </c>
      <c r="F276" s="488">
        <v>43356</v>
      </c>
      <c r="G276" s="488"/>
      <c r="H276" s="484" t="s">
        <v>673</v>
      </c>
      <c r="I276" s="484" t="str">
        <f>VLOOKUP(TabListaLojas[[#This Row],[UF]],UF!A:E,3,0)</f>
        <v>Southest</v>
      </c>
      <c r="J276" s="484" t="s">
        <v>118</v>
      </c>
      <c r="K276" s="484" t="str">
        <f>VLOOKUP(TabListaLojas[[#This Row],[UF]],UF!A:B,2,0)</f>
        <v>São Paulo</v>
      </c>
      <c r="L276" s="484" t="s">
        <v>124</v>
      </c>
      <c r="M276" s="484" t="s">
        <v>1002</v>
      </c>
      <c r="N276" s="484" t="s">
        <v>676</v>
      </c>
      <c r="O276" s="487">
        <v>198.1</v>
      </c>
    </row>
    <row r="277" spans="2:15" ht="15" customHeight="1">
      <c r="B277" s="483">
        <v>1</v>
      </c>
      <c r="C277" s="484" t="s">
        <v>1654</v>
      </c>
      <c r="D277" s="488" t="s">
        <v>116</v>
      </c>
      <c r="E277" s="488" t="str">
        <f t="shared" ref="E277:E340" si="23">IF(G277="","Open","Closed")</f>
        <v>Open</v>
      </c>
      <c r="F277" s="488">
        <v>43356</v>
      </c>
      <c r="G277" s="488"/>
      <c r="H277" s="484" t="s">
        <v>673</v>
      </c>
      <c r="I277" s="484" t="str">
        <f>VLOOKUP(TabListaLojas[[#This Row],[UF]],UF!A:E,3,0)</f>
        <v>Northest</v>
      </c>
      <c r="J277" s="484" t="s">
        <v>154</v>
      </c>
      <c r="K277" s="484" t="str">
        <f>VLOOKUP(TabListaLojas[[#This Row],[UF]],UF!A:B,2,0)</f>
        <v>Maranhão</v>
      </c>
      <c r="L277" s="484" t="s">
        <v>1003</v>
      </c>
      <c r="M277" s="484" t="s">
        <v>1004</v>
      </c>
      <c r="N277" s="484" t="s">
        <v>676</v>
      </c>
      <c r="O277" s="487">
        <v>1788.12</v>
      </c>
    </row>
    <row r="278" spans="2:15" ht="15" customHeight="1">
      <c r="B278" s="483">
        <v>1</v>
      </c>
      <c r="C278" s="484" t="s">
        <v>1655</v>
      </c>
      <c r="D278" s="488" t="s">
        <v>116</v>
      </c>
      <c r="E278" s="488" t="str">
        <f t="shared" si="23"/>
        <v>Open</v>
      </c>
      <c r="F278" s="488">
        <v>43348</v>
      </c>
      <c r="G278" s="488"/>
      <c r="H278" s="484" t="s">
        <v>673</v>
      </c>
      <c r="I278" s="484" t="str">
        <f>VLOOKUP(TabListaLojas[[#This Row],[UF]],UF!A:E,3,0)</f>
        <v>Southest</v>
      </c>
      <c r="J278" s="484" t="s">
        <v>122</v>
      </c>
      <c r="K278" s="484" t="str">
        <f>VLOOKUP(TabListaLojas[[#This Row],[UF]],UF!A:B,2,0)</f>
        <v>Rio de Janeiro</v>
      </c>
      <c r="L278" s="484" t="s">
        <v>128</v>
      </c>
      <c r="M278" s="484" t="s">
        <v>1005</v>
      </c>
      <c r="N278" s="484" t="s">
        <v>676</v>
      </c>
      <c r="O278" s="487">
        <v>1861.48</v>
      </c>
    </row>
    <row r="279" spans="2:15" ht="15" hidden="1" customHeight="1">
      <c r="B279" s="491">
        <v>0</v>
      </c>
      <c r="C279" s="492" t="s">
        <v>1979</v>
      </c>
      <c r="D279" s="492" t="s">
        <v>701</v>
      </c>
      <c r="E279" s="493" t="str">
        <f t="shared" si="23"/>
        <v>Closed</v>
      </c>
      <c r="F279" s="493">
        <v>43347</v>
      </c>
      <c r="G279" s="493">
        <v>45930</v>
      </c>
      <c r="H279" s="492" t="s">
        <v>673</v>
      </c>
      <c r="I279" s="492" t="str">
        <f>VLOOKUP(TabListaLojas[[#This Row],[UF]],UF!A:E,3,0)</f>
        <v>South</v>
      </c>
      <c r="J279" s="492" t="s">
        <v>117</v>
      </c>
      <c r="K279" s="492" t="str">
        <f>VLOOKUP(TabListaLojas[[#This Row],[UF]],UF!A:B,2,0)</f>
        <v>Rio Grande do Sul</v>
      </c>
      <c r="L279" s="492" t="s">
        <v>129</v>
      </c>
      <c r="M279" s="492" t="s">
        <v>706</v>
      </c>
      <c r="N279" s="492" t="s">
        <v>676</v>
      </c>
      <c r="O279" s="495">
        <v>0</v>
      </c>
    </row>
    <row r="280" spans="2:15" ht="15" customHeight="1">
      <c r="B280" s="483">
        <v>1</v>
      </c>
      <c r="C280" s="484" t="s">
        <v>1656</v>
      </c>
      <c r="D280" s="488" t="s">
        <v>116</v>
      </c>
      <c r="E280" s="488" t="str">
        <f t="shared" si="23"/>
        <v>Open</v>
      </c>
      <c r="F280" s="488">
        <v>43333</v>
      </c>
      <c r="G280" s="488"/>
      <c r="H280" s="484" t="s">
        <v>673</v>
      </c>
      <c r="I280" s="484" t="str">
        <f>VLOOKUP(TabListaLojas[[#This Row],[UF]],UF!A:E,3,0)</f>
        <v>Southest</v>
      </c>
      <c r="J280" s="484" t="s">
        <v>149</v>
      </c>
      <c r="K280" s="484" t="str">
        <f>VLOOKUP(TabListaLojas[[#This Row],[UF]],UF!A:B,2,0)</f>
        <v>Minas Gerais</v>
      </c>
      <c r="L280" s="484" t="s">
        <v>1006</v>
      </c>
      <c r="M280" s="484" t="s">
        <v>1007</v>
      </c>
      <c r="N280" s="484" t="s">
        <v>676</v>
      </c>
      <c r="O280" s="487">
        <v>1469.29</v>
      </c>
    </row>
    <row r="281" spans="2:15" ht="15" hidden="1" customHeight="1">
      <c r="B281" s="491">
        <v>0</v>
      </c>
      <c r="C281" s="492" t="s">
        <v>2092</v>
      </c>
      <c r="D281" s="493" t="s">
        <v>126</v>
      </c>
      <c r="E281" s="493" t="str">
        <f t="shared" si="23"/>
        <v>Closed</v>
      </c>
      <c r="F281" s="493">
        <v>43328</v>
      </c>
      <c r="G281" s="493">
        <v>45299</v>
      </c>
      <c r="H281" s="492" t="s">
        <v>673</v>
      </c>
      <c r="I281" s="492" t="str">
        <f>VLOOKUP(TabListaLojas[[#This Row],[UF]],UF!A:E,3,0)</f>
        <v>Northest</v>
      </c>
      <c r="J281" s="492" t="s">
        <v>158</v>
      </c>
      <c r="K281" s="492" t="str">
        <f>VLOOKUP(TabListaLojas[[#This Row],[UF]],UF!A:B,2,0)</f>
        <v>Paraíba</v>
      </c>
      <c r="L281" s="492" t="s">
        <v>1008</v>
      </c>
      <c r="M281" s="492" t="s">
        <v>1511</v>
      </c>
      <c r="N281" s="492" t="s">
        <v>676</v>
      </c>
      <c r="O281" s="495">
        <v>0</v>
      </c>
    </row>
    <row r="282" spans="2:15" ht="15" customHeight="1">
      <c r="B282" s="483">
        <v>1</v>
      </c>
      <c r="C282" s="484" t="s">
        <v>2211</v>
      </c>
      <c r="D282" s="488" t="s">
        <v>127</v>
      </c>
      <c r="E282" s="488" t="str">
        <f t="shared" si="23"/>
        <v>Open</v>
      </c>
      <c r="F282" s="488">
        <v>43328</v>
      </c>
      <c r="G282" s="488"/>
      <c r="H282" s="484" t="s">
        <v>673</v>
      </c>
      <c r="I282" s="484" t="str">
        <f>VLOOKUP(TabListaLojas[[#This Row],[UF]],UF!A:E,3,0)</f>
        <v>South</v>
      </c>
      <c r="J282" s="484" t="s">
        <v>147</v>
      </c>
      <c r="K282" s="484" t="str">
        <f>VLOOKUP(TabListaLojas[[#This Row],[UF]],UF!A:B,2,0)</f>
        <v>Santa Catarina</v>
      </c>
      <c r="L282" s="484" t="s">
        <v>1009</v>
      </c>
      <c r="M282" s="484" t="s">
        <v>1010</v>
      </c>
      <c r="N282" s="484" t="s">
        <v>676</v>
      </c>
      <c r="O282" s="487">
        <v>155.19999999999999</v>
      </c>
    </row>
    <row r="283" spans="2:15" ht="15" customHeight="1">
      <c r="B283" s="483">
        <v>1</v>
      </c>
      <c r="C283" s="484" t="s">
        <v>2091</v>
      </c>
      <c r="D283" s="488" t="s">
        <v>126</v>
      </c>
      <c r="E283" s="488" t="str">
        <f t="shared" si="23"/>
        <v>Open</v>
      </c>
      <c r="F283" s="488">
        <v>43325</v>
      </c>
      <c r="G283" s="488"/>
      <c r="H283" s="484" t="s">
        <v>673</v>
      </c>
      <c r="I283" s="484" t="str">
        <f>VLOOKUP(TabListaLojas[[#This Row],[UF]],UF!A:E,3,0)</f>
        <v>Northest</v>
      </c>
      <c r="J283" s="484" t="s">
        <v>163</v>
      </c>
      <c r="K283" s="484" t="str">
        <f>VLOOKUP(TabListaLojas[[#This Row],[UF]],UF!A:B,2,0)</f>
        <v>Sergipe</v>
      </c>
      <c r="L283" s="484" t="s">
        <v>169</v>
      </c>
      <c r="M283" s="484" t="s">
        <v>1011</v>
      </c>
      <c r="N283" s="484" t="s">
        <v>676</v>
      </c>
      <c r="O283" s="487">
        <v>689.06</v>
      </c>
    </row>
    <row r="284" spans="2:15" ht="15" customHeight="1">
      <c r="B284" s="483">
        <v>1</v>
      </c>
      <c r="C284" s="484" t="s">
        <v>2090</v>
      </c>
      <c r="D284" s="488" t="s">
        <v>126</v>
      </c>
      <c r="E284" s="488" t="str">
        <f t="shared" si="23"/>
        <v>Open</v>
      </c>
      <c r="F284" s="488">
        <v>43321</v>
      </c>
      <c r="G284" s="488"/>
      <c r="H284" s="484" t="s">
        <v>673</v>
      </c>
      <c r="I284" s="484" t="str">
        <f>VLOOKUP(TabListaLojas[[#This Row],[UF]],UF!A:E,3,0)</f>
        <v>Southest</v>
      </c>
      <c r="J284" s="484" t="s">
        <v>149</v>
      </c>
      <c r="K284" s="484" t="str">
        <f>VLOOKUP(TabListaLojas[[#This Row],[UF]],UF!A:B,2,0)</f>
        <v>Minas Gerais</v>
      </c>
      <c r="L284" s="484" t="s">
        <v>136</v>
      </c>
      <c r="M284" s="484" t="s">
        <v>1012</v>
      </c>
      <c r="N284" s="484" t="s">
        <v>676</v>
      </c>
      <c r="O284" s="487">
        <v>485.37</v>
      </c>
    </row>
    <row r="285" spans="2:15" ht="15" customHeight="1">
      <c r="B285" s="483">
        <v>1</v>
      </c>
      <c r="C285" s="484" t="s">
        <v>2089</v>
      </c>
      <c r="D285" s="488" t="s">
        <v>126</v>
      </c>
      <c r="E285" s="488" t="str">
        <f t="shared" si="23"/>
        <v>Open</v>
      </c>
      <c r="F285" s="488">
        <v>43312</v>
      </c>
      <c r="G285" s="488"/>
      <c r="H285" s="484" t="s">
        <v>673</v>
      </c>
      <c r="I285" s="484" t="str">
        <f>VLOOKUP(TabListaLojas[[#This Row],[UF]],UF!A:E,3,0)</f>
        <v>North</v>
      </c>
      <c r="J285" s="484" t="s">
        <v>157</v>
      </c>
      <c r="K285" s="484" t="str">
        <f>VLOOKUP(TabListaLojas[[#This Row],[UF]],UF!A:B,2,0)</f>
        <v>Amazonas</v>
      </c>
      <c r="L285" s="484" t="s">
        <v>138</v>
      </c>
      <c r="M285" s="484" t="s">
        <v>997</v>
      </c>
      <c r="N285" s="484" t="s">
        <v>676</v>
      </c>
      <c r="O285" s="487">
        <v>1054.71</v>
      </c>
    </row>
    <row r="286" spans="2:15" ht="15" hidden="1" customHeight="1">
      <c r="B286" s="491">
        <v>0</v>
      </c>
      <c r="C286" s="492" t="s">
        <v>2088</v>
      </c>
      <c r="D286" s="493" t="s">
        <v>126</v>
      </c>
      <c r="E286" s="493" t="str">
        <f t="shared" si="23"/>
        <v>Closed</v>
      </c>
      <c r="F286" s="493">
        <v>43293</v>
      </c>
      <c r="G286" s="493">
        <v>45873</v>
      </c>
      <c r="H286" s="492" t="s">
        <v>673</v>
      </c>
      <c r="I286" s="492" t="str">
        <f>VLOOKUP(TabListaLojas[[#This Row],[UF]],UF!A:E,3,0)</f>
        <v>South</v>
      </c>
      <c r="J286" s="492" t="s">
        <v>147</v>
      </c>
      <c r="K286" s="492" t="str">
        <f>VLOOKUP(TabListaLojas[[#This Row],[UF]],UF!A:B,2,0)</f>
        <v>Santa Catarina</v>
      </c>
      <c r="L286" s="492" t="s">
        <v>1013</v>
      </c>
      <c r="M286" s="492" t="s">
        <v>1014</v>
      </c>
      <c r="N286" s="492" t="s">
        <v>676</v>
      </c>
      <c r="O286" s="495">
        <v>0</v>
      </c>
    </row>
    <row r="287" spans="2:15" ht="15" customHeight="1">
      <c r="B287" s="483">
        <v>1</v>
      </c>
      <c r="C287" s="484" t="s">
        <v>2210</v>
      </c>
      <c r="D287" s="488" t="s">
        <v>127</v>
      </c>
      <c r="E287" s="488" t="str">
        <f t="shared" si="23"/>
        <v>Open</v>
      </c>
      <c r="F287" s="488">
        <v>43286</v>
      </c>
      <c r="G287" s="488"/>
      <c r="H287" s="484" t="s">
        <v>673</v>
      </c>
      <c r="I287" s="484" t="str">
        <f>VLOOKUP(TabListaLojas[[#This Row],[UF]],UF!A:E,3,0)</f>
        <v>Midwest</v>
      </c>
      <c r="J287" s="484" t="s">
        <v>156</v>
      </c>
      <c r="K287" s="484" t="str">
        <f>VLOOKUP(TabListaLojas[[#This Row],[UF]],UF!A:B,2,0)</f>
        <v>Distrito Federal</v>
      </c>
      <c r="L287" s="484" t="s">
        <v>142</v>
      </c>
      <c r="M287" s="484" t="s">
        <v>1015</v>
      </c>
      <c r="N287" s="484" t="s">
        <v>676</v>
      </c>
      <c r="O287" s="487">
        <v>174.8</v>
      </c>
    </row>
    <row r="288" spans="2:15" ht="15" customHeight="1">
      <c r="B288" s="483">
        <v>1</v>
      </c>
      <c r="C288" s="484" t="s">
        <v>2209</v>
      </c>
      <c r="D288" s="488" t="s">
        <v>127</v>
      </c>
      <c r="E288" s="488" t="str">
        <f t="shared" si="23"/>
        <v>Open</v>
      </c>
      <c r="F288" s="488">
        <v>43259</v>
      </c>
      <c r="G288" s="488"/>
      <c r="H288" s="484" t="s">
        <v>673</v>
      </c>
      <c r="I288" s="484" t="str">
        <f>VLOOKUP(TabListaLojas[[#This Row],[UF]],UF!A:E,3,0)</f>
        <v>Southest</v>
      </c>
      <c r="J288" s="484" t="s">
        <v>118</v>
      </c>
      <c r="K288" s="484" t="str">
        <f>VLOOKUP(TabListaLojas[[#This Row],[UF]],UF!A:B,2,0)</f>
        <v>São Paulo</v>
      </c>
      <c r="L288" s="484" t="s">
        <v>124</v>
      </c>
      <c r="M288" s="484" t="s">
        <v>1016</v>
      </c>
      <c r="N288" s="484" t="s">
        <v>676</v>
      </c>
      <c r="O288" s="487">
        <v>275.17</v>
      </c>
    </row>
    <row r="289" spans="1:15" ht="15" customHeight="1">
      <c r="B289" s="483">
        <v>1</v>
      </c>
      <c r="C289" s="484" t="s">
        <v>2208</v>
      </c>
      <c r="D289" s="488" t="s">
        <v>127</v>
      </c>
      <c r="E289" s="488" t="str">
        <f t="shared" si="23"/>
        <v>Open</v>
      </c>
      <c r="F289" s="488">
        <v>43258</v>
      </c>
      <c r="G289" s="488"/>
      <c r="H289" s="484" t="s">
        <v>673</v>
      </c>
      <c r="I289" s="484" t="str">
        <f>VLOOKUP(TabListaLojas[[#This Row],[UF]],UF!A:E,3,0)</f>
        <v>Southest</v>
      </c>
      <c r="J289" s="484" t="s">
        <v>118</v>
      </c>
      <c r="K289" s="484" t="str">
        <f>VLOOKUP(TabListaLojas[[#This Row],[UF]],UF!A:B,2,0)</f>
        <v>São Paulo</v>
      </c>
      <c r="L289" s="484" t="s">
        <v>1017</v>
      </c>
      <c r="M289" s="484" t="s">
        <v>1018</v>
      </c>
      <c r="N289" s="484" t="s">
        <v>676</v>
      </c>
      <c r="O289" s="487">
        <v>224.84</v>
      </c>
    </row>
    <row r="290" spans="1:15" ht="15" hidden="1" customHeight="1">
      <c r="B290" s="491">
        <v>0</v>
      </c>
      <c r="C290" s="492" t="s">
        <v>2087</v>
      </c>
      <c r="D290" s="493" t="s">
        <v>126</v>
      </c>
      <c r="E290" s="493" t="s">
        <v>2282</v>
      </c>
      <c r="F290" s="493">
        <v>43230</v>
      </c>
      <c r="G290" s="493">
        <v>46027</v>
      </c>
      <c r="H290" s="492" t="s">
        <v>673</v>
      </c>
      <c r="I290" s="492" t="str">
        <f>VLOOKUP(TabListaLojas[[#This Row],[UF]],UF!A:E,3,0)</f>
        <v>North</v>
      </c>
      <c r="J290" s="492" t="s">
        <v>157</v>
      </c>
      <c r="K290" s="492" t="str">
        <f>VLOOKUP(TabListaLojas[[#This Row],[UF]],UF!A:B,2,0)</f>
        <v>Amazonas</v>
      </c>
      <c r="L290" s="492" t="s">
        <v>138</v>
      </c>
      <c r="M290" s="492" t="s">
        <v>1019</v>
      </c>
      <c r="N290" s="492" t="s">
        <v>676</v>
      </c>
      <c r="O290" s="495">
        <v>0</v>
      </c>
    </row>
    <row r="291" spans="1:15" ht="15" customHeight="1">
      <c r="B291" s="483">
        <v>1</v>
      </c>
      <c r="C291" s="484" t="s">
        <v>1657</v>
      </c>
      <c r="D291" s="488" t="s">
        <v>116</v>
      </c>
      <c r="E291" s="488" t="str">
        <f t="shared" si="23"/>
        <v>Open</v>
      </c>
      <c r="F291" s="488">
        <v>43228</v>
      </c>
      <c r="G291" s="488"/>
      <c r="H291" s="484" t="s">
        <v>673</v>
      </c>
      <c r="I291" s="484" t="str">
        <f>VLOOKUP(TabListaLojas[[#This Row],[UF]],UF!A:E,3,0)</f>
        <v>Northest</v>
      </c>
      <c r="J291" s="484" t="s">
        <v>121</v>
      </c>
      <c r="K291" s="484" t="str">
        <f>VLOOKUP(TabListaLojas[[#This Row],[UF]],UF!A:B,2,0)</f>
        <v>Pernambuco</v>
      </c>
      <c r="L291" s="484" t="s">
        <v>1020</v>
      </c>
      <c r="M291" s="484" t="s">
        <v>1021</v>
      </c>
      <c r="N291" s="484" t="s">
        <v>676</v>
      </c>
      <c r="O291" s="487">
        <v>3156.28</v>
      </c>
    </row>
    <row r="292" spans="1:15" ht="15" customHeight="1">
      <c r="B292" s="483">
        <v>1</v>
      </c>
      <c r="C292" s="484" t="s">
        <v>1658</v>
      </c>
      <c r="D292" s="488" t="s">
        <v>116</v>
      </c>
      <c r="E292" s="488" t="str">
        <f t="shared" si="23"/>
        <v>Open</v>
      </c>
      <c r="F292" s="488">
        <v>43227</v>
      </c>
      <c r="G292" s="488"/>
      <c r="H292" s="484" t="s">
        <v>202</v>
      </c>
      <c r="I292" s="484" t="str">
        <f>VLOOKUP(TabListaLojas[[#This Row],[UF]],UF!A:E,3,0)</f>
        <v>Uruguay</v>
      </c>
      <c r="J292" s="484" t="s">
        <v>318</v>
      </c>
      <c r="K292" s="484" t="str">
        <f>VLOOKUP(TabListaLojas[[#This Row],[UF]],UF!A:B,2,0)</f>
        <v>Uruguay</v>
      </c>
      <c r="L292" s="484" t="s">
        <v>806</v>
      </c>
      <c r="M292" s="484" t="s">
        <v>1022</v>
      </c>
      <c r="N292" s="484" t="s">
        <v>676</v>
      </c>
      <c r="O292" s="487">
        <v>1942.0099999999998</v>
      </c>
    </row>
    <row r="293" spans="1:15" ht="15" hidden="1" customHeight="1">
      <c r="B293" s="491">
        <v>0</v>
      </c>
      <c r="C293" s="492" t="s">
        <v>2259</v>
      </c>
      <c r="D293" s="493" t="s">
        <v>116</v>
      </c>
      <c r="E293" s="493" t="str">
        <f t="shared" si="23"/>
        <v>Closed</v>
      </c>
      <c r="F293" s="493">
        <v>43225</v>
      </c>
      <c r="G293" s="493">
        <v>44110</v>
      </c>
      <c r="H293" s="492" t="s">
        <v>202</v>
      </c>
      <c r="I293" s="492" t="str">
        <f>VLOOKUP(TabListaLojas[[#This Row],[UF]],UF!A:E,3,0)</f>
        <v>Uruguay</v>
      </c>
      <c r="J293" s="492" t="s">
        <v>318</v>
      </c>
      <c r="K293" s="492" t="str">
        <f>VLOOKUP(TabListaLojas[[#This Row],[UF]],UF!A:B,2,0)</f>
        <v>Uruguay</v>
      </c>
      <c r="L293" s="492" t="s">
        <v>1023</v>
      </c>
      <c r="M293" s="492" t="s">
        <v>1512</v>
      </c>
      <c r="N293" s="492" t="s">
        <v>676</v>
      </c>
      <c r="O293" s="495">
        <v>0</v>
      </c>
    </row>
    <row r="294" spans="1:15" ht="15" customHeight="1">
      <c r="B294" s="483">
        <v>1</v>
      </c>
      <c r="C294" s="484" t="s">
        <v>1659</v>
      </c>
      <c r="D294" s="488" t="s">
        <v>116</v>
      </c>
      <c r="E294" s="488" t="str">
        <f t="shared" si="23"/>
        <v>Open</v>
      </c>
      <c r="F294" s="488">
        <v>43223</v>
      </c>
      <c r="G294" s="488"/>
      <c r="H294" s="484" t="s">
        <v>673</v>
      </c>
      <c r="I294" s="484" t="str">
        <f>VLOOKUP(TabListaLojas[[#This Row],[UF]],UF!A:E,3,0)</f>
        <v>Midwest</v>
      </c>
      <c r="J294" s="484" t="s">
        <v>160</v>
      </c>
      <c r="K294" s="484" t="str">
        <f>VLOOKUP(TabListaLojas[[#This Row],[UF]],UF!A:B,2,0)</f>
        <v>Mato Grosso do Sul</v>
      </c>
      <c r="L294" s="484" t="s">
        <v>1024</v>
      </c>
      <c r="M294" s="484" t="s">
        <v>1025</v>
      </c>
      <c r="N294" s="484" t="s">
        <v>676</v>
      </c>
      <c r="O294" s="487">
        <v>1558</v>
      </c>
    </row>
    <row r="295" spans="1:15" ht="15" customHeight="1">
      <c r="B295" s="483">
        <v>1</v>
      </c>
      <c r="C295" s="484" t="s">
        <v>1660</v>
      </c>
      <c r="D295" s="488" t="s">
        <v>116</v>
      </c>
      <c r="E295" s="488" t="str">
        <f t="shared" si="23"/>
        <v>Open</v>
      </c>
      <c r="F295" s="488">
        <v>43223</v>
      </c>
      <c r="G295" s="488"/>
      <c r="H295" s="484" t="s">
        <v>673</v>
      </c>
      <c r="I295" s="484" t="str">
        <f>VLOOKUP(TabListaLojas[[#This Row],[UF]],UF!A:E,3,0)</f>
        <v>Southest</v>
      </c>
      <c r="J295" s="484" t="s">
        <v>118</v>
      </c>
      <c r="K295" s="484" t="str">
        <f>VLOOKUP(TabListaLojas[[#This Row],[UF]],UF!A:B,2,0)</f>
        <v>São Paulo</v>
      </c>
      <c r="L295" s="484" t="s">
        <v>1026</v>
      </c>
      <c r="M295" s="484" t="s">
        <v>1027</v>
      </c>
      <c r="N295" s="484" t="s">
        <v>676</v>
      </c>
      <c r="O295" s="487">
        <v>2180.2600000000002</v>
      </c>
    </row>
    <row r="296" spans="1:15" ht="15" customHeight="1">
      <c r="B296" s="483">
        <v>1</v>
      </c>
      <c r="C296" s="484" t="s">
        <v>1661</v>
      </c>
      <c r="D296" s="488" t="s">
        <v>116</v>
      </c>
      <c r="E296" s="488" t="str">
        <f t="shared" si="23"/>
        <v>Open</v>
      </c>
      <c r="F296" s="488">
        <v>43222</v>
      </c>
      <c r="G296" s="488"/>
      <c r="H296" s="484" t="s">
        <v>673</v>
      </c>
      <c r="I296" s="484" t="str">
        <f>VLOOKUP(TabListaLojas[[#This Row],[UF]],UF!A:E,3,0)</f>
        <v>Northest</v>
      </c>
      <c r="J296" s="484" t="s">
        <v>121</v>
      </c>
      <c r="K296" s="484" t="str">
        <f>VLOOKUP(TabListaLojas[[#This Row],[UF]],UF!A:B,2,0)</f>
        <v>Pernambuco</v>
      </c>
      <c r="L296" s="484" t="s">
        <v>1028</v>
      </c>
      <c r="M296" s="484" t="s">
        <v>1029</v>
      </c>
      <c r="N296" s="484" t="s">
        <v>676</v>
      </c>
      <c r="O296" s="487">
        <v>2407.0699999999997</v>
      </c>
    </row>
    <row r="297" spans="1:15" ht="15" customHeight="1">
      <c r="B297" s="483">
        <v>1</v>
      </c>
      <c r="C297" s="484" t="s">
        <v>2086</v>
      </c>
      <c r="D297" s="488" t="s">
        <v>126</v>
      </c>
      <c r="E297" s="488" t="str">
        <f t="shared" si="23"/>
        <v>Open</v>
      </c>
      <c r="F297" s="488">
        <v>43216</v>
      </c>
      <c r="G297" s="488"/>
      <c r="H297" s="484" t="s">
        <v>673</v>
      </c>
      <c r="I297" s="484" t="str">
        <f>VLOOKUP(TabListaLojas[[#This Row],[UF]],UF!A:E,3,0)</f>
        <v>North</v>
      </c>
      <c r="J297" s="484" t="s">
        <v>164</v>
      </c>
      <c r="K297" s="484" t="str">
        <f>VLOOKUP(TabListaLojas[[#This Row],[UF]],UF!A:B,2,0)</f>
        <v>Rondônia</v>
      </c>
      <c r="L297" s="484" t="s">
        <v>178</v>
      </c>
      <c r="M297" s="484" t="s">
        <v>969</v>
      </c>
      <c r="N297" s="484" t="s">
        <v>676</v>
      </c>
      <c r="O297" s="487">
        <v>812.2</v>
      </c>
    </row>
    <row r="298" spans="1:15" ht="15" customHeight="1">
      <c r="B298" s="483">
        <v>1</v>
      </c>
      <c r="C298" s="484" t="s">
        <v>1662</v>
      </c>
      <c r="D298" s="488" t="s">
        <v>116</v>
      </c>
      <c r="E298" s="488" t="str">
        <f t="shared" si="23"/>
        <v>Open</v>
      </c>
      <c r="F298" s="488">
        <v>43216</v>
      </c>
      <c r="G298" s="488"/>
      <c r="H298" s="484" t="s">
        <v>673</v>
      </c>
      <c r="I298" s="484" t="str">
        <f>VLOOKUP(TabListaLojas[[#This Row],[UF]],UF!A:E,3,0)</f>
        <v>South</v>
      </c>
      <c r="J298" s="484" t="s">
        <v>161</v>
      </c>
      <c r="K298" s="484" t="str">
        <f>VLOOKUP(TabListaLojas[[#This Row],[UF]],UF!A:B,2,0)</f>
        <v>Paraná</v>
      </c>
      <c r="L298" s="484" t="s">
        <v>1030</v>
      </c>
      <c r="M298" s="484" t="s">
        <v>1031</v>
      </c>
      <c r="N298" s="484" t="s">
        <v>676</v>
      </c>
      <c r="O298" s="487">
        <v>2004.0500000000002</v>
      </c>
    </row>
    <row r="299" spans="1:15" ht="15" customHeight="1">
      <c r="B299" s="483">
        <v>1</v>
      </c>
      <c r="C299" s="484" t="s">
        <v>1663</v>
      </c>
      <c r="D299" s="488" t="s">
        <v>116</v>
      </c>
      <c r="E299" s="488" t="str">
        <f t="shared" si="23"/>
        <v>Open</v>
      </c>
      <c r="F299" s="488">
        <v>43216</v>
      </c>
      <c r="G299" s="488"/>
      <c r="H299" s="484" t="s">
        <v>673</v>
      </c>
      <c r="I299" s="484" t="str">
        <f>VLOOKUP(TabListaLojas[[#This Row],[UF]],UF!A:E,3,0)</f>
        <v>Northest</v>
      </c>
      <c r="J299" s="484" t="s">
        <v>120</v>
      </c>
      <c r="K299" s="484" t="str">
        <f>VLOOKUP(TabListaLojas[[#This Row],[UF]],UF!A:B,2,0)</f>
        <v>Bahia</v>
      </c>
      <c r="L299" s="484" t="s">
        <v>1032</v>
      </c>
      <c r="M299" s="484" t="s">
        <v>1033</v>
      </c>
      <c r="N299" s="484" t="s">
        <v>676</v>
      </c>
      <c r="O299" s="487">
        <v>1565.2</v>
      </c>
    </row>
    <row r="300" spans="1:15" ht="15" customHeight="1">
      <c r="B300" s="483">
        <v>1</v>
      </c>
      <c r="C300" s="484" t="s">
        <v>2207</v>
      </c>
      <c r="D300" s="488" t="s">
        <v>127</v>
      </c>
      <c r="E300" s="488" t="str">
        <f t="shared" si="23"/>
        <v>Open</v>
      </c>
      <c r="F300" s="488">
        <v>43216</v>
      </c>
      <c r="G300" s="488"/>
      <c r="H300" s="484" t="s">
        <v>673</v>
      </c>
      <c r="I300" s="484" t="str">
        <f>VLOOKUP(TabListaLojas[[#This Row],[UF]],UF!A:E,3,0)</f>
        <v>Midwest</v>
      </c>
      <c r="J300" s="484" t="s">
        <v>156</v>
      </c>
      <c r="K300" s="484" t="str">
        <f>VLOOKUP(TabListaLojas[[#This Row],[UF]],UF!A:B,2,0)</f>
        <v>Distrito Federal</v>
      </c>
      <c r="L300" s="484" t="s">
        <v>142</v>
      </c>
      <c r="M300" s="484" t="s">
        <v>1034</v>
      </c>
      <c r="N300" s="484" t="s">
        <v>676</v>
      </c>
      <c r="O300" s="487">
        <v>145.44</v>
      </c>
    </row>
    <row r="301" spans="1:15" ht="15" customHeight="1">
      <c r="B301" s="483">
        <v>1</v>
      </c>
      <c r="C301" s="484" t="s">
        <v>2206</v>
      </c>
      <c r="D301" s="488" t="s">
        <v>127</v>
      </c>
      <c r="E301" s="488" t="str">
        <f t="shared" si="23"/>
        <v>Open</v>
      </c>
      <c r="F301" s="488">
        <v>43215</v>
      </c>
      <c r="G301" s="488"/>
      <c r="H301" s="484" t="s">
        <v>673</v>
      </c>
      <c r="I301" s="484" t="str">
        <f>VLOOKUP(TabListaLojas[[#This Row],[UF]],UF!A:E,3,0)</f>
        <v>Southest</v>
      </c>
      <c r="J301" s="484" t="s">
        <v>118</v>
      </c>
      <c r="K301" s="484" t="str">
        <f>VLOOKUP(TabListaLojas[[#This Row],[UF]],UF!A:B,2,0)</f>
        <v>São Paulo</v>
      </c>
      <c r="L301" s="484" t="s">
        <v>1035</v>
      </c>
      <c r="M301" s="484" t="s">
        <v>1036</v>
      </c>
      <c r="N301" s="484" t="s">
        <v>676</v>
      </c>
      <c r="O301" s="487">
        <v>266.77</v>
      </c>
    </row>
    <row r="302" spans="1:15" ht="15" customHeight="1">
      <c r="A302" s="352"/>
      <c r="B302" s="483">
        <v>1</v>
      </c>
      <c r="C302" s="484" t="s">
        <v>2085</v>
      </c>
      <c r="D302" s="488" t="s">
        <v>126</v>
      </c>
      <c r="E302" s="488" t="str">
        <f t="shared" si="23"/>
        <v>Open</v>
      </c>
      <c r="F302" s="488">
        <v>43210</v>
      </c>
      <c r="G302" s="488"/>
      <c r="H302" s="484" t="s">
        <v>673</v>
      </c>
      <c r="I302" s="484" t="str">
        <f>VLOOKUP(TabListaLojas[[#This Row],[UF]],UF!A:E,3,0)</f>
        <v>Southest</v>
      </c>
      <c r="J302" s="484" t="s">
        <v>122</v>
      </c>
      <c r="K302" s="484" t="str">
        <f>VLOOKUP(TabListaLojas[[#This Row],[UF]],UF!A:B,2,0)</f>
        <v>Rio de Janeiro</v>
      </c>
      <c r="L302" s="484" t="s">
        <v>128</v>
      </c>
      <c r="M302" s="484" t="s">
        <v>1037</v>
      </c>
      <c r="N302" s="484" t="s">
        <v>676</v>
      </c>
      <c r="O302" s="487">
        <v>559.85</v>
      </c>
    </row>
    <row r="303" spans="1:15" ht="15" customHeight="1">
      <c r="A303" s="352"/>
      <c r="B303" s="483">
        <v>1</v>
      </c>
      <c r="C303" s="484" t="s">
        <v>2205</v>
      </c>
      <c r="D303" s="488" t="s">
        <v>127</v>
      </c>
      <c r="E303" s="488" t="str">
        <f t="shared" si="23"/>
        <v>Open</v>
      </c>
      <c r="F303" s="488">
        <v>43209</v>
      </c>
      <c r="G303" s="488"/>
      <c r="H303" s="484" t="s">
        <v>673</v>
      </c>
      <c r="I303" s="484" t="str">
        <f>VLOOKUP(TabListaLojas[[#This Row],[UF]],UF!A:E,3,0)</f>
        <v>South</v>
      </c>
      <c r="J303" s="484" t="s">
        <v>147</v>
      </c>
      <c r="K303" s="484" t="str">
        <f>VLOOKUP(TabListaLojas[[#This Row],[UF]],UF!A:B,2,0)</f>
        <v>Santa Catarina</v>
      </c>
      <c r="L303" s="484" t="s">
        <v>135</v>
      </c>
      <c r="M303" s="484" t="s">
        <v>1983</v>
      </c>
      <c r="N303" s="484" t="s">
        <v>676</v>
      </c>
      <c r="O303" s="487">
        <v>236.49</v>
      </c>
    </row>
    <row r="304" spans="1:15" ht="15" customHeight="1">
      <c r="A304" s="173"/>
      <c r="B304" s="483">
        <v>1</v>
      </c>
      <c r="C304" s="484" t="s">
        <v>2203</v>
      </c>
      <c r="D304" s="488" t="s">
        <v>127</v>
      </c>
      <c r="E304" s="488" t="str">
        <f t="shared" si="23"/>
        <v>Open</v>
      </c>
      <c r="F304" s="488">
        <v>43202</v>
      </c>
      <c r="G304" s="488"/>
      <c r="H304" s="484" t="s">
        <v>673</v>
      </c>
      <c r="I304" s="484" t="str">
        <f>VLOOKUP(TabListaLojas[[#This Row],[UF]],UF!A:E,3,0)</f>
        <v>Midwest</v>
      </c>
      <c r="J304" s="484" t="s">
        <v>123</v>
      </c>
      <c r="K304" s="484" t="str">
        <f>VLOOKUP(TabListaLojas[[#This Row],[UF]],UF!A:B,2,0)</f>
        <v>Goiás</v>
      </c>
      <c r="L304" s="484" t="s">
        <v>140</v>
      </c>
      <c r="M304" s="484" t="s">
        <v>1038</v>
      </c>
      <c r="N304" s="484" t="s">
        <v>676</v>
      </c>
      <c r="O304" s="487">
        <v>227</v>
      </c>
    </row>
    <row r="305" spans="2:15" ht="15" customHeight="1">
      <c r="B305" s="483">
        <v>1</v>
      </c>
      <c r="C305" s="484" t="s">
        <v>2204</v>
      </c>
      <c r="D305" s="488" t="s">
        <v>127</v>
      </c>
      <c r="E305" s="488" t="str">
        <f t="shared" si="23"/>
        <v>Open</v>
      </c>
      <c r="F305" s="488">
        <v>43202</v>
      </c>
      <c r="G305" s="488"/>
      <c r="H305" s="484" t="s">
        <v>673</v>
      </c>
      <c r="I305" s="484" t="str">
        <f>VLOOKUP(TabListaLojas[[#This Row],[UF]],UF!A:E,3,0)</f>
        <v>Northest</v>
      </c>
      <c r="J305" s="484" t="s">
        <v>120</v>
      </c>
      <c r="K305" s="484" t="str">
        <f>VLOOKUP(TabListaLojas[[#This Row],[UF]],UF!A:B,2,0)</f>
        <v>Bahia</v>
      </c>
      <c r="L305" s="484" t="s">
        <v>134</v>
      </c>
      <c r="M305" s="484" t="s">
        <v>1039</v>
      </c>
      <c r="N305" s="484" t="s">
        <v>676</v>
      </c>
      <c r="O305" s="487">
        <v>232.01999999999998</v>
      </c>
    </row>
    <row r="306" spans="2:15" ht="15" customHeight="1">
      <c r="B306" s="483">
        <v>1</v>
      </c>
      <c r="C306" s="484" t="s">
        <v>1664</v>
      </c>
      <c r="D306" s="488" t="s">
        <v>116</v>
      </c>
      <c r="E306" s="488" t="str">
        <f t="shared" si="23"/>
        <v>Open</v>
      </c>
      <c r="F306" s="488">
        <v>43188</v>
      </c>
      <c r="G306" s="488"/>
      <c r="H306" s="484" t="s">
        <v>673</v>
      </c>
      <c r="I306" s="484" t="str">
        <f>VLOOKUP(TabListaLojas[[#This Row],[UF]],UF!A:E,3,0)</f>
        <v>Northest</v>
      </c>
      <c r="J306" s="484" t="s">
        <v>151</v>
      </c>
      <c r="K306" s="484" t="str">
        <f>VLOOKUP(TabListaLojas[[#This Row],[UF]],UF!A:B,2,0)</f>
        <v>Piauí</v>
      </c>
      <c r="L306" s="484" t="s">
        <v>1040</v>
      </c>
      <c r="M306" s="484" t="s">
        <v>1041</v>
      </c>
      <c r="N306" s="484" t="s">
        <v>676</v>
      </c>
      <c r="O306" s="487">
        <v>1906.46</v>
      </c>
    </row>
    <row r="307" spans="2:15" ht="15" customHeight="1">
      <c r="B307" s="483">
        <v>1</v>
      </c>
      <c r="C307" s="484" t="s">
        <v>2202</v>
      </c>
      <c r="D307" s="488" t="s">
        <v>127</v>
      </c>
      <c r="E307" s="488" t="str">
        <f t="shared" si="23"/>
        <v>Open</v>
      </c>
      <c r="F307" s="488">
        <v>43181</v>
      </c>
      <c r="G307" s="488"/>
      <c r="H307" s="484" t="s">
        <v>673</v>
      </c>
      <c r="I307" s="484" t="str">
        <f>VLOOKUP(TabListaLojas[[#This Row],[UF]],UF!A:E,3,0)</f>
        <v>Midwest</v>
      </c>
      <c r="J307" s="484" t="s">
        <v>123</v>
      </c>
      <c r="K307" s="484" t="str">
        <f>VLOOKUP(TabListaLojas[[#This Row],[UF]],UF!A:B,2,0)</f>
        <v>Goiás</v>
      </c>
      <c r="L307" s="484" t="s">
        <v>140</v>
      </c>
      <c r="M307" s="484" t="s">
        <v>1042</v>
      </c>
      <c r="N307" s="484" t="s">
        <v>676</v>
      </c>
      <c r="O307" s="487">
        <v>288.58999999999997</v>
      </c>
    </row>
    <row r="308" spans="2:15" ht="15" customHeight="1">
      <c r="B308" s="483">
        <v>1</v>
      </c>
      <c r="C308" s="484" t="s">
        <v>2201</v>
      </c>
      <c r="D308" s="488" t="s">
        <v>127</v>
      </c>
      <c r="E308" s="488" t="str">
        <f t="shared" si="23"/>
        <v>Open</v>
      </c>
      <c r="F308" s="488">
        <v>43174</v>
      </c>
      <c r="G308" s="488"/>
      <c r="H308" s="484" t="s">
        <v>673</v>
      </c>
      <c r="I308" s="484" t="str">
        <f>VLOOKUP(TabListaLojas[[#This Row],[UF]],UF!A:E,3,0)</f>
        <v>Southest</v>
      </c>
      <c r="J308" s="484" t="s">
        <v>149</v>
      </c>
      <c r="K308" s="484" t="str">
        <f>VLOOKUP(TabListaLojas[[#This Row],[UF]],UF!A:B,2,0)</f>
        <v>Minas Gerais</v>
      </c>
      <c r="L308" s="484" t="s">
        <v>1043</v>
      </c>
      <c r="M308" s="484" t="s">
        <v>1044</v>
      </c>
      <c r="N308" s="484" t="s">
        <v>676</v>
      </c>
      <c r="O308" s="487">
        <v>169.21</v>
      </c>
    </row>
    <row r="309" spans="2:15" ht="15" customHeight="1">
      <c r="B309" s="483">
        <v>1</v>
      </c>
      <c r="C309" s="484" t="s">
        <v>2200</v>
      </c>
      <c r="D309" s="488" t="s">
        <v>127</v>
      </c>
      <c r="E309" s="488" t="str">
        <f t="shared" si="23"/>
        <v>Open</v>
      </c>
      <c r="F309" s="488">
        <v>43167</v>
      </c>
      <c r="G309" s="488"/>
      <c r="H309" s="484" t="s">
        <v>673</v>
      </c>
      <c r="I309" s="484" t="str">
        <f>VLOOKUP(TabListaLojas[[#This Row],[UF]],UF!A:E,3,0)</f>
        <v>South</v>
      </c>
      <c r="J309" s="484" t="s">
        <v>147</v>
      </c>
      <c r="K309" s="484" t="str">
        <f>VLOOKUP(TabListaLojas[[#This Row],[UF]],UF!A:B,2,0)</f>
        <v>Santa Catarina</v>
      </c>
      <c r="L309" s="484" t="s">
        <v>800</v>
      </c>
      <c r="M309" s="484" t="s">
        <v>801</v>
      </c>
      <c r="N309" s="484" t="s">
        <v>676</v>
      </c>
      <c r="O309" s="487">
        <v>284.42</v>
      </c>
    </row>
    <row r="310" spans="2:15" ht="15" customHeight="1">
      <c r="B310" s="483">
        <v>1</v>
      </c>
      <c r="C310" s="484" t="s">
        <v>1665</v>
      </c>
      <c r="D310" s="488" t="s">
        <v>116</v>
      </c>
      <c r="E310" s="488" t="str">
        <f t="shared" si="23"/>
        <v>Open</v>
      </c>
      <c r="F310" s="488">
        <v>43083</v>
      </c>
      <c r="G310" s="488"/>
      <c r="H310" s="484" t="s">
        <v>673</v>
      </c>
      <c r="I310" s="484" t="str">
        <f>VLOOKUP(TabListaLojas[[#This Row],[UF]],UF!A:E,3,0)</f>
        <v>North</v>
      </c>
      <c r="J310" s="484" t="s">
        <v>150</v>
      </c>
      <c r="K310" s="484" t="str">
        <f>VLOOKUP(TabListaLojas[[#This Row],[UF]],UF!A:B,2,0)</f>
        <v>Pará</v>
      </c>
      <c r="L310" s="484" t="s">
        <v>1045</v>
      </c>
      <c r="M310" s="484" t="s">
        <v>1046</v>
      </c>
      <c r="N310" s="484" t="s">
        <v>676</v>
      </c>
      <c r="O310" s="487">
        <v>2896.65</v>
      </c>
    </row>
    <row r="311" spans="2:15" ht="15" customHeight="1">
      <c r="B311" s="483">
        <v>1</v>
      </c>
      <c r="C311" s="484" t="s">
        <v>1666</v>
      </c>
      <c r="D311" s="488" t="s">
        <v>116</v>
      </c>
      <c r="E311" s="488" t="str">
        <f t="shared" si="23"/>
        <v>Open</v>
      </c>
      <c r="F311" s="488">
        <v>43077</v>
      </c>
      <c r="G311" s="488"/>
      <c r="H311" s="484" t="s">
        <v>202</v>
      </c>
      <c r="I311" s="484" t="str">
        <f>VLOOKUP(TabListaLojas[[#This Row],[UF]],UF!A:E,3,0)</f>
        <v>Uruguay</v>
      </c>
      <c r="J311" s="484" t="s">
        <v>318</v>
      </c>
      <c r="K311" s="484" t="str">
        <f>VLOOKUP(TabListaLojas[[#This Row],[UF]],UF!A:B,2,0)</f>
        <v>Uruguay</v>
      </c>
      <c r="L311" s="484" t="s">
        <v>806</v>
      </c>
      <c r="M311" s="484" t="s">
        <v>1047</v>
      </c>
      <c r="N311" s="484" t="s">
        <v>676</v>
      </c>
      <c r="O311" s="487">
        <v>2004</v>
      </c>
    </row>
    <row r="312" spans="2:15" ht="15" customHeight="1">
      <c r="B312" s="483">
        <v>1</v>
      </c>
      <c r="C312" s="484" t="s">
        <v>2199</v>
      </c>
      <c r="D312" s="488" t="s">
        <v>127</v>
      </c>
      <c r="E312" s="488" t="str">
        <f t="shared" si="23"/>
        <v>Open</v>
      </c>
      <c r="F312" s="488">
        <v>43070</v>
      </c>
      <c r="G312" s="488"/>
      <c r="H312" s="484" t="s">
        <v>673</v>
      </c>
      <c r="I312" s="484" t="str">
        <f>VLOOKUP(TabListaLojas[[#This Row],[UF]],UF!A:E,3,0)</f>
        <v>South</v>
      </c>
      <c r="J312" s="484" t="s">
        <v>161</v>
      </c>
      <c r="K312" s="484" t="str">
        <f>VLOOKUP(TabListaLojas[[#This Row],[UF]],UF!A:B,2,0)</f>
        <v>Paraná</v>
      </c>
      <c r="L312" s="484" t="s">
        <v>146</v>
      </c>
      <c r="M312" s="484" t="s">
        <v>1048</v>
      </c>
      <c r="N312" s="484" t="s">
        <v>676</v>
      </c>
      <c r="O312" s="487">
        <v>253.88</v>
      </c>
    </row>
    <row r="313" spans="2:15" ht="15" customHeight="1">
      <c r="B313" s="483">
        <v>1</v>
      </c>
      <c r="C313" s="484" t="s">
        <v>1667</v>
      </c>
      <c r="D313" s="488" t="s">
        <v>116</v>
      </c>
      <c r="E313" s="488" t="str">
        <f t="shared" si="23"/>
        <v>Open</v>
      </c>
      <c r="F313" s="488">
        <v>43068</v>
      </c>
      <c r="G313" s="488"/>
      <c r="H313" s="484" t="s">
        <v>673</v>
      </c>
      <c r="I313" s="484" t="str">
        <f>VLOOKUP(TabListaLojas[[#This Row],[UF]],UF!A:E,3,0)</f>
        <v>Midwest</v>
      </c>
      <c r="J313" s="484" t="s">
        <v>156</v>
      </c>
      <c r="K313" s="484" t="str">
        <f>VLOOKUP(TabListaLojas[[#This Row],[UF]],UF!A:B,2,0)</f>
        <v>Distrito Federal</v>
      </c>
      <c r="L313" s="484" t="s">
        <v>142</v>
      </c>
      <c r="M313" s="484" t="s">
        <v>1049</v>
      </c>
      <c r="N313" s="484" t="s">
        <v>676</v>
      </c>
      <c r="O313" s="487">
        <v>1769.66</v>
      </c>
    </row>
    <row r="314" spans="2:15" ht="15" customHeight="1">
      <c r="B314" s="483">
        <v>1</v>
      </c>
      <c r="C314" s="484" t="s">
        <v>2084</v>
      </c>
      <c r="D314" s="488" t="s">
        <v>126</v>
      </c>
      <c r="E314" s="488" t="str">
        <f t="shared" si="23"/>
        <v>Open</v>
      </c>
      <c r="F314" s="488">
        <v>43063</v>
      </c>
      <c r="G314" s="488"/>
      <c r="H314" s="484" t="s">
        <v>673</v>
      </c>
      <c r="I314" s="484" t="str">
        <f>VLOOKUP(TabListaLojas[[#This Row],[UF]],UF!A:E,3,0)</f>
        <v>South</v>
      </c>
      <c r="J314" s="484" t="s">
        <v>117</v>
      </c>
      <c r="K314" s="484" t="str">
        <f>VLOOKUP(TabListaLojas[[#This Row],[UF]],UF!A:B,2,0)</f>
        <v>Rio Grande do Sul</v>
      </c>
      <c r="L314" s="484" t="s">
        <v>1050</v>
      </c>
      <c r="M314" s="484" t="s">
        <v>1051</v>
      </c>
      <c r="N314" s="484" t="s">
        <v>676</v>
      </c>
      <c r="O314" s="487">
        <v>454.18</v>
      </c>
    </row>
    <row r="315" spans="2:15" ht="15" customHeight="1">
      <c r="B315" s="483">
        <v>1</v>
      </c>
      <c r="C315" s="484" t="s">
        <v>1668</v>
      </c>
      <c r="D315" s="488" t="s">
        <v>116</v>
      </c>
      <c r="E315" s="488" t="str">
        <f t="shared" si="23"/>
        <v>Open</v>
      </c>
      <c r="F315" s="488">
        <v>43063</v>
      </c>
      <c r="G315" s="488"/>
      <c r="H315" s="484" t="s">
        <v>202</v>
      </c>
      <c r="I315" s="484" t="str">
        <f>VLOOKUP(TabListaLojas[[#This Row],[UF]],UF!A:E,3,0)</f>
        <v>Uruguay</v>
      </c>
      <c r="J315" s="484" t="s">
        <v>318</v>
      </c>
      <c r="K315" s="484" t="str">
        <f>VLOOKUP(TabListaLojas[[#This Row],[UF]],UF!A:B,2,0)</f>
        <v>Uruguay</v>
      </c>
      <c r="L315" s="484" t="s">
        <v>806</v>
      </c>
      <c r="M315" s="484" t="s">
        <v>1052</v>
      </c>
      <c r="N315" s="484" t="s">
        <v>676</v>
      </c>
      <c r="O315" s="487">
        <v>2021</v>
      </c>
    </row>
    <row r="316" spans="2:15" ht="15" customHeight="1">
      <c r="B316" s="483">
        <v>1</v>
      </c>
      <c r="C316" s="484" t="s">
        <v>1669</v>
      </c>
      <c r="D316" s="488" t="s">
        <v>116</v>
      </c>
      <c r="E316" s="488" t="str">
        <f t="shared" si="23"/>
        <v>Open</v>
      </c>
      <c r="F316" s="488">
        <v>43063</v>
      </c>
      <c r="G316" s="488"/>
      <c r="H316" s="484" t="s">
        <v>673</v>
      </c>
      <c r="I316" s="484" t="str">
        <f>VLOOKUP(TabListaLojas[[#This Row],[UF]],UF!A:E,3,0)</f>
        <v>South</v>
      </c>
      <c r="J316" s="484" t="s">
        <v>117</v>
      </c>
      <c r="K316" s="484" t="str">
        <f>VLOOKUP(TabListaLojas[[#This Row],[UF]],UF!A:B,2,0)</f>
        <v>Rio Grande do Sul</v>
      </c>
      <c r="L316" s="484" t="s">
        <v>1050</v>
      </c>
      <c r="M316" s="484" t="s">
        <v>1051</v>
      </c>
      <c r="N316" s="484" t="s">
        <v>676</v>
      </c>
      <c r="O316" s="487">
        <v>3874</v>
      </c>
    </row>
    <row r="317" spans="2:15" ht="15" customHeight="1">
      <c r="B317" s="483">
        <v>1</v>
      </c>
      <c r="C317" s="484" t="s">
        <v>2197</v>
      </c>
      <c r="D317" s="488" t="s">
        <v>127</v>
      </c>
      <c r="E317" s="488" t="str">
        <f t="shared" si="23"/>
        <v>Open</v>
      </c>
      <c r="F317" s="488">
        <v>43063</v>
      </c>
      <c r="G317" s="488"/>
      <c r="H317" s="484" t="s">
        <v>673</v>
      </c>
      <c r="I317" s="484" t="str">
        <f>VLOOKUP(TabListaLojas[[#This Row],[UF]],UF!A:E,3,0)</f>
        <v>South</v>
      </c>
      <c r="J317" s="484" t="s">
        <v>117</v>
      </c>
      <c r="K317" s="484" t="str">
        <f>VLOOKUP(TabListaLojas[[#This Row],[UF]],UF!A:B,2,0)</f>
        <v>Rio Grande do Sul</v>
      </c>
      <c r="L317" s="484" t="s">
        <v>1050</v>
      </c>
      <c r="M317" s="484" t="s">
        <v>1051</v>
      </c>
      <c r="N317" s="484" t="s">
        <v>676</v>
      </c>
      <c r="O317" s="487">
        <v>204.09</v>
      </c>
    </row>
    <row r="318" spans="2:15" ht="15" customHeight="1">
      <c r="B318" s="483">
        <v>1</v>
      </c>
      <c r="C318" s="484" t="s">
        <v>2198</v>
      </c>
      <c r="D318" s="488" t="s">
        <v>127</v>
      </c>
      <c r="E318" s="488" t="str">
        <f t="shared" si="23"/>
        <v>Open</v>
      </c>
      <c r="F318" s="488">
        <v>43063</v>
      </c>
      <c r="G318" s="488"/>
      <c r="H318" s="484" t="s">
        <v>673</v>
      </c>
      <c r="I318" s="484" t="str">
        <f>VLOOKUP(TabListaLojas[[#This Row],[UF]],UF!A:E,3,0)</f>
        <v>Southest</v>
      </c>
      <c r="J318" s="484" t="s">
        <v>118</v>
      </c>
      <c r="K318" s="484" t="str">
        <f>VLOOKUP(TabListaLojas[[#This Row],[UF]],UF!A:B,2,0)</f>
        <v>São Paulo</v>
      </c>
      <c r="L318" s="484" t="s">
        <v>1053</v>
      </c>
      <c r="M318" s="484" t="s">
        <v>1054</v>
      </c>
      <c r="N318" s="484" t="s">
        <v>676</v>
      </c>
      <c r="O318" s="487">
        <v>254.85</v>
      </c>
    </row>
    <row r="319" spans="2:15" ht="15" customHeight="1">
      <c r="B319" s="483">
        <v>1</v>
      </c>
      <c r="C319" s="484" t="s">
        <v>1670</v>
      </c>
      <c r="D319" s="488" t="s">
        <v>116</v>
      </c>
      <c r="E319" s="488" t="str">
        <f t="shared" si="23"/>
        <v>Open</v>
      </c>
      <c r="F319" s="488">
        <v>43062</v>
      </c>
      <c r="G319" s="488"/>
      <c r="H319" s="484" t="s">
        <v>673</v>
      </c>
      <c r="I319" s="484" t="str">
        <f>VLOOKUP(TabListaLojas[[#This Row],[UF]],UF!A:E,3,0)</f>
        <v>Southest</v>
      </c>
      <c r="J319" s="484" t="s">
        <v>118</v>
      </c>
      <c r="K319" s="484" t="str">
        <f>VLOOKUP(TabListaLojas[[#This Row],[UF]],UF!A:B,2,0)</f>
        <v>São Paulo</v>
      </c>
      <c r="L319" s="484" t="s">
        <v>124</v>
      </c>
      <c r="M319" s="484" t="s">
        <v>1055</v>
      </c>
      <c r="N319" s="484" t="s">
        <v>676</v>
      </c>
      <c r="O319" s="487">
        <v>1222.23</v>
      </c>
    </row>
    <row r="320" spans="2:15" ht="15" customHeight="1">
      <c r="B320" s="483">
        <v>1</v>
      </c>
      <c r="C320" s="484" t="s">
        <v>2196</v>
      </c>
      <c r="D320" s="488" t="s">
        <v>127</v>
      </c>
      <c r="E320" s="488" t="str">
        <f t="shared" si="23"/>
        <v>Open</v>
      </c>
      <c r="F320" s="488">
        <v>43062</v>
      </c>
      <c r="G320" s="488"/>
      <c r="H320" s="484" t="s">
        <v>673</v>
      </c>
      <c r="I320" s="484" t="str">
        <f>VLOOKUP(TabListaLojas[[#This Row],[UF]],UF!A:E,3,0)</f>
        <v>Southest</v>
      </c>
      <c r="J320" s="484" t="s">
        <v>118</v>
      </c>
      <c r="K320" s="484" t="str">
        <f>VLOOKUP(TabListaLojas[[#This Row],[UF]],UF!A:B,2,0)</f>
        <v>São Paulo</v>
      </c>
      <c r="L320" s="484" t="s">
        <v>897</v>
      </c>
      <c r="M320" s="484" t="s">
        <v>1056</v>
      </c>
      <c r="N320" s="484" t="s">
        <v>676</v>
      </c>
      <c r="O320" s="487">
        <v>237.64</v>
      </c>
    </row>
    <row r="321" spans="2:15" ht="15" customHeight="1">
      <c r="B321" s="483">
        <v>1</v>
      </c>
      <c r="C321" s="484" t="s">
        <v>2195</v>
      </c>
      <c r="D321" s="488" t="s">
        <v>127</v>
      </c>
      <c r="E321" s="488" t="str">
        <f t="shared" si="23"/>
        <v>Open</v>
      </c>
      <c r="F321" s="488">
        <v>43056</v>
      </c>
      <c r="G321" s="488"/>
      <c r="H321" s="484" t="s">
        <v>673</v>
      </c>
      <c r="I321" s="484" t="str">
        <f>VLOOKUP(TabListaLojas[[#This Row],[UF]],UF!A:E,3,0)</f>
        <v>Southest</v>
      </c>
      <c r="J321" s="484" t="s">
        <v>118</v>
      </c>
      <c r="K321" s="484" t="str">
        <f>VLOOKUP(TabListaLojas[[#This Row],[UF]],UF!A:B,2,0)</f>
        <v>São Paulo</v>
      </c>
      <c r="L321" s="484" t="s">
        <v>1057</v>
      </c>
      <c r="M321" s="484" t="s">
        <v>1058</v>
      </c>
      <c r="N321" s="484" t="s">
        <v>676</v>
      </c>
      <c r="O321" s="487">
        <v>194</v>
      </c>
    </row>
    <row r="322" spans="2:15" ht="15" customHeight="1">
      <c r="B322" s="483">
        <v>1</v>
      </c>
      <c r="C322" s="484" t="s">
        <v>1671</v>
      </c>
      <c r="D322" s="488" t="s">
        <v>116</v>
      </c>
      <c r="E322" s="488" t="str">
        <f t="shared" si="23"/>
        <v>Open</v>
      </c>
      <c r="F322" s="488">
        <v>43055</v>
      </c>
      <c r="G322" s="488"/>
      <c r="H322" s="484" t="s">
        <v>673</v>
      </c>
      <c r="I322" s="484" t="str">
        <f>VLOOKUP(TabListaLojas[[#This Row],[UF]],UF!A:E,3,0)</f>
        <v>Southest</v>
      </c>
      <c r="J322" s="484" t="s">
        <v>118</v>
      </c>
      <c r="K322" s="484" t="str">
        <f>VLOOKUP(TabListaLojas[[#This Row],[UF]],UF!A:B,2,0)</f>
        <v>São Paulo</v>
      </c>
      <c r="L322" s="484" t="s">
        <v>124</v>
      </c>
      <c r="M322" s="484" t="s">
        <v>1059</v>
      </c>
      <c r="N322" s="484" t="s">
        <v>676</v>
      </c>
      <c r="O322" s="487">
        <v>1958.02</v>
      </c>
    </row>
    <row r="323" spans="2:15" ht="15" customHeight="1">
      <c r="B323" s="483">
        <v>1</v>
      </c>
      <c r="C323" s="484" t="s">
        <v>1672</v>
      </c>
      <c r="D323" s="488" t="s">
        <v>116</v>
      </c>
      <c r="E323" s="488" t="str">
        <f t="shared" si="23"/>
        <v>Open</v>
      </c>
      <c r="F323" s="488">
        <v>43054</v>
      </c>
      <c r="G323" s="488"/>
      <c r="H323" s="484" t="s">
        <v>673</v>
      </c>
      <c r="I323" s="484" t="str">
        <f>VLOOKUP(TabListaLojas[[#This Row],[UF]],UF!A:E,3,0)</f>
        <v>North</v>
      </c>
      <c r="J323" s="484" t="s">
        <v>150</v>
      </c>
      <c r="K323" s="484" t="str">
        <f>VLOOKUP(TabListaLojas[[#This Row],[UF]],UF!A:B,2,0)</f>
        <v>Pará</v>
      </c>
      <c r="L323" s="484" t="s">
        <v>131</v>
      </c>
      <c r="M323" s="484" t="s">
        <v>1060</v>
      </c>
      <c r="N323" s="484" t="s">
        <v>676</v>
      </c>
      <c r="O323" s="487">
        <v>2853.03</v>
      </c>
    </row>
    <row r="324" spans="2:15" ht="15" customHeight="1">
      <c r="B324" s="483">
        <v>1</v>
      </c>
      <c r="C324" s="484" t="s">
        <v>1673</v>
      </c>
      <c r="D324" s="488" t="s">
        <v>116</v>
      </c>
      <c r="E324" s="488" t="str">
        <f t="shared" si="23"/>
        <v>Open</v>
      </c>
      <c r="F324" s="488">
        <v>43046</v>
      </c>
      <c r="G324" s="488"/>
      <c r="H324" s="484" t="s">
        <v>673</v>
      </c>
      <c r="I324" s="484" t="str">
        <f>VLOOKUP(TabListaLojas[[#This Row],[UF]],UF!A:E,3,0)</f>
        <v>South</v>
      </c>
      <c r="J324" s="484" t="s">
        <v>117</v>
      </c>
      <c r="K324" s="484" t="str">
        <f>VLOOKUP(TabListaLojas[[#This Row],[UF]],UF!A:B,2,0)</f>
        <v>Rio Grande do Sul</v>
      </c>
      <c r="L324" s="484" t="s">
        <v>129</v>
      </c>
      <c r="M324" s="484" t="s">
        <v>1061</v>
      </c>
      <c r="N324" s="484" t="s">
        <v>676</v>
      </c>
      <c r="O324" s="487">
        <v>1670.68</v>
      </c>
    </row>
    <row r="325" spans="2:15" ht="15" customHeight="1">
      <c r="B325" s="483">
        <v>1</v>
      </c>
      <c r="C325" s="484" t="s">
        <v>1674</v>
      </c>
      <c r="D325" s="488" t="s">
        <v>116</v>
      </c>
      <c r="E325" s="488" t="str">
        <f t="shared" si="23"/>
        <v>Open</v>
      </c>
      <c r="F325" s="488">
        <v>43034</v>
      </c>
      <c r="G325" s="488"/>
      <c r="H325" s="484" t="s">
        <v>673</v>
      </c>
      <c r="I325" s="484" t="str">
        <f>VLOOKUP(TabListaLojas[[#This Row],[UF]],UF!A:E,3,0)</f>
        <v>Southest</v>
      </c>
      <c r="J325" s="484" t="s">
        <v>118</v>
      </c>
      <c r="K325" s="484" t="str">
        <f>VLOOKUP(TabListaLojas[[#This Row],[UF]],UF!A:B,2,0)</f>
        <v>São Paulo</v>
      </c>
      <c r="L325" s="484" t="s">
        <v>124</v>
      </c>
      <c r="M325" s="484" t="s">
        <v>1016</v>
      </c>
      <c r="N325" s="484" t="s">
        <v>676</v>
      </c>
      <c r="O325" s="487">
        <v>3427.09</v>
      </c>
    </row>
    <row r="326" spans="2:15" ht="15" customHeight="1">
      <c r="B326" s="483">
        <v>1</v>
      </c>
      <c r="C326" s="484" t="s">
        <v>1675</v>
      </c>
      <c r="D326" s="488" t="s">
        <v>116</v>
      </c>
      <c r="E326" s="488" t="str">
        <f t="shared" si="23"/>
        <v>Open</v>
      </c>
      <c r="F326" s="488">
        <v>43027</v>
      </c>
      <c r="G326" s="488"/>
      <c r="H326" s="484" t="s">
        <v>673</v>
      </c>
      <c r="I326" s="484" t="str">
        <f>VLOOKUP(TabListaLojas[[#This Row],[UF]],UF!A:E,3,0)</f>
        <v>Southest</v>
      </c>
      <c r="J326" s="484" t="s">
        <v>149</v>
      </c>
      <c r="K326" s="484" t="str">
        <f>VLOOKUP(TabListaLojas[[#This Row],[UF]],UF!A:B,2,0)</f>
        <v>Minas Gerais</v>
      </c>
      <c r="L326" s="484" t="s">
        <v>136</v>
      </c>
      <c r="M326" s="484" t="s">
        <v>1062</v>
      </c>
      <c r="N326" s="484" t="s">
        <v>676</v>
      </c>
      <c r="O326" s="487">
        <v>1216</v>
      </c>
    </row>
    <row r="327" spans="2:15" ht="15" customHeight="1">
      <c r="B327" s="483">
        <v>1</v>
      </c>
      <c r="C327" s="484" t="s">
        <v>2194</v>
      </c>
      <c r="D327" s="488" t="s">
        <v>127</v>
      </c>
      <c r="E327" s="488" t="str">
        <f t="shared" si="23"/>
        <v>Open</v>
      </c>
      <c r="F327" s="488">
        <v>43027</v>
      </c>
      <c r="G327" s="488"/>
      <c r="H327" s="484" t="s">
        <v>673</v>
      </c>
      <c r="I327" s="484" t="str">
        <f>VLOOKUP(TabListaLojas[[#This Row],[UF]],UF!A:E,3,0)</f>
        <v>South</v>
      </c>
      <c r="J327" s="484" t="s">
        <v>161</v>
      </c>
      <c r="K327" s="484" t="str">
        <f>VLOOKUP(TabListaLojas[[#This Row],[UF]],UF!A:B,2,0)</f>
        <v>Paraná</v>
      </c>
      <c r="L327" s="484" t="s">
        <v>957</v>
      </c>
      <c r="M327" s="484" t="s">
        <v>958</v>
      </c>
      <c r="N327" s="484" t="s">
        <v>676</v>
      </c>
      <c r="O327" s="487">
        <v>222.23</v>
      </c>
    </row>
    <row r="328" spans="2:15" ht="15" customHeight="1">
      <c r="B328" s="483">
        <v>1</v>
      </c>
      <c r="C328" s="484" t="s">
        <v>2083</v>
      </c>
      <c r="D328" s="488" t="s">
        <v>126</v>
      </c>
      <c r="E328" s="488" t="str">
        <f t="shared" si="23"/>
        <v>Open</v>
      </c>
      <c r="F328" s="488">
        <v>43014</v>
      </c>
      <c r="G328" s="488"/>
      <c r="H328" s="484" t="s">
        <v>673</v>
      </c>
      <c r="I328" s="484" t="str">
        <f>VLOOKUP(TabListaLojas[[#This Row],[UF]],UF!A:E,3,0)</f>
        <v>Southest</v>
      </c>
      <c r="J328" s="484" t="s">
        <v>149</v>
      </c>
      <c r="K328" s="484" t="str">
        <f>VLOOKUP(TabListaLojas[[#This Row],[UF]],UF!A:B,2,0)</f>
        <v>Minas Gerais</v>
      </c>
      <c r="L328" s="484" t="s">
        <v>136</v>
      </c>
      <c r="M328" s="484" t="s">
        <v>917</v>
      </c>
      <c r="N328" s="484" t="s">
        <v>676</v>
      </c>
      <c r="O328" s="487">
        <v>489.77</v>
      </c>
    </row>
    <row r="329" spans="2:15" ht="15" customHeight="1">
      <c r="B329" s="483">
        <v>1</v>
      </c>
      <c r="C329" s="484" t="s">
        <v>2193</v>
      </c>
      <c r="D329" s="488" t="s">
        <v>127</v>
      </c>
      <c r="E329" s="488" t="str">
        <f t="shared" si="23"/>
        <v>Open</v>
      </c>
      <c r="F329" s="488">
        <v>43014</v>
      </c>
      <c r="G329" s="488"/>
      <c r="H329" s="484" t="s">
        <v>673</v>
      </c>
      <c r="I329" s="484" t="str">
        <f>VLOOKUP(TabListaLojas[[#This Row],[UF]],UF!A:E,3,0)</f>
        <v>Southest</v>
      </c>
      <c r="J329" s="484" t="s">
        <v>118</v>
      </c>
      <c r="K329" s="484" t="str">
        <f>VLOOKUP(TabListaLojas[[#This Row],[UF]],UF!A:B,2,0)</f>
        <v>São Paulo</v>
      </c>
      <c r="L329" s="484" t="s">
        <v>1063</v>
      </c>
      <c r="M329" s="484" t="s">
        <v>1064</v>
      </c>
      <c r="N329" s="484" t="s">
        <v>676</v>
      </c>
      <c r="O329" s="487">
        <v>238.85</v>
      </c>
    </row>
    <row r="330" spans="2:15" ht="15" customHeight="1">
      <c r="B330" s="483">
        <v>1</v>
      </c>
      <c r="C330" s="484" t="s">
        <v>2192</v>
      </c>
      <c r="D330" s="488" t="s">
        <v>127</v>
      </c>
      <c r="E330" s="488" t="str">
        <f t="shared" si="23"/>
        <v>Open</v>
      </c>
      <c r="F330" s="488">
        <v>43013</v>
      </c>
      <c r="G330" s="488"/>
      <c r="H330" s="484" t="s">
        <v>673</v>
      </c>
      <c r="I330" s="484" t="str">
        <f>VLOOKUP(TabListaLojas[[#This Row],[UF]],UF!A:E,3,0)</f>
        <v>South</v>
      </c>
      <c r="J330" s="484" t="s">
        <v>147</v>
      </c>
      <c r="K330" s="484" t="str">
        <f>VLOOKUP(TabListaLojas[[#This Row],[UF]],UF!A:B,2,0)</f>
        <v>Santa Catarina</v>
      </c>
      <c r="L330" s="484" t="s">
        <v>1065</v>
      </c>
      <c r="M330" s="484" t="s">
        <v>1066</v>
      </c>
      <c r="N330" s="484" t="s">
        <v>676</v>
      </c>
      <c r="O330" s="487">
        <v>181.76</v>
      </c>
    </row>
    <row r="331" spans="2:15" ht="15" customHeight="1">
      <c r="B331" s="483">
        <v>1</v>
      </c>
      <c r="C331" s="484" t="s">
        <v>1676</v>
      </c>
      <c r="D331" s="488" t="s">
        <v>116</v>
      </c>
      <c r="E331" s="488" t="str">
        <f t="shared" si="23"/>
        <v>Open</v>
      </c>
      <c r="F331" s="488">
        <v>43012</v>
      </c>
      <c r="G331" s="488"/>
      <c r="H331" s="484" t="s">
        <v>673</v>
      </c>
      <c r="I331" s="484" t="str">
        <f>VLOOKUP(TabListaLojas[[#This Row],[UF]],UF!A:E,3,0)</f>
        <v>Northest</v>
      </c>
      <c r="J331" s="484" t="s">
        <v>148</v>
      </c>
      <c r="K331" s="484" t="str">
        <f>VLOOKUP(TabListaLojas[[#This Row],[UF]],UF!A:B,2,0)</f>
        <v>Ceará</v>
      </c>
      <c r="L331" s="484" t="s">
        <v>130</v>
      </c>
      <c r="M331" s="484" t="s">
        <v>1067</v>
      </c>
      <c r="N331" s="484" t="s">
        <v>676</v>
      </c>
      <c r="O331" s="487">
        <v>1561.1399999999999</v>
      </c>
    </row>
    <row r="332" spans="2:15" ht="15" customHeight="1">
      <c r="B332" s="483">
        <v>1</v>
      </c>
      <c r="C332" s="484" t="s">
        <v>2191</v>
      </c>
      <c r="D332" s="488" t="s">
        <v>127</v>
      </c>
      <c r="E332" s="488" t="str">
        <f t="shared" si="23"/>
        <v>Open</v>
      </c>
      <c r="F332" s="488">
        <v>43007</v>
      </c>
      <c r="G332" s="488"/>
      <c r="H332" s="484" t="s">
        <v>673</v>
      </c>
      <c r="I332" s="484" t="str">
        <f>VLOOKUP(TabListaLojas[[#This Row],[UF]],UF!A:E,3,0)</f>
        <v>Southest</v>
      </c>
      <c r="J332" s="484" t="s">
        <v>118</v>
      </c>
      <c r="K332" s="484" t="str">
        <f>VLOOKUP(TabListaLojas[[#This Row],[UF]],UF!A:B,2,0)</f>
        <v>São Paulo</v>
      </c>
      <c r="L332" s="484" t="s">
        <v>124</v>
      </c>
      <c r="M332" s="484" t="s">
        <v>1068</v>
      </c>
      <c r="N332" s="484" t="s">
        <v>676</v>
      </c>
      <c r="O332" s="487">
        <v>234.41</v>
      </c>
    </row>
    <row r="333" spans="2:15" ht="15" customHeight="1">
      <c r="B333" s="483">
        <v>1</v>
      </c>
      <c r="C333" s="484" t="s">
        <v>1677</v>
      </c>
      <c r="D333" s="488" t="s">
        <v>116</v>
      </c>
      <c r="E333" s="488" t="str">
        <f t="shared" si="23"/>
        <v>Open</v>
      </c>
      <c r="F333" s="488">
        <v>43006</v>
      </c>
      <c r="G333" s="488"/>
      <c r="H333" s="484" t="s">
        <v>673</v>
      </c>
      <c r="I333" s="484" t="str">
        <f>VLOOKUP(TabListaLojas[[#This Row],[UF]],UF!A:E,3,0)</f>
        <v>Northest</v>
      </c>
      <c r="J333" s="484" t="s">
        <v>154</v>
      </c>
      <c r="K333" s="484" t="str">
        <f>VLOOKUP(TabListaLojas[[#This Row],[UF]],UF!A:B,2,0)</f>
        <v>Maranhão</v>
      </c>
      <c r="L333" s="484" t="s">
        <v>171</v>
      </c>
      <c r="M333" s="484" t="s">
        <v>1069</v>
      </c>
      <c r="N333" s="484" t="s">
        <v>676</v>
      </c>
      <c r="O333" s="487">
        <v>1689.23</v>
      </c>
    </row>
    <row r="334" spans="2:15" ht="15" customHeight="1">
      <c r="B334" s="483">
        <v>1</v>
      </c>
      <c r="C334" s="484" t="s">
        <v>1678</v>
      </c>
      <c r="D334" s="488" t="s">
        <v>116</v>
      </c>
      <c r="E334" s="488" t="str">
        <f t="shared" si="23"/>
        <v>Open</v>
      </c>
      <c r="F334" s="488">
        <v>43006</v>
      </c>
      <c r="G334" s="488"/>
      <c r="H334" s="484" t="s">
        <v>673</v>
      </c>
      <c r="I334" s="484" t="str">
        <f>VLOOKUP(TabListaLojas[[#This Row],[UF]],UF!A:E,3,0)</f>
        <v>Southest</v>
      </c>
      <c r="J334" s="484" t="s">
        <v>149</v>
      </c>
      <c r="K334" s="484" t="str">
        <f>VLOOKUP(TabListaLojas[[#This Row],[UF]],UF!A:B,2,0)</f>
        <v>Minas Gerais</v>
      </c>
      <c r="L334" s="484" t="s">
        <v>136</v>
      </c>
      <c r="M334" s="484" t="s">
        <v>1070</v>
      </c>
      <c r="N334" s="484" t="s">
        <v>676</v>
      </c>
      <c r="O334" s="487">
        <v>2338.12</v>
      </c>
    </row>
    <row r="335" spans="2:15" ht="15" customHeight="1">
      <c r="B335" s="483">
        <v>1</v>
      </c>
      <c r="C335" s="484" t="s">
        <v>2190</v>
      </c>
      <c r="D335" s="488" t="s">
        <v>127</v>
      </c>
      <c r="E335" s="488" t="str">
        <f t="shared" si="23"/>
        <v>Open</v>
      </c>
      <c r="F335" s="488">
        <v>43006</v>
      </c>
      <c r="G335" s="488"/>
      <c r="H335" s="484" t="s">
        <v>673</v>
      </c>
      <c r="I335" s="484" t="str">
        <f>VLOOKUP(TabListaLojas[[#This Row],[UF]],UF!A:E,3,0)</f>
        <v>South</v>
      </c>
      <c r="J335" s="484" t="s">
        <v>117</v>
      </c>
      <c r="K335" s="484" t="str">
        <f>VLOOKUP(TabListaLojas[[#This Row],[UF]],UF!A:B,2,0)</f>
        <v>Rio Grande do Sul</v>
      </c>
      <c r="L335" s="484" t="s">
        <v>1071</v>
      </c>
      <c r="M335" s="484" t="s">
        <v>1072</v>
      </c>
      <c r="N335" s="484" t="s">
        <v>676</v>
      </c>
      <c r="O335" s="487">
        <v>168.6</v>
      </c>
    </row>
    <row r="336" spans="2:15" ht="15" customHeight="1">
      <c r="B336" s="483">
        <v>1</v>
      </c>
      <c r="C336" s="484" t="s">
        <v>2189</v>
      </c>
      <c r="D336" s="488" t="s">
        <v>127</v>
      </c>
      <c r="E336" s="488" t="str">
        <f t="shared" si="23"/>
        <v>Open</v>
      </c>
      <c r="F336" s="488">
        <v>43005</v>
      </c>
      <c r="G336" s="488"/>
      <c r="H336" s="484" t="s">
        <v>673</v>
      </c>
      <c r="I336" s="484" t="str">
        <f>VLOOKUP(TabListaLojas[[#This Row],[UF]],UF!A:E,3,0)</f>
        <v>Southest</v>
      </c>
      <c r="J336" s="484" t="s">
        <v>118</v>
      </c>
      <c r="K336" s="484" t="str">
        <f>VLOOKUP(TabListaLojas[[#This Row],[UF]],UF!A:B,2,0)</f>
        <v>São Paulo</v>
      </c>
      <c r="L336" s="484" t="s">
        <v>124</v>
      </c>
      <c r="M336" s="484" t="s">
        <v>1073</v>
      </c>
      <c r="N336" s="484" t="s">
        <v>676</v>
      </c>
      <c r="O336" s="487">
        <v>247.11</v>
      </c>
    </row>
    <row r="337" spans="2:15" ht="15" customHeight="1">
      <c r="B337" s="483">
        <v>1</v>
      </c>
      <c r="C337" s="484" t="s">
        <v>1679</v>
      </c>
      <c r="D337" s="488" t="s">
        <v>116</v>
      </c>
      <c r="E337" s="488" t="str">
        <f t="shared" si="23"/>
        <v>Open</v>
      </c>
      <c r="F337" s="488">
        <v>42998</v>
      </c>
      <c r="G337" s="488"/>
      <c r="H337" s="484" t="s">
        <v>673</v>
      </c>
      <c r="I337" s="484" t="str">
        <f>VLOOKUP(TabListaLojas[[#This Row],[UF]],UF!A:E,3,0)</f>
        <v>South</v>
      </c>
      <c r="J337" s="484" t="s">
        <v>117</v>
      </c>
      <c r="K337" s="484" t="str">
        <f>VLOOKUP(TabListaLojas[[#This Row],[UF]],UF!A:B,2,0)</f>
        <v>Rio Grande do Sul</v>
      </c>
      <c r="L337" s="484" t="s">
        <v>1074</v>
      </c>
      <c r="M337" s="484" t="s">
        <v>1075</v>
      </c>
      <c r="N337" s="484" t="s">
        <v>714</v>
      </c>
      <c r="O337" s="487">
        <v>1789</v>
      </c>
    </row>
    <row r="338" spans="2:15" ht="15" customHeight="1">
      <c r="B338" s="483">
        <v>1</v>
      </c>
      <c r="C338" s="484" t="s">
        <v>1680</v>
      </c>
      <c r="D338" s="488" t="s">
        <v>116</v>
      </c>
      <c r="E338" s="488" t="str">
        <f t="shared" si="23"/>
        <v>Open</v>
      </c>
      <c r="F338" s="488">
        <v>42985</v>
      </c>
      <c r="G338" s="488"/>
      <c r="H338" s="484" t="s">
        <v>202</v>
      </c>
      <c r="I338" s="484" t="str">
        <f>VLOOKUP(TabListaLojas[[#This Row],[UF]],UF!A:E,3,0)</f>
        <v>Uruguay</v>
      </c>
      <c r="J338" s="484" t="s">
        <v>318</v>
      </c>
      <c r="K338" s="484" t="str">
        <f>VLOOKUP(TabListaLojas[[#This Row],[UF]],UF!A:B,2,0)</f>
        <v>Uruguay</v>
      </c>
      <c r="L338" s="484" t="s">
        <v>806</v>
      </c>
      <c r="M338" s="484" t="s">
        <v>1076</v>
      </c>
      <c r="N338" s="484" t="s">
        <v>714</v>
      </c>
      <c r="O338" s="487">
        <v>3806</v>
      </c>
    </row>
    <row r="339" spans="2:15" ht="15" customHeight="1">
      <c r="B339" s="483">
        <v>1</v>
      </c>
      <c r="C339" s="484" t="s">
        <v>2188</v>
      </c>
      <c r="D339" s="488" t="s">
        <v>127</v>
      </c>
      <c r="E339" s="488" t="str">
        <f t="shared" si="23"/>
        <v>Open</v>
      </c>
      <c r="F339" s="488">
        <v>42984</v>
      </c>
      <c r="G339" s="488"/>
      <c r="H339" s="484" t="s">
        <v>673</v>
      </c>
      <c r="I339" s="484" t="str">
        <f>VLOOKUP(TabListaLojas[[#This Row],[UF]],UF!A:E,3,0)</f>
        <v>South</v>
      </c>
      <c r="J339" s="484" t="s">
        <v>161</v>
      </c>
      <c r="K339" s="484" t="str">
        <f>VLOOKUP(TabListaLojas[[#This Row],[UF]],UF!A:B,2,0)</f>
        <v>Paraná</v>
      </c>
      <c r="L339" s="484" t="s">
        <v>787</v>
      </c>
      <c r="M339" s="484" t="s">
        <v>1077</v>
      </c>
      <c r="N339" s="484" t="s">
        <v>676</v>
      </c>
      <c r="O339" s="487">
        <v>211.93</v>
      </c>
    </row>
    <row r="340" spans="2:15" ht="15" customHeight="1">
      <c r="B340" s="483">
        <v>1</v>
      </c>
      <c r="C340" s="484" t="s">
        <v>1681</v>
      </c>
      <c r="D340" s="488" t="s">
        <v>116</v>
      </c>
      <c r="E340" s="488" t="str">
        <f t="shared" si="23"/>
        <v>Open</v>
      </c>
      <c r="F340" s="488">
        <v>42979</v>
      </c>
      <c r="G340" s="488"/>
      <c r="H340" s="484" t="s">
        <v>673</v>
      </c>
      <c r="I340" s="484" t="str">
        <f>VLOOKUP(TabListaLojas[[#This Row],[UF]],UF!A:E,3,0)</f>
        <v>South</v>
      </c>
      <c r="J340" s="484" t="s">
        <v>117</v>
      </c>
      <c r="K340" s="484" t="str">
        <f>VLOOKUP(TabListaLojas[[#This Row],[UF]],UF!A:B,2,0)</f>
        <v>Rio Grande do Sul</v>
      </c>
      <c r="L340" s="484" t="s">
        <v>1071</v>
      </c>
      <c r="M340" s="484" t="s">
        <v>1078</v>
      </c>
      <c r="N340" s="484" t="s">
        <v>676</v>
      </c>
      <c r="O340" s="487">
        <v>2391.54</v>
      </c>
    </row>
    <row r="341" spans="2:15" ht="15" customHeight="1">
      <c r="B341" s="483">
        <v>1</v>
      </c>
      <c r="C341" s="484" t="s">
        <v>2187</v>
      </c>
      <c r="D341" s="488" t="s">
        <v>127</v>
      </c>
      <c r="E341" s="488" t="str">
        <f t="shared" ref="E341:E404" si="24">IF(G341="","Open","Closed")</f>
        <v>Open</v>
      </c>
      <c r="F341" s="488">
        <v>42978</v>
      </c>
      <c r="G341" s="488"/>
      <c r="H341" s="484" t="s">
        <v>673</v>
      </c>
      <c r="I341" s="484" t="str">
        <f>VLOOKUP(TabListaLojas[[#This Row],[UF]],UF!A:E,3,0)</f>
        <v>South</v>
      </c>
      <c r="J341" s="484" t="s">
        <v>117</v>
      </c>
      <c r="K341" s="484" t="str">
        <f>VLOOKUP(TabListaLojas[[#This Row],[UF]],UF!A:B,2,0)</f>
        <v>Rio Grande do Sul</v>
      </c>
      <c r="L341" s="484" t="s">
        <v>1079</v>
      </c>
      <c r="M341" s="484" t="s">
        <v>1080</v>
      </c>
      <c r="N341" s="484" t="s">
        <v>676</v>
      </c>
      <c r="O341" s="487">
        <v>174.33</v>
      </c>
    </row>
    <row r="342" spans="2:15" ht="15" customHeight="1">
      <c r="B342" s="483">
        <v>1</v>
      </c>
      <c r="C342" s="484" t="s">
        <v>1682</v>
      </c>
      <c r="D342" s="488" t="s">
        <v>116</v>
      </c>
      <c r="E342" s="488" t="str">
        <f t="shared" si="24"/>
        <v>Open</v>
      </c>
      <c r="F342" s="488">
        <v>42976</v>
      </c>
      <c r="G342" s="488"/>
      <c r="H342" s="484" t="s">
        <v>673</v>
      </c>
      <c r="I342" s="484" t="str">
        <f>VLOOKUP(TabListaLojas[[#This Row],[UF]],UF!A:E,3,0)</f>
        <v>Southest</v>
      </c>
      <c r="J342" s="484" t="s">
        <v>118</v>
      </c>
      <c r="K342" s="484" t="str">
        <f>VLOOKUP(TabListaLojas[[#This Row],[UF]],UF!A:B,2,0)</f>
        <v>São Paulo</v>
      </c>
      <c r="L342" s="484" t="s">
        <v>124</v>
      </c>
      <c r="M342" s="484" t="s">
        <v>1081</v>
      </c>
      <c r="N342" s="484" t="s">
        <v>714</v>
      </c>
      <c r="O342" s="487">
        <v>4182.22</v>
      </c>
    </row>
    <row r="343" spans="2:15" ht="15" customHeight="1">
      <c r="B343" s="483">
        <v>1</v>
      </c>
      <c r="C343" s="484" t="s">
        <v>2082</v>
      </c>
      <c r="D343" s="488" t="s">
        <v>126</v>
      </c>
      <c r="E343" s="488" t="str">
        <f t="shared" si="24"/>
        <v>Open</v>
      </c>
      <c r="F343" s="488">
        <v>42972</v>
      </c>
      <c r="G343" s="488"/>
      <c r="H343" s="484" t="s">
        <v>673</v>
      </c>
      <c r="I343" s="484" t="str">
        <f>VLOOKUP(TabListaLojas[[#This Row],[UF]],UF!A:E,3,0)</f>
        <v>Southest</v>
      </c>
      <c r="J343" s="484" t="s">
        <v>122</v>
      </c>
      <c r="K343" s="484" t="str">
        <f>VLOOKUP(TabListaLojas[[#This Row],[UF]],UF!A:B,2,0)</f>
        <v>Rio de Janeiro</v>
      </c>
      <c r="L343" s="484" t="s">
        <v>128</v>
      </c>
      <c r="M343" s="484" t="s">
        <v>1082</v>
      </c>
      <c r="N343" s="484" t="s">
        <v>676</v>
      </c>
      <c r="O343" s="487">
        <v>558.96</v>
      </c>
    </row>
    <row r="344" spans="2:15" ht="15" customHeight="1">
      <c r="B344" s="483">
        <v>1</v>
      </c>
      <c r="C344" s="484" t="s">
        <v>2186</v>
      </c>
      <c r="D344" s="488" t="s">
        <v>127</v>
      </c>
      <c r="E344" s="488" t="str">
        <f t="shared" si="24"/>
        <v>Open</v>
      </c>
      <c r="F344" s="488">
        <v>42971</v>
      </c>
      <c r="G344" s="488"/>
      <c r="H344" s="484" t="s">
        <v>673</v>
      </c>
      <c r="I344" s="484" t="str">
        <f>VLOOKUP(TabListaLojas[[#This Row],[UF]],UF!A:E,3,0)</f>
        <v>Southest</v>
      </c>
      <c r="J344" s="484" t="s">
        <v>118</v>
      </c>
      <c r="K344" s="484" t="str">
        <f>VLOOKUP(TabListaLojas[[#This Row],[UF]],UF!A:B,2,0)</f>
        <v>São Paulo</v>
      </c>
      <c r="L344" s="484" t="s">
        <v>702</v>
      </c>
      <c r="M344" s="484" t="s">
        <v>1083</v>
      </c>
      <c r="N344" s="484" t="s">
        <v>676</v>
      </c>
      <c r="O344" s="487">
        <v>292.39</v>
      </c>
    </row>
    <row r="345" spans="2:15" ht="15" customHeight="1">
      <c r="B345" s="483">
        <v>1</v>
      </c>
      <c r="C345" s="484" t="s">
        <v>1683</v>
      </c>
      <c r="D345" s="488" t="s">
        <v>116</v>
      </c>
      <c r="E345" s="488" t="str">
        <f t="shared" si="24"/>
        <v>Open</v>
      </c>
      <c r="F345" s="488">
        <v>42950</v>
      </c>
      <c r="G345" s="488"/>
      <c r="H345" s="484" t="s">
        <v>673</v>
      </c>
      <c r="I345" s="484" t="str">
        <f>VLOOKUP(TabListaLojas[[#This Row],[UF]],UF!A:E,3,0)</f>
        <v>North</v>
      </c>
      <c r="J345" s="484" t="s">
        <v>150</v>
      </c>
      <c r="K345" s="484" t="str">
        <f>VLOOKUP(TabListaLojas[[#This Row],[UF]],UF!A:B,2,0)</f>
        <v>Pará</v>
      </c>
      <c r="L345" s="484" t="s">
        <v>131</v>
      </c>
      <c r="M345" s="484" t="s">
        <v>975</v>
      </c>
      <c r="N345" s="484" t="s">
        <v>676</v>
      </c>
      <c r="O345" s="487">
        <v>2530.85</v>
      </c>
    </row>
    <row r="346" spans="2:15" ht="15" customHeight="1">
      <c r="B346" s="483">
        <v>1</v>
      </c>
      <c r="C346" s="484" t="s">
        <v>2081</v>
      </c>
      <c r="D346" s="488" t="s">
        <v>126</v>
      </c>
      <c r="E346" s="488" t="str">
        <f t="shared" si="24"/>
        <v>Open</v>
      </c>
      <c r="F346" s="488">
        <v>42943</v>
      </c>
      <c r="G346" s="488"/>
      <c r="H346" s="484" t="s">
        <v>673</v>
      </c>
      <c r="I346" s="484" t="str">
        <f>VLOOKUP(TabListaLojas[[#This Row],[UF]],UF!A:E,3,0)</f>
        <v>Southest</v>
      </c>
      <c r="J346" s="484" t="s">
        <v>118</v>
      </c>
      <c r="K346" s="484" t="str">
        <f>VLOOKUP(TabListaLojas[[#This Row],[UF]],UF!A:B,2,0)</f>
        <v>São Paulo</v>
      </c>
      <c r="L346" s="484" t="s">
        <v>124</v>
      </c>
      <c r="M346" s="484" t="s">
        <v>1084</v>
      </c>
      <c r="N346" s="484" t="s">
        <v>676</v>
      </c>
      <c r="O346" s="487">
        <v>394.82</v>
      </c>
    </row>
    <row r="347" spans="2:15" ht="15" customHeight="1">
      <c r="B347" s="483">
        <v>1</v>
      </c>
      <c r="C347" s="484" t="s">
        <v>1684</v>
      </c>
      <c r="D347" s="488" t="s">
        <v>116</v>
      </c>
      <c r="E347" s="488" t="str">
        <f t="shared" si="24"/>
        <v>Open</v>
      </c>
      <c r="F347" s="488">
        <v>42930</v>
      </c>
      <c r="G347" s="488"/>
      <c r="H347" s="484" t="s">
        <v>673</v>
      </c>
      <c r="I347" s="484" t="str">
        <f>VLOOKUP(TabListaLojas[[#This Row],[UF]],UF!A:E,3,0)</f>
        <v>South</v>
      </c>
      <c r="J347" s="484" t="s">
        <v>117</v>
      </c>
      <c r="K347" s="484" t="str">
        <f>VLOOKUP(TabListaLojas[[#This Row],[UF]],UF!A:B,2,0)</f>
        <v>Rio Grande do Sul</v>
      </c>
      <c r="L347" s="484" t="s">
        <v>1085</v>
      </c>
      <c r="M347" s="484" t="s">
        <v>1086</v>
      </c>
      <c r="N347" s="484" t="s">
        <v>714</v>
      </c>
      <c r="O347" s="487">
        <v>1585</v>
      </c>
    </row>
    <row r="348" spans="2:15" ht="15" hidden="1" customHeight="1">
      <c r="B348" s="491">
        <v>0</v>
      </c>
      <c r="C348" s="492" t="s">
        <v>2080</v>
      </c>
      <c r="D348" s="493" t="s">
        <v>126</v>
      </c>
      <c r="E348" s="493" t="str">
        <f t="shared" si="24"/>
        <v>Closed</v>
      </c>
      <c r="F348" s="493">
        <v>42921</v>
      </c>
      <c r="G348" s="493">
        <v>46174</v>
      </c>
      <c r="H348" s="492" t="s">
        <v>673</v>
      </c>
      <c r="I348" s="492" t="str">
        <f>VLOOKUP(TabListaLojas[[#This Row],[UF]],UF!A:E,3,0)</f>
        <v>Northest</v>
      </c>
      <c r="J348" s="492" t="s">
        <v>159</v>
      </c>
      <c r="K348" s="492" t="str">
        <f>VLOOKUP(TabListaLojas[[#This Row],[UF]],UF!A:B,2,0)</f>
        <v>Alagoas</v>
      </c>
      <c r="L348" s="492" t="s">
        <v>144</v>
      </c>
      <c r="M348" s="492" t="s">
        <v>1087</v>
      </c>
      <c r="N348" s="492" t="s">
        <v>676</v>
      </c>
      <c r="O348" s="495">
        <v>0</v>
      </c>
    </row>
    <row r="349" spans="2:15" ht="15" hidden="1" customHeight="1">
      <c r="B349" s="491">
        <v>0</v>
      </c>
      <c r="C349" s="492" t="s">
        <v>2258</v>
      </c>
      <c r="D349" s="493" t="s">
        <v>116</v>
      </c>
      <c r="E349" s="493" t="str">
        <f t="shared" si="24"/>
        <v>Closed</v>
      </c>
      <c r="F349" s="493">
        <v>42915</v>
      </c>
      <c r="G349" s="493">
        <v>45359</v>
      </c>
      <c r="H349" s="492" t="s">
        <v>673</v>
      </c>
      <c r="I349" s="492" t="str">
        <f>VLOOKUP(TabListaLojas[[#This Row],[UF]],UF!A:E,3,0)</f>
        <v>Northest</v>
      </c>
      <c r="J349" s="492" t="s">
        <v>151</v>
      </c>
      <c r="K349" s="492" t="str">
        <f>VLOOKUP(TabListaLojas[[#This Row],[UF]],UF!A:B,2,0)</f>
        <v>Piauí</v>
      </c>
      <c r="L349" s="492" t="s">
        <v>132</v>
      </c>
      <c r="M349" s="492" t="s">
        <v>1088</v>
      </c>
      <c r="N349" s="492" t="s">
        <v>714</v>
      </c>
      <c r="O349" s="495">
        <v>0</v>
      </c>
    </row>
    <row r="350" spans="2:15" ht="15" customHeight="1">
      <c r="B350" s="483">
        <v>1</v>
      </c>
      <c r="C350" s="484" t="s">
        <v>1685</v>
      </c>
      <c r="D350" s="488" t="s">
        <v>116</v>
      </c>
      <c r="E350" s="488" t="str">
        <f t="shared" si="24"/>
        <v>Open</v>
      </c>
      <c r="F350" s="488">
        <v>42915</v>
      </c>
      <c r="G350" s="488"/>
      <c r="H350" s="484" t="s">
        <v>673</v>
      </c>
      <c r="I350" s="484" t="str">
        <f>VLOOKUP(TabListaLojas[[#This Row],[UF]],UF!A:E,3,0)</f>
        <v>Southest</v>
      </c>
      <c r="J350" s="484" t="s">
        <v>118</v>
      </c>
      <c r="K350" s="484" t="str">
        <f>VLOOKUP(TabListaLojas[[#This Row],[UF]],UF!A:B,2,0)</f>
        <v>São Paulo</v>
      </c>
      <c r="L350" s="484" t="s">
        <v>124</v>
      </c>
      <c r="M350" s="484" t="s">
        <v>1089</v>
      </c>
      <c r="N350" s="484" t="s">
        <v>676</v>
      </c>
      <c r="O350" s="487">
        <v>1713.15</v>
      </c>
    </row>
    <row r="351" spans="2:15" ht="15" customHeight="1">
      <c r="B351" s="483">
        <v>1</v>
      </c>
      <c r="C351" s="484" t="s">
        <v>2185</v>
      </c>
      <c r="D351" s="488" t="s">
        <v>127</v>
      </c>
      <c r="E351" s="488" t="str">
        <f t="shared" si="24"/>
        <v>Open</v>
      </c>
      <c r="F351" s="488">
        <v>42908</v>
      </c>
      <c r="G351" s="488"/>
      <c r="H351" s="484" t="s">
        <v>673</v>
      </c>
      <c r="I351" s="484" t="str">
        <f>VLOOKUP(TabListaLojas[[#This Row],[UF]],UF!A:E,3,0)</f>
        <v>Southest</v>
      </c>
      <c r="J351" s="484" t="s">
        <v>149</v>
      </c>
      <c r="K351" s="484" t="str">
        <f>VLOOKUP(TabListaLojas[[#This Row],[UF]],UF!A:B,2,0)</f>
        <v>Minas Gerais</v>
      </c>
      <c r="L351" s="484" t="s">
        <v>136</v>
      </c>
      <c r="M351" s="484" t="s">
        <v>1090</v>
      </c>
      <c r="N351" s="484" t="s">
        <v>676</v>
      </c>
      <c r="O351" s="487">
        <v>236.91</v>
      </c>
    </row>
    <row r="352" spans="2:15" ht="15" customHeight="1">
      <c r="B352" s="483">
        <v>1</v>
      </c>
      <c r="C352" s="484" t="s">
        <v>2079</v>
      </c>
      <c r="D352" s="488" t="s">
        <v>126</v>
      </c>
      <c r="E352" s="488" t="str">
        <f t="shared" si="24"/>
        <v>Open</v>
      </c>
      <c r="F352" s="488">
        <v>42907</v>
      </c>
      <c r="G352" s="488"/>
      <c r="H352" s="484" t="s">
        <v>673</v>
      </c>
      <c r="I352" s="484" t="str">
        <f>VLOOKUP(TabListaLojas[[#This Row],[UF]],UF!A:E,3,0)</f>
        <v>Northest</v>
      </c>
      <c r="J352" s="484" t="s">
        <v>153</v>
      </c>
      <c r="K352" s="484" t="str">
        <f>VLOOKUP(TabListaLojas[[#This Row],[UF]],UF!A:B,2,0)</f>
        <v>Rio Grande do Norte</v>
      </c>
      <c r="L352" s="484" t="s">
        <v>145</v>
      </c>
      <c r="M352" s="484" t="s">
        <v>1091</v>
      </c>
      <c r="N352" s="484" t="s">
        <v>676</v>
      </c>
      <c r="O352" s="487">
        <v>786.24</v>
      </c>
    </row>
    <row r="353" spans="2:15" ht="15" customHeight="1">
      <c r="B353" s="483">
        <v>1</v>
      </c>
      <c r="C353" s="484" t="s">
        <v>1686</v>
      </c>
      <c r="D353" s="488" t="s">
        <v>116</v>
      </c>
      <c r="E353" s="488" t="str">
        <f t="shared" si="24"/>
        <v>Open</v>
      </c>
      <c r="F353" s="488">
        <v>42902</v>
      </c>
      <c r="G353" s="488"/>
      <c r="H353" s="484" t="s">
        <v>673</v>
      </c>
      <c r="I353" s="484" t="str">
        <f>VLOOKUP(TabListaLojas[[#This Row],[UF]],UF!A:E,3,0)</f>
        <v>Northest</v>
      </c>
      <c r="J353" s="484" t="s">
        <v>120</v>
      </c>
      <c r="K353" s="484" t="str">
        <f>VLOOKUP(TabListaLojas[[#This Row],[UF]],UF!A:B,2,0)</f>
        <v>Bahia</v>
      </c>
      <c r="L353" s="484" t="s">
        <v>1092</v>
      </c>
      <c r="M353" s="484" t="s">
        <v>1093</v>
      </c>
      <c r="N353" s="484" t="s">
        <v>676</v>
      </c>
      <c r="O353" s="487">
        <v>2412.0500000000002</v>
      </c>
    </row>
    <row r="354" spans="2:15" ht="15" customHeight="1">
      <c r="B354" s="483">
        <v>1</v>
      </c>
      <c r="C354" s="484" t="s">
        <v>1687</v>
      </c>
      <c r="D354" s="488" t="s">
        <v>116</v>
      </c>
      <c r="E354" s="488" t="str">
        <f t="shared" si="24"/>
        <v>Open</v>
      </c>
      <c r="F354" s="488">
        <v>42895</v>
      </c>
      <c r="G354" s="488"/>
      <c r="H354" s="484" t="s">
        <v>673</v>
      </c>
      <c r="I354" s="484" t="str">
        <f>VLOOKUP(TabListaLojas[[#This Row],[UF]],UF!A:E,3,0)</f>
        <v>South</v>
      </c>
      <c r="J354" s="484" t="s">
        <v>117</v>
      </c>
      <c r="K354" s="484" t="str">
        <f>VLOOKUP(TabListaLojas[[#This Row],[UF]],UF!A:B,2,0)</f>
        <v>Rio Grande do Sul</v>
      </c>
      <c r="L354" s="484" t="s">
        <v>1094</v>
      </c>
      <c r="M354" s="484" t="s">
        <v>1095</v>
      </c>
      <c r="N354" s="484" t="s">
        <v>714</v>
      </c>
      <c r="O354" s="487">
        <v>1881</v>
      </c>
    </row>
    <row r="355" spans="2:15" ht="15" customHeight="1">
      <c r="B355" s="483">
        <v>1</v>
      </c>
      <c r="C355" s="484" t="s">
        <v>2184</v>
      </c>
      <c r="D355" s="488" t="s">
        <v>127</v>
      </c>
      <c r="E355" s="488" t="str">
        <f t="shared" si="24"/>
        <v>Open</v>
      </c>
      <c r="F355" s="488">
        <v>42895</v>
      </c>
      <c r="G355" s="488"/>
      <c r="H355" s="484" t="s">
        <v>673</v>
      </c>
      <c r="I355" s="484" t="str">
        <f>VLOOKUP(TabListaLojas[[#This Row],[UF]],UF!A:E,3,0)</f>
        <v>South</v>
      </c>
      <c r="J355" s="484" t="s">
        <v>117</v>
      </c>
      <c r="K355" s="484" t="str">
        <f>VLOOKUP(TabListaLojas[[#This Row],[UF]],UF!A:B,2,0)</f>
        <v>Rio Grande do Sul</v>
      </c>
      <c r="L355" s="484" t="s">
        <v>129</v>
      </c>
      <c r="M355" s="484" t="s">
        <v>1096</v>
      </c>
      <c r="N355" s="484" t="s">
        <v>676</v>
      </c>
      <c r="O355" s="487">
        <v>231</v>
      </c>
    </row>
    <row r="356" spans="2:15" ht="15" hidden="1" customHeight="1">
      <c r="B356" s="491">
        <v>0</v>
      </c>
      <c r="C356" s="492" t="s">
        <v>2078</v>
      </c>
      <c r="D356" s="493" t="s">
        <v>126</v>
      </c>
      <c r="E356" s="493" t="str">
        <f t="shared" si="24"/>
        <v>Closed</v>
      </c>
      <c r="F356" s="493">
        <v>42894</v>
      </c>
      <c r="G356" s="493">
        <v>44984</v>
      </c>
      <c r="H356" s="492" t="s">
        <v>673</v>
      </c>
      <c r="I356" s="492" t="str">
        <f>VLOOKUP(TabListaLojas[[#This Row],[UF]],UF!A:E,3,0)</f>
        <v>Northest</v>
      </c>
      <c r="J356" s="492" t="s">
        <v>163</v>
      </c>
      <c r="K356" s="492" t="str">
        <f>VLOOKUP(TabListaLojas[[#This Row],[UF]],UF!A:B,2,0)</f>
        <v>Sergipe</v>
      </c>
      <c r="L356" s="492" t="s">
        <v>169</v>
      </c>
      <c r="M356" s="492" t="s">
        <v>1513</v>
      </c>
      <c r="N356" s="492" t="s">
        <v>676</v>
      </c>
      <c r="O356" s="495">
        <v>0</v>
      </c>
    </row>
    <row r="357" spans="2:15" ht="15" customHeight="1">
      <c r="B357" s="483">
        <v>1</v>
      </c>
      <c r="C357" s="484" t="s">
        <v>2183</v>
      </c>
      <c r="D357" s="488" t="s">
        <v>127</v>
      </c>
      <c r="E357" s="488" t="str">
        <f t="shared" si="24"/>
        <v>Open</v>
      </c>
      <c r="F357" s="488">
        <v>42894</v>
      </c>
      <c r="G357" s="488"/>
      <c r="H357" s="484" t="s">
        <v>673</v>
      </c>
      <c r="I357" s="484" t="str">
        <f>VLOOKUP(TabListaLojas[[#This Row],[UF]],UF!A:E,3,0)</f>
        <v>Southest</v>
      </c>
      <c r="J357" s="484" t="s">
        <v>149</v>
      </c>
      <c r="K357" s="484" t="str">
        <f>VLOOKUP(TabListaLojas[[#This Row],[UF]],UF!A:B,2,0)</f>
        <v>Minas Gerais</v>
      </c>
      <c r="L357" s="484" t="s">
        <v>1097</v>
      </c>
      <c r="M357" s="484" t="s">
        <v>1098</v>
      </c>
      <c r="N357" s="484" t="s">
        <v>676</v>
      </c>
      <c r="O357" s="487">
        <v>172.93</v>
      </c>
    </row>
    <row r="358" spans="2:15" ht="15" customHeight="1">
      <c r="B358" s="483">
        <v>1</v>
      </c>
      <c r="C358" s="484" t="s">
        <v>2077</v>
      </c>
      <c r="D358" s="488" t="s">
        <v>126</v>
      </c>
      <c r="E358" s="488" t="str">
        <f t="shared" si="24"/>
        <v>Open</v>
      </c>
      <c r="F358" s="488">
        <v>42892</v>
      </c>
      <c r="G358" s="488"/>
      <c r="H358" s="484" t="s">
        <v>673</v>
      </c>
      <c r="I358" s="484" t="str">
        <f>VLOOKUP(TabListaLojas[[#This Row],[UF]],UF!A:E,3,0)</f>
        <v>Southest</v>
      </c>
      <c r="J358" s="484" t="s">
        <v>149</v>
      </c>
      <c r="K358" s="484" t="str">
        <f>VLOOKUP(TabListaLojas[[#This Row],[UF]],UF!A:B,2,0)</f>
        <v>Minas Gerais</v>
      </c>
      <c r="L358" s="484" t="s">
        <v>1097</v>
      </c>
      <c r="M358" s="484" t="s">
        <v>1099</v>
      </c>
      <c r="N358" s="484" t="s">
        <v>676</v>
      </c>
      <c r="O358" s="487">
        <v>519</v>
      </c>
    </row>
    <row r="359" spans="2:15" ht="15" hidden="1" customHeight="1">
      <c r="B359" s="491">
        <v>0</v>
      </c>
      <c r="C359" s="492" t="s">
        <v>2076</v>
      </c>
      <c r="D359" s="493" t="s">
        <v>126</v>
      </c>
      <c r="E359" s="493" t="str">
        <f t="shared" si="24"/>
        <v>Closed</v>
      </c>
      <c r="F359" s="493">
        <v>42888</v>
      </c>
      <c r="G359" s="493">
        <v>46174</v>
      </c>
      <c r="H359" s="492" t="s">
        <v>673</v>
      </c>
      <c r="I359" s="492" t="str">
        <f>VLOOKUP(TabListaLojas[[#This Row],[UF]],UF!A:E,3,0)</f>
        <v>Southest</v>
      </c>
      <c r="J359" s="492" t="s">
        <v>122</v>
      </c>
      <c r="K359" s="492" t="str">
        <f>VLOOKUP(TabListaLojas[[#This Row],[UF]],UF!A:B,2,0)</f>
        <v>Rio de Janeiro</v>
      </c>
      <c r="L359" s="492" t="s">
        <v>128</v>
      </c>
      <c r="M359" s="492" t="s">
        <v>1100</v>
      </c>
      <c r="N359" s="492" t="s">
        <v>676</v>
      </c>
      <c r="O359" s="495">
        <v>0</v>
      </c>
    </row>
    <row r="360" spans="2:15" ht="15" customHeight="1">
      <c r="B360" s="483">
        <v>1</v>
      </c>
      <c r="C360" s="484" t="s">
        <v>2182</v>
      </c>
      <c r="D360" s="488" t="s">
        <v>127</v>
      </c>
      <c r="E360" s="488" t="str">
        <f t="shared" si="24"/>
        <v>Open</v>
      </c>
      <c r="F360" s="488">
        <v>42880</v>
      </c>
      <c r="G360" s="488"/>
      <c r="H360" s="484" t="s">
        <v>673</v>
      </c>
      <c r="I360" s="484" t="str">
        <f>VLOOKUP(TabListaLojas[[#This Row],[UF]],UF!A:E,3,0)</f>
        <v>South</v>
      </c>
      <c r="J360" s="484" t="s">
        <v>147</v>
      </c>
      <c r="K360" s="484" t="str">
        <f>VLOOKUP(TabListaLojas[[#This Row],[UF]],UF!A:B,2,0)</f>
        <v>Santa Catarina</v>
      </c>
      <c r="L360" s="484" t="s">
        <v>1101</v>
      </c>
      <c r="M360" s="484" t="s">
        <v>1102</v>
      </c>
      <c r="N360" s="484" t="s">
        <v>676</v>
      </c>
      <c r="O360" s="487">
        <v>222.45</v>
      </c>
    </row>
    <row r="361" spans="2:15" ht="15" customHeight="1">
      <c r="B361" s="483">
        <v>1</v>
      </c>
      <c r="C361" s="484" t="s">
        <v>2075</v>
      </c>
      <c r="D361" s="488" t="s">
        <v>126</v>
      </c>
      <c r="E361" s="488" t="str">
        <f t="shared" si="24"/>
        <v>Open</v>
      </c>
      <c r="F361" s="488">
        <v>42873</v>
      </c>
      <c r="G361" s="488"/>
      <c r="H361" s="484" t="s">
        <v>673</v>
      </c>
      <c r="I361" s="484" t="str">
        <f>VLOOKUP(TabListaLojas[[#This Row],[UF]],UF!A:E,3,0)</f>
        <v>South</v>
      </c>
      <c r="J361" s="484" t="s">
        <v>161</v>
      </c>
      <c r="K361" s="484" t="str">
        <f>VLOOKUP(TabListaLojas[[#This Row],[UF]],UF!A:B,2,0)</f>
        <v>Paraná</v>
      </c>
      <c r="L361" s="484" t="s">
        <v>146</v>
      </c>
      <c r="M361" s="484" t="s">
        <v>1103</v>
      </c>
      <c r="N361" s="484" t="s">
        <v>676</v>
      </c>
      <c r="O361" s="487">
        <v>451.45</v>
      </c>
    </row>
    <row r="362" spans="2:15" ht="15" customHeight="1">
      <c r="B362" s="483">
        <v>1</v>
      </c>
      <c r="C362" s="484" t="s">
        <v>1688</v>
      </c>
      <c r="D362" s="488" t="s">
        <v>116</v>
      </c>
      <c r="E362" s="488" t="str">
        <f t="shared" si="24"/>
        <v>Open</v>
      </c>
      <c r="F362" s="488">
        <v>42860</v>
      </c>
      <c r="G362" s="488"/>
      <c r="H362" s="484" t="s">
        <v>673</v>
      </c>
      <c r="I362" s="484" t="str">
        <f>VLOOKUP(TabListaLojas[[#This Row],[UF]],UF!A:E,3,0)</f>
        <v>Southest</v>
      </c>
      <c r="J362" s="484" t="s">
        <v>122</v>
      </c>
      <c r="K362" s="484" t="str">
        <f>VLOOKUP(TabListaLojas[[#This Row],[UF]],UF!A:B,2,0)</f>
        <v>Rio de Janeiro</v>
      </c>
      <c r="L362" s="484" t="s">
        <v>1104</v>
      </c>
      <c r="M362" s="484" t="s">
        <v>1105</v>
      </c>
      <c r="N362" s="484" t="s">
        <v>676</v>
      </c>
      <c r="O362" s="487">
        <v>1617.49</v>
      </c>
    </row>
    <row r="363" spans="2:15" ht="15" customHeight="1">
      <c r="B363" s="483">
        <v>1</v>
      </c>
      <c r="C363" s="484" t="s">
        <v>2074</v>
      </c>
      <c r="D363" s="488" t="s">
        <v>126</v>
      </c>
      <c r="E363" s="488" t="str">
        <f t="shared" si="24"/>
        <v>Open</v>
      </c>
      <c r="F363" s="488">
        <v>42859</v>
      </c>
      <c r="G363" s="488"/>
      <c r="H363" s="484" t="s">
        <v>673</v>
      </c>
      <c r="I363" s="484" t="str">
        <f>VLOOKUP(TabListaLojas[[#This Row],[UF]],UF!A:E,3,0)</f>
        <v>Northest</v>
      </c>
      <c r="J363" s="484" t="s">
        <v>120</v>
      </c>
      <c r="K363" s="484" t="str">
        <f>VLOOKUP(TabListaLojas[[#This Row],[UF]],UF!A:B,2,0)</f>
        <v>Bahia</v>
      </c>
      <c r="L363" s="484" t="s">
        <v>134</v>
      </c>
      <c r="M363" s="484" t="s">
        <v>690</v>
      </c>
      <c r="N363" s="484" t="s">
        <v>676</v>
      </c>
      <c r="O363" s="487">
        <v>370.39</v>
      </c>
    </row>
    <row r="364" spans="2:15" ht="15" customHeight="1">
      <c r="B364" s="483">
        <v>1</v>
      </c>
      <c r="C364" s="484" t="s">
        <v>2073</v>
      </c>
      <c r="D364" s="488" t="s">
        <v>126</v>
      </c>
      <c r="E364" s="488" t="str">
        <f t="shared" si="24"/>
        <v>Open</v>
      </c>
      <c r="F364" s="488">
        <v>42852</v>
      </c>
      <c r="G364" s="488"/>
      <c r="H364" s="484" t="s">
        <v>673</v>
      </c>
      <c r="I364" s="484" t="str">
        <f>VLOOKUP(TabListaLojas[[#This Row],[UF]],UF!A:E,3,0)</f>
        <v>Northest</v>
      </c>
      <c r="J364" s="484" t="s">
        <v>120</v>
      </c>
      <c r="K364" s="484" t="str">
        <f>VLOOKUP(TabListaLojas[[#This Row],[UF]],UF!A:B,2,0)</f>
        <v>Bahia</v>
      </c>
      <c r="L364" s="484" t="s">
        <v>134</v>
      </c>
      <c r="M364" s="484" t="s">
        <v>1106</v>
      </c>
      <c r="N364" s="484" t="s">
        <v>676</v>
      </c>
      <c r="O364" s="487">
        <v>574.36</v>
      </c>
    </row>
    <row r="365" spans="2:15" ht="15" hidden="1" customHeight="1">
      <c r="B365" s="491">
        <v>0</v>
      </c>
      <c r="C365" s="492" t="s">
        <v>2132</v>
      </c>
      <c r="D365" s="493" t="s">
        <v>127</v>
      </c>
      <c r="E365" s="493" t="str">
        <f t="shared" si="24"/>
        <v>Closed</v>
      </c>
      <c r="F365" s="493">
        <v>42852</v>
      </c>
      <c r="G365" s="493">
        <v>44835</v>
      </c>
      <c r="H365" s="492" t="s">
        <v>673</v>
      </c>
      <c r="I365" s="492" t="str">
        <f>VLOOKUP(TabListaLojas[[#This Row],[UF]],UF!A:E,3,0)</f>
        <v>South</v>
      </c>
      <c r="J365" s="492" t="s">
        <v>117</v>
      </c>
      <c r="K365" s="492" t="str">
        <f>VLOOKUP(TabListaLojas[[#This Row],[UF]],UF!A:B,2,0)</f>
        <v>Rio Grande do Sul</v>
      </c>
      <c r="L365" s="492" t="s">
        <v>1107</v>
      </c>
      <c r="M365" s="492" t="s">
        <v>1514</v>
      </c>
      <c r="N365" s="492" t="s">
        <v>676</v>
      </c>
      <c r="O365" s="495">
        <v>0</v>
      </c>
    </row>
    <row r="366" spans="2:15" ht="15" customHeight="1">
      <c r="B366" s="483">
        <v>1</v>
      </c>
      <c r="C366" s="484" t="s">
        <v>1689</v>
      </c>
      <c r="D366" s="488" t="s">
        <v>116</v>
      </c>
      <c r="E366" s="488" t="str">
        <f t="shared" si="24"/>
        <v>Open</v>
      </c>
      <c r="F366" s="488">
        <v>42850</v>
      </c>
      <c r="G366" s="488"/>
      <c r="H366" s="484" t="s">
        <v>673</v>
      </c>
      <c r="I366" s="484" t="str">
        <f>VLOOKUP(TabListaLojas[[#This Row],[UF]],UF!A:E,3,0)</f>
        <v>Southest</v>
      </c>
      <c r="J366" s="484" t="s">
        <v>118</v>
      </c>
      <c r="K366" s="484" t="str">
        <f>VLOOKUP(TabListaLojas[[#This Row],[UF]],UF!A:B,2,0)</f>
        <v>São Paulo</v>
      </c>
      <c r="L366" s="484" t="s">
        <v>1108</v>
      </c>
      <c r="M366" s="484" t="s">
        <v>1109</v>
      </c>
      <c r="N366" s="484" t="s">
        <v>676</v>
      </c>
      <c r="O366" s="487">
        <v>1899.92</v>
      </c>
    </row>
    <row r="367" spans="2:15" ht="15" hidden="1" customHeight="1">
      <c r="B367" s="491">
        <v>0</v>
      </c>
      <c r="C367" s="492" t="s">
        <v>2072</v>
      </c>
      <c r="D367" s="493" t="s">
        <v>126</v>
      </c>
      <c r="E367" s="493" t="str">
        <f t="shared" si="24"/>
        <v>Closed</v>
      </c>
      <c r="F367" s="493">
        <v>42845</v>
      </c>
      <c r="G367" s="493">
        <v>45005</v>
      </c>
      <c r="H367" s="492" t="s">
        <v>673</v>
      </c>
      <c r="I367" s="492" t="str">
        <f>VLOOKUP(TabListaLojas[[#This Row],[UF]],UF!A:E,3,0)</f>
        <v>Northest</v>
      </c>
      <c r="J367" s="492" t="s">
        <v>151</v>
      </c>
      <c r="K367" s="492" t="str">
        <f>VLOOKUP(TabListaLojas[[#This Row],[UF]],UF!A:B,2,0)</f>
        <v>Piauí</v>
      </c>
      <c r="L367" s="492" t="s">
        <v>132</v>
      </c>
      <c r="M367" s="492" t="s">
        <v>1515</v>
      </c>
      <c r="N367" s="492" t="s">
        <v>676</v>
      </c>
      <c r="O367" s="495">
        <v>0</v>
      </c>
    </row>
    <row r="368" spans="2:15" ht="15" customHeight="1">
      <c r="B368" s="483">
        <v>1</v>
      </c>
      <c r="C368" s="484" t="s">
        <v>2071</v>
      </c>
      <c r="D368" s="488" t="s">
        <v>126</v>
      </c>
      <c r="E368" s="488" t="str">
        <f t="shared" si="24"/>
        <v>Open</v>
      </c>
      <c r="F368" s="488">
        <v>42837</v>
      </c>
      <c r="G368" s="488"/>
      <c r="H368" s="484" t="s">
        <v>673</v>
      </c>
      <c r="I368" s="484" t="str">
        <f>VLOOKUP(TabListaLojas[[#This Row],[UF]],UF!A:E,3,0)</f>
        <v>Southest</v>
      </c>
      <c r="J368" s="484" t="s">
        <v>118</v>
      </c>
      <c r="K368" s="484" t="str">
        <f>VLOOKUP(TabListaLojas[[#This Row],[UF]],UF!A:B,2,0)</f>
        <v>São Paulo</v>
      </c>
      <c r="L368" s="484" t="s">
        <v>1110</v>
      </c>
      <c r="M368" s="484" t="s">
        <v>1111</v>
      </c>
      <c r="N368" s="484" t="s">
        <v>676</v>
      </c>
      <c r="O368" s="487">
        <v>431.43</v>
      </c>
    </row>
    <row r="369" spans="2:15" ht="15" customHeight="1">
      <c r="B369" s="483">
        <v>1</v>
      </c>
      <c r="C369" s="484" t="s">
        <v>1690</v>
      </c>
      <c r="D369" s="488" t="s">
        <v>116</v>
      </c>
      <c r="E369" s="488" t="str">
        <f t="shared" si="24"/>
        <v>Open</v>
      </c>
      <c r="F369" s="488">
        <v>42831</v>
      </c>
      <c r="G369" s="488"/>
      <c r="H369" s="484" t="s">
        <v>673</v>
      </c>
      <c r="I369" s="484" t="str">
        <f>VLOOKUP(TabListaLojas[[#This Row],[UF]],UF!A:E,3,0)</f>
        <v>Southest</v>
      </c>
      <c r="J369" s="484" t="s">
        <v>118</v>
      </c>
      <c r="K369" s="484" t="str">
        <f>VLOOKUP(TabListaLojas[[#This Row],[UF]],UF!A:B,2,0)</f>
        <v>São Paulo</v>
      </c>
      <c r="L369" s="484" t="s">
        <v>1110</v>
      </c>
      <c r="M369" s="484" t="s">
        <v>1112</v>
      </c>
      <c r="N369" s="484" t="s">
        <v>676</v>
      </c>
      <c r="O369" s="487">
        <v>1755.75</v>
      </c>
    </row>
    <row r="370" spans="2:15" ht="15" customHeight="1">
      <c r="B370" s="483">
        <v>1</v>
      </c>
      <c r="C370" s="484" t="s">
        <v>2181</v>
      </c>
      <c r="D370" s="488" t="s">
        <v>127</v>
      </c>
      <c r="E370" s="488" t="str">
        <f t="shared" si="24"/>
        <v>Open</v>
      </c>
      <c r="F370" s="488">
        <v>42831</v>
      </c>
      <c r="G370" s="488"/>
      <c r="H370" s="484" t="s">
        <v>673</v>
      </c>
      <c r="I370" s="484" t="str">
        <f>VLOOKUP(TabListaLojas[[#This Row],[UF]],UF!A:E,3,0)</f>
        <v>Southest</v>
      </c>
      <c r="J370" s="484" t="s">
        <v>149</v>
      </c>
      <c r="K370" s="484" t="str">
        <f>VLOOKUP(TabListaLojas[[#This Row],[UF]],UF!A:B,2,0)</f>
        <v>Minas Gerais</v>
      </c>
      <c r="L370" s="484" t="s">
        <v>1113</v>
      </c>
      <c r="M370" s="484" t="s">
        <v>1114</v>
      </c>
      <c r="N370" s="484" t="s">
        <v>676</v>
      </c>
      <c r="O370" s="487">
        <v>179.06</v>
      </c>
    </row>
    <row r="371" spans="2:15" ht="15" customHeight="1">
      <c r="B371" s="483">
        <v>1</v>
      </c>
      <c r="C371" s="484" t="s">
        <v>2070</v>
      </c>
      <c r="D371" s="488" t="s">
        <v>126</v>
      </c>
      <c r="E371" s="488" t="str">
        <f t="shared" si="24"/>
        <v>Open</v>
      </c>
      <c r="F371" s="488">
        <v>42824</v>
      </c>
      <c r="G371" s="488"/>
      <c r="H371" s="484" t="s">
        <v>673</v>
      </c>
      <c r="I371" s="484" t="str">
        <f>VLOOKUP(TabListaLojas[[#This Row],[UF]],UF!A:E,3,0)</f>
        <v>South</v>
      </c>
      <c r="J371" s="484" t="s">
        <v>117</v>
      </c>
      <c r="K371" s="484" t="str">
        <f>VLOOKUP(TabListaLojas[[#This Row],[UF]],UF!A:B,2,0)</f>
        <v>Rio Grande do Sul</v>
      </c>
      <c r="L371" s="484" t="s">
        <v>950</v>
      </c>
      <c r="M371" s="484" t="s">
        <v>1115</v>
      </c>
      <c r="N371" s="484" t="s">
        <v>676</v>
      </c>
      <c r="O371" s="487">
        <v>448.51</v>
      </c>
    </row>
    <row r="372" spans="2:15" ht="15" customHeight="1">
      <c r="B372" s="483">
        <v>1</v>
      </c>
      <c r="C372" s="484" t="s">
        <v>2180</v>
      </c>
      <c r="D372" s="488" t="s">
        <v>127</v>
      </c>
      <c r="E372" s="488" t="str">
        <f t="shared" si="24"/>
        <v>Open</v>
      </c>
      <c r="F372" s="488">
        <v>42824</v>
      </c>
      <c r="G372" s="488"/>
      <c r="H372" s="484" t="s">
        <v>673</v>
      </c>
      <c r="I372" s="484" t="str">
        <f>VLOOKUP(TabListaLojas[[#This Row],[UF]],UF!A:E,3,0)</f>
        <v>South</v>
      </c>
      <c r="J372" s="484" t="s">
        <v>147</v>
      </c>
      <c r="K372" s="484" t="str">
        <f>VLOOKUP(TabListaLojas[[#This Row],[UF]],UF!A:B,2,0)</f>
        <v>Santa Catarina</v>
      </c>
      <c r="L372" s="484" t="s">
        <v>1116</v>
      </c>
      <c r="M372" s="484" t="s">
        <v>1117</v>
      </c>
      <c r="N372" s="484" t="s">
        <v>676</v>
      </c>
      <c r="O372" s="487">
        <v>195.75</v>
      </c>
    </row>
    <row r="373" spans="2:15" ht="15" customHeight="1">
      <c r="B373" s="483">
        <v>1</v>
      </c>
      <c r="C373" s="484" t="s">
        <v>1691</v>
      </c>
      <c r="D373" s="488" t="s">
        <v>116</v>
      </c>
      <c r="E373" s="488" t="str">
        <f t="shared" si="24"/>
        <v>Open</v>
      </c>
      <c r="F373" s="488">
        <v>42823</v>
      </c>
      <c r="G373" s="488"/>
      <c r="H373" s="484" t="s">
        <v>673</v>
      </c>
      <c r="I373" s="484" t="str">
        <f>VLOOKUP(TabListaLojas[[#This Row],[UF]],UF!A:E,3,0)</f>
        <v>Southest</v>
      </c>
      <c r="J373" s="484" t="s">
        <v>152</v>
      </c>
      <c r="K373" s="484" t="str">
        <f>VLOOKUP(TabListaLojas[[#This Row],[UF]],UF!A:B,2,0)</f>
        <v>Espírito Santo</v>
      </c>
      <c r="L373" s="484" t="s">
        <v>1118</v>
      </c>
      <c r="M373" s="484" t="s">
        <v>1119</v>
      </c>
      <c r="N373" s="484" t="s">
        <v>676</v>
      </c>
      <c r="O373" s="487">
        <v>1477</v>
      </c>
    </row>
    <row r="374" spans="2:15" ht="15" customHeight="1">
      <c r="B374" s="483">
        <v>1</v>
      </c>
      <c r="C374" s="484" t="s">
        <v>1692</v>
      </c>
      <c r="D374" s="488" t="s">
        <v>116</v>
      </c>
      <c r="E374" s="488" t="str">
        <f t="shared" si="24"/>
        <v>Open</v>
      </c>
      <c r="F374" s="488">
        <v>42817</v>
      </c>
      <c r="G374" s="488"/>
      <c r="H374" s="484" t="s">
        <v>673</v>
      </c>
      <c r="I374" s="484" t="str">
        <f>VLOOKUP(TabListaLojas[[#This Row],[UF]],UF!A:E,3,0)</f>
        <v>Southest</v>
      </c>
      <c r="J374" s="484" t="s">
        <v>149</v>
      </c>
      <c r="K374" s="484" t="str">
        <f>VLOOKUP(TabListaLojas[[#This Row],[UF]],UF!A:B,2,0)</f>
        <v>Minas Gerais</v>
      </c>
      <c r="L374" s="484" t="s">
        <v>1120</v>
      </c>
      <c r="M374" s="484" t="s">
        <v>1121</v>
      </c>
      <c r="N374" s="484" t="s">
        <v>676</v>
      </c>
      <c r="O374" s="487">
        <v>2057.5500000000002</v>
      </c>
    </row>
    <row r="375" spans="2:15" ht="15" customHeight="1">
      <c r="B375" s="483">
        <v>1</v>
      </c>
      <c r="C375" s="484" t="s">
        <v>1693</v>
      </c>
      <c r="D375" s="488" t="s">
        <v>116</v>
      </c>
      <c r="E375" s="488" t="str">
        <f t="shared" si="24"/>
        <v>Open</v>
      </c>
      <c r="F375" s="488">
        <v>42817</v>
      </c>
      <c r="G375" s="488"/>
      <c r="H375" s="484" t="s">
        <v>673</v>
      </c>
      <c r="I375" s="484" t="str">
        <f>VLOOKUP(TabListaLojas[[#This Row],[UF]],UF!A:E,3,0)</f>
        <v>North</v>
      </c>
      <c r="J375" s="484" t="s">
        <v>150</v>
      </c>
      <c r="K375" s="484" t="str">
        <f>VLOOKUP(TabListaLojas[[#This Row],[UF]],UF!A:B,2,0)</f>
        <v>Pará</v>
      </c>
      <c r="L375" s="484" t="s">
        <v>1122</v>
      </c>
      <c r="M375" s="484" t="s">
        <v>1123</v>
      </c>
      <c r="N375" s="484" t="s">
        <v>676</v>
      </c>
      <c r="O375" s="487">
        <v>1678.43</v>
      </c>
    </row>
    <row r="376" spans="2:15" ht="15" hidden="1" customHeight="1">
      <c r="B376" s="491">
        <v>0</v>
      </c>
      <c r="C376" s="492" t="s">
        <v>2131</v>
      </c>
      <c r="D376" s="493" t="s">
        <v>127</v>
      </c>
      <c r="E376" s="493" t="str">
        <f t="shared" si="24"/>
        <v>Closed</v>
      </c>
      <c r="F376" s="493">
        <v>42810</v>
      </c>
      <c r="G376" s="493">
        <v>43842</v>
      </c>
      <c r="H376" s="492" t="s">
        <v>673</v>
      </c>
      <c r="I376" s="492" t="str">
        <f>VLOOKUP(TabListaLojas[[#This Row],[UF]],UF!A:E,3,0)</f>
        <v>Southest</v>
      </c>
      <c r="J376" s="492" t="s">
        <v>118</v>
      </c>
      <c r="K376" s="492" t="str">
        <f>VLOOKUP(TabListaLojas[[#This Row],[UF]],UF!A:B,2,0)</f>
        <v>São Paulo</v>
      </c>
      <c r="L376" s="492" t="s">
        <v>124</v>
      </c>
      <c r="M376" s="492" t="s">
        <v>1516</v>
      </c>
      <c r="N376" s="492" t="s">
        <v>676</v>
      </c>
      <c r="O376" s="495">
        <v>0</v>
      </c>
    </row>
    <row r="377" spans="2:15" ht="15" customHeight="1">
      <c r="B377" s="483">
        <v>1</v>
      </c>
      <c r="C377" s="484" t="s">
        <v>2179</v>
      </c>
      <c r="D377" s="488" t="s">
        <v>127</v>
      </c>
      <c r="E377" s="488" t="str">
        <f t="shared" si="24"/>
        <v>Open</v>
      </c>
      <c r="F377" s="488">
        <v>42810</v>
      </c>
      <c r="G377" s="488"/>
      <c r="H377" s="484" t="s">
        <v>673</v>
      </c>
      <c r="I377" s="484" t="str">
        <f>VLOOKUP(TabListaLojas[[#This Row],[UF]],UF!A:E,3,0)</f>
        <v>South</v>
      </c>
      <c r="J377" s="484" t="s">
        <v>147</v>
      </c>
      <c r="K377" s="484" t="str">
        <f>VLOOKUP(TabListaLojas[[#This Row],[UF]],UF!A:B,2,0)</f>
        <v>Santa Catarina</v>
      </c>
      <c r="L377" s="484" t="s">
        <v>1013</v>
      </c>
      <c r="M377" s="484" t="s">
        <v>1124</v>
      </c>
      <c r="N377" s="484" t="s">
        <v>676</v>
      </c>
      <c r="O377" s="487">
        <v>207</v>
      </c>
    </row>
    <row r="378" spans="2:15" ht="15" customHeight="1">
      <c r="B378" s="483">
        <v>1</v>
      </c>
      <c r="C378" s="484" t="s">
        <v>2178</v>
      </c>
      <c r="D378" s="488" t="s">
        <v>127</v>
      </c>
      <c r="E378" s="488" t="str">
        <f t="shared" si="24"/>
        <v>Open</v>
      </c>
      <c r="F378" s="488">
        <v>42803</v>
      </c>
      <c r="G378" s="488"/>
      <c r="H378" s="484" t="s">
        <v>673</v>
      </c>
      <c r="I378" s="484" t="str">
        <f>VLOOKUP(TabListaLojas[[#This Row],[UF]],UF!A:E,3,0)</f>
        <v>South</v>
      </c>
      <c r="J378" s="484" t="s">
        <v>147</v>
      </c>
      <c r="K378" s="484" t="str">
        <f>VLOOKUP(TabListaLojas[[#This Row],[UF]],UF!A:B,2,0)</f>
        <v>Santa Catarina</v>
      </c>
      <c r="L378" s="484" t="s">
        <v>814</v>
      </c>
      <c r="M378" s="484" t="s">
        <v>1125</v>
      </c>
      <c r="N378" s="484" t="s">
        <v>676</v>
      </c>
      <c r="O378" s="487">
        <v>230</v>
      </c>
    </row>
    <row r="379" spans="2:15" ht="15" customHeight="1">
      <c r="B379" s="483">
        <v>1</v>
      </c>
      <c r="C379" s="484" t="s">
        <v>2177</v>
      </c>
      <c r="D379" s="488" t="s">
        <v>127</v>
      </c>
      <c r="E379" s="488" t="str">
        <f t="shared" si="24"/>
        <v>Open</v>
      </c>
      <c r="F379" s="488">
        <v>42797</v>
      </c>
      <c r="G379" s="488"/>
      <c r="H379" s="484" t="s">
        <v>673</v>
      </c>
      <c r="I379" s="484" t="str">
        <f>VLOOKUP(TabListaLojas[[#This Row],[UF]],UF!A:E,3,0)</f>
        <v>Southest</v>
      </c>
      <c r="J379" s="484" t="s">
        <v>118</v>
      </c>
      <c r="K379" s="484" t="str">
        <f>VLOOKUP(TabListaLojas[[#This Row],[UF]],UF!A:B,2,0)</f>
        <v>São Paulo</v>
      </c>
      <c r="L379" s="484" t="s">
        <v>1126</v>
      </c>
      <c r="M379" s="484" t="s">
        <v>1127</v>
      </c>
      <c r="N379" s="484" t="s">
        <v>676</v>
      </c>
      <c r="O379" s="487">
        <v>168.6</v>
      </c>
    </row>
    <row r="380" spans="2:15" ht="15" customHeight="1">
      <c r="B380" s="483">
        <v>1</v>
      </c>
      <c r="C380" s="484" t="s">
        <v>2069</v>
      </c>
      <c r="D380" s="488" t="s">
        <v>126</v>
      </c>
      <c r="E380" s="488" t="str">
        <f t="shared" si="24"/>
        <v>Open</v>
      </c>
      <c r="F380" s="488">
        <v>42717</v>
      </c>
      <c r="G380" s="488"/>
      <c r="H380" s="484" t="s">
        <v>673</v>
      </c>
      <c r="I380" s="484" t="str">
        <f>VLOOKUP(TabListaLojas[[#This Row],[UF]],UF!A:E,3,0)</f>
        <v>Northest</v>
      </c>
      <c r="J380" s="484" t="s">
        <v>158</v>
      </c>
      <c r="K380" s="484" t="str">
        <f>VLOOKUP(TabListaLojas[[#This Row],[UF]],UF!A:B,2,0)</f>
        <v>Paraíba</v>
      </c>
      <c r="L380" s="484" t="s">
        <v>139</v>
      </c>
      <c r="M380" s="484" t="s">
        <v>724</v>
      </c>
      <c r="N380" s="484" t="s">
        <v>676</v>
      </c>
      <c r="O380" s="487">
        <v>632.38</v>
      </c>
    </row>
    <row r="381" spans="2:15" ht="15" customHeight="1">
      <c r="B381" s="483">
        <v>1</v>
      </c>
      <c r="C381" s="484" t="s">
        <v>2176</v>
      </c>
      <c r="D381" s="488" t="s">
        <v>127</v>
      </c>
      <c r="E381" s="488" t="str">
        <f t="shared" si="24"/>
        <v>Open</v>
      </c>
      <c r="F381" s="488">
        <v>42712</v>
      </c>
      <c r="G381" s="488"/>
      <c r="H381" s="484" t="s">
        <v>673</v>
      </c>
      <c r="I381" s="484" t="str">
        <f>VLOOKUP(TabListaLojas[[#This Row],[UF]],UF!A:E,3,0)</f>
        <v>Southest</v>
      </c>
      <c r="J381" s="484" t="s">
        <v>118</v>
      </c>
      <c r="K381" s="484" t="str">
        <f>VLOOKUP(TabListaLojas[[#This Row],[UF]],UF!A:B,2,0)</f>
        <v>São Paulo</v>
      </c>
      <c r="L381" s="484" t="s">
        <v>775</v>
      </c>
      <c r="M381" s="484" t="s">
        <v>1128</v>
      </c>
      <c r="N381" s="484" t="s">
        <v>676</v>
      </c>
      <c r="O381" s="487">
        <v>263.27</v>
      </c>
    </row>
    <row r="382" spans="2:15" ht="15" customHeight="1">
      <c r="B382" s="483">
        <v>1</v>
      </c>
      <c r="C382" s="484" t="s">
        <v>1694</v>
      </c>
      <c r="D382" s="488" t="s">
        <v>116</v>
      </c>
      <c r="E382" s="488" t="str">
        <f t="shared" si="24"/>
        <v>Open</v>
      </c>
      <c r="F382" s="488">
        <v>42702</v>
      </c>
      <c r="G382" s="488"/>
      <c r="H382" s="484" t="s">
        <v>673</v>
      </c>
      <c r="I382" s="484" t="str">
        <f>VLOOKUP(TabListaLojas[[#This Row],[UF]],UF!A:E,3,0)</f>
        <v>Northest</v>
      </c>
      <c r="J382" s="484" t="s">
        <v>148</v>
      </c>
      <c r="K382" s="484" t="str">
        <f>VLOOKUP(TabListaLojas[[#This Row],[UF]],UF!A:B,2,0)</f>
        <v>Ceará</v>
      </c>
      <c r="L382" s="484" t="s">
        <v>130</v>
      </c>
      <c r="M382" s="484" t="s">
        <v>1129</v>
      </c>
      <c r="N382" s="484" t="s">
        <v>676</v>
      </c>
      <c r="O382" s="487">
        <v>1995.23</v>
      </c>
    </row>
    <row r="383" spans="2:15" ht="15" customHeight="1">
      <c r="B383" s="483">
        <v>1</v>
      </c>
      <c r="C383" s="484" t="s">
        <v>2068</v>
      </c>
      <c r="D383" s="488" t="s">
        <v>126</v>
      </c>
      <c r="E383" s="488" t="str">
        <f t="shared" si="24"/>
        <v>Open</v>
      </c>
      <c r="F383" s="488">
        <v>42698</v>
      </c>
      <c r="G383" s="488"/>
      <c r="H383" s="484" t="s">
        <v>673</v>
      </c>
      <c r="I383" s="484" t="str">
        <f>VLOOKUP(TabListaLojas[[#This Row],[UF]],UF!A:E,3,0)</f>
        <v>South</v>
      </c>
      <c r="J383" s="484" t="s">
        <v>161</v>
      </c>
      <c r="K383" s="484" t="str">
        <f>VLOOKUP(TabListaLojas[[#This Row],[UF]],UF!A:B,2,0)</f>
        <v>Paraná</v>
      </c>
      <c r="L383" s="484" t="s">
        <v>957</v>
      </c>
      <c r="M383" s="484" t="s">
        <v>1130</v>
      </c>
      <c r="N383" s="484" t="s">
        <v>676</v>
      </c>
      <c r="O383" s="487">
        <v>567.80999999999995</v>
      </c>
    </row>
    <row r="384" spans="2:15" ht="15" customHeight="1">
      <c r="B384" s="483">
        <v>1</v>
      </c>
      <c r="C384" s="484" t="s">
        <v>2175</v>
      </c>
      <c r="D384" s="488" t="s">
        <v>127</v>
      </c>
      <c r="E384" s="488" t="str">
        <f t="shared" si="24"/>
        <v>Open</v>
      </c>
      <c r="F384" s="488">
        <v>42698</v>
      </c>
      <c r="G384" s="488"/>
      <c r="H384" s="484" t="s">
        <v>673</v>
      </c>
      <c r="I384" s="484" t="str">
        <f>VLOOKUP(TabListaLojas[[#This Row],[UF]],UF!A:E,3,0)</f>
        <v>South</v>
      </c>
      <c r="J384" s="484" t="s">
        <v>161</v>
      </c>
      <c r="K384" s="484" t="str">
        <f>VLOOKUP(TabListaLojas[[#This Row],[UF]],UF!A:B,2,0)</f>
        <v>Paraná</v>
      </c>
      <c r="L384" s="484" t="s">
        <v>1131</v>
      </c>
      <c r="M384" s="484" t="s">
        <v>1132</v>
      </c>
      <c r="N384" s="484" t="s">
        <v>676</v>
      </c>
      <c r="O384" s="487">
        <v>258.98</v>
      </c>
    </row>
    <row r="385" spans="2:15" ht="15" customHeight="1">
      <c r="B385" s="483">
        <v>1</v>
      </c>
      <c r="C385" s="484" t="s">
        <v>2067</v>
      </c>
      <c r="D385" s="488" t="s">
        <v>126</v>
      </c>
      <c r="E385" s="488" t="str">
        <f t="shared" si="24"/>
        <v>Open</v>
      </c>
      <c r="F385" s="488">
        <v>42696</v>
      </c>
      <c r="G385" s="488"/>
      <c r="H385" s="484" t="s">
        <v>673</v>
      </c>
      <c r="I385" s="484" t="str">
        <f>VLOOKUP(TabListaLojas[[#This Row],[UF]],UF!A:E,3,0)</f>
        <v>Midwest</v>
      </c>
      <c r="J385" s="484" t="s">
        <v>123</v>
      </c>
      <c r="K385" s="484" t="str">
        <f>VLOOKUP(TabListaLojas[[#This Row],[UF]],UF!A:B,2,0)</f>
        <v>Goiás</v>
      </c>
      <c r="L385" s="484" t="s">
        <v>140</v>
      </c>
      <c r="M385" s="484" t="s">
        <v>961</v>
      </c>
      <c r="N385" s="484" t="s">
        <v>676</v>
      </c>
      <c r="O385" s="487">
        <v>481.43</v>
      </c>
    </row>
    <row r="386" spans="2:15" ht="15" customHeight="1">
      <c r="B386" s="483">
        <v>1</v>
      </c>
      <c r="C386" s="484" t="s">
        <v>1695</v>
      </c>
      <c r="D386" s="488" t="s">
        <v>116</v>
      </c>
      <c r="E386" s="488" t="str">
        <f t="shared" si="24"/>
        <v>Open</v>
      </c>
      <c r="F386" s="488">
        <v>42696</v>
      </c>
      <c r="G386" s="488"/>
      <c r="H386" s="484" t="s">
        <v>673</v>
      </c>
      <c r="I386" s="484" t="str">
        <f>VLOOKUP(TabListaLojas[[#This Row],[UF]],UF!A:E,3,0)</f>
        <v>Southest</v>
      </c>
      <c r="J386" s="484" t="s">
        <v>118</v>
      </c>
      <c r="K386" s="484" t="str">
        <f>VLOOKUP(TabListaLojas[[#This Row],[UF]],UF!A:B,2,0)</f>
        <v>São Paulo</v>
      </c>
      <c r="L386" s="484" t="s">
        <v>1133</v>
      </c>
      <c r="M386" s="484" t="s">
        <v>1134</v>
      </c>
      <c r="N386" s="484" t="s">
        <v>676</v>
      </c>
      <c r="O386" s="487">
        <v>2430.7199999999998</v>
      </c>
    </row>
    <row r="387" spans="2:15" ht="15" customHeight="1">
      <c r="B387" s="483">
        <v>1</v>
      </c>
      <c r="C387" s="484" t="s">
        <v>2173</v>
      </c>
      <c r="D387" s="488" t="s">
        <v>127</v>
      </c>
      <c r="E387" s="488" t="str">
        <f t="shared" si="24"/>
        <v>Open</v>
      </c>
      <c r="F387" s="488">
        <v>42690</v>
      </c>
      <c r="G387" s="488"/>
      <c r="H387" s="484" t="s">
        <v>673</v>
      </c>
      <c r="I387" s="484" t="str">
        <f>VLOOKUP(TabListaLojas[[#This Row],[UF]],UF!A:E,3,0)</f>
        <v>Midwest</v>
      </c>
      <c r="J387" s="484" t="s">
        <v>156</v>
      </c>
      <c r="K387" s="484" t="str">
        <f>VLOOKUP(TabListaLojas[[#This Row],[UF]],UF!A:B,2,0)</f>
        <v>Distrito Federal</v>
      </c>
      <c r="L387" s="484" t="s">
        <v>142</v>
      </c>
      <c r="M387" s="484" t="s">
        <v>1135</v>
      </c>
      <c r="N387" s="484" t="s">
        <v>676</v>
      </c>
      <c r="O387" s="487">
        <v>165</v>
      </c>
    </row>
    <row r="388" spans="2:15" ht="15" customHeight="1">
      <c r="B388" s="483">
        <v>1</v>
      </c>
      <c r="C388" s="484" t="s">
        <v>2174</v>
      </c>
      <c r="D388" s="488" t="s">
        <v>127</v>
      </c>
      <c r="E388" s="488" t="str">
        <f t="shared" si="24"/>
        <v>Open</v>
      </c>
      <c r="F388" s="488">
        <v>42690</v>
      </c>
      <c r="G388" s="488"/>
      <c r="H388" s="484" t="s">
        <v>673</v>
      </c>
      <c r="I388" s="484" t="str">
        <f>VLOOKUP(TabListaLojas[[#This Row],[UF]],UF!A:E,3,0)</f>
        <v>Southest</v>
      </c>
      <c r="J388" s="484" t="s">
        <v>149</v>
      </c>
      <c r="K388" s="484" t="str">
        <f>VLOOKUP(TabListaLojas[[#This Row],[UF]],UF!A:B,2,0)</f>
        <v>Minas Gerais</v>
      </c>
      <c r="L388" s="484" t="s">
        <v>136</v>
      </c>
      <c r="M388" s="484" t="s">
        <v>1012</v>
      </c>
      <c r="N388" s="484" t="s">
        <v>676</v>
      </c>
      <c r="O388" s="487">
        <v>187.01</v>
      </c>
    </row>
    <row r="389" spans="2:15" ht="15" hidden="1" customHeight="1">
      <c r="B389" s="491">
        <v>0</v>
      </c>
      <c r="C389" s="492" t="s">
        <v>2066</v>
      </c>
      <c r="D389" s="493" t="s">
        <v>126</v>
      </c>
      <c r="E389" s="493" t="str">
        <f t="shared" si="24"/>
        <v>Closed</v>
      </c>
      <c r="F389" s="493">
        <v>42684</v>
      </c>
      <c r="G389" s="493">
        <v>45077</v>
      </c>
      <c r="H389" s="492" t="s">
        <v>673</v>
      </c>
      <c r="I389" s="492" t="str">
        <f>VLOOKUP(TabListaLojas[[#This Row],[UF]],UF!A:E,3,0)</f>
        <v>Northest</v>
      </c>
      <c r="J389" s="492" t="s">
        <v>121</v>
      </c>
      <c r="K389" s="492" t="str">
        <f>VLOOKUP(TabListaLojas[[#This Row],[UF]],UF!A:B,2,0)</f>
        <v>Pernambuco</v>
      </c>
      <c r="L389" s="492" t="s">
        <v>125</v>
      </c>
      <c r="M389" s="492" t="s">
        <v>1517</v>
      </c>
      <c r="N389" s="492" t="s">
        <v>676</v>
      </c>
      <c r="O389" s="495">
        <v>0</v>
      </c>
    </row>
    <row r="390" spans="2:15" ht="15" customHeight="1">
      <c r="B390" s="483">
        <v>1</v>
      </c>
      <c r="C390" s="484" t="s">
        <v>1696</v>
      </c>
      <c r="D390" s="488" t="s">
        <v>116</v>
      </c>
      <c r="E390" s="488" t="str">
        <f t="shared" si="24"/>
        <v>Open</v>
      </c>
      <c r="F390" s="488">
        <v>42681</v>
      </c>
      <c r="G390" s="488"/>
      <c r="H390" s="484" t="s">
        <v>673</v>
      </c>
      <c r="I390" s="484" t="str">
        <f>VLOOKUP(TabListaLojas[[#This Row],[UF]],UF!A:E,3,0)</f>
        <v>Southest</v>
      </c>
      <c r="J390" s="484" t="s">
        <v>118</v>
      </c>
      <c r="K390" s="484" t="str">
        <f>VLOOKUP(TabListaLojas[[#This Row],[UF]],UF!A:B,2,0)</f>
        <v>São Paulo</v>
      </c>
      <c r="L390" s="484" t="s">
        <v>124</v>
      </c>
      <c r="M390" s="484" t="s">
        <v>1136</v>
      </c>
      <c r="N390" s="484" t="s">
        <v>676</v>
      </c>
      <c r="O390" s="487">
        <v>2274.7600000000002</v>
      </c>
    </row>
    <row r="391" spans="2:15" ht="15" customHeight="1">
      <c r="B391" s="483">
        <v>1</v>
      </c>
      <c r="C391" s="484" t="s">
        <v>1697</v>
      </c>
      <c r="D391" s="488" t="s">
        <v>116</v>
      </c>
      <c r="E391" s="488" t="str">
        <f t="shared" si="24"/>
        <v>Open</v>
      </c>
      <c r="F391" s="488">
        <v>42674</v>
      </c>
      <c r="G391" s="488"/>
      <c r="H391" s="484" t="s">
        <v>673</v>
      </c>
      <c r="I391" s="484" t="str">
        <f>VLOOKUP(TabListaLojas[[#This Row],[UF]],UF!A:E,3,0)</f>
        <v>Southest</v>
      </c>
      <c r="J391" s="484" t="s">
        <v>122</v>
      </c>
      <c r="K391" s="484" t="str">
        <f>VLOOKUP(TabListaLojas[[#This Row],[UF]],UF!A:B,2,0)</f>
        <v>Rio de Janeiro</v>
      </c>
      <c r="L391" s="484" t="s">
        <v>1137</v>
      </c>
      <c r="M391" s="484" t="s">
        <v>1138</v>
      </c>
      <c r="N391" s="484" t="s">
        <v>676</v>
      </c>
      <c r="O391" s="487">
        <v>1428.89</v>
      </c>
    </row>
    <row r="392" spans="2:15" ht="15" hidden="1" customHeight="1">
      <c r="B392" s="491">
        <v>0</v>
      </c>
      <c r="C392" s="492" t="s">
        <v>2257</v>
      </c>
      <c r="D392" s="493" t="s">
        <v>116</v>
      </c>
      <c r="E392" s="493" t="str">
        <f t="shared" si="24"/>
        <v>Closed</v>
      </c>
      <c r="F392" s="493">
        <v>42670</v>
      </c>
      <c r="G392" s="493">
        <v>45062</v>
      </c>
      <c r="H392" s="492" t="s">
        <v>673</v>
      </c>
      <c r="I392" s="492" t="str">
        <f>VLOOKUP(TabListaLojas[[#This Row],[UF]],UF!A:E,3,0)</f>
        <v>Southest</v>
      </c>
      <c r="J392" s="492" t="s">
        <v>118</v>
      </c>
      <c r="K392" s="492" t="str">
        <f>VLOOKUP(TabListaLojas[[#This Row],[UF]],UF!A:B,2,0)</f>
        <v>São Paulo</v>
      </c>
      <c r="L392" s="492" t="s">
        <v>1139</v>
      </c>
      <c r="M392" s="492" t="s">
        <v>1140</v>
      </c>
      <c r="N392" s="492" t="s">
        <v>676</v>
      </c>
      <c r="O392" s="495">
        <v>0</v>
      </c>
    </row>
    <row r="393" spans="2:15" ht="15" customHeight="1">
      <c r="B393" s="483">
        <v>1</v>
      </c>
      <c r="C393" s="484" t="s">
        <v>1698</v>
      </c>
      <c r="D393" s="488" t="s">
        <v>116</v>
      </c>
      <c r="E393" s="488" t="str">
        <f t="shared" si="24"/>
        <v>Open</v>
      </c>
      <c r="F393" s="488">
        <v>42669</v>
      </c>
      <c r="G393" s="488"/>
      <c r="H393" s="484" t="s">
        <v>673</v>
      </c>
      <c r="I393" s="484" t="str">
        <f>VLOOKUP(TabListaLojas[[#This Row],[UF]],UF!A:E,3,0)</f>
        <v>Northest</v>
      </c>
      <c r="J393" s="484" t="s">
        <v>148</v>
      </c>
      <c r="K393" s="484" t="str">
        <f>VLOOKUP(TabListaLojas[[#This Row],[UF]],UF!A:B,2,0)</f>
        <v>Ceará</v>
      </c>
      <c r="L393" s="484" t="s">
        <v>130</v>
      </c>
      <c r="M393" s="484" t="s">
        <v>1141</v>
      </c>
      <c r="N393" s="484" t="s">
        <v>676</v>
      </c>
      <c r="O393" s="487">
        <v>3020.34</v>
      </c>
    </row>
    <row r="394" spans="2:15" ht="15" customHeight="1">
      <c r="B394" s="483">
        <v>1</v>
      </c>
      <c r="C394" s="484" t="s">
        <v>2065</v>
      </c>
      <c r="D394" s="488" t="s">
        <v>126</v>
      </c>
      <c r="E394" s="488" t="str">
        <f t="shared" si="24"/>
        <v>Open</v>
      </c>
      <c r="F394" s="488">
        <v>42663</v>
      </c>
      <c r="G394" s="488"/>
      <c r="H394" s="484" t="s">
        <v>673</v>
      </c>
      <c r="I394" s="484" t="str">
        <f>VLOOKUP(TabListaLojas[[#This Row],[UF]],UF!A:E,3,0)</f>
        <v>North</v>
      </c>
      <c r="J394" s="484" t="s">
        <v>150</v>
      </c>
      <c r="K394" s="484" t="str">
        <f>VLOOKUP(TabListaLojas[[#This Row],[UF]],UF!A:B,2,0)</f>
        <v>Pará</v>
      </c>
      <c r="L394" s="484" t="s">
        <v>131</v>
      </c>
      <c r="M394" s="484" t="s">
        <v>1142</v>
      </c>
      <c r="N394" s="484" t="s">
        <v>676</v>
      </c>
      <c r="O394" s="487">
        <v>609.4</v>
      </c>
    </row>
    <row r="395" spans="2:15" ht="15" customHeight="1">
      <c r="B395" s="483">
        <v>1</v>
      </c>
      <c r="C395" s="484" t="s">
        <v>2172</v>
      </c>
      <c r="D395" s="488" t="s">
        <v>127</v>
      </c>
      <c r="E395" s="488" t="str">
        <f t="shared" si="24"/>
        <v>Open</v>
      </c>
      <c r="F395" s="488">
        <v>42663</v>
      </c>
      <c r="G395" s="488"/>
      <c r="H395" s="484" t="s">
        <v>673</v>
      </c>
      <c r="I395" s="484" t="str">
        <f>VLOOKUP(TabListaLojas[[#This Row],[UF]],UF!A:E,3,0)</f>
        <v>Southest</v>
      </c>
      <c r="J395" s="484" t="s">
        <v>149</v>
      </c>
      <c r="K395" s="484" t="str">
        <f>VLOOKUP(TabListaLojas[[#This Row],[UF]],UF!A:B,2,0)</f>
        <v>Minas Gerais</v>
      </c>
      <c r="L395" s="484" t="s">
        <v>136</v>
      </c>
      <c r="M395" s="484" t="s">
        <v>1143</v>
      </c>
      <c r="N395" s="484" t="s">
        <v>676</v>
      </c>
      <c r="O395" s="487">
        <v>185</v>
      </c>
    </row>
    <row r="396" spans="2:15" ht="15" customHeight="1">
      <c r="B396" s="483">
        <v>1</v>
      </c>
      <c r="C396" s="484" t="s">
        <v>1699</v>
      </c>
      <c r="D396" s="488" t="s">
        <v>116</v>
      </c>
      <c r="E396" s="488" t="str">
        <f t="shared" si="24"/>
        <v>Open</v>
      </c>
      <c r="F396" s="488">
        <v>42661</v>
      </c>
      <c r="G396" s="488"/>
      <c r="H396" s="484" t="s">
        <v>673</v>
      </c>
      <c r="I396" s="484" t="str">
        <f>VLOOKUP(TabListaLojas[[#This Row],[UF]],UF!A:E,3,0)</f>
        <v>Southest</v>
      </c>
      <c r="J396" s="484" t="s">
        <v>122</v>
      </c>
      <c r="K396" s="484" t="str">
        <f>VLOOKUP(TabListaLojas[[#This Row],[UF]],UF!A:B,2,0)</f>
        <v>Rio de Janeiro</v>
      </c>
      <c r="L396" s="484" t="s">
        <v>128</v>
      </c>
      <c r="M396" s="484" t="s">
        <v>1144</v>
      </c>
      <c r="N396" s="484" t="s">
        <v>676</v>
      </c>
      <c r="O396" s="487">
        <v>1304.49</v>
      </c>
    </row>
    <row r="397" spans="2:15" ht="15" customHeight="1">
      <c r="B397" s="483">
        <v>1</v>
      </c>
      <c r="C397" s="484" t="s">
        <v>2064</v>
      </c>
      <c r="D397" s="488" t="s">
        <v>126</v>
      </c>
      <c r="E397" s="488" t="str">
        <f t="shared" si="24"/>
        <v>Open</v>
      </c>
      <c r="F397" s="488">
        <v>42656</v>
      </c>
      <c r="G397" s="488"/>
      <c r="H397" s="484" t="s">
        <v>673</v>
      </c>
      <c r="I397" s="484" t="str">
        <f>VLOOKUP(TabListaLojas[[#This Row],[UF]],UF!A:E,3,0)</f>
        <v>South</v>
      </c>
      <c r="J397" s="484" t="s">
        <v>147</v>
      </c>
      <c r="K397" s="484" t="str">
        <f>VLOOKUP(TabListaLojas[[#This Row],[UF]],UF!A:B,2,0)</f>
        <v>Santa Catarina</v>
      </c>
      <c r="L397" s="484" t="s">
        <v>1145</v>
      </c>
      <c r="M397" s="484" t="s">
        <v>1146</v>
      </c>
      <c r="N397" s="484" t="s">
        <v>676</v>
      </c>
      <c r="O397" s="487">
        <v>527.4</v>
      </c>
    </row>
    <row r="398" spans="2:15" ht="15" customHeight="1">
      <c r="B398" s="483">
        <v>1</v>
      </c>
      <c r="C398" s="484" t="s">
        <v>2063</v>
      </c>
      <c r="D398" s="488" t="s">
        <v>126</v>
      </c>
      <c r="E398" s="488" t="str">
        <f t="shared" si="24"/>
        <v>Open</v>
      </c>
      <c r="F398" s="488">
        <v>42654</v>
      </c>
      <c r="G398" s="488"/>
      <c r="H398" s="484" t="s">
        <v>673</v>
      </c>
      <c r="I398" s="484" t="str">
        <f>VLOOKUP(TabListaLojas[[#This Row],[UF]],UF!A:E,3,0)</f>
        <v>Northest</v>
      </c>
      <c r="J398" s="484" t="s">
        <v>120</v>
      </c>
      <c r="K398" s="484" t="str">
        <f>VLOOKUP(TabListaLojas[[#This Row],[UF]],UF!A:B,2,0)</f>
        <v>Bahia</v>
      </c>
      <c r="L398" s="484" t="s">
        <v>134</v>
      </c>
      <c r="M398" s="484" t="s">
        <v>1147</v>
      </c>
      <c r="N398" s="484" t="s">
        <v>676</v>
      </c>
      <c r="O398" s="487">
        <v>569.03</v>
      </c>
    </row>
    <row r="399" spans="2:15" ht="15" customHeight="1">
      <c r="B399" s="483">
        <v>1</v>
      </c>
      <c r="C399" s="484" t="s">
        <v>1700</v>
      </c>
      <c r="D399" s="488" t="s">
        <v>116</v>
      </c>
      <c r="E399" s="488" t="str">
        <f t="shared" si="24"/>
        <v>Open</v>
      </c>
      <c r="F399" s="488">
        <v>42654</v>
      </c>
      <c r="G399" s="488"/>
      <c r="H399" s="484" t="s">
        <v>673</v>
      </c>
      <c r="I399" s="484" t="str">
        <f>VLOOKUP(TabListaLojas[[#This Row],[UF]],UF!A:E,3,0)</f>
        <v>Southest</v>
      </c>
      <c r="J399" s="484" t="s">
        <v>118</v>
      </c>
      <c r="K399" s="484" t="str">
        <f>VLOOKUP(TabListaLojas[[#This Row],[UF]],UF!A:B,2,0)</f>
        <v>São Paulo</v>
      </c>
      <c r="L399" s="484" t="s">
        <v>124</v>
      </c>
      <c r="M399" s="484" t="s">
        <v>1148</v>
      </c>
      <c r="N399" s="484" t="s">
        <v>676</v>
      </c>
      <c r="O399" s="487">
        <v>2096.5</v>
      </c>
    </row>
    <row r="400" spans="2:15" ht="15" customHeight="1">
      <c r="B400" s="483">
        <v>1</v>
      </c>
      <c r="C400" s="484" t="s">
        <v>2171</v>
      </c>
      <c r="D400" s="488" t="s">
        <v>127</v>
      </c>
      <c r="E400" s="488" t="str">
        <f t="shared" si="24"/>
        <v>Open</v>
      </c>
      <c r="F400" s="488">
        <v>42654</v>
      </c>
      <c r="G400" s="488"/>
      <c r="H400" s="484" t="s">
        <v>673</v>
      </c>
      <c r="I400" s="484" t="str">
        <f>VLOOKUP(TabListaLojas[[#This Row],[UF]],UF!A:E,3,0)</f>
        <v>Southest</v>
      </c>
      <c r="J400" s="484" t="s">
        <v>118</v>
      </c>
      <c r="K400" s="484" t="str">
        <f>VLOOKUP(TabListaLojas[[#This Row],[UF]],UF!A:B,2,0)</f>
        <v>São Paulo</v>
      </c>
      <c r="L400" s="484" t="s">
        <v>124</v>
      </c>
      <c r="M400" s="484" t="s">
        <v>1148</v>
      </c>
      <c r="N400" s="484" t="s">
        <v>676</v>
      </c>
      <c r="O400" s="487">
        <v>179</v>
      </c>
    </row>
    <row r="401" spans="1:15" ht="15" customHeight="1">
      <c r="B401" s="483">
        <v>1</v>
      </c>
      <c r="C401" s="484" t="s">
        <v>2062</v>
      </c>
      <c r="D401" s="488" t="s">
        <v>126</v>
      </c>
      <c r="E401" s="488" t="str">
        <f t="shared" si="24"/>
        <v>Open</v>
      </c>
      <c r="F401" s="488">
        <v>42653</v>
      </c>
      <c r="G401" s="488"/>
      <c r="H401" s="484" t="s">
        <v>673</v>
      </c>
      <c r="I401" s="484" t="str">
        <f>VLOOKUP(TabListaLojas[[#This Row],[UF]],UF!A:E,3,0)</f>
        <v>Midwest</v>
      </c>
      <c r="J401" s="484" t="s">
        <v>156</v>
      </c>
      <c r="K401" s="484" t="str">
        <f>VLOOKUP(TabListaLojas[[#This Row],[UF]],UF!A:B,2,0)</f>
        <v>Distrito Federal</v>
      </c>
      <c r="L401" s="484" t="s">
        <v>142</v>
      </c>
      <c r="M401" s="484" t="s">
        <v>1149</v>
      </c>
      <c r="N401" s="484" t="s">
        <v>676</v>
      </c>
      <c r="O401" s="487">
        <v>557.79</v>
      </c>
    </row>
    <row r="402" spans="1:15" ht="15" customHeight="1">
      <c r="A402" s="355"/>
      <c r="B402" s="483">
        <v>1</v>
      </c>
      <c r="C402" s="484" t="s">
        <v>2170</v>
      </c>
      <c r="D402" s="488" t="s">
        <v>127</v>
      </c>
      <c r="E402" s="488" t="str">
        <f t="shared" si="24"/>
        <v>Open</v>
      </c>
      <c r="F402" s="488">
        <v>42653</v>
      </c>
      <c r="G402" s="488"/>
      <c r="H402" s="484" t="s">
        <v>673</v>
      </c>
      <c r="I402" s="484" t="str">
        <f>VLOOKUP(TabListaLojas[[#This Row],[UF]],UF!A:E,3,0)</f>
        <v>Midwest</v>
      </c>
      <c r="J402" s="484" t="s">
        <v>156</v>
      </c>
      <c r="K402" s="484" t="str">
        <f>VLOOKUP(TabListaLojas[[#This Row],[UF]],UF!A:B,2,0)</f>
        <v>Distrito Federal</v>
      </c>
      <c r="L402" s="484" t="s">
        <v>142</v>
      </c>
      <c r="M402" s="484" t="s">
        <v>1150</v>
      </c>
      <c r="N402" s="484" t="s">
        <v>676</v>
      </c>
      <c r="O402" s="487">
        <v>221</v>
      </c>
    </row>
    <row r="403" spans="1:15" ht="15" customHeight="1">
      <c r="B403" s="483">
        <v>1</v>
      </c>
      <c r="C403" s="484" t="s">
        <v>1701</v>
      </c>
      <c r="D403" s="488" t="s">
        <v>116</v>
      </c>
      <c r="E403" s="488" t="str">
        <f t="shared" si="24"/>
        <v>Open</v>
      </c>
      <c r="F403" s="488">
        <v>42650</v>
      </c>
      <c r="G403" s="488"/>
      <c r="H403" s="484" t="s">
        <v>673</v>
      </c>
      <c r="I403" s="484" t="str">
        <f>VLOOKUP(TabListaLojas[[#This Row],[UF]],UF!A:E,3,0)</f>
        <v>Northest</v>
      </c>
      <c r="J403" s="484" t="s">
        <v>158</v>
      </c>
      <c r="K403" s="484" t="str">
        <f>VLOOKUP(TabListaLojas[[#This Row],[UF]],UF!A:B,2,0)</f>
        <v>Paraíba</v>
      </c>
      <c r="L403" s="484" t="s">
        <v>1008</v>
      </c>
      <c r="M403" s="484" t="s">
        <v>1151</v>
      </c>
      <c r="N403" s="484" t="s">
        <v>676</v>
      </c>
      <c r="O403" s="487">
        <v>2680.92</v>
      </c>
    </row>
    <row r="404" spans="1:15" ht="15" customHeight="1">
      <c r="B404" s="483">
        <v>1</v>
      </c>
      <c r="C404" s="484" t="s">
        <v>1702</v>
      </c>
      <c r="D404" s="488" t="s">
        <v>116</v>
      </c>
      <c r="E404" s="488" t="str">
        <f t="shared" si="24"/>
        <v>Open</v>
      </c>
      <c r="F404" s="488">
        <v>42647</v>
      </c>
      <c r="G404" s="488"/>
      <c r="H404" s="484" t="s">
        <v>673</v>
      </c>
      <c r="I404" s="484" t="str">
        <f>VLOOKUP(TabListaLojas[[#This Row],[UF]],UF!A:E,3,0)</f>
        <v>Southest</v>
      </c>
      <c r="J404" s="484" t="s">
        <v>118</v>
      </c>
      <c r="K404" s="484" t="str">
        <f>VLOOKUP(TabListaLojas[[#This Row],[UF]],UF!A:B,2,0)</f>
        <v>São Paulo</v>
      </c>
      <c r="L404" s="484" t="s">
        <v>775</v>
      </c>
      <c r="M404" s="484" t="s">
        <v>1152</v>
      </c>
      <c r="N404" s="484" t="s">
        <v>676</v>
      </c>
      <c r="O404" s="487">
        <v>1388</v>
      </c>
    </row>
    <row r="405" spans="1:15" ht="15" hidden="1" customHeight="1">
      <c r="B405" s="491">
        <v>0</v>
      </c>
      <c r="C405" s="492" t="s">
        <v>2061</v>
      </c>
      <c r="D405" s="493" t="s">
        <v>126</v>
      </c>
      <c r="E405" s="493" t="str">
        <f t="shared" ref="E405:E468" si="25">IF(G405="","Open","Closed")</f>
        <v>Closed</v>
      </c>
      <c r="F405" s="493">
        <v>42644</v>
      </c>
      <c r="G405" s="493">
        <v>44977</v>
      </c>
      <c r="H405" s="492" t="s">
        <v>673</v>
      </c>
      <c r="I405" s="492" t="str">
        <f>VLOOKUP(TabListaLojas[[#This Row],[UF]],UF!A:E,3,0)</f>
        <v>Southest</v>
      </c>
      <c r="J405" s="492" t="s">
        <v>118</v>
      </c>
      <c r="K405" s="492" t="str">
        <f>VLOOKUP(TabListaLojas[[#This Row],[UF]],UF!A:B,2,0)</f>
        <v>São Paulo</v>
      </c>
      <c r="L405" s="492" t="s">
        <v>1126</v>
      </c>
      <c r="M405" s="492" t="s">
        <v>1518</v>
      </c>
      <c r="N405" s="492" t="s">
        <v>676</v>
      </c>
      <c r="O405" s="495">
        <v>0</v>
      </c>
    </row>
    <row r="406" spans="1:15" ht="15" customHeight="1">
      <c r="B406" s="483">
        <v>1</v>
      </c>
      <c r="C406" s="484" t="s">
        <v>1703</v>
      </c>
      <c r="D406" s="488" t="s">
        <v>116</v>
      </c>
      <c r="E406" s="488" t="str">
        <f t="shared" si="25"/>
        <v>Open</v>
      </c>
      <c r="F406" s="488">
        <v>42643</v>
      </c>
      <c r="G406" s="488"/>
      <c r="H406" s="484" t="s">
        <v>673</v>
      </c>
      <c r="I406" s="484" t="str">
        <f>VLOOKUP(TabListaLojas[[#This Row],[UF]],UF!A:E,3,0)</f>
        <v>South</v>
      </c>
      <c r="J406" s="484" t="s">
        <v>117</v>
      </c>
      <c r="K406" s="484" t="str">
        <f>VLOOKUP(TabListaLojas[[#This Row],[UF]],UF!A:B,2,0)</f>
        <v>Rio Grande do Sul</v>
      </c>
      <c r="L406" s="484" t="s">
        <v>1153</v>
      </c>
      <c r="M406" s="484" t="s">
        <v>1154</v>
      </c>
      <c r="N406" s="484" t="s">
        <v>714</v>
      </c>
      <c r="O406" s="487">
        <v>1959</v>
      </c>
    </row>
    <row r="407" spans="1:15" ht="15" hidden="1" customHeight="1">
      <c r="B407" s="491">
        <v>0</v>
      </c>
      <c r="C407" s="492" t="s">
        <v>2256</v>
      </c>
      <c r="D407" s="492" t="s">
        <v>116</v>
      </c>
      <c r="E407" s="493" t="str">
        <f t="shared" si="25"/>
        <v>Closed</v>
      </c>
      <c r="F407" s="493">
        <v>42642</v>
      </c>
      <c r="G407" s="493">
        <v>45106</v>
      </c>
      <c r="H407" s="492" t="s">
        <v>673</v>
      </c>
      <c r="I407" s="492" t="str">
        <f>VLOOKUP(TabListaLojas[[#This Row],[UF]],UF!A:E,3,0)</f>
        <v>Southest</v>
      </c>
      <c r="J407" s="492" t="s">
        <v>118</v>
      </c>
      <c r="K407" s="492" t="str">
        <f>VLOOKUP(TabListaLojas[[#This Row],[UF]],UF!A:B,2,0)</f>
        <v>São Paulo</v>
      </c>
      <c r="L407" s="492" t="s">
        <v>1155</v>
      </c>
      <c r="M407" s="492" t="s">
        <v>1519</v>
      </c>
      <c r="N407" s="492" t="s">
        <v>676</v>
      </c>
      <c r="O407" s="495">
        <v>0</v>
      </c>
    </row>
    <row r="408" spans="1:15" ht="15" hidden="1" customHeight="1">
      <c r="B408" s="491">
        <v>0</v>
      </c>
      <c r="C408" s="492" t="s">
        <v>2255</v>
      </c>
      <c r="D408" s="493" t="s">
        <v>116</v>
      </c>
      <c r="E408" s="493" t="str">
        <f t="shared" si="25"/>
        <v>Closed</v>
      </c>
      <c r="F408" s="493">
        <v>42621</v>
      </c>
      <c r="G408" s="493">
        <v>44660</v>
      </c>
      <c r="H408" s="492" t="s">
        <v>673</v>
      </c>
      <c r="I408" s="492" t="str">
        <f>VLOOKUP(TabListaLojas[[#This Row],[UF]],UF!A:E,3,0)</f>
        <v>South</v>
      </c>
      <c r="J408" s="492" t="s">
        <v>117</v>
      </c>
      <c r="K408" s="492" t="str">
        <f>VLOOKUP(TabListaLojas[[#This Row],[UF]],UF!A:B,2,0)</f>
        <v>Rio Grande do Sul</v>
      </c>
      <c r="L408" s="492" t="s">
        <v>838</v>
      </c>
      <c r="M408" s="492" t="s">
        <v>1520</v>
      </c>
      <c r="N408" s="492" t="s">
        <v>714</v>
      </c>
      <c r="O408" s="495">
        <v>0</v>
      </c>
    </row>
    <row r="409" spans="1:15" ht="15" customHeight="1">
      <c r="B409" s="483">
        <v>1</v>
      </c>
      <c r="C409" s="484" t="s">
        <v>1704</v>
      </c>
      <c r="D409" s="488" t="s">
        <v>116</v>
      </c>
      <c r="E409" s="488" t="str">
        <f t="shared" si="25"/>
        <v>Open</v>
      </c>
      <c r="F409" s="488">
        <v>42619</v>
      </c>
      <c r="G409" s="488"/>
      <c r="H409" s="484" t="s">
        <v>673</v>
      </c>
      <c r="I409" s="484" t="str">
        <f>VLOOKUP(TabListaLojas[[#This Row],[UF]],UF!A:E,3,0)</f>
        <v>Southest</v>
      </c>
      <c r="J409" s="484" t="s">
        <v>152</v>
      </c>
      <c r="K409" s="484" t="str">
        <f>VLOOKUP(TabListaLojas[[#This Row],[UF]],UF!A:B,2,0)</f>
        <v>Espírito Santo</v>
      </c>
      <c r="L409" s="484" t="s">
        <v>836</v>
      </c>
      <c r="M409" s="484" t="s">
        <v>1156</v>
      </c>
      <c r="N409" s="484" t="s">
        <v>676</v>
      </c>
      <c r="O409" s="487">
        <v>2373.08</v>
      </c>
    </row>
    <row r="410" spans="1:15" ht="15" customHeight="1">
      <c r="B410" s="483">
        <v>1</v>
      </c>
      <c r="C410" s="484" t="s">
        <v>2060</v>
      </c>
      <c r="D410" s="488" t="s">
        <v>126</v>
      </c>
      <c r="E410" s="488" t="str">
        <f t="shared" si="25"/>
        <v>Open</v>
      </c>
      <c r="F410" s="488">
        <v>42595</v>
      </c>
      <c r="G410" s="488"/>
      <c r="H410" s="484" t="s">
        <v>673</v>
      </c>
      <c r="I410" s="484" t="str">
        <f>VLOOKUP(TabListaLojas[[#This Row],[UF]],UF!A:E,3,0)</f>
        <v>Southest</v>
      </c>
      <c r="J410" s="484" t="s">
        <v>118</v>
      </c>
      <c r="K410" s="484" t="str">
        <f>VLOOKUP(TabListaLojas[[#This Row],[UF]],UF!A:B,2,0)</f>
        <v>São Paulo</v>
      </c>
      <c r="L410" s="484" t="s">
        <v>124</v>
      </c>
      <c r="M410" s="484" t="s">
        <v>1157</v>
      </c>
      <c r="N410" s="484" t="s">
        <v>676</v>
      </c>
      <c r="O410" s="487">
        <v>291.75</v>
      </c>
    </row>
    <row r="411" spans="1:15" ht="15" customHeight="1">
      <c r="B411" s="483">
        <v>1</v>
      </c>
      <c r="C411" s="484" t="s">
        <v>2059</v>
      </c>
      <c r="D411" s="488" t="s">
        <v>126</v>
      </c>
      <c r="E411" s="488" t="str">
        <f t="shared" si="25"/>
        <v>Open</v>
      </c>
      <c r="F411" s="488">
        <v>42592</v>
      </c>
      <c r="G411" s="488"/>
      <c r="H411" s="484" t="s">
        <v>673</v>
      </c>
      <c r="I411" s="484" t="str">
        <f>VLOOKUP(TabListaLojas[[#This Row],[UF]],UF!A:E,3,0)</f>
        <v>Northest</v>
      </c>
      <c r="J411" s="484" t="s">
        <v>154</v>
      </c>
      <c r="K411" s="484" t="str">
        <f>VLOOKUP(TabListaLojas[[#This Row],[UF]],UF!A:B,2,0)</f>
        <v>Maranhão</v>
      </c>
      <c r="L411" s="484" t="s">
        <v>171</v>
      </c>
      <c r="M411" s="484" t="s">
        <v>828</v>
      </c>
      <c r="N411" s="484" t="s">
        <v>676</v>
      </c>
      <c r="O411" s="487">
        <v>611.66999999999996</v>
      </c>
    </row>
    <row r="412" spans="1:15" ht="15" hidden="1" customHeight="1">
      <c r="B412" s="491">
        <v>1</v>
      </c>
      <c r="C412" s="492" t="s">
        <v>2058</v>
      </c>
      <c r="D412" s="493" t="s">
        <v>126</v>
      </c>
      <c r="E412" s="493" t="str">
        <f t="shared" si="25"/>
        <v>Closed</v>
      </c>
      <c r="F412" s="493">
        <v>42586</v>
      </c>
      <c r="G412" s="493">
        <v>46153</v>
      </c>
      <c r="H412" s="492" t="s">
        <v>673</v>
      </c>
      <c r="I412" s="492" t="str">
        <f>VLOOKUP(TabListaLojas[[#This Row],[UF]],UF!A:E,3,0)</f>
        <v>Southest</v>
      </c>
      <c r="J412" s="492" t="s">
        <v>122</v>
      </c>
      <c r="K412" s="492" t="str">
        <f>VLOOKUP(TabListaLojas[[#This Row],[UF]],UF!A:B,2,0)</f>
        <v>Rio de Janeiro</v>
      </c>
      <c r="L412" s="492" t="s">
        <v>128</v>
      </c>
      <c r="M412" s="492" t="s">
        <v>1158</v>
      </c>
      <c r="N412" s="492" t="s">
        <v>676</v>
      </c>
      <c r="O412" s="495">
        <v>451.47</v>
      </c>
    </row>
    <row r="413" spans="1:15" ht="15" hidden="1" customHeight="1">
      <c r="B413" s="491">
        <v>0</v>
      </c>
      <c r="C413" s="492" t="s">
        <v>2254</v>
      </c>
      <c r="D413" s="493" t="s">
        <v>116</v>
      </c>
      <c r="E413" s="493" t="str">
        <f t="shared" si="25"/>
        <v>Closed</v>
      </c>
      <c r="F413" s="493">
        <v>42580</v>
      </c>
      <c r="G413" s="493">
        <v>43831</v>
      </c>
      <c r="H413" s="492" t="s">
        <v>673</v>
      </c>
      <c r="I413" s="492" t="str">
        <f>VLOOKUP(TabListaLojas[[#This Row],[UF]],UF!A:E,3,0)</f>
        <v>Southest</v>
      </c>
      <c r="J413" s="492" t="s">
        <v>122</v>
      </c>
      <c r="K413" s="492" t="str">
        <f>VLOOKUP(TabListaLojas[[#This Row],[UF]],UF!A:B,2,0)</f>
        <v>Rio de Janeiro</v>
      </c>
      <c r="L413" s="492" t="s">
        <v>128</v>
      </c>
      <c r="M413" s="492" t="s">
        <v>1521</v>
      </c>
      <c r="N413" s="492" t="s">
        <v>714</v>
      </c>
      <c r="O413" s="495">
        <v>0</v>
      </c>
    </row>
    <row r="414" spans="1:15" ht="15" customHeight="1">
      <c r="B414" s="483">
        <v>1</v>
      </c>
      <c r="C414" s="484" t="s">
        <v>1705</v>
      </c>
      <c r="D414" s="488" t="s">
        <v>116</v>
      </c>
      <c r="E414" s="488" t="str">
        <f t="shared" si="25"/>
        <v>Open</v>
      </c>
      <c r="F414" s="488">
        <v>42563</v>
      </c>
      <c r="G414" s="488"/>
      <c r="H414" s="484" t="s">
        <v>673</v>
      </c>
      <c r="I414" s="484" t="str">
        <f>VLOOKUP(TabListaLojas[[#This Row],[UF]],UF!A:E,3,0)</f>
        <v>Southest</v>
      </c>
      <c r="J414" s="484" t="s">
        <v>149</v>
      </c>
      <c r="K414" s="484" t="str">
        <f>VLOOKUP(TabListaLojas[[#This Row],[UF]],UF!A:B,2,0)</f>
        <v>Minas Gerais</v>
      </c>
      <c r="L414" s="484" t="s">
        <v>1097</v>
      </c>
      <c r="M414" s="484" t="s">
        <v>1159</v>
      </c>
      <c r="N414" s="484" t="s">
        <v>676</v>
      </c>
      <c r="O414" s="487">
        <v>2595.66</v>
      </c>
    </row>
    <row r="415" spans="1:15" ht="15" hidden="1" customHeight="1">
      <c r="B415" s="491">
        <v>0</v>
      </c>
      <c r="C415" s="492" t="s">
        <v>2057</v>
      </c>
      <c r="D415" s="493" t="s">
        <v>126</v>
      </c>
      <c r="E415" s="493" t="str">
        <f t="shared" si="25"/>
        <v>Closed</v>
      </c>
      <c r="F415" s="493">
        <v>42558</v>
      </c>
      <c r="G415" s="493">
        <v>44942</v>
      </c>
      <c r="H415" s="492" t="s">
        <v>673</v>
      </c>
      <c r="I415" s="492" t="str">
        <f>VLOOKUP(TabListaLojas[[#This Row],[UF]],UF!A:E,3,0)</f>
        <v>Northest</v>
      </c>
      <c r="J415" s="492" t="s">
        <v>153</v>
      </c>
      <c r="K415" s="492" t="str">
        <f>VLOOKUP(TabListaLojas[[#This Row],[UF]],UF!A:B,2,0)</f>
        <v>Rio Grande do Norte</v>
      </c>
      <c r="L415" s="492" t="s">
        <v>145</v>
      </c>
      <c r="M415" s="492" t="s">
        <v>1522</v>
      </c>
      <c r="N415" s="492" t="s">
        <v>676</v>
      </c>
      <c r="O415" s="495">
        <v>0</v>
      </c>
    </row>
    <row r="416" spans="1:15" ht="15" customHeight="1">
      <c r="B416" s="483">
        <v>1</v>
      </c>
      <c r="C416" s="484" t="s">
        <v>1706</v>
      </c>
      <c r="D416" s="488" t="s">
        <v>116</v>
      </c>
      <c r="E416" s="488" t="str">
        <f t="shared" si="25"/>
        <v>Open</v>
      </c>
      <c r="F416" s="488">
        <v>42531</v>
      </c>
      <c r="G416" s="488"/>
      <c r="H416" s="484" t="s">
        <v>673</v>
      </c>
      <c r="I416" s="484" t="str">
        <f>VLOOKUP(TabListaLojas[[#This Row],[UF]],UF!A:E,3,0)</f>
        <v>South</v>
      </c>
      <c r="J416" s="484" t="s">
        <v>161</v>
      </c>
      <c r="K416" s="484" t="str">
        <f>VLOOKUP(TabListaLojas[[#This Row],[UF]],UF!A:B,2,0)</f>
        <v>Paraná</v>
      </c>
      <c r="L416" s="484" t="s">
        <v>1160</v>
      </c>
      <c r="M416" s="484" t="s">
        <v>1161</v>
      </c>
      <c r="N416" s="484" t="s">
        <v>676</v>
      </c>
      <c r="O416" s="487">
        <v>2374.1999999999998</v>
      </c>
    </row>
    <row r="417" spans="2:15" ht="15" customHeight="1">
      <c r="B417" s="483">
        <v>1</v>
      </c>
      <c r="C417" s="484" t="s">
        <v>2168</v>
      </c>
      <c r="D417" s="488" t="s">
        <v>127</v>
      </c>
      <c r="E417" s="488" t="str">
        <f t="shared" si="25"/>
        <v>Open</v>
      </c>
      <c r="F417" s="488">
        <v>42523</v>
      </c>
      <c r="G417" s="488"/>
      <c r="H417" s="484" t="s">
        <v>673</v>
      </c>
      <c r="I417" s="484" t="str">
        <f>VLOOKUP(TabListaLojas[[#This Row],[UF]],UF!A:E,3,0)</f>
        <v>Southest</v>
      </c>
      <c r="J417" s="484" t="s">
        <v>118</v>
      </c>
      <c r="K417" s="484" t="str">
        <f>VLOOKUP(TabListaLojas[[#This Row],[UF]],UF!A:B,2,0)</f>
        <v>São Paulo</v>
      </c>
      <c r="L417" s="484" t="s">
        <v>764</v>
      </c>
      <c r="M417" s="484" t="s">
        <v>1162</v>
      </c>
      <c r="N417" s="484" t="s">
        <v>676</v>
      </c>
      <c r="O417" s="487">
        <v>166</v>
      </c>
    </row>
    <row r="418" spans="2:15" ht="15" customHeight="1">
      <c r="B418" s="483">
        <v>1</v>
      </c>
      <c r="C418" s="484" t="s">
        <v>2169</v>
      </c>
      <c r="D418" s="488" t="s">
        <v>127</v>
      </c>
      <c r="E418" s="488" t="str">
        <f t="shared" si="25"/>
        <v>Open</v>
      </c>
      <c r="F418" s="488">
        <v>42523</v>
      </c>
      <c r="G418" s="488"/>
      <c r="H418" s="484" t="s">
        <v>673</v>
      </c>
      <c r="I418" s="484" t="str">
        <f>VLOOKUP(TabListaLojas[[#This Row],[UF]],UF!A:E,3,0)</f>
        <v>Southest</v>
      </c>
      <c r="J418" s="484" t="s">
        <v>118</v>
      </c>
      <c r="K418" s="484" t="str">
        <f>VLOOKUP(TabListaLojas[[#This Row],[UF]],UF!A:B,2,0)</f>
        <v>São Paulo</v>
      </c>
      <c r="L418" s="484" t="s">
        <v>992</v>
      </c>
      <c r="M418" s="484" t="s">
        <v>993</v>
      </c>
      <c r="N418" s="484" t="s">
        <v>676</v>
      </c>
      <c r="O418" s="487">
        <v>120</v>
      </c>
    </row>
    <row r="419" spans="2:15" ht="15" customHeight="1">
      <c r="B419" s="483">
        <v>1</v>
      </c>
      <c r="C419" s="484" t="s">
        <v>2166</v>
      </c>
      <c r="D419" s="488" t="s">
        <v>127</v>
      </c>
      <c r="E419" s="488" t="str">
        <f t="shared" si="25"/>
        <v>Open</v>
      </c>
      <c r="F419" s="488">
        <v>42515</v>
      </c>
      <c r="G419" s="488"/>
      <c r="H419" s="484" t="s">
        <v>673</v>
      </c>
      <c r="I419" s="484" t="str">
        <f>VLOOKUP(TabListaLojas[[#This Row],[UF]],UF!A:E,3,0)</f>
        <v>South</v>
      </c>
      <c r="J419" s="484" t="s">
        <v>161</v>
      </c>
      <c r="K419" s="484" t="str">
        <f>VLOOKUP(TabListaLojas[[#This Row],[UF]],UF!A:B,2,0)</f>
        <v>Paraná</v>
      </c>
      <c r="L419" s="484" t="s">
        <v>146</v>
      </c>
      <c r="M419" s="484" t="s">
        <v>1163</v>
      </c>
      <c r="N419" s="484" t="s">
        <v>676</v>
      </c>
      <c r="O419" s="487">
        <v>175</v>
      </c>
    </row>
    <row r="420" spans="2:15" ht="15" customHeight="1">
      <c r="B420" s="483">
        <v>1</v>
      </c>
      <c r="C420" s="484" t="s">
        <v>2167</v>
      </c>
      <c r="D420" s="488" t="s">
        <v>127</v>
      </c>
      <c r="E420" s="488" t="str">
        <f t="shared" si="25"/>
        <v>Open</v>
      </c>
      <c r="F420" s="488">
        <v>42515</v>
      </c>
      <c r="G420" s="488"/>
      <c r="H420" s="484" t="s">
        <v>673</v>
      </c>
      <c r="I420" s="484" t="str">
        <f>VLOOKUP(TabListaLojas[[#This Row],[UF]],UF!A:E,3,0)</f>
        <v>Southest</v>
      </c>
      <c r="J420" s="484" t="s">
        <v>118</v>
      </c>
      <c r="K420" s="484" t="str">
        <f>VLOOKUP(TabListaLojas[[#This Row],[UF]],UF!A:B,2,0)</f>
        <v>São Paulo</v>
      </c>
      <c r="L420" s="484" t="s">
        <v>1164</v>
      </c>
      <c r="M420" s="484" t="s">
        <v>1165</v>
      </c>
      <c r="N420" s="484" t="s">
        <v>676</v>
      </c>
      <c r="O420" s="487">
        <v>180</v>
      </c>
    </row>
    <row r="421" spans="2:15" ht="15" hidden="1" customHeight="1">
      <c r="B421" s="491">
        <v>0</v>
      </c>
      <c r="C421" s="492" t="s">
        <v>2130</v>
      </c>
      <c r="D421" s="493" t="s">
        <v>127</v>
      </c>
      <c r="E421" s="493" t="str">
        <f t="shared" si="25"/>
        <v>Closed</v>
      </c>
      <c r="F421" s="493">
        <v>42509</v>
      </c>
      <c r="G421" s="493">
        <v>43639</v>
      </c>
      <c r="H421" s="492" t="s">
        <v>673</v>
      </c>
      <c r="I421" s="492" t="str">
        <f>VLOOKUP(TabListaLojas[[#This Row],[UF]],UF!A:E,3,0)</f>
        <v>Southest</v>
      </c>
      <c r="J421" s="492" t="s">
        <v>118</v>
      </c>
      <c r="K421" s="492" t="str">
        <f>VLOOKUP(TabListaLojas[[#This Row],[UF]],UF!A:B,2,0)</f>
        <v>São Paulo</v>
      </c>
      <c r="L421" s="492" t="s">
        <v>775</v>
      </c>
      <c r="M421" s="492" t="s">
        <v>1523</v>
      </c>
      <c r="N421" s="492" t="s">
        <v>676</v>
      </c>
      <c r="O421" s="495">
        <v>0</v>
      </c>
    </row>
    <row r="422" spans="2:15" ht="15" customHeight="1">
      <c r="B422" s="483">
        <v>1</v>
      </c>
      <c r="C422" s="484" t="s">
        <v>2165</v>
      </c>
      <c r="D422" s="488" t="s">
        <v>127</v>
      </c>
      <c r="E422" s="488" t="str">
        <f t="shared" si="25"/>
        <v>Open</v>
      </c>
      <c r="F422" s="488">
        <v>42509</v>
      </c>
      <c r="G422" s="488"/>
      <c r="H422" s="484" t="s">
        <v>673</v>
      </c>
      <c r="I422" s="484" t="str">
        <f>VLOOKUP(TabListaLojas[[#This Row],[UF]],UF!A:E,3,0)</f>
        <v>Southest</v>
      </c>
      <c r="J422" s="484" t="s">
        <v>149</v>
      </c>
      <c r="K422" s="484" t="str">
        <f>VLOOKUP(TabListaLojas[[#This Row],[UF]],UF!A:B,2,0)</f>
        <v>Minas Gerais</v>
      </c>
      <c r="L422" s="484" t="s">
        <v>1166</v>
      </c>
      <c r="M422" s="484" t="s">
        <v>1167</v>
      </c>
      <c r="N422" s="484" t="s">
        <v>676</v>
      </c>
      <c r="O422" s="487">
        <v>256</v>
      </c>
    </row>
    <row r="423" spans="2:15" ht="15" customHeight="1">
      <c r="B423" s="483">
        <v>1</v>
      </c>
      <c r="C423" s="484" t="s">
        <v>2056</v>
      </c>
      <c r="D423" s="488" t="s">
        <v>126</v>
      </c>
      <c r="E423" s="488" t="str">
        <f t="shared" si="25"/>
        <v>Open</v>
      </c>
      <c r="F423" s="488">
        <v>42508</v>
      </c>
      <c r="G423" s="488"/>
      <c r="H423" s="484" t="s">
        <v>673</v>
      </c>
      <c r="I423" s="484" t="str">
        <f>VLOOKUP(TabListaLojas[[#This Row],[UF]],UF!A:E,3,0)</f>
        <v>Southest</v>
      </c>
      <c r="J423" s="484" t="s">
        <v>118</v>
      </c>
      <c r="K423" s="484" t="str">
        <f>VLOOKUP(TabListaLojas[[#This Row],[UF]],UF!A:B,2,0)</f>
        <v>São Paulo</v>
      </c>
      <c r="L423" s="484" t="s">
        <v>775</v>
      </c>
      <c r="M423" s="484" t="s">
        <v>776</v>
      </c>
      <c r="N423" s="484" t="s">
        <v>676</v>
      </c>
      <c r="O423" s="487">
        <v>645.58000000000004</v>
      </c>
    </row>
    <row r="424" spans="2:15" ht="15" hidden="1" customHeight="1">
      <c r="B424" s="491">
        <v>0</v>
      </c>
      <c r="C424" s="492" t="s">
        <v>2128</v>
      </c>
      <c r="D424" s="493" t="s">
        <v>127</v>
      </c>
      <c r="E424" s="493" t="str">
        <f t="shared" si="25"/>
        <v>Closed</v>
      </c>
      <c r="F424" s="493">
        <v>42495</v>
      </c>
      <c r="G424" s="493">
        <v>44255</v>
      </c>
      <c r="H424" s="492" t="s">
        <v>673</v>
      </c>
      <c r="I424" s="492" t="str">
        <f>VLOOKUP(TabListaLojas[[#This Row],[UF]],UF!A:E,3,0)</f>
        <v>Southest</v>
      </c>
      <c r="J424" s="492" t="s">
        <v>149</v>
      </c>
      <c r="K424" s="492" t="str">
        <f>VLOOKUP(TabListaLojas[[#This Row],[UF]],UF!A:B,2,0)</f>
        <v>Minas Gerais</v>
      </c>
      <c r="L424" s="492" t="s">
        <v>136</v>
      </c>
      <c r="M424" s="492" t="s">
        <v>1524</v>
      </c>
      <c r="N424" s="492" t="s">
        <v>676</v>
      </c>
      <c r="O424" s="495">
        <v>0</v>
      </c>
    </row>
    <row r="425" spans="2:15" ht="15" hidden="1" customHeight="1">
      <c r="B425" s="491">
        <v>0</v>
      </c>
      <c r="C425" s="492" t="s">
        <v>2129</v>
      </c>
      <c r="D425" s="493" t="s">
        <v>127</v>
      </c>
      <c r="E425" s="493" t="str">
        <f t="shared" si="25"/>
        <v>Closed</v>
      </c>
      <c r="F425" s="493">
        <v>42495</v>
      </c>
      <c r="G425" s="493">
        <v>43842</v>
      </c>
      <c r="H425" s="492" t="s">
        <v>673</v>
      </c>
      <c r="I425" s="492" t="str">
        <f>VLOOKUP(TabListaLojas[[#This Row],[UF]],UF!A:E,3,0)</f>
        <v>South</v>
      </c>
      <c r="J425" s="492" t="s">
        <v>117</v>
      </c>
      <c r="K425" s="492" t="str">
        <f>VLOOKUP(TabListaLojas[[#This Row],[UF]],UF!A:B,2,0)</f>
        <v>Rio Grande do Sul</v>
      </c>
      <c r="L425" s="492" t="s">
        <v>1050</v>
      </c>
      <c r="M425" s="492" t="s">
        <v>1525</v>
      </c>
      <c r="N425" s="492" t="s">
        <v>676</v>
      </c>
      <c r="O425" s="495">
        <v>0</v>
      </c>
    </row>
    <row r="426" spans="2:15" ht="15" customHeight="1">
      <c r="B426" s="483">
        <v>1</v>
      </c>
      <c r="C426" s="484" t="s">
        <v>2055</v>
      </c>
      <c r="D426" s="488" t="s">
        <v>126</v>
      </c>
      <c r="E426" s="488" t="str">
        <f t="shared" si="25"/>
        <v>Open</v>
      </c>
      <c r="F426" s="488">
        <v>42494</v>
      </c>
      <c r="G426" s="488"/>
      <c r="H426" s="484" t="s">
        <v>673</v>
      </c>
      <c r="I426" s="484" t="str">
        <f>VLOOKUP(TabListaLojas[[#This Row],[UF]],UF!A:E,3,0)</f>
        <v>Northest</v>
      </c>
      <c r="J426" s="484" t="s">
        <v>159</v>
      </c>
      <c r="K426" s="484" t="str">
        <f>VLOOKUP(TabListaLojas[[#This Row],[UF]],UF!A:B,2,0)</f>
        <v>Alagoas</v>
      </c>
      <c r="L426" s="484" t="s">
        <v>144</v>
      </c>
      <c r="M426" s="484" t="s">
        <v>1168</v>
      </c>
      <c r="N426" s="484" t="s">
        <v>676</v>
      </c>
      <c r="O426" s="487">
        <v>511.48</v>
      </c>
    </row>
    <row r="427" spans="2:15" ht="15" customHeight="1">
      <c r="B427" s="483">
        <v>1</v>
      </c>
      <c r="C427" s="484" t="s">
        <v>2054</v>
      </c>
      <c r="D427" s="488" t="s">
        <v>126</v>
      </c>
      <c r="E427" s="488" t="str">
        <f t="shared" si="25"/>
        <v>Open</v>
      </c>
      <c r="F427" s="488">
        <v>42488</v>
      </c>
      <c r="G427" s="488"/>
      <c r="H427" s="484" t="s">
        <v>673</v>
      </c>
      <c r="I427" s="484" t="str">
        <f>VLOOKUP(TabListaLojas[[#This Row],[UF]],UF!A:E,3,0)</f>
        <v>Southest</v>
      </c>
      <c r="J427" s="484" t="s">
        <v>122</v>
      </c>
      <c r="K427" s="484" t="str">
        <f>VLOOKUP(TabListaLojas[[#This Row],[UF]],UF!A:B,2,0)</f>
        <v>Rio de Janeiro</v>
      </c>
      <c r="L427" s="484" t="s">
        <v>1104</v>
      </c>
      <c r="M427" s="484" t="s">
        <v>1169</v>
      </c>
      <c r="N427" s="484" t="s">
        <v>676</v>
      </c>
      <c r="O427" s="487">
        <v>453.52</v>
      </c>
    </row>
    <row r="428" spans="2:15" ht="15" customHeight="1">
      <c r="B428" s="483">
        <v>1</v>
      </c>
      <c r="C428" s="484" t="s">
        <v>1707</v>
      </c>
      <c r="D428" s="488" t="s">
        <v>116</v>
      </c>
      <c r="E428" s="488" t="str">
        <f t="shared" si="25"/>
        <v>Open</v>
      </c>
      <c r="F428" s="488">
        <v>42488</v>
      </c>
      <c r="G428" s="488"/>
      <c r="H428" s="484" t="s">
        <v>673</v>
      </c>
      <c r="I428" s="484" t="str">
        <f>VLOOKUP(TabListaLojas[[#This Row],[UF]],UF!A:E,3,0)</f>
        <v>Southest</v>
      </c>
      <c r="J428" s="484" t="s">
        <v>118</v>
      </c>
      <c r="K428" s="484" t="str">
        <f>VLOOKUP(TabListaLojas[[#This Row],[UF]],UF!A:B,2,0)</f>
        <v>São Paulo</v>
      </c>
      <c r="L428" s="484" t="s">
        <v>124</v>
      </c>
      <c r="M428" s="484" t="s">
        <v>1170</v>
      </c>
      <c r="N428" s="484" t="s">
        <v>676</v>
      </c>
      <c r="O428" s="487">
        <v>1871.5400000000002</v>
      </c>
    </row>
    <row r="429" spans="2:15" ht="15" customHeight="1">
      <c r="B429" s="483">
        <v>1</v>
      </c>
      <c r="C429" s="484" t="s">
        <v>1708</v>
      </c>
      <c r="D429" s="488" t="s">
        <v>116</v>
      </c>
      <c r="E429" s="488" t="str">
        <f t="shared" si="25"/>
        <v>Open</v>
      </c>
      <c r="F429" s="488">
        <v>42487</v>
      </c>
      <c r="G429" s="488"/>
      <c r="H429" s="484" t="s">
        <v>673</v>
      </c>
      <c r="I429" s="484" t="str">
        <f>VLOOKUP(TabListaLojas[[#This Row],[UF]],UF!A:E,3,0)</f>
        <v>Southest</v>
      </c>
      <c r="J429" s="484" t="s">
        <v>122</v>
      </c>
      <c r="K429" s="484" t="str">
        <f>VLOOKUP(TabListaLojas[[#This Row],[UF]],UF!A:B,2,0)</f>
        <v>Rio de Janeiro</v>
      </c>
      <c r="L429" s="484" t="s">
        <v>1104</v>
      </c>
      <c r="M429" s="484" t="s">
        <v>1169</v>
      </c>
      <c r="N429" s="484" t="s">
        <v>676</v>
      </c>
      <c r="O429" s="487">
        <v>3245.28</v>
      </c>
    </row>
    <row r="430" spans="2:15" ht="15" customHeight="1">
      <c r="B430" s="483">
        <v>1</v>
      </c>
      <c r="C430" s="484" t="s">
        <v>2164</v>
      </c>
      <c r="D430" s="488" t="s">
        <v>127</v>
      </c>
      <c r="E430" s="488" t="str">
        <f t="shared" si="25"/>
        <v>Open</v>
      </c>
      <c r="F430" s="488">
        <v>42487</v>
      </c>
      <c r="G430" s="488"/>
      <c r="H430" s="484" t="s">
        <v>673</v>
      </c>
      <c r="I430" s="484" t="str">
        <f>VLOOKUP(TabListaLojas[[#This Row],[UF]],UF!A:E,3,0)</f>
        <v>South</v>
      </c>
      <c r="J430" s="484" t="s">
        <v>117</v>
      </c>
      <c r="K430" s="484" t="str">
        <f>VLOOKUP(TabListaLojas[[#This Row],[UF]],UF!A:B,2,0)</f>
        <v>Rio Grande do Sul</v>
      </c>
      <c r="L430" s="484" t="s">
        <v>129</v>
      </c>
      <c r="M430" s="484" t="s">
        <v>1171</v>
      </c>
      <c r="N430" s="484" t="s">
        <v>676</v>
      </c>
      <c r="O430" s="487">
        <v>231.84</v>
      </c>
    </row>
    <row r="431" spans="2:15" ht="15" customHeight="1">
      <c r="B431" s="483">
        <v>1</v>
      </c>
      <c r="C431" s="484" t="s">
        <v>1709</v>
      </c>
      <c r="D431" s="488" t="s">
        <v>116</v>
      </c>
      <c r="E431" s="488" t="str">
        <f t="shared" si="25"/>
        <v>Open</v>
      </c>
      <c r="F431" s="488">
        <v>42486</v>
      </c>
      <c r="G431" s="488"/>
      <c r="H431" s="484" t="s">
        <v>673</v>
      </c>
      <c r="I431" s="484" t="str">
        <f>VLOOKUP(TabListaLojas[[#This Row],[UF]],UF!A:E,3,0)</f>
        <v>Midwest</v>
      </c>
      <c r="J431" s="484" t="s">
        <v>123</v>
      </c>
      <c r="K431" s="484" t="str">
        <f>VLOOKUP(TabListaLojas[[#This Row],[UF]],UF!A:B,2,0)</f>
        <v>Goiás</v>
      </c>
      <c r="L431" s="484" t="s">
        <v>140</v>
      </c>
      <c r="M431" s="484" t="s">
        <v>1172</v>
      </c>
      <c r="N431" s="484" t="s">
        <v>676</v>
      </c>
      <c r="O431" s="487">
        <v>1739.93</v>
      </c>
    </row>
    <row r="432" spans="2:15" ht="15" customHeight="1">
      <c r="B432" s="483">
        <v>1</v>
      </c>
      <c r="C432" s="484" t="s">
        <v>1710</v>
      </c>
      <c r="D432" s="488" t="s">
        <v>116</v>
      </c>
      <c r="E432" s="488" t="str">
        <f t="shared" si="25"/>
        <v>Open</v>
      </c>
      <c r="F432" s="488">
        <v>42486</v>
      </c>
      <c r="G432" s="488"/>
      <c r="H432" s="484" t="s">
        <v>673</v>
      </c>
      <c r="I432" s="484" t="str">
        <f>VLOOKUP(TabListaLojas[[#This Row],[UF]],UF!A:E,3,0)</f>
        <v>Northest</v>
      </c>
      <c r="J432" s="484" t="s">
        <v>121</v>
      </c>
      <c r="K432" s="484" t="str">
        <f>VLOOKUP(TabListaLojas[[#This Row],[UF]],UF!A:B,2,0)</f>
        <v>Pernambuco</v>
      </c>
      <c r="L432" s="484" t="s">
        <v>1173</v>
      </c>
      <c r="M432" s="484" t="s">
        <v>1174</v>
      </c>
      <c r="N432" s="484" t="s">
        <v>676</v>
      </c>
      <c r="O432" s="487">
        <v>2414.8000000000002</v>
      </c>
    </row>
    <row r="433" spans="2:15" ht="15" customHeight="1">
      <c r="B433" s="483">
        <v>1</v>
      </c>
      <c r="C433" s="484" t="s">
        <v>2163</v>
      </c>
      <c r="D433" s="488" t="s">
        <v>127</v>
      </c>
      <c r="E433" s="488" t="str">
        <f t="shared" si="25"/>
        <v>Open</v>
      </c>
      <c r="F433" s="488">
        <v>42480</v>
      </c>
      <c r="G433" s="488"/>
      <c r="H433" s="484" t="s">
        <v>673</v>
      </c>
      <c r="I433" s="484" t="str">
        <f>VLOOKUP(TabListaLojas[[#This Row],[UF]],UF!A:E,3,0)</f>
        <v>Southest</v>
      </c>
      <c r="J433" s="484" t="s">
        <v>118</v>
      </c>
      <c r="K433" s="484" t="str">
        <f>VLOOKUP(TabListaLojas[[#This Row],[UF]],UF!A:B,2,0)</f>
        <v>São Paulo</v>
      </c>
      <c r="L433" s="484" t="s">
        <v>124</v>
      </c>
      <c r="M433" s="484" t="s">
        <v>1175</v>
      </c>
      <c r="N433" s="484" t="s">
        <v>676</v>
      </c>
      <c r="O433" s="487">
        <v>137</v>
      </c>
    </row>
    <row r="434" spans="2:15" ht="15" customHeight="1">
      <c r="B434" s="483">
        <v>1</v>
      </c>
      <c r="C434" s="484" t="s">
        <v>1711</v>
      </c>
      <c r="D434" s="488" t="s">
        <v>116</v>
      </c>
      <c r="E434" s="488" t="str">
        <f t="shared" si="25"/>
        <v>Open</v>
      </c>
      <c r="F434" s="488">
        <v>42476</v>
      </c>
      <c r="G434" s="488"/>
      <c r="H434" s="484" t="s">
        <v>673</v>
      </c>
      <c r="I434" s="484" t="str">
        <f>VLOOKUP(TabListaLojas[[#This Row],[UF]],UF!A:E,3,0)</f>
        <v>South</v>
      </c>
      <c r="J434" s="484" t="s">
        <v>147</v>
      </c>
      <c r="K434" s="484" t="str">
        <f>VLOOKUP(TabListaLojas[[#This Row],[UF]],UF!A:B,2,0)</f>
        <v>Santa Catarina</v>
      </c>
      <c r="L434" s="484" t="s">
        <v>814</v>
      </c>
      <c r="M434" s="484" t="s">
        <v>1125</v>
      </c>
      <c r="N434" s="484" t="s">
        <v>676</v>
      </c>
      <c r="O434" s="487">
        <v>2697.8</v>
      </c>
    </row>
    <row r="435" spans="2:15" ht="15" customHeight="1">
      <c r="B435" s="483">
        <v>1</v>
      </c>
      <c r="C435" s="484" t="s">
        <v>1712</v>
      </c>
      <c r="D435" s="488" t="s">
        <v>116</v>
      </c>
      <c r="E435" s="488" t="str">
        <f t="shared" si="25"/>
        <v>Open</v>
      </c>
      <c r="F435" s="488">
        <v>42472</v>
      </c>
      <c r="G435" s="488"/>
      <c r="H435" s="484" t="s">
        <v>673</v>
      </c>
      <c r="I435" s="484" t="str">
        <f>VLOOKUP(TabListaLojas[[#This Row],[UF]],UF!A:E,3,0)</f>
        <v>Southest</v>
      </c>
      <c r="J435" s="484" t="s">
        <v>149</v>
      </c>
      <c r="K435" s="484" t="str">
        <f>VLOOKUP(TabListaLojas[[#This Row],[UF]],UF!A:B,2,0)</f>
        <v>Minas Gerais</v>
      </c>
      <c r="L435" s="484" t="s">
        <v>1043</v>
      </c>
      <c r="M435" s="484" t="s">
        <v>1176</v>
      </c>
      <c r="N435" s="484" t="s">
        <v>676</v>
      </c>
      <c r="O435" s="487">
        <v>1946.48</v>
      </c>
    </row>
    <row r="436" spans="2:15" ht="15" customHeight="1">
      <c r="B436" s="483">
        <v>1</v>
      </c>
      <c r="C436" s="484" t="s">
        <v>2162</v>
      </c>
      <c r="D436" s="488" t="s">
        <v>127</v>
      </c>
      <c r="E436" s="488" t="str">
        <f t="shared" si="25"/>
        <v>Open</v>
      </c>
      <c r="F436" s="488">
        <v>42467</v>
      </c>
      <c r="G436" s="488"/>
      <c r="H436" s="484" t="s">
        <v>673</v>
      </c>
      <c r="I436" s="484" t="str">
        <f>VLOOKUP(TabListaLojas[[#This Row],[UF]],UF!A:E,3,0)</f>
        <v>Southest</v>
      </c>
      <c r="J436" s="484" t="s">
        <v>118</v>
      </c>
      <c r="K436" s="484" t="str">
        <f>VLOOKUP(TabListaLojas[[#This Row],[UF]],UF!A:B,2,0)</f>
        <v>São Paulo</v>
      </c>
      <c r="L436" s="484" t="s">
        <v>905</v>
      </c>
      <c r="M436" s="484" t="s">
        <v>906</v>
      </c>
      <c r="N436" s="484" t="s">
        <v>676</v>
      </c>
      <c r="O436" s="487">
        <v>190.63</v>
      </c>
    </row>
    <row r="437" spans="2:15" ht="15" customHeight="1">
      <c r="B437" s="483">
        <v>1</v>
      </c>
      <c r="C437" s="484" t="s">
        <v>2160</v>
      </c>
      <c r="D437" s="488" t="s">
        <v>127</v>
      </c>
      <c r="E437" s="488" t="str">
        <f t="shared" si="25"/>
        <v>Open</v>
      </c>
      <c r="F437" s="488">
        <v>42459</v>
      </c>
      <c r="G437" s="488"/>
      <c r="H437" s="484" t="s">
        <v>673</v>
      </c>
      <c r="I437" s="484" t="str">
        <f>VLOOKUP(TabListaLojas[[#This Row],[UF]],UF!A:E,3,0)</f>
        <v>Southest</v>
      </c>
      <c r="J437" s="484" t="s">
        <v>118</v>
      </c>
      <c r="K437" s="484" t="str">
        <f>VLOOKUP(TabListaLojas[[#This Row],[UF]],UF!A:B,2,0)</f>
        <v>São Paulo</v>
      </c>
      <c r="L437" s="484" t="s">
        <v>770</v>
      </c>
      <c r="M437" s="484" t="s">
        <v>1177</v>
      </c>
      <c r="N437" s="484" t="s">
        <v>676</v>
      </c>
      <c r="O437" s="487">
        <v>150</v>
      </c>
    </row>
    <row r="438" spans="2:15" ht="15" customHeight="1">
      <c r="B438" s="483">
        <v>1</v>
      </c>
      <c r="C438" s="484" t="s">
        <v>2161</v>
      </c>
      <c r="D438" s="488" t="s">
        <v>127</v>
      </c>
      <c r="E438" s="488" t="str">
        <f t="shared" si="25"/>
        <v>Open</v>
      </c>
      <c r="F438" s="488">
        <v>42459</v>
      </c>
      <c r="G438" s="488"/>
      <c r="H438" s="484" t="s">
        <v>673</v>
      </c>
      <c r="I438" s="484" t="str">
        <f>VLOOKUP(TabListaLojas[[#This Row],[UF]],UF!A:E,3,0)</f>
        <v>Southest</v>
      </c>
      <c r="J438" s="484" t="s">
        <v>118</v>
      </c>
      <c r="K438" s="484" t="str">
        <f>VLOOKUP(TabListaLojas[[#This Row],[UF]],UF!A:B,2,0)</f>
        <v>São Paulo</v>
      </c>
      <c r="L438" s="484" t="s">
        <v>124</v>
      </c>
      <c r="M438" s="484" t="s">
        <v>1178</v>
      </c>
      <c r="N438" s="484" t="s">
        <v>676</v>
      </c>
      <c r="O438" s="487">
        <v>361.27000000000004</v>
      </c>
    </row>
    <row r="439" spans="2:15" ht="15" customHeight="1">
      <c r="B439" s="483">
        <v>1</v>
      </c>
      <c r="C439" s="484" t="s">
        <v>2159</v>
      </c>
      <c r="D439" s="488" t="s">
        <v>127</v>
      </c>
      <c r="E439" s="488" t="str">
        <f t="shared" si="25"/>
        <v>Open</v>
      </c>
      <c r="F439" s="488">
        <v>42453</v>
      </c>
      <c r="G439" s="488"/>
      <c r="H439" s="484" t="s">
        <v>673</v>
      </c>
      <c r="I439" s="484" t="str">
        <f>VLOOKUP(TabListaLojas[[#This Row],[UF]],UF!A:E,3,0)</f>
        <v>Southest</v>
      </c>
      <c r="J439" s="484" t="s">
        <v>118</v>
      </c>
      <c r="K439" s="484" t="str">
        <f>VLOOKUP(TabListaLojas[[#This Row],[UF]],UF!A:B,2,0)</f>
        <v>São Paulo</v>
      </c>
      <c r="L439" s="484" t="s">
        <v>124</v>
      </c>
      <c r="M439" s="484" t="s">
        <v>1179</v>
      </c>
      <c r="N439" s="484" t="s">
        <v>676</v>
      </c>
      <c r="O439" s="487">
        <v>236</v>
      </c>
    </row>
    <row r="440" spans="2:15" ht="15" hidden="1" customHeight="1">
      <c r="B440" s="491">
        <v>0</v>
      </c>
      <c r="C440" s="492" t="s">
        <v>2053</v>
      </c>
      <c r="D440" s="493" t="s">
        <v>126</v>
      </c>
      <c r="E440" s="493" t="str">
        <f t="shared" si="25"/>
        <v>Closed</v>
      </c>
      <c r="F440" s="493">
        <v>42452</v>
      </c>
      <c r="G440" s="493">
        <v>44949</v>
      </c>
      <c r="H440" s="492" t="s">
        <v>673</v>
      </c>
      <c r="I440" s="492" t="str">
        <f>VLOOKUP(TabListaLojas[[#This Row],[UF]],UF!A:E,3,0)</f>
        <v>Northest</v>
      </c>
      <c r="J440" s="492" t="s">
        <v>154</v>
      </c>
      <c r="K440" s="492" t="str">
        <f>VLOOKUP(TabListaLojas[[#This Row],[UF]],UF!A:B,2,0)</f>
        <v>Maranhão</v>
      </c>
      <c r="L440" s="492" t="s">
        <v>171</v>
      </c>
      <c r="M440" s="492" t="s">
        <v>1526</v>
      </c>
      <c r="N440" s="492" t="s">
        <v>676</v>
      </c>
      <c r="O440" s="495">
        <v>0</v>
      </c>
    </row>
    <row r="441" spans="2:15" ht="15" customHeight="1">
      <c r="B441" s="483">
        <v>1</v>
      </c>
      <c r="C441" s="484" t="s">
        <v>1713</v>
      </c>
      <c r="D441" s="488" t="s">
        <v>116</v>
      </c>
      <c r="E441" s="488" t="str">
        <f t="shared" si="25"/>
        <v>Open</v>
      </c>
      <c r="F441" s="488">
        <v>42451</v>
      </c>
      <c r="G441" s="488"/>
      <c r="H441" s="484" t="s">
        <v>673</v>
      </c>
      <c r="I441" s="484" t="str">
        <f>VLOOKUP(TabListaLojas[[#This Row],[UF]],UF!A:E,3,0)</f>
        <v>Northest</v>
      </c>
      <c r="J441" s="484" t="s">
        <v>120</v>
      </c>
      <c r="K441" s="484" t="str">
        <f>VLOOKUP(TabListaLojas[[#This Row],[UF]],UF!A:B,2,0)</f>
        <v>Bahia</v>
      </c>
      <c r="L441" s="484" t="s">
        <v>1180</v>
      </c>
      <c r="M441" s="484" t="s">
        <v>1181</v>
      </c>
      <c r="N441" s="484" t="s">
        <v>676</v>
      </c>
      <c r="O441" s="487">
        <v>2076.8000000000002</v>
      </c>
    </row>
    <row r="442" spans="2:15" ht="15" hidden="1" customHeight="1">
      <c r="B442" s="491">
        <v>0</v>
      </c>
      <c r="C442" s="492" t="s">
        <v>2253</v>
      </c>
      <c r="D442" s="493" t="s">
        <v>116</v>
      </c>
      <c r="E442" s="493" t="str">
        <f t="shared" si="25"/>
        <v>Closed</v>
      </c>
      <c r="F442" s="493">
        <v>42445</v>
      </c>
      <c r="G442" s="493">
        <v>45062</v>
      </c>
      <c r="H442" s="492" t="s">
        <v>673</v>
      </c>
      <c r="I442" s="492" t="str">
        <f>VLOOKUP(TabListaLojas[[#This Row],[UF]],UF!A:E,3,0)</f>
        <v>Southest</v>
      </c>
      <c r="J442" s="492" t="s">
        <v>149</v>
      </c>
      <c r="K442" s="492" t="str">
        <f>VLOOKUP(TabListaLojas[[#This Row],[UF]],UF!A:B,2,0)</f>
        <v>Minas Gerais</v>
      </c>
      <c r="L442" s="492" t="s">
        <v>136</v>
      </c>
      <c r="M442" s="492" t="s">
        <v>1527</v>
      </c>
      <c r="N442" s="492" t="s">
        <v>676</v>
      </c>
      <c r="O442" s="495">
        <v>0</v>
      </c>
    </row>
    <row r="443" spans="2:15" ht="15" customHeight="1">
      <c r="B443" s="483">
        <v>1</v>
      </c>
      <c r="C443" s="484" t="s">
        <v>2158</v>
      </c>
      <c r="D443" s="488" t="s">
        <v>127</v>
      </c>
      <c r="E443" s="488" t="str">
        <f t="shared" si="25"/>
        <v>Open</v>
      </c>
      <c r="F443" s="488">
        <v>42439</v>
      </c>
      <c r="G443" s="488"/>
      <c r="H443" s="484" t="s">
        <v>673</v>
      </c>
      <c r="I443" s="484" t="str">
        <f>VLOOKUP(TabListaLojas[[#This Row],[UF]],UF!A:E,3,0)</f>
        <v>South</v>
      </c>
      <c r="J443" s="484" t="s">
        <v>147</v>
      </c>
      <c r="K443" s="484" t="str">
        <f>VLOOKUP(TabListaLojas[[#This Row],[UF]],UF!A:B,2,0)</f>
        <v>Santa Catarina</v>
      </c>
      <c r="L443" s="484" t="s">
        <v>135</v>
      </c>
      <c r="M443" s="484" t="s">
        <v>1182</v>
      </c>
      <c r="N443" s="484" t="s">
        <v>676</v>
      </c>
      <c r="O443" s="487">
        <v>154</v>
      </c>
    </row>
    <row r="444" spans="2:15" ht="15" customHeight="1">
      <c r="B444" s="483">
        <v>1</v>
      </c>
      <c r="C444" s="484" t="s">
        <v>1714</v>
      </c>
      <c r="D444" s="488" t="s">
        <v>116</v>
      </c>
      <c r="E444" s="488" t="str">
        <f t="shared" si="25"/>
        <v>Open</v>
      </c>
      <c r="F444" s="488">
        <v>42348</v>
      </c>
      <c r="G444" s="488"/>
      <c r="H444" s="484" t="s">
        <v>673</v>
      </c>
      <c r="I444" s="484" t="str">
        <f>VLOOKUP(TabListaLojas[[#This Row],[UF]],UF!A:E,3,0)</f>
        <v>South</v>
      </c>
      <c r="J444" s="484" t="s">
        <v>117</v>
      </c>
      <c r="K444" s="484" t="str">
        <f>VLOOKUP(TabListaLojas[[#This Row],[UF]],UF!A:B,2,0)</f>
        <v>Rio Grande do Sul</v>
      </c>
      <c r="L444" s="484" t="s">
        <v>1183</v>
      </c>
      <c r="M444" s="484" t="s">
        <v>1184</v>
      </c>
      <c r="N444" s="484" t="s">
        <v>714</v>
      </c>
      <c r="O444" s="487">
        <v>1584</v>
      </c>
    </row>
    <row r="445" spans="2:15" ht="15" customHeight="1">
      <c r="B445" s="483">
        <v>1</v>
      </c>
      <c r="C445" s="484" t="s">
        <v>2157</v>
      </c>
      <c r="D445" s="488" t="s">
        <v>127</v>
      </c>
      <c r="E445" s="488" t="str">
        <f t="shared" si="25"/>
        <v>Open</v>
      </c>
      <c r="F445" s="488">
        <v>42348</v>
      </c>
      <c r="G445" s="488"/>
      <c r="H445" s="484" t="s">
        <v>673</v>
      </c>
      <c r="I445" s="484" t="str">
        <f>VLOOKUP(TabListaLojas[[#This Row],[UF]],UF!A:E,3,0)</f>
        <v>South</v>
      </c>
      <c r="J445" s="484" t="s">
        <v>147</v>
      </c>
      <c r="K445" s="484" t="str">
        <f>VLOOKUP(TabListaLojas[[#This Row],[UF]],UF!A:B,2,0)</f>
        <v>Santa Catarina</v>
      </c>
      <c r="L445" s="484" t="s">
        <v>1013</v>
      </c>
      <c r="M445" s="484" t="s">
        <v>1185</v>
      </c>
      <c r="N445" s="484" t="s">
        <v>676</v>
      </c>
      <c r="O445" s="487">
        <v>123.83</v>
      </c>
    </row>
    <row r="446" spans="2:15" ht="15" hidden="1" customHeight="1">
      <c r="B446" s="491">
        <v>0</v>
      </c>
      <c r="C446" s="492" t="s">
        <v>2127</v>
      </c>
      <c r="D446" s="493" t="s">
        <v>127</v>
      </c>
      <c r="E446" s="493" t="str">
        <f t="shared" si="25"/>
        <v>Closed</v>
      </c>
      <c r="F446" s="493">
        <v>42341</v>
      </c>
      <c r="G446" s="493">
        <v>43862</v>
      </c>
      <c r="H446" s="492" t="s">
        <v>673</v>
      </c>
      <c r="I446" s="492" t="str">
        <f>VLOOKUP(TabListaLojas[[#This Row],[UF]],UF!A:E,3,0)</f>
        <v>Southest</v>
      </c>
      <c r="J446" s="492" t="s">
        <v>118</v>
      </c>
      <c r="K446" s="492" t="str">
        <f>VLOOKUP(TabListaLojas[[#This Row],[UF]],UF!A:B,2,0)</f>
        <v>São Paulo</v>
      </c>
      <c r="L446" s="492" t="s">
        <v>1186</v>
      </c>
      <c r="M446" s="492" t="s">
        <v>1528</v>
      </c>
      <c r="N446" s="492" t="s">
        <v>676</v>
      </c>
      <c r="O446" s="495">
        <v>0</v>
      </c>
    </row>
    <row r="447" spans="2:15" ht="15" customHeight="1">
      <c r="B447" s="483">
        <v>1</v>
      </c>
      <c r="C447" s="484" t="s">
        <v>1715</v>
      </c>
      <c r="D447" s="488" t="s">
        <v>116</v>
      </c>
      <c r="E447" s="488" t="str">
        <f t="shared" si="25"/>
        <v>Open</v>
      </c>
      <c r="F447" s="488">
        <v>42335</v>
      </c>
      <c r="G447" s="488"/>
      <c r="H447" s="484" t="s">
        <v>673</v>
      </c>
      <c r="I447" s="484" t="str">
        <f>VLOOKUP(TabListaLojas[[#This Row],[UF]],UF!A:E,3,0)</f>
        <v>Midwest</v>
      </c>
      <c r="J447" s="484" t="s">
        <v>123</v>
      </c>
      <c r="K447" s="484" t="str">
        <f>VLOOKUP(TabListaLojas[[#This Row],[UF]],UF!A:B,2,0)</f>
        <v>Goiás</v>
      </c>
      <c r="L447" s="484" t="s">
        <v>1187</v>
      </c>
      <c r="M447" s="484" t="s">
        <v>946</v>
      </c>
      <c r="N447" s="484" t="s">
        <v>676</v>
      </c>
      <c r="O447" s="487">
        <v>2047</v>
      </c>
    </row>
    <row r="448" spans="2:15" ht="15" customHeight="1">
      <c r="B448" s="483">
        <v>1</v>
      </c>
      <c r="C448" s="484" t="s">
        <v>1716</v>
      </c>
      <c r="D448" s="488" t="s">
        <v>116</v>
      </c>
      <c r="E448" s="488" t="str">
        <f t="shared" si="25"/>
        <v>Open</v>
      </c>
      <c r="F448" s="488">
        <v>42335</v>
      </c>
      <c r="G448" s="488"/>
      <c r="H448" s="484" t="s">
        <v>673</v>
      </c>
      <c r="I448" s="484" t="str">
        <f>VLOOKUP(TabListaLojas[[#This Row],[UF]],UF!A:E,3,0)</f>
        <v>Southest</v>
      </c>
      <c r="J448" s="484" t="s">
        <v>118</v>
      </c>
      <c r="K448" s="484" t="str">
        <f>VLOOKUP(TabListaLojas[[#This Row],[UF]],UF!A:B,2,0)</f>
        <v>São Paulo</v>
      </c>
      <c r="L448" s="484" t="s">
        <v>1188</v>
      </c>
      <c r="M448" s="484" t="s">
        <v>1189</v>
      </c>
      <c r="N448" s="484" t="s">
        <v>676</v>
      </c>
      <c r="O448" s="487">
        <v>1863.04</v>
      </c>
    </row>
    <row r="449" spans="2:15" ht="15" customHeight="1">
      <c r="B449" s="483">
        <v>1</v>
      </c>
      <c r="C449" s="484" t="s">
        <v>1717</v>
      </c>
      <c r="D449" s="488" t="s">
        <v>116</v>
      </c>
      <c r="E449" s="488" t="str">
        <f t="shared" si="25"/>
        <v>Open</v>
      </c>
      <c r="F449" s="488">
        <v>42334</v>
      </c>
      <c r="G449" s="488"/>
      <c r="H449" s="484" t="s">
        <v>673</v>
      </c>
      <c r="I449" s="484" t="str">
        <f>VLOOKUP(TabListaLojas[[#This Row],[UF]],UF!A:E,3,0)</f>
        <v>Northest</v>
      </c>
      <c r="J449" s="484" t="s">
        <v>121</v>
      </c>
      <c r="K449" s="484" t="str">
        <f>VLOOKUP(TabListaLojas[[#This Row],[UF]],UF!A:B,2,0)</f>
        <v>Pernambuco</v>
      </c>
      <c r="L449" s="484" t="s">
        <v>125</v>
      </c>
      <c r="M449" s="484" t="s">
        <v>1190</v>
      </c>
      <c r="N449" s="484" t="s">
        <v>676</v>
      </c>
      <c r="O449" s="487">
        <v>2258.0500000000002</v>
      </c>
    </row>
    <row r="450" spans="2:15" ht="15" customHeight="1">
      <c r="B450" s="483">
        <v>1</v>
      </c>
      <c r="C450" s="484" t="s">
        <v>1718</v>
      </c>
      <c r="D450" s="488" t="s">
        <v>116</v>
      </c>
      <c r="E450" s="488" t="str">
        <f t="shared" si="25"/>
        <v>Open</v>
      </c>
      <c r="F450" s="488">
        <v>42334</v>
      </c>
      <c r="G450" s="488"/>
      <c r="H450" s="484" t="s">
        <v>673</v>
      </c>
      <c r="I450" s="484" t="str">
        <f>VLOOKUP(TabListaLojas[[#This Row],[UF]],UF!A:E,3,0)</f>
        <v>Southest</v>
      </c>
      <c r="J450" s="484" t="s">
        <v>118</v>
      </c>
      <c r="K450" s="484" t="str">
        <f>VLOOKUP(TabListaLojas[[#This Row],[UF]],UF!A:B,2,0)</f>
        <v>São Paulo</v>
      </c>
      <c r="L450" s="484" t="s">
        <v>1191</v>
      </c>
      <c r="M450" s="484" t="s">
        <v>1192</v>
      </c>
      <c r="N450" s="484" t="s">
        <v>676</v>
      </c>
      <c r="O450" s="487">
        <v>2014.74</v>
      </c>
    </row>
    <row r="451" spans="2:15" ht="15" customHeight="1">
      <c r="B451" s="483">
        <v>1</v>
      </c>
      <c r="C451" s="484" t="s">
        <v>1719</v>
      </c>
      <c r="D451" s="488" t="s">
        <v>116</v>
      </c>
      <c r="E451" s="488" t="str">
        <f t="shared" si="25"/>
        <v>Open</v>
      </c>
      <c r="F451" s="488">
        <v>42334</v>
      </c>
      <c r="G451" s="488"/>
      <c r="H451" s="484" t="s">
        <v>673</v>
      </c>
      <c r="I451" s="484" t="str">
        <f>VLOOKUP(TabListaLojas[[#This Row],[UF]],UF!A:E,3,0)</f>
        <v>Southest</v>
      </c>
      <c r="J451" s="484" t="s">
        <v>122</v>
      </c>
      <c r="K451" s="484" t="str">
        <f>VLOOKUP(TabListaLojas[[#This Row],[UF]],UF!A:B,2,0)</f>
        <v>Rio de Janeiro</v>
      </c>
      <c r="L451" s="484" t="s">
        <v>1193</v>
      </c>
      <c r="M451" s="484" t="s">
        <v>1194</v>
      </c>
      <c r="N451" s="484" t="s">
        <v>676</v>
      </c>
      <c r="O451" s="487">
        <v>1473.4</v>
      </c>
    </row>
    <row r="452" spans="2:15" ht="15" customHeight="1">
      <c r="B452" s="483">
        <v>1</v>
      </c>
      <c r="C452" s="484" t="s">
        <v>1720</v>
      </c>
      <c r="D452" s="488" t="s">
        <v>116</v>
      </c>
      <c r="E452" s="488" t="str">
        <f t="shared" si="25"/>
        <v>Open</v>
      </c>
      <c r="F452" s="488">
        <v>42334</v>
      </c>
      <c r="G452" s="488"/>
      <c r="H452" s="484" t="s">
        <v>673</v>
      </c>
      <c r="I452" s="484" t="str">
        <f>VLOOKUP(TabListaLojas[[#This Row],[UF]],UF!A:E,3,0)</f>
        <v>Northest</v>
      </c>
      <c r="J452" s="484" t="s">
        <v>120</v>
      </c>
      <c r="K452" s="484" t="str">
        <f>VLOOKUP(TabListaLojas[[#This Row],[UF]],UF!A:B,2,0)</f>
        <v>Bahia</v>
      </c>
      <c r="L452" s="484" t="s">
        <v>1195</v>
      </c>
      <c r="M452" s="484" t="s">
        <v>1196</v>
      </c>
      <c r="N452" s="484" t="s">
        <v>676</v>
      </c>
      <c r="O452" s="487">
        <v>2085.1799999999998</v>
      </c>
    </row>
    <row r="453" spans="2:15" ht="15" customHeight="1">
      <c r="B453" s="483">
        <v>1</v>
      </c>
      <c r="C453" s="484" t="s">
        <v>2052</v>
      </c>
      <c r="D453" s="488" t="s">
        <v>126</v>
      </c>
      <c r="E453" s="488" t="str">
        <f t="shared" si="25"/>
        <v>Open</v>
      </c>
      <c r="F453" s="488">
        <v>42326</v>
      </c>
      <c r="G453" s="488"/>
      <c r="H453" s="484" t="s">
        <v>673</v>
      </c>
      <c r="I453" s="484" t="str">
        <f>VLOOKUP(TabListaLojas[[#This Row],[UF]],UF!A:E,3,0)</f>
        <v>Northest</v>
      </c>
      <c r="J453" s="484" t="s">
        <v>151</v>
      </c>
      <c r="K453" s="484" t="str">
        <f>VLOOKUP(TabListaLojas[[#This Row],[UF]],UF!A:B,2,0)</f>
        <v>Piauí</v>
      </c>
      <c r="L453" s="484" t="s">
        <v>132</v>
      </c>
      <c r="M453" s="484" t="s">
        <v>754</v>
      </c>
      <c r="N453" s="484" t="s">
        <v>676</v>
      </c>
      <c r="O453" s="487">
        <v>618.96</v>
      </c>
    </row>
    <row r="454" spans="2:15" ht="15" customHeight="1">
      <c r="B454" s="483">
        <v>1</v>
      </c>
      <c r="C454" s="484" t="s">
        <v>1721</v>
      </c>
      <c r="D454" s="488" t="s">
        <v>116</v>
      </c>
      <c r="E454" s="488" t="str">
        <f t="shared" si="25"/>
        <v>Open</v>
      </c>
      <c r="F454" s="488">
        <v>42325</v>
      </c>
      <c r="G454" s="488"/>
      <c r="H454" s="484" t="s">
        <v>673</v>
      </c>
      <c r="I454" s="484" t="str">
        <f>VLOOKUP(TabListaLojas[[#This Row],[UF]],UF!A:E,3,0)</f>
        <v>Midwest</v>
      </c>
      <c r="J454" s="484" t="s">
        <v>119</v>
      </c>
      <c r="K454" s="484" t="str">
        <f>VLOOKUP(TabListaLojas[[#This Row],[UF]],UF!A:B,2,0)</f>
        <v>Mato Grosso</v>
      </c>
      <c r="L454" s="484" t="s">
        <v>1197</v>
      </c>
      <c r="M454" s="484" t="s">
        <v>1198</v>
      </c>
      <c r="N454" s="484" t="s">
        <v>676</v>
      </c>
      <c r="O454" s="487">
        <v>2213.9700000000003</v>
      </c>
    </row>
    <row r="455" spans="2:15" ht="15" customHeight="1">
      <c r="B455" s="483">
        <v>1</v>
      </c>
      <c r="C455" s="484" t="s">
        <v>2051</v>
      </c>
      <c r="D455" s="488" t="s">
        <v>126</v>
      </c>
      <c r="E455" s="488" t="str">
        <f t="shared" si="25"/>
        <v>Open</v>
      </c>
      <c r="F455" s="488">
        <v>42322</v>
      </c>
      <c r="G455" s="488"/>
      <c r="H455" s="484" t="s">
        <v>673</v>
      </c>
      <c r="I455" s="484" t="str">
        <f>VLOOKUP(TabListaLojas[[#This Row],[UF]],UF!A:E,3,0)</f>
        <v>Southest</v>
      </c>
      <c r="J455" s="484" t="s">
        <v>118</v>
      </c>
      <c r="K455" s="484" t="str">
        <f>VLOOKUP(TabListaLojas[[#This Row],[UF]],UF!A:B,2,0)</f>
        <v>São Paulo</v>
      </c>
      <c r="L455" s="484" t="s">
        <v>124</v>
      </c>
      <c r="M455" s="484" t="s">
        <v>1199</v>
      </c>
      <c r="N455" s="484" t="s">
        <v>676</v>
      </c>
      <c r="O455" s="487">
        <v>398.79</v>
      </c>
    </row>
    <row r="456" spans="2:15" ht="15" customHeight="1">
      <c r="B456" s="483">
        <v>1</v>
      </c>
      <c r="C456" s="484" t="s">
        <v>1722</v>
      </c>
      <c r="D456" s="488" t="s">
        <v>116</v>
      </c>
      <c r="E456" s="488" t="str">
        <f t="shared" si="25"/>
        <v>Open</v>
      </c>
      <c r="F456" s="488">
        <v>42322</v>
      </c>
      <c r="G456" s="488"/>
      <c r="H456" s="484" t="s">
        <v>673</v>
      </c>
      <c r="I456" s="484" t="str">
        <f>VLOOKUP(TabListaLojas[[#This Row],[UF]],UF!A:E,3,0)</f>
        <v>Southest</v>
      </c>
      <c r="J456" s="484" t="s">
        <v>118</v>
      </c>
      <c r="K456" s="484" t="str">
        <f>VLOOKUP(TabListaLojas[[#This Row],[UF]],UF!A:B,2,0)</f>
        <v>São Paulo</v>
      </c>
      <c r="L456" s="484" t="s">
        <v>1200</v>
      </c>
      <c r="M456" s="484" t="s">
        <v>1201</v>
      </c>
      <c r="N456" s="484" t="s">
        <v>676</v>
      </c>
      <c r="O456" s="487">
        <v>1625.96</v>
      </c>
    </row>
    <row r="457" spans="2:15" ht="15" hidden="1" customHeight="1">
      <c r="B457" s="491">
        <v>0</v>
      </c>
      <c r="C457" s="492" t="s">
        <v>2126</v>
      </c>
      <c r="D457" s="493" t="s">
        <v>127</v>
      </c>
      <c r="E457" s="493" t="str">
        <f t="shared" si="25"/>
        <v>Closed</v>
      </c>
      <c r="F457" s="493">
        <v>42321</v>
      </c>
      <c r="G457" s="493">
        <v>43343</v>
      </c>
      <c r="H457" s="492" t="s">
        <v>673</v>
      </c>
      <c r="I457" s="492" t="str">
        <f>VLOOKUP(TabListaLojas[[#This Row],[UF]],UF!A:E,3,0)</f>
        <v>Southest</v>
      </c>
      <c r="J457" s="492" t="s">
        <v>118</v>
      </c>
      <c r="K457" s="492" t="str">
        <f>VLOOKUP(TabListaLojas[[#This Row],[UF]],UF!A:B,2,0)</f>
        <v>São Paulo</v>
      </c>
      <c r="L457" s="492" t="s">
        <v>1202</v>
      </c>
      <c r="M457" s="492" t="s">
        <v>1529</v>
      </c>
      <c r="N457" s="492" t="s">
        <v>676</v>
      </c>
      <c r="O457" s="495">
        <v>0</v>
      </c>
    </row>
    <row r="458" spans="2:15" ht="15" customHeight="1">
      <c r="B458" s="483">
        <v>1</v>
      </c>
      <c r="C458" s="484" t="s">
        <v>2156</v>
      </c>
      <c r="D458" s="488" t="s">
        <v>127</v>
      </c>
      <c r="E458" s="488" t="str">
        <f t="shared" si="25"/>
        <v>Open</v>
      </c>
      <c r="F458" s="488">
        <v>42320</v>
      </c>
      <c r="G458" s="488"/>
      <c r="H458" s="484" t="s">
        <v>673</v>
      </c>
      <c r="I458" s="484" t="str">
        <f>VLOOKUP(TabListaLojas[[#This Row],[UF]],UF!A:E,3,0)</f>
        <v>Southest</v>
      </c>
      <c r="J458" s="484" t="s">
        <v>118</v>
      </c>
      <c r="K458" s="484" t="str">
        <f>VLOOKUP(TabListaLojas[[#This Row],[UF]],UF!A:B,2,0)</f>
        <v>São Paulo</v>
      </c>
      <c r="L458" s="484" t="s">
        <v>1203</v>
      </c>
      <c r="M458" s="484" t="s">
        <v>1204</v>
      </c>
      <c r="N458" s="484" t="s">
        <v>676</v>
      </c>
      <c r="O458" s="487">
        <v>181</v>
      </c>
    </row>
    <row r="459" spans="2:15" ht="15" hidden="1" customHeight="1">
      <c r="B459" s="491">
        <v>0</v>
      </c>
      <c r="C459" s="492" t="s">
        <v>2252</v>
      </c>
      <c r="D459" s="493" t="s">
        <v>116</v>
      </c>
      <c r="E459" s="493" t="str">
        <f t="shared" si="25"/>
        <v>Closed</v>
      </c>
      <c r="F459" s="493">
        <v>42319</v>
      </c>
      <c r="G459" s="493">
        <v>44725</v>
      </c>
      <c r="H459" s="492" t="s">
        <v>673</v>
      </c>
      <c r="I459" s="492" t="str">
        <f>VLOOKUP(TabListaLojas[[#This Row],[UF]],UF!A:E,3,0)</f>
        <v>Southest</v>
      </c>
      <c r="J459" s="492" t="s">
        <v>118</v>
      </c>
      <c r="K459" s="492" t="str">
        <f>VLOOKUP(TabListaLojas[[#This Row],[UF]],UF!A:B,2,0)</f>
        <v>São Paulo</v>
      </c>
      <c r="L459" s="492" t="s">
        <v>124</v>
      </c>
      <c r="M459" s="492" t="s">
        <v>1530</v>
      </c>
      <c r="N459" s="492" t="s">
        <v>714</v>
      </c>
      <c r="O459" s="495">
        <v>0</v>
      </c>
    </row>
    <row r="460" spans="2:15" ht="15" customHeight="1">
      <c r="B460" s="483">
        <v>1</v>
      </c>
      <c r="C460" s="484" t="s">
        <v>2050</v>
      </c>
      <c r="D460" s="488" t="s">
        <v>126</v>
      </c>
      <c r="E460" s="488" t="str">
        <f t="shared" si="25"/>
        <v>Open</v>
      </c>
      <c r="F460" s="488">
        <v>42314</v>
      </c>
      <c r="G460" s="488"/>
      <c r="H460" s="484" t="s">
        <v>673</v>
      </c>
      <c r="I460" s="484" t="str">
        <f>VLOOKUP(TabListaLojas[[#This Row],[UF]],UF!A:E,3,0)</f>
        <v>Northest</v>
      </c>
      <c r="J460" s="484" t="s">
        <v>120</v>
      </c>
      <c r="K460" s="484" t="str">
        <f>VLOOKUP(TabListaLojas[[#This Row],[UF]],UF!A:B,2,0)</f>
        <v>Bahia</v>
      </c>
      <c r="L460" s="484" t="s">
        <v>134</v>
      </c>
      <c r="M460" s="484" t="s">
        <v>1039</v>
      </c>
      <c r="N460" s="484" t="s">
        <v>676</v>
      </c>
      <c r="O460" s="487">
        <v>640.21</v>
      </c>
    </row>
    <row r="461" spans="2:15" ht="15" customHeight="1">
      <c r="B461" s="483">
        <v>1</v>
      </c>
      <c r="C461" s="484" t="s">
        <v>2155</v>
      </c>
      <c r="D461" s="488" t="s">
        <v>127</v>
      </c>
      <c r="E461" s="488" t="str">
        <f t="shared" si="25"/>
        <v>Open</v>
      </c>
      <c r="F461" s="488">
        <v>42314</v>
      </c>
      <c r="G461" s="488"/>
      <c r="H461" s="484" t="s">
        <v>673</v>
      </c>
      <c r="I461" s="484" t="str">
        <f>VLOOKUP(TabListaLojas[[#This Row],[UF]],UF!A:E,3,0)</f>
        <v>Southest</v>
      </c>
      <c r="J461" s="484" t="s">
        <v>118</v>
      </c>
      <c r="K461" s="484" t="str">
        <f>VLOOKUP(TabListaLojas[[#This Row],[UF]],UF!A:B,2,0)</f>
        <v>São Paulo</v>
      </c>
      <c r="L461" s="484" t="s">
        <v>1126</v>
      </c>
      <c r="M461" s="484" t="s">
        <v>1205</v>
      </c>
      <c r="N461" s="484" t="s">
        <v>676</v>
      </c>
      <c r="O461" s="487">
        <v>386</v>
      </c>
    </row>
    <row r="462" spans="2:15" ht="15" customHeight="1">
      <c r="B462" s="483">
        <v>1</v>
      </c>
      <c r="C462" s="484" t="s">
        <v>2049</v>
      </c>
      <c r="D462" s="488" t="s">
        <v>126</v>
      </c>
      <c r="E462" s="488" t="str">
        <f t="shared" si="25"/>
        <v>Open</v>
      </c>
      <c r="F462" s="488">
        <v>42313</v>
      </c>
      <c r="G462" s="488"/>
      <c r="H462" s="484" t="s">
        <v>673</v>
      </c>
      <c r="I462" s="484" t="str">
        <f>VLOOKUP(TabListaLojas[[#This Row],[UF]],UF!A:E,3,0)</f>
        <v>Northest</v>
      </c>
      <c r="J462" s="484" t="s">
        <v>121</v>
      </c>
      <c r="K462" s="484" t="str">
        <f>VLOOKUP(TabListaLojas[[#This Row],[UF]],UF!A:B,2,0)</f>
        <v>Pernambuco</v>
      </c>
      <c r="L462" s="484" t="s">
        <v>125</v>
      </c>
      <c r="M462" s="484" t="s">
        <v>902</v>
      </c>
      <c r="N462" s="484" t="s">
        <v>676</v>
      </c>
      <c r="O462" s="487">
        <v>529.91</v>
      </c>
    </row>
    <row r="463" spans="2:15" ht="15" customHeight="1">
      <c r="B463" s="483">
        <v>1</v>
      </c>
      <c r="C463" s="484" t="s">
        <v>1723</v>
      </c>
      <c r="D463" s="488" t="s">
        <v>116</v>
      </c>
      <c r="E463" s="488" t="str">
        <f t="shared" si="25"/>
        <v>Open</v>
      </c>
      <c r="F463" s="488">
        <v>42313</v>
      </c>
      <c r="G463" s="488"/>
      <c r="H463" s="484" t="s">
        <v>673</v>
      </c>
      <c r="I463" s="484" t="str">
        <f>VLOOKUP(TabListaLojas[[#This Row],[UF]],UF!A:E,3,0)</f>
        <v>South</v>
      </c>
      <c r="J463" s="484" t="s">
        <v>117</v>
      </c>
      <c r="K463" s="484" t="str">
        <f>VLOOKUP(TabListaLojas[[#This Row],[UF]],UF!A:B,2,0)</f>
        <v>Rio Grande do Sul</v>
      </c>
      <c r="L463" s="484" t="s">
        <v>1206</v>
      </c>
      <c r="M463" s="484" t="s">
        <v>1207</v>
      </c>
      <c r="N463" s="484" t="s">
        <v>676</v>
      </c>
      <c r="O463" s="487">
        <v>2309</v>
      </c>
    </row>
    <row r="464" spans="2:15" ht="15" hidden="1" customHeight="1">
      <c r="B464" s="491">
        <v>0</v>
      </c>
      <c r="C464" s="492" t="s">
        <v>2125</v>
      </c>
      <c r="D464" s="493" t="s">
        <v>127</v>
      </c>
      <c r="E464" s="493" t="str">
        <f t="shared" si="25"/>
        <v>Closed</v>
      </c>
      <c r="F464" s="493">
        <v>42313</v>
      </c>
      <c r="G464" s="493">
        <v>43343</v>
      </c>
      <c r="H464" s="492" t="s">
        <v>673</v>
      </c>
      <c r="I464" s="492" t="str">
        <f>VLOOKUP(TabListaLojas[[#This Row],[UF]],UF!A:E,3,0)</f>
        <v>Southest</v>
      </c>
      <c r="J464" s="492" t="s">
        <v>118</v>
      </c>
      <c r="K464" s="492" t="str">
        <f>VLOOKUP(TabListaLojas[[#This Row],[UF]],UF!A:B,2,0)</f>
        <v>São Paulo</v>
      </c>
      <c r="L464" s="492" t="s">
        <v>124</v>
      </c>
      <c r="M464" s="492" t="s">
        <v>1531</v>
      </c>
      <c r="N464" s="492" t="s">
        <v>676</v>
      </c>
      <c r="O464" s="495">
        <v>0</v>
      </c>
    </row>
    <row r="465" spans="2:15" ht="15" customHeight="1">
      <c r="B465" s="483">
        <v>1</v>
      </c>
      <c r="C465" s="484" t="s">
        <v>2154</v>
      </c>
      <c r="D465" s="488" t="s">
        <v>127</v>
      </c>
      <c r="E465" s="488" t="str">
        <f t="shared" si="25"/>
        <v>Open</v>
      </c>
      <c r="F465" s="488">
        <v>42307</v>
      </c>
      <c r="G465" s="488"/>
      <c r="H465" s="484" t="s">
        <v>673</v>
      </c>
      <c r="I465" s="484" t="str">
        <f>VLOOKUP(TabListaLojas[[#This Row],[UF]],UF!A:E,3,0)</f>
        <v>South</v>
      </c>
      <c r="J465" s="484" t="s">
        <v>147</v>
      </c>
      <c r="K465" s="484" t="str">
        <f>VLOOKUP(TabListaLojas[[#This Row],[UF]],UF!A:B,2,0)</f>
        <v>Santa Catarina</v>
      </c>
      <c r="L465" s="484" t="s">
        <v>1116</v>
      </c>
      <c r="M465" s="484" t="s">
        <v>1208</v>
      </c>
      <c r="N465" s="484" t="s">
        <v>676</v>
      </c>
      <c r="O465" s="487">
        <v>128</v>
      </c>
    </row>
    <row r="466" spans="2:15" ht="15" customHeight="1">
      <c r="B466" s="483">
        <v>1</v>
      </c>
      <c r="C466" s="484" t="s">
        <v>2153</v>
      </c>
      <c r="D466" s="488" t="s">
        <v>127</v>
      </c>
      <c r="E466" s="488" t="str">
        <f t="shared" si="25"/>
        <v>Open</v>
      </c>
      <c r="F466" s="488">
        <v>42292</v>
      </c>
      <c r="G466" s="488"/>
      <c r="H466" s="484" t="s">
        <v>673</v>
      </c>
      <c r="I466" s="484" t="str">
        <f>VLOOKUP(TabListaLojas[[#This Row],[UF]],UF!A:E,3,0)</f>
        <v>South</v>
      </c>
      <c r="J466" s="484" t="s">
        <v>147</v>
      </c>
      <c r="K466" s="484" t="str">
        <f>VLOOKUP(TabListaLojas[[#This Row],[UF]],UF!A:B,2,0)</f>
        <v>Santa Catarina</v>
      </c>
      <c r="L466" s="484" t="s">
        <v>1145</v>
      </c>
      <c r="M466" s="484" t="s">
        <v>1209</v>
      </c>
      <c r="N466" s="484" t="s">
        <v>676</v>
      </c>
      <c r="O466" s="487">
        <v>254.89000000000001</v>
      </c>
    </row>
    <row r="467" spans="2:15" ht="15" customHeight="1">
      <c r="B467" s="483">
        <v>1</v>
      </c>
      <c r="C467" s="484" t="s">
        <v>2152</v>
      </c>
      <c r="D467" s="488" t="s">
        <v>127</v>
      </c>
      <c r="E467" s="488" t="str">
        <f t="shared" si="25"/>
        <v>Open</v>
      </c>
      <c r="F467" s="488">
        <v>42285</v>
      </c>
      <c r="G467" s="488"/>
      <c r="H467" s="484" t="s">
        <v>673</v>
      </c>
      <c r="I467" s="484" t="str">
        <f>VLOOKUP(TabListaLojas[[#This Row],[UF]],UF!A:E,3,0)</f>
        <v>Southest</v>
      </c>
      <c r="J467" s="484" t="s">
        <v>118</v>
      </c>
      <c r="K467" s="484" t="str">
        <f>VLOOKUP(TabListaLojas[[#This Row],[UF]],UF!A:B,2,0)</f>
        <v>São Paulo</v>
      </c>
      <c r="L467" s="484" t="s">
        <v>124</v>
      </c>
      <c r="M467" s="484" t="s">
        <v>1210</v>
      </c>
      <c r="N467" s="484" t="s">
        <v>676</v>
      </c>
      <c r="O467" s="487">
        <v>380</v>
      </c>
    </row>
    <row r="468" spans="2:15" ht="15" customHeight="1">
      <c r="B468" s="483">
        <v>1</v>
      </c>
      <c r="C468" s="484" t="s">
        <v>1724</v>
      </c>
      <c r="D468" s="488" t="s">
        <v>116</v>
      </c>
      <c r="E468" s="488" t="str">
        <f t="shared" si="25"/>
        <v>Open</v>
      </c>
      <c r="F468" s="488">
        <v>42276</v>
      </c>
      <c r="G468" s="488"/>
      <c r="H468" s="484" t="s">
        <v>673</v>
      </c>
      <c r="I468" s="484" t="str">
        <f>VLOOKUP(TabListaLojas[[#This Row],[UF]],UF!A:E,3,0)</f>
        <v>Northest</v>
      </c>
      <c r="J468" s="484" t="s">
        <v>151</v>
      </c>
      <c r="K468" s="484" t="str">
        <f>VLOOKUP(TabListaLojas[[#This Row],[UF]],UF!A:B,2,0)</f>
        <v>Piauí</v>
      </c>
      <c r="L468" s="484" t="s">
        <v>132</v>
      </c>
      <c r="M468" s="484" t="s">
        <v>754</v>
      </c>
      <c r="N468" s="484" t="s">
        <v>676</v>
      </c>
      <c r="O468" s="487">
        <v>2311.9700000000003</v>
      </c>
    </row>
    <row r="469" spans="2:15" ht="15" customHeight="1">
      <c r="B469" s="483">
        <v>1</v>
      </c>
      <c r="C469" s="484" t="s">
        <v>1725</v>
      </c>
      <c r="D469" s="488" t="s">
        <v>116</v>
      </c>
      <c r="E469" s="488" t="str">
        <f t="shared" ref="E469:E532" si="26">IF(G469="","Open","Closed")</f>
        <v>Open</v>
      </c>
      <c r="F469" s="488">
        <v>42271</v>
      </c>
      <c r="G469" s="488"/>
      <c r="H469" s="484" t="s">
        <v>673</v>
      </c>
      <c r="I469" s="484" t="str">
        <f>VLOOKUP(TabListaLojas[[#This Row],[UF]],UF!A:E,3,0)</f>
        <v>Southest</v>
      </c>
      <c r="J469" s="484" t="s">
        <v>149</v>
      </c>
      <c r="K469" s="484" t="str">
        <f>VLOOKUP(TabListaLojas[[#This Row],[UF]],UF!A:B,2,0)</f>
        <v>Minas Gerais</v>
      </c>
      <c r="L469" s="484" t="s">
        <v>1211</v>
      </c>
      <c r="M469" s="484" t="s">
        <v>1212</v>
      </c>
      <c r="N469" s="484" t="s">
        <v>676</v>
      </c>
      <c r="O469" s="487">
        <v>2385.5</v>
      </c>
    </row>
    <row r="470" spans="2:15" ht="15" customHeight="1">
      <c r="B470" s="483">
        <v>1</v>
      </c>
      <c r="C470" s="484" t="s">
        <v>1726</v>
      </c>
      <c r="D470" s="488" t="s">
        <v>116</v>
      </c>
      <c r="E470" s="488" t="str">
        <f t="shared" si="26"/>
        <v>Open</v>
      </c>
      <c r="F470" s="488">
        <v>42243</v>
      </c>
      <c r="G470" s="488"/>
      <c r="H470" s="484" t="s">
        <v>673</v>
      </c>
      <c r="I470" s="484" t="str">
        <f>VLOOKUP(TabListaLojas[[#This Row],[UF]],UF!A:E,3,0)</f>
        <v>North</v>
      </c>
      <c r="J470" s="484" t="s">
        <v>150</v>
      </c>
      <c r="K470" s="484" t="str">
        <f>VLOOKUP(TabListaLojas[[#This Row],[UF]],UF!A:B,2,0)</f>
        <v>Pará</v>
      </c>
      <c r="L470" s="484" t="s">
        <v>131</v>
      </c>
      <c r="M470" s="484" t="s">
        <v>876</v>
      </c>
      <c r="N470" s="484" t="s">
        <v>676</v>
      </c>
      <c r="O470" s="487">
        <v>2839.9500000000003</v>
      </c>
    </row>
    <row r="471" spans="2:15" ht="15" hidden="1" customHeight="1">
      <c r="B471" s="491">
        <v>0</v>
      </c>
      <c r="C471" s="492" t="s">
        <v>2251</v>
      </c>
      <c r="D471" s="493" t="s">
        <v>116</v>
      </c>
      <c r="E471" s="493" t="str">
        <f t="shared" si="26"/>
        <v>Closed</v>
      </c>
      <c r="F471" s="493">
        <v>42235</v>
      </c>
      <c r="G471" s="493">
        <v>43159</v>
      </c>
      <c r="H471" s="492" t="s">
        <v>673</v>
      </c>
      <c r="I471" s="492" t="str">
        <f>VLOOKUP(TabListaLojas[[#This Row],[UF]],UF!A:E,3,0)</f>
        <v>Southest</v>
      </c>
      <c r="J471" s="492" t="s">
        <v>149</v>
      </c>
      <c r="K471" s="492" t="str">
        <f>VLOOKUP(TabListaLojas[[#This Row],[UF]],UF!A:B,2,0)</f>
        <v>Minas Gerais</v>
      </c>
      <c r="L471" s="492" t="s">
        <v>681</v>
      </c>
      <c r="M471" s="492" t="s">
        <v>1532</v>
      </c>
      <c r="N471" s="492" t="s">
        <v>676</v>
      </c>
      <c r="O471" s="495">
        <v>0</v>
      </c>
    </row>
    <row r="472" spans="2:15" ht="15" customHeight="1">
      <c r="B472" s="483">
        <v>1</v>
      </c>
      <c r="C472" s="484" t="s">
        <v>2048</v>
      </c>
      <c r="D472" s="488" t="s">
        <v>126</v>
      </c>
      <c r="E472" s="488" t="str">
        <f t="shared" si="26"/>
        <v>Open</v>
      </c>
      <c r="F472" s="488">
        <v>42223</v>
      </c>
      <c r="G472" s="488"/>
      <c r="H472" s="484" t="s">
        <v>673</v>
      </c>
      <c r="I472" s="484" t="str">
        <f>VLOOKUP(TabListaLojas[[#This Row],[UF]],UF!A:E,3,0)</f>
        <v>Midwest</v>
      </c>
      <c r="J472" s="484" t="s">
        <v>119</v>
      </c>
      <c r="K472" s="484" t="str">
        <f>VLOOKUP(TabListaLojas[[#This Row],[UF]],UF!A:B,2,0)</f>
        <v>Mato Grosso</v>
      </c>
      <c r="L472" s="484" t="s">
        <v>133</v>
      </c>
      <c r="M472" s="484" t="s">
        <v>1213</v>
      </c>
      <c r="N472" s="484" t="s">
        <v>676</v>
      </c>
      <c r="O472" s="487">
        <v>516.36</v>
      </c>
    </row>
    <row r="473" spans="2:15" ht="15" hidden="1" customHeight="1">
      <c r="B473" s="491">
        <v>0</v>
      </c>
      <c r="C473" s="492" t="s">
        <v>2250</v>
      </c>
      <c r="D473" s="493" t="s">
        <v>116</v>
      </c>
      <c r="E473" s="493" t="str">
        <f t="shared" si="26"/>
        <v>Closed</v>
      </c>
      <c r="F473" s="493">
        <v>42199</v>
      </c>
      <c r="G473" s="493">
        <v>45075</v>
      </c>
      <c r="H473" s="492" t="s">
        <v>673</v>
      </c>
      <c r="I473" s="492" t="str">
        <f>VLOOKUP(TabListaLojas[[#This Row],[UF]],UF!A:E,3,0)</f>
        <v>Northest</v>
      </c>
      <c r="J473" s="492" t="s">
        <v>148</v>
      </c>
      <c r="K473" s="492" t="str">
        <f>VLOOKUP(TabListaLojas[[#This Row],[UF]],UF!A:B,2,0)</f>
        <v>Ceará</v>
      </c>
      <c r="L473" s="492" t="s">
        <v>130</v>
      </c>
      <c r="M473" s="492" t="s">
        <v>1533</v>
      </c>
      <c r="N473" s="492" t="s">
        <v>714</v>
      </c>
      <c r="O473" s="495">
        <v>0</v>
      </c>
    </row>
    <row r="474" spans="2:15" ht="15" customHeight="1">
      <c r="B474" s="483">
        <v>1</v>
      </c>
      <c r="C474" s="484" t="s">
        <v>1727</v>
      </c>
      <c r="D474" s="488" t="s">
        <v>116</v>
      </c>
      <c r="E474" s="488" t="str">
        <f t="shared" si="26"/>
        <v>Open</v>
      </c>
      <c r="F474" s="488">
        <v>42185</v>
      </c>
      <c r="G474" s="488"/>
      <c r="H474" s="484" t="s">
        <v>673</v>
      </c>
      <c r="I474" s="484" t="str">
        <f>VLOOKUP(TabListaLojas[[#This Row],[UF]],UF!A:E,3,0)</f>
        <v>Southest</v>
      </c>
      <c r="J474" s="484" t="s">
        <v>118</v>
      </c>
      <c r="K474" s="484" t="str">
        <f>VLOOKUP(TabListaLojas[[#This Row],[UF]],UF!A:B,2,0)</f>
        <v>São Paulo</v>
      </c>
      <c r="L474" s="484" t="s">
        <v>1214</v>
      </c>
      <c r="M474" s="484" t="s">
        <v>1215</v>
      </c>
      <c r="N474" s="484" t="s">
        <v>676</v>
      </c>
      <c r="O474" s="487">
        <v>1999.13</v>
      </c>
    </row>
    <row r="475" spans="2:15" ht="15" customHeight="1">
      <c r="B475" s="483">
        <v>1</v>
      </c>
      <c r="C475" s="484" t="s">
        <v>2151</v>
      </c>
      <c r="D475" s="488" t="s">
        <v>127</v>
      </c>
      <c r="E475" s="488" t="str">
        <f t="shared" si="26"/>
        <v>Open</v>
      </c>
      <c r="F475" s="488">
        <v>42164</v>
      </c>
      <c r="G475" s="488"/>
      <c r="H475" s="484" t="s">
        <v>673</v>
      </c>
      <c r="I475" s="484" t="str">
        <f>VLOOKUP(TabListaLojas[[#This Row],[UF]],UF!A:E,3,0)</f>
        <v>Southest</v>
      </c>
      <c r="J475" s="484" t="s">
        <v>118</v>
      </c>
      <c r="K475" s="484" t="str">
        <f>VLOOKUP(TabListaLojas[[#This Row],[UF]],UF!A:B,2,0)</f>
        <v>São Paulo</v>
      </c>
      <c r="L475" s="484" t="s">
        <v>1155</v>
      </c>
      <c r="M475" s="484" t="s">
        <v>1216</v>
      </c>
      <c r="N475" s="484" t="s">
        <v>676</v>
      </c>
      <c r="O475" s="487">
        <v>231</v>
      </c>
    </row>
    <row r="476" spans="2:15" ht="15" customHeight="1">
      <c r="B476" s="483">
        <v>1</v>
      </c>
      <c r="C476" s="484" t="s">
        <v>2047</v>
      </c>
      <c r="D476" s="488" t="s">
        <v>126</v>
      </c>
      <c r="E476" s="488" t="str">
        <f t="shared" si="26"/>
        <v>Open</v>
      </c>
      <c r="F476" s="488">
        <v>42158</v>
      </c>
      <c r="G476" s="488"/>
      <c r="H476" s="484" t="s">
        <v>673</v>
      </c>
      <c r="I476" s="484" t="str">
        <f>VLOOKUP(TabListaLojas[[#This Row],[UF]],UF!A:E,3,0)</f>
        <v>Northest</v>
      </c>
      <c r="J476" s="484" t="s">
        <v>121</v>
      </c>
      <c r="K476" s="484" t="str">
        <f>VLOOKUP(TabListaLojas[[#This Row],[UF]],UF!A:B,2,0)</f>
        <v>Pernambuco</v>
      </c>
      <c r="L476" s="484" t="s">
        <v>125</v>
      </c>
      <c r="M476" s="484" t="s">
        <v>822</v>
      </c>
      <c r="N476" s="484" t="s">
        <v>676</v>
      </c>
      <c r="O476" s="487">
        <v>649.41999999999996</v>
      </c>
    </row>
    <row r="477" spans="2:15" ht="15" customHeight="1">
      <c r="B477" s="483">
        <v>1</v>
      </c>
      <c r="C477" s="484" t="s">
        <v>2150</v>
      </c>
      <c r="D477" s="488" t="s">
        <v>127</v>
      </c>
      <c r="E477" s="488" t="str">
        <f t="shared" si="26"/>
        <v>Open</v>
      </c>
      <c r="F477" s="488">
        <v>42158</v>
      </c>
      <c r="G477" s="488"/>
      <c r="H477" s="484" t="s">
        <v>673</v>
      </c>
      <c r="I477" s="484" t="str">
        <f>VLOOKUP(TabListaLojas[[#This Row],[UF]],UF!A:E,3,0)</f>
        <v>South</v>
      </c>
      <c r="J477" s="484" t="s">
        <v>117</v>
      </c>
      <c r="K477" s="484" t="str">
        <f>VLOOKUP(TabListaLojas[[#This Row],[UF]],UF!A:B,2,0)</f>
        <v>Rio Grande do Sul</v>
      </c>
      <c r="L477" s="484" t="s">
        <v>1217</v>
      </c>
      <c r="M477" s="484" t="s">
        <v>1218</v>
      </c>
      <c r="N477" s="484" t="s">
        <v>676</v>
      </c>
      <c r="O477" s="487">
        <v>264.94</v>
      </c>
    </row>
    <row r="478" spans="2:15" ht="15" customHeight="1">
      <c r="B478" s="483">
        <v>1</v>
      </c>
      <c r="C478" s="484" t="s">
        <v>2046</v>
      </c>
      <c r="D478" s="488" t="s">
        <v>126</v>
      </c>
      <c r="E478" s="488" t="str">
        <f t="shared" si="26"/>
        <v>Open</v>
      </c>
      <c r="F478" s="488">
        <v>42144</v>
      </c>
      <c r="G478" s="488"/>
      <c r="H478" s="484" t="s">
        <v>673</v>
      </c>
      <c r="I478" s="484" t="str">
        <f>VLOOKUP(TabListaLojas[[#This Row],[UF]],UF!A:E,3,0)</f>
        <v>Southest</v>
      </c>
      <c r="J478" s="484" t="s">
        <v>122</v>
      </c>
      <c r="K478" s="484" t="str">
        <f>VLOOKUP(TabListaLojas[[#This Row],[UF]],UF!A:B,2,0)</f>
        <v>Rio de Janeiro</v>
      </c>
      <c r="L478" s="484" t="s">
        <v>128</v>
      </c>
      <c r="M478" s="484" t="s">
        <v>1219</v>
      </c>
      <c r="N478" s="484" t="s">
        <v>676</v>
      </c>
      <c r="O478" s="487">
        <v>367</v>
      </c>
    </row>
    <row r="479" spans="2:15" ht="15" customHeight="1">
      <c r="B479" s="483">
        <v>1</v>
      </c>
      <c r="C479" s="484" t="s">
        <v>2149</v>
      </c>
      <c r="D479" s="488" t="s">
        <v>127</v>
      </c>
      <c r="E479" s="488" t="str">
        <f t="shared" si="26"/>
        <v>Open</v>
      </c>
      <c r="F479" s="488">
        <v>42131</v>
      </c>
      <c r="G479" s="488"/>
      <c r="H479" s="484" t="s">
        <v>673</v>
      </c>
      <c r="I479" s="484" t="str">
        <f>VLOOKUP(TabListaLojas[[#This Row],[UF]],UF!A:E,3,0)</f>
        <v>Southest</v>
      </c>
      <c r="J479" s="484" t="s">
        <v>118</v>
      </c>
      <c r="K479" s="484" t="str">
        <f>VLOOKUP(TabListaLojas[[#This Row],[UF]],UF!A:B,2,0)</f>
        <v>São Paulo</v>
      </c>
      <c r="L479" s="484" t="s">
        <v>1155</v>
      </c>
      <c r="M479" s="484" t="s">
        <v>922</v>
      </c>
      <c r="N479" s="484" t="s">
        <v>676</v>
      </c>
      <c r="O479" s="487">
        <v>203.88</v>
      </c>
    </row>
    <row r="480" spans="2:15" ht="15" customHeight="1">
      <c r="B480" s="483">
        <v>1</v>
      </c>
      <c r="C480" s="484" t="s">
        <v>1728</v>
      </c>
      <c r="D480" s="488" t="s">
        <v>116</v>
      </c>
      <c r="E480" s="488" t="str">
        <f t="shared" si="26"/>
        <v>Open</v>
      </c>
      <c r="F480" s="488">
        <v>42129</v>
      </c>
      <c r="G480" s="488"/>
      <c r="H480" s="484" t="s">
        <v>673</v>
      </c>
      <c r="I480" s="484" t="str">
        <f>VLOOKUP(TabListaLojas[[#This Row],[UF]],UF!A:E,3,0)</f>
        <v>South</v>
      </c>
      <c r="J480" s="484" t="s">
        <v>147</v>
      </c>
      <c r="K480" s="484" t="str">
        <f>VLOOKUP(TabListaLojas[[#This Row],[UF]],UF!A:B,2,0)</f>
        <v>Santa Catarina</v>
      </c>
      <c r="L480" s="484" t="s">
        <v>1220</v>
      </c>
      <c r="M480" s="484" t="s">
        <v>1221</v>
      </c>
      <c r="N480" s="484" t="s">
        <v>676</v>
      </c>
      <c r="O480" s="487">
        <v>2050</v>
      </c>
    </row>
    <row r="481" spans="2:15" ht="15" customHeight="1">
      <c r="B481" s="483">
        <v>1</v>
      </c>
      <c r="C481" s="484" t="s">
        <v>1729</v>
      </c>
      <c r="D481" s="488" t="s">
        <v>116</v>
      </c>
      <c r="E481" s="488" t="str">
        <f t="shared" si="26"/>
        <v>Open</v>
      </c>
      <c r="F481" s="488">
        <v>42124</v>
      </c>
      <c r="G481" s="488"/>
      <c r="H481" s="484" t="s">
        <v>673</v>
      </c>
      <c r="I481" s="484" t="str">
        <f>VLOOKUP(TabListaLojas[[#This Row],[UF]],UF!A:E,3,0)</f>
        <v>Southest</v>
      </c>
      <c r="J481" s="484" t="s">
        <v>118</v>
      </c>
      <c r="K481" s="484" t="str">
        <f>VLOOKUP(TabListaLojas[[#This Row],[UF]],UF!A:B,2,0)</f>
        <v>São Paulo</v>
      </c>
      <c r="L481" s="484" t="s">
        <v>783</v>
      </c>
      <c r="M481" s="484" t="s">
        <v>1222</v>
      </c>
      <c r="N481" s="484" t="s">
        <v>676</v>
      </c>
      <c r="O481" s="487">
        <v>1520</v>
      </c>
    </row>
    <row r="482" spans="2:15" ht="15" hidden="1" customHeight="1">
      <c r="B482" s="491">
        <v>0</v>
      </c>
      <c r="C482" s="492" t="s">
        <v>2248</v>
      </c>
      <c r="D482" s="493" t="s">
        <v>116</v>
      </c>
      <c r="E482" s="493" t="str">
        <f t="shared" si="26"/>
        <v>Closed</v>
      </c>
      <c r="F482" s="493">
        <v>42123</v>
      </c>
      <c r="G482" s="493">
        <v>44681</v>
      </c>
      <c r="H482" s="492" t="s">
        <v>673</v>
      </c>
      <c r="I482" s="492" t="str">
        <f>VLOOKUP(TabListaLojas[[#This Row],[UF]],UF!A:E,3,0)</f>
        <v>Southest</v>
      </c>
      <c r="J482" s="492" t="s">
        <v>122</v>
      </c>
      <c r="K482" s="492" t="str">
        <f>VLOOKUP(TabListaLojas[[#This Row],[UF]],UF!A:B,2,0)</f>
        <v>Rio de Janeiro</v>
      </c>
      <c r="L482" s="492" t="s">
        <v>128</v>
      </c>
      <c r="M482" s="492" t="s">
        <v>1534</v>
      </c>
      <c r="N482" s="492" t="s">
        <v>676</v>
      </c>
      <c r="O482" s="495">
        <v>0</v>
      </c>
    </row>
    <row r="483" spans="2:15" ht="15" hidden="1" customHeight="1">
      <c r="B483" s="491">
        <v>0</v>
      </c>
      <c r="C483" s="492" t="s">
        <v>2249</v>
      </c>
      <c r="D483" s="498" t="s">
        <v>116</v>
      </c>
      <c r="E483" s="493" t="str">
        <f t="shared" si="26"/>
        <v>Closed</v>
      </c>
      <c r="F483" s="498">
        <v>42123</v>
      </c>
      <c r="G483" s="498">
        <v>44561</v>
      </c>
      <c r="H483" s="499" t="s">
        <v>673</v>
      </c>
      <c r="I483" s="499" t="str">
        <f>VLOOKUP(TabListaLojas[[#This Row],[UF]],UF!A:E,3,0)</f>
        <v>Southest</v>
      </c>
      <c r="J483" s="499" t="s">
        <v>118</v>
      </c>
      <c r="K483" s="499" t="str">
        <f>VLOOKUP(TabListaLojas[[#This Row],[UF]],UF!A:B,2,0)</f>
        <v>São Paulo</v>
      </c>
      <c r="L483" s="499" t="s">
        <v>1057</v>
      </c>
      <c r="M483" s="499" t="s">
        <v>1535</v>
      </c>
      <c r="N483" s="499" t="s">
        <v>676</v>
      </c>
      <c r="O483" s="495">
        <v>0</v>
      </c>
    </row>
    <row r="484" spans="2:15" ht="15" customHeight="1">
      <c r="B484" s="483">
        <v>1</v>
      </c>
      <c r="C484" s="484" t="s">
        <v>1730</v>
      </c>
      <c r="D484" s="488" t="s">
        <v>116</v>
      </c>
      <c r="E484" s="488" t="str">
        <f t="shared" si="26"/>
        <v>Open</v>
      </c>
      <c r="F484" s="488">
        <v>42123</v>
      </c>
      <c r="G484" s="488"/>
      <c r="H484" s="484" t="s">
        <v>673</v>
      </c>
      <c r="I484" s="484" t="str">
        <f>VLOOKUP(TabListaLojas[[#This Row],[UF]],UF!A:E,3,0)</f>
        <v>Southest</v>
      </c>
      <c r="J484" s="484" t="s">
        <v>122</v>
      </c>
      <c r="K484" s="484" t="str">
        <f>VLOOKUP(TabListaLojas[[#This Row],[UF]],UF!A:B,2,0)</f>
        <v>Rio de Janeiro</v>
      </c>
      <c r="L484" s="484" t="s">
        <v>128</v>
      </c>
      <c r="M484" s="484" t="s">
        <v>1223</v>
      </c>
      <c r="N484" s="484" t="s">
        <v>676</v>
      </c>
      <c r="O484" s="487">
        <v>2237.25</v>
      </c>
    </row>
    <row r="485" spans="2:15" ht="15" customHeight="1">
      <c r="B485" s="483">
        <v>1</v>
      </c>
      <c r="C485" s="484" t="s">
        <v>1731</v>
      </c>
      <c r="D485" s="488" t="s">
        <v>116</v>
      </c>
      <c r="E485" s="488" t="str">
        <f t="shared" si="26"/>
        <v>Open</v>
      </c>
      <c r="F485" s="488">
        <v>42123</v>
      </c>
      <c r="G485" s="488"/>
      <c r="H485" s="484" t="s">
        <v>673</v>
      </c>
      <c r="I485" s="484" t="str">
        <f>VLOOKUP(TabListaLojas[[#This Row],[UF]],UF!A:E,3,0)</f>
        <v>Southest</v>
      </c>
      <c r="J485" s="484" t="s">
        <v>118</v>
      </c>
      <c r="K485" s="484" t="str">
        <f>VLOOKUP(TabListaLojas[[#This Row],[UF]],UF!A:B,2,0)</f>
        <v>São Paulo</v>
      </c>
      <c r="L485" s="484" t="s">
        <v>1224</v>
      </c>
      <c r="M485" s="484" t="s">
        <v>1225</v>
      </c>
      <c r="N485" s="484" t="s">
        <v>676</v>
      </c>
      <c r="O485" s="487">
        <v>2192.0100000000002</v>
      </c>
    </row>
    <row r="486" spans="2:15" ht="15" hidden="1" customHeight="1">
      <c r="B486" s="491">
        <v>0</v>
      </c>
      <c r="C486" s="492" t="s">
        <v>2247</v>
      </c>
      <c r="D486" s="493" t="s">
        <v>116</v>
      </c>
      <c r="E486" s="493" t="str">
        <f t="shared" si="26"/>
        <v>Closed</v>
      </c>
      <c r="F486" s="493">
        <v>42117</v>
      </c>
      <c r="G486" s="493">
        <v>45343</v>
      </c>
      <c r="H486" s="492" t="s">
        <v>673</v>
      </c>
      <c r="I486" s="492" t="str">
        <f>VLOOKUP(TabListaLojas[[#This Row],[UF]],UF!A:E,3,0)</f>
        <v>South</v>
      </c>
      <c r="J486" s="492" t="s">
        <v>117</v>
      </c>
      <c r="K486" s="492" t="str">
        <f>VLOOKUP(TabListaLojas[[#This Row],[UF]],UF!A:B,2,0)</f>
        <v>Rio Grande do Sul</v>
      </c>
      <c r="L486" s="492" t="s">
        <v>129</v>
      </c>
      <c r="M486" s="492" t="s">
        <v>1226</v>
      </c>
      <c r="N486" s="492" t="s">
        <v>714</v>
      </c>
      <c r="O486" s="495">
        <v>0</v>
      </c>
    </row>
    <row r="487" spans="2:15" ht="15" customHeight="1">
      <c r="B487" s="483">
        <v>1</v>
      </c>
      <c r="C487" s="484" t="s">
        <v>2045</v>
      </c>
      <c r="D487" s="488" t="s">
        <v>126</v>
      </c>
      <c r="E487" s="488" t="str">
        <f t="shared" si="26"/>
        <v>Open</v>
      </c>
      <c r="F487" s="488">
        <v>42112</v>
      </c>
      <c r="G487" s="488"/>
      <c r="H487" s="484" t="s">
        <v>673</v>
      </c>
      <c r="I487" s="484" t="str">
        <f>VLOOKUP(TabListaLojas[[#This Row],[UF]],UF!A:E,3,0)</f>
        <v>Southest</v>
      </c>
      <c r="J487" s="484" t="s">
        <v>122</v>
      </c>
      <c r="K487" s="484" t="str">
        <f>VLOOKUP(TabListaLojas[[#This Row],[UF]],UF!A:B,2,0)</f>
        <v>Rio de Janeiro</v>
      </c>
      <c r="L487" s="484" t="s">
        <v>755</v>
      </c>
      <c r="M487" s="484" t="s">
        <v>1227</v>
      </c>
      <c r="N487" s="484" t="s">
        <v>676</v>
      </c>
      <c r="O487" s="487">
        <v>317</v>
      </c>
    </row>
    <row r="488" spans="2:15" ht="15" hidden="1" customHeight="1">
      <c r="B488" s="491">
        <v>0</v>
      </c>
      <c r="C488" s="492" t="s">
        <v>2044</v>
      </c>
      <c r="D488" s="493" t="s">
        <v>126</v>
      </c>
      <c r="E488" s="493" t="str">
        <f t="shared" si="26"/>
        <v>Closed</v>
      </c>
      <c r="F488" s="493">
        <v>42110</v>
      </c>
      <c r="G488" s="493">
        <v>44998</v>
      </c>
      <c r="H488" s="492" t="s">
        <v>673</v>
      </c>
      <c r="I488" s="492" t="str">
        <f>VLOOKUP(TabListaLojas[[#This Row],[UF]],UF!A:E,3,0)</f>
        <v>Southest</v>
      </c>
      <c r="J488" s="492" t="s">
        <v>118</v>
      </c>
      <c r="K488" s="492" t="str">
        <f>VLOOKUP(TabListaLojas[[#This Row],[UF]],UF!A:B,2,0)</f>
        <v>São Paulo</v>
      </c>
      <c r="L488" s="492" t="s">
        <v>897</v>
      </c>
      <c r="M488" s="492" t="s">
        <v>1536</v>
      </c>
      <c r="N488" s="492" t="s">
        <v>676</v>
      </c>
      <c r="O488" s="495">
        <v>0</v>
      </c>
    </row>
    <row r="489" spans="2:15" ht="15" customHeight="1">
      <c r="B489" s="483">
        <v>1</v>
      </c>
      <c r="C489" s="484" t="s">
        <v>1732</v>
      </c>
      <c r="D489" s="488" t="s">
        <v>116</v>
      </c>
      <c r="E489" s="488" t="str">
        <f t="shared" si="26"/>
        <v>Open</v>
      </c>
      <c r="F489" s="488">
        <v>42110</v>
      </c>
      <c r="G489" s="488"/>
      <c r="H489" s="484" t="s">
        <v>673</v>
      </c>
      <c r="I489" s="484" t="str">
        <f>VLOOKUP(TabListaLojas[[#This Row],[UF]],UF!A:E,3,0)</f>
        <v>Southest</v>
      </c>
      <c r="J489" s="484" t="s">
        <v>118</v>
      </c>
      <c r="K489" s="484" t="str">
        <f>VLOOKUP(TabListaLojas[[#This Row],[UF]],UF!A:B,2,0)</f>
        <v>São Paulo</v>
      </c>
      <c r="L489" s="484" t="s">
        <v>897</v>
      </c>
      <c r="M489" s="484" t="s">
        <v>1228</v>
      </c>
      <c r="N489" s="484" t="s">
        <v>676</v>
      </c>
      <c r="O489" s="487">
        <v>2385</v>
      </c>
    </row>
    <row r="490" spans="2:15" ht="15" customHeight="1">
      <c r="B490" s="483">
        <v>1</v>
      </c>
      <c r="C490" s="484" t="s">
        <v>1733</v>
      </c>
      <c r="D490" s="488" t="s">
        <v>116</v>
      </c>
      <c r="E490" s="488" t="str">
        <f t="shared" si="26"/>
        <v>Open</v>
      </c>
      <c r="F490" s="488">
        <v>42110</v>
      </c>
      <c r="G490" s="488"/>
      <c r="H490" s="484" t="s">
        <v>673</v>
      </c>
      <c r="I490" s="484" t="str">
        <f>VLOOKUP(TabListaLojas[[#This Row],[UF]],UF!A:E,3,0)</f>
        <v>South</v>
      </c>
      <c r="J490" s="484" t="s">
        <v>147</v>
      </c>
      <c r="K490" s="484" t="str">
        <f>VLOOKUP(TabListaLojas[[#This Row],[UF]],UF!A:B,2,0)</f>
        <v>Santa Catarina</v>
      </c>
      <c r="L490" s="484" t="s">
        <v>1101</v>
      </c>
      <c r="M490" s="484" t="s">
        <v>1102</v>
      </c>
      <c r="N490" s="484" t="s">
        <v>676</v>
      </c>
      <c r="O490" s="487">
        <v>2380.2799999999997</v>
      </c>
    </row>
    <row r="491" spans="2:15" ht="15" customHeight="1">
      <c r="B491" s="483">
        <v>1</v>
      </c>
      <c r="C491" s="484" t="s">
        <v>2043</v>
      </c>
      <c r="D491" s="488" t="s">
        <v>126</v>
      </c>
      <c r="E491" s="488" t="str">
        <f t="shared" si="26"/>
        <v>Open</v>
      </c>
      <c r="F491" s="488">
        <v>42096</v>
      </c>
      <c r="G491" s="488"/>
      <c r="H491" s="484" t="s">
        <v>673</v>
      </c>
      <c r="I491" s="484" t="str">
        <f>VLOOKUP(TabListaLojas[[#This Row],[UF]],UF!A:E,3,0)</f>
        <v>Northest</v>
      </c>
      <c r="J491" s="484" t="s">
        <v>148</v>
      </c>
      <c r="K491" s="484" t="str">
        <f>VLOOKUP(TabListaLojas[[#This Row],[UF]],UF!A:B,2,0)</f>
        <v>Ceará</v>
      </c>
      <c r="L491" s="484" t="s">
        <v>130</v>
      </c>
      <c r="M491" s="484" t="s">
        <v>1229</v>
      </c>
      <c r="N491" s="484" t="s">
        <v>676</v>
      </c>
      <c r="O491" s="487">
        <v>614.28</v>
      </c>
    </row>
    <row r="492" spans="2:15" ht="15" customHeight="1">
      <c r="B492" s="483">
        <v>1</v>
      </c>
      <c r="C492" s="484" t="s">
        <v>1734</v>
      </c>
      <c r="D492" s="488" t="s">
        <v>116</v>
      </c>
      <c r="E492" s="488" t="str">
        <f t="shared" si="26"/>
        <v>Open</v>
      </c>
      <c r="F492" s="488">
        <v>42061</v>
      </c>
      <c r="G492" s="488"/>
      <c r="H492" s="484" t="s">
        <v>673</v>
      </c>
      <c r="I492" s="484" t="str">
        <f>VLOOKUP(TabListaLojas[[#This Row],[UF]],UF!A:E,3,0)</f>
        <v>Southest</v>
      </c>
      <c r="J492" s="484" t="s">
        <v>122</v>
      </c>
      <c r="K492" s="484" t="str">
        <f>VLOOKUP(TabListaLojas[[#This Row],[UF]],UF!A:B,2,0)</f>
        <v>Rio de Janeiro</v>
      </c>
      <c r="L492" s="484" t="s">
        <v>1230</v>
      </c>
      <c r="M492" s="484" t="s">
        <v>1231</v>
      </c>
      <c r="N492" s="484" t="s">
        <v>676</v>
      </c>
      <c r="O492" s="487">
        <v>1886.85</v>
      </c>
    </row>
    <row r="493" spans="2:15" ht="15" customHeight="1">
      <c r="B493" s="483">
        <v>1</v>
      </c>
      <c r="C493" s="484" t="s">
        <v>1735</v>
      </c>
      <c r="D493" s="488" t="s">
        <v>116</v>
      </c>
      <c r="E493" s="488" t="str">
        <f t="shared" si="26"/>
        <v>Open</v>
      </c>
      <c r="F493" s="488">
        <v>41984</v>
      </c>
      <c r="G493" s="488"/>
      <c r="H493" s="484" t="s">
        <v>673</v>
      </c>
      <c r="I493" s="484" t="str">
        <f>VLOOKUP(TabListaLojas[[#This Row],[UF]],UF!A:E,3,0)</f>
        <v>North</v>
      </c>
      <c r="J493" s="484" t="s">
        <v>157</v>
      </c>
      <c r="K493" s="484" t="str">
        <f>VLOOKUP(TabListaLojas[[#This Row],[UF]],UF!A:B,2,0)</f>
        <v>Amazonas</v>
      </c>
      <c r="L493" s="484" t="s">
        <v>138</v>
      </c>
      <c r="M493" s="484" t="s">
        <v>1232</v>
      </c>
      <c r="N493" s="484" t="s">
        <v>714</v>
      </c>
      <c r="O493" s="487">
        <v>2503.89</v>
      </c>
    </row>
    <row r="494" spans="2:15" ht="15" customHeight="1">
      <c r="B494" s="483">
        <v>1</v>
      </c>
      <c r="C494" s="484" t="s">
        <v>1736</v>
      </c>
      <c r="D494" s="488" t="s">
        <v>116</v>
      </c>
      <c r="E494" s="488" t="str">
        <f t="shared" si="26"/>
        <v>Open</v>
      </c>
      <c r="F494" s="488">
        <v>41978</v>
      </c>
      <c r="G494" s="488"/>
      <c r="H494" s="484" t="s">
        <v>673</v>
      </c>
      <c r="I494" s="484" t="str">
        <f>VLOOKUP(TabListaLojas[[#This Row],[UF]],UF!A:E,3,0)</f>
        <v>Northest</v>
      </c>
      <c r="J494" s="484" t="s">
        <v>159</v>
      </c>
      <c r="K494" s="484" t="str">
        <f>VLOOKUP(TabListaLojas[[#This Row],[UF]],UF!A:B,2,0)</f>
        <v>Alagoas</v>
      </c>
      <c r="L494" s="484" t="s">
        <v>1233</v>
      </c>
      <c r="M494" s="484" t="s">
        <v>1234</v>
      </c>
      <c r="N494" s="484" t="s">
        <v>676</v>
      </c>
      <c r="O494" s="487">
        <v>1891.08</v>
      </c>
    </row>
    <row r="495" spans="2:15" ht="15" hidden="1" customHeight="1">
      <c r="B495" s="491">
        <v>0</v>
      </c>
      <c r="C495" s="492" t="s">
        <v>2246</v>
      </c>
      <c r="D495" s="493" t="s">
        <v>116</v>
      </c>
      <c r="E495" s="493" t="str">
        <f t="shared" si="26"/>
        <v>Closed</v>
      </c>
      <c r="F495" s="493">
        <v>41975</v>
      </c>
      <c r="G495" s="493">
        <v>45343</v>
      </c>
      <c r="H495" s="492" t="s">
        <v>673</v>
      </c>
      <c r="I495" s="492" t="str">
        <f>VLOOKUP(TabListaLojas[[#This Row],[UF]],UF!A:E,3,0)</f>
        <v>North</v>
      </c>
      <c r="J495" s="492" t="s">
        <v>155</v>
      </c>
      <c r="K495" s="492" t="str">
        <f>VLOOKUP(TabListaLojas[[#This Row],[UF]],UF!A:B,2,0)</f>
        <v>Roraima</v>
      </c>
      <c r="L495" s="492" t="s">
        <v>137</v>
      </c>
      <c r="M495" s="492" t="s">
        <v>1235</v>
      </c>
      <c r="N495" s="492" t="s">
        <v>676</v>
      </c>
      <c r="O495" s="495">
        <v>0</v>
      </c>
    </row>
    <row r="496" spans="2:15" ht="15" customHeight="1">
      <c r="B496" s="483">
        <v>1</v>
      </c>
      <c r="C496" s="484" t="s">
        <v>1737</v>
      </c>
      <c r="D496" s="488" t="s">
        <v>116</v>
      </c>
      <c r="E496" s="488" t="str">
        <f t="shared" si="26"/>
        <v>Open</v>
      </c>
      <c r="F496" s="488">
        <v>41973</v>
      </c>
      <c r="G496" s="488"/>
      <c r="H496" s="484" t="s">
        <v>673</v>
      </c>
      <c r="I496" s="484" t="str">
        <f>VLOOKUP(TabListaLojas[[#This Row],[UF]],UF!A:E,3,0)</f>
        <v>Northest</v>
      </c>
      <c r="J496" s="484" t="s">
        <v>158</v>
      </c>
      <c r="K496" s="484" t="str">
        <f>VLOOKUP(TabListaLojas[[#This Row],[UF]],UF!A:B,2,0)</f>
        <v>Paraíba</v>
      </c>
      <c r="L496" s="484" t="s">
        <v>139</v>
      </c>
      <c r="M496" s="484" t="s">
        <v>1236</v>
      </c>
      <c r="N496" s="484" t="s">
        <v>676</v>
      </c>
      <c r="O496" s="487">
        <v>2698.37</v>
      </c>
    </row>
    <row r="497" spans="2:15" ht="15" hidden="1" customHeight="1">
      <c r="B497" s="491">
        <v>0</v>
      </c>
      <c r="C497" s="492" t="s">
        <v>2245</v>
      </c>
      <c r="D497" s="493" t="s">
        <v>116</v>
      </c>
      <c r="E497" s="493" t="str">
        <f t="shared" si="26"/>
        <v>Closed</v>
      </c>
      <c r="F497" s="493">
        <v>41971</v>
      </c>
      <c r="G497" s="493">
        <v>45440</v>
      </c>
      <c r="H497" s="492" t="s">
        <v>673</v>
      </c>
      <c r="I497" s="492" t="str">
        <f>VLOOKUP(TabListaLojas[[#This Row],[UF]],UF!A:E,3,0)</f>
        <v>North</v>
      </c>
      <c r="J497" s="492" t="s">
        <v>157</v>
      </c>
      <c r="K497" s="492" t="str">
        <f>VLOOKUP(TabListaLojas[[#This Row],[UF]],UF!A:B,2,0)</f>
        <v>Amazonas</v>
      </c>
      <c r="L497" s="492" t="s">
        <v>138</v>
      </c>
      <c r="M497" s="492" t="s">
        <v>1237</v>
      </c>
      <c r="N497" s="492" t="s">
        <v>676</v>
      </c>
      <c r="O497" s="495">
        <v>0</v>
      </c>
    </row>
    <row r="498" spans="2:15" ht="15" customHeight="1">
      <c r="B498" s="483">
        <v>1</v>
      </c>
      <c r="C498" s="484" t="s">
        <v>1738</v>
      </c>
      <c r="D498" s="488" t="s">
        <v>116</v>
      </c>
      <c r="E498" s="488" t="str">
        <f t="shared" si="26"/>
        <v>Open</v>
      </c>
      <c r="F498" s="488">
        <v>41971</v>
      </c>
      <c r="G498" s="488"/>
      <c r="H498" s="484" t="s">
        <v>673</v>
      </c>
      <c r="I498" s="484" t="str">
        <f>VLOOKUP(TabListaLojas[[#This Row],[UF]],UF!A:E,3,0)</f>
        <v>Southest</v>
      </c>
      <c r="J498" s="484" t="s">
        <v>122</v>
      </c>
      <c r="K498" s="484" t="str">
        <f>VLOOKUP(TabListaLojas[[#This Row],[UF]],UF!A:B,2,0)</f>
        <v>Rio de Janeiro</v>
      </c>
      <c r="L498" s="484" t="s">
        <v>128</v>
      </c>
      <c r="M498" s="484" t="s">
        <v>1238</v>
      </c>
      <c r="N498" s="484" t="s">
        <v>714</v>
      </c>
      <c r="O498" s="487">
        <v>2680.24</v>
      </c>
    </row>
    <row r="499" spans="2:15" ht="15" customHeight="1">
      <c r="B499" s="483">
        <v>1</v>
      </c>
      <c r="C499" s="484" t="s">
        <v>1739</v>
      </c>
      <c r="D499" s="488" t="s">
        <v>116</v>
      </c>
      <c r="E499" s="488" t="str">
        <f t="shared" si="26"/>
        <v>Open</v>
      </c>
      <c r="F499" s="488">
        <v>41971</v>
      </c>
      <c r="G499" s="488"/>
      <c r="H499" s="484" t="s">
        <v>673</v>
      </c>
      <c r="I499" s="484" t="str">
        <f>VLOOKUP(TabListaLojas[[#This Row],[UF]],UF!A:E,3,0)</f>
        <v>Southest</v>
      </c>
      <c r="J499" s="484" t="s">
        <v>118</v>
      </c>
      <c r="K499" s="484" t="str">
        <f>VLOOKUP(TabListaLojas[[#This Row],[UF]],UF!A:B,2,0)</f>
        <v>São Paulo</v>
      </c>
      <c r="L499" s="484" t="s">
        <v>1203</v>
      </c>
      <c r="M499" s="484" t="s">
        <v>1239</v>
      </c>
      <c r="N499" s="484" t="s">
        <v>676</v>
      </c>
      <c r="O499" s="487">
        <v>2131.19</v>
      </c>
    </row>
    <row r="500" spans="2:15" ht="15" customHeight="1">
      <c r="B500" s="483">
        <v>1</v>
      </c>
      <c r="C500" s="484" t="s">
        <v>1740</v>
      </c>
      <c r="D500" s="488" t="s">
        <v>116</v>
      </c>
      <c r="E500" s="488" t="str">
        <f t="shared" si="26"/>
        <v>Open</v>
      </c>
      <c r="F500" s="488">
        <v>41970</v>
      </c>
      <c r="G500" s="488"/>
      <c r="H500" s="484" t="s">
        <v>673</v>
      </c>
      <c r="I500" s="484" t="str">
        <f>VLOOKUP(TabListaLojas[[#This Row],[UF]],UF!A:E,3,0)</f>
        <v>North</v>
      </c>
      <c r="J500" s="484" t="s">
        <v>157</v>
      </c>
      <c r="K500" s="484" t="str">
        <f>VLOOKUP(TabListaLojas[[#This Row],[UF]],UF!A:B,2,0)</f>
        <v>Amazonas</v>
      </c>
      <c r="L500" s="484" t="s">
        <v>138</v>
      </c>
      <c r="M500" s="484" t="s">
        <v>1240</v>
      </c>
      <c r="N500" s="484" t="s">
        <v>676</v>
      </c>
      <c r="O500" s="487">
        <v>2119.37</v>
      </c>
    </row>
    <row r="501" spans="2:15" ht="15" customHeight="1">
      <c r="B501" s="483">
        <v>1</v>
      </c>
      <c r="C501" s="484" t="s">
        <v>2148</v>
      </c>
      <c r="D501" s="488" t="s">
        <v>127</v>
      </c>
      <c r="E501" s="488" t="str">
        <f t="shared" si="26"/>
        <v>Open</v>
      </c>
      <c r="F501" s="488">
        <v>41970</v>
      </c>
      <c r="G501" s="488"/>
      <c r="H501" s="484" t="s">
        <v>673</v>
      </c>
      <c r="I501" s="484" t="str">
        <f>VLOOKUP(TabListaLojas[[#This Row],[UF]],UF!A:E,3,0)</f>
        <v>Southest</v>
      </c>
      <c r="J501" s="484" t="s">
        <v>118</v>
      </c>
      <c r="K501" s="484" t="str">
        <f>VLOOKUP(TabListaLojas[[#This Row],[UF]],UF!A:B,2,0)</f>
        <v>São Paulo</v>
      </c>
      <c r="L501" s="484" t="s">
        <v>124</v>
      </c>
      <c r="M501" s="484" t="s">
        <v>1241</v>
      </c>
      <c r="N501" s="484" t="s">
        <v>676</v>
      </c>
      <c r="O501" s="487">
        <v>262.26</v>
      </c>
    </row>
    <row r="502" spans="2:15" ht="15" customHeight="1">
      <c r="B502" s="483">
        <v>1</v>
      </c>
      <c r="C502" s="484" t="s">
        <v>1741</v>
      </c>
      <c r="D502" s="488" t="s">
        <v>116</v>
      </c>
      <c r="E502" s="488" t="str">
        <f t="shared" si="26"/>
        <v>Open</v>
      </c>
      <c r="F502" s="488">
        <v>41969</v>
      </c>
      <c r="G502" s="488"/>
      <c r="H502" s="484" t="s">
        <v>673</v>
      </c>
      <c r="I502" s="484" t="str">
        <f>VLOOKUP(TabListaLojas[[#This Row],[UF]],UF!A:E,3,0)</f>
        <v>Midwest</v>
      </c>
      <c r="J502" s="484" t="s">
        <v>156</v>
      </c>
      <c r="K502" s="484" t="str">
        <f>VLOOKUP(TabListaLojas[[#This Row],[UF]],UF!A:B,2,0)</f>
        <v>Distrito Federal</v>
      </c>
      <c r="L502" s="484" t="s">
        <v>142</v>
      </c>
      <c r="M502" s="484" t="s">
        <v>1242</v>
      </c>
      <c r="N502" s="484" t="s">
        <v>676</v>
      </c>
      <c r="O502" s="487">
        <v>1986.8</v>
      </c>
    </row>
    <row r="503" spans="2:15" ht="15" customHeight="1">
      <c r="B503" s="483">
        <v>1</v>
      </c>
      <c r="C503" s="484" t="s">
        <v>1742</v>
      </c>
      <c r="D503" s="488" t="s">
        <v>116</v>
      </c>
      <c r="E503" s="488" t="str">
        <f t="shared" si="26"/>
        <v>Open</v>
      </c>
      <c r="F503" s="488">
        <v>41968</v>
      </c>
      <c r="G503" s="488"/>
      <c r="H503" s="484" t="s">
        <v>673</v>
      </c>
      <c r="I503" s="484" t="str">
        <f>VLOOKUP(TabListaLojas[[#This Row],[UF]],UF!A:E,3,0)</f>
        <v>North</v>
      </c>
      <c r="J503" s="484" t="s">
        <v>155</v>
      </c>
      <c r="K503" s="484" t="str">
        <f>VLOOKUP(TabListaLojas[[#This Row],[UF]],UF!A:B,2,0)</f>
        <v>Roraima</v>
      </c>
      <c r="L503" s="484" t="s">
        <v>137</v>
      </c>
      <c r="M503" s="484" t="s">
        <v>1243</v>
      </c>
      <c r="N503" s="484" t="s">
        <v>676</v>
      </c>
      <c r="O503" s="487">
        <v>2453.6800000000003</v>
      </c>
    </row>
    <row r="504" spans="2:15" ht="15" customHeight="1">
      <c r="B504" s="483">
        <v>1</v>
      </c>
      <c r="C504" s="484" t="s">
        <v>1743</v>
      </c>
      <c r="D504" s="488" t="s">
        <v>116</v>
      </c>
      <c r="E504" s="488" t="str">
        <f t="shared" si="26"/>
        <v>Open</v>
      </c>
      <c r="F504" s="488">
        <v>41963</v>
      </c>
      <c r="G504" s="488"/>
      <c r="H504" s="484" t="s">
        <v>673</v>
      </c>
      <c r="I504" s="484" t="str">
        <f>VLOOKUP(TabListaLojas[[#This Row],[UF]],UF!A:E,3,0)</f>
        <v>South</v>
      </c>
      <c r="J504" s="484" t="s">
        <v>147</v>
      </c>
      <c r="K504" s="484" t="str">
        <f>VLOOKUP(TabListaLojas[[#This Row],[UF]],UF!A:B,2,0)</f>
        <v>Santa Catarina</v>
      </c>
      <c r="L504" s="484" t="s">
        <v>1244</v>
      </c>
      <c r="M504" s="484" t="s">
        <v>1245</v>
      </c>
      <c r="N504" s="484" t="s">
        <v>676</v>
      </c>
      <c r="O504" s="487">
        <v>2085.64</v>
      </c>
    </row>
    <row r="505" spans="2:15" ht="15" customHeight="1">
      <c r="B505" s="483">
        <v>1</v>
      </c>
      <c r="C505" s="484" t="s">
        <v>1744</v>
      </c>
      <c r="D505" s="488" t="s">
        <v>116</v>
      </c>
      <c r="E505" s="488" t="str">
        <f t="shared" si="26"/>
        <v>Open</v>
      </c>
      <c r="F505" s="488">
        <v>41963</v>
      </c>
      <c r="G505" s="488"/>
      <c r="H505" s="484" t="s">
        <v>673</v>
      </c>
      <c r="I505" s="484" t="str">
        <f>VLOOKUP(TabListaLojas[[#This Row],[UF]],UF!A:E,3,0)</f>
        <v>Midwest</v>
      </c>
      <c r="J505" s="484" t="s">
        <v>123</v>
      </c>
      <c r="K505" s="484" t="str">
        <f>VLOOKUP(TabListaLojas[[#This Row],[UF]],UF!A:B,2,0)</f>
        <v>Goiás</v>
      </c>
      <c r="L505" s="484" t="s">
        <v>1246</v>
      </c>
      <c r="M505" s="484" t="s">
        <v>1247</v>
      </c>
      <c r="N505" s="484" t="s">
        <v>676</v>
      </c>
      <c r="O505" s="487">
        <v>2198.25</v>
      </c>
    </row>
    <row r="506" spans="2:15" ht="15" customHeight="1">
      <c r="B506" s="483">
        <v>1</v>
      </c>
      <c r="C506" s="484" t="s">
        <v>2147</v>
      </c>
      <c r="D506" s="488" t="s">
        <v>127</v>
      </c>
      <c r="E506" s="488" t="str">
        <f t="shared" si="26"/>
        <v>Open</v>
      </c>
      <c r="F506" s="488">
        <v>41962</v>
      </c>
      <c r="G506" s="488"/>
      <c r="H506" s="484" t="s">
        <v>673</v>
      </c>
      <c r="I506" s="484" t="str">
        <f>VLOOKUP(TabListaLojas[[#This Row],[UF]],UF!A:E,3,0)</f>
        <v>Southest</v>
      </c>
      <c r="J506" s="484" t="s">
        <v>118</v>
      </c>
      <c r="K506" s="484" t="str">
        <f>VLOOKUP(TabListaLojas[[#This Row],[UF]],UF!A:B,2,0)</f>
        <v>São Paulo</v>
      </c>
      <c r="L506" s="484" t="s">
        <v>124</v>
      </c>
      <c r="M506" s="484" t="s">
        <v>1248</v>
      </c>
      <c r="N506" s="484" t="s">
        <v>676</v>
      </c>
      <c r="O506" s="487">
        <v>136.27000000000001</v>
      </c>
    </row>
    <row r="507" spans="2:15" ht="15" customHeight="1">
      <c r="B507" s="483">
        <v>1</v>
      </c>
      <c r="C507" s="484" t="s">
        <v>1745</v>
      </c>
      <c r="D507" s="488" t="s">
        <v>116</v>
      </c>
      <c r="E507" s="488" t="str">
        <f t="shared" si="26"/>
        <v>Open</v>
      </c>
      <c r="F507" s="488">
        <v>41954</v>
      </c>
      <c r="G507" s="488"/>
      <c r="H507" s="484" t="s">
        <v>673</v>
      </c>
      <c r="I507" s="484" t="str">
        <f>VLOOKUP(TabListaLojas[[#This Row],[UF]],UF!A:E,3,0)</f>
        <v>Southest</v>
      </c>
      <c r="J507" s="484" t="s">
        <v>118</v>
      </c>
      <c r="K507" s="484" t="str">
        <f>VLOOKUP(TabListaLojas[[#This Row],[UF]],UF!A:B,2,0)</f>
        <v>São Paulo</v>
      </c>
      <c r="L507" s="484" t="s">
        <v>1249</v>
      </c>
      <c r="M507" s="484" t="s">
        <v>1250</v>
      </c>
      <c r="N507" s="484" t="s">
        <v>676</v>
      </c>
      <c r="O507" s="487">
        <v>1991.32</v>
      </c>
    </row>
    <row r="508" spans="2:15" ht="15" customHeight="1">
      <c r="B508" s="483">
        <v>1</v>
      </c>
      <c r="C508" s="484" t="s">
        <v>1746</v>
      </c>
      <c r="D508" s="488" t="s">
        <v>116</v>
      </c>
      <c r="E508" s="488" t="str">
        <f t="shared" si="26"/>
        <v>Open</v>
      </c>
      <c r="F508" s="488">
        <v>41947</v>
      </c>
      <c r="G508" s="488"/>
      <c r="H508" s="484" t="s">
        <v>673</v>
      </c>
      <c r="I508" s="484" t="str">
        <f>VLOOKUP(TabListaLojas[[#This Row],[UF]],UF!A:E,3,0)</f>
        <v>Southest</v>
      </c>
      <c r="J508" s="484" t="s">
        <v>149</v>
      </c>
      <c r="K508" s="484" t="str">
        <f>VLOOKUP(TabListaLojas[[#This Row],[UF]],UF!A:B,2,0)</f>
        <v>Minas Gerais</v>
      </c>
      <c r="L508" s="484" t="s">
        <v>136</v>
      </c>
      <c r="M508" s="484" t="s">
        <v>1251</v>
      </c>
      <c r="N508" s="484" t="s">
        <v>676</v>
      </c>
      <c r="O508" s="487">
        <v>1282.6599999999999</v>
      </c>
    </row>
    <row r="509" spans="2:15" ht="15" customHeight="1">
      <c r="B509" s="483">
        <v>1</v>
      </c>
      <c r="C509" s="484" t="s">
        <v>2042</v>
      </c>
      <c r="D509" s="488" t="s">
        <v>126</v>
      </c>
      <c r="E509" s="488" t="str">
        <f t="shared" si="26"/>
        <v>Open</v>
      </c>
      <c r="F509" s="488">
        <v>41941</v>
      </c>
      <c r="G509" s="488"/>
      <c r="H509" s="484" t="s">
        <v>673</v>
      </c>
      <c r="I509" s="484" t="str">
        <f>VLOOKUP(TabListaLojas[[#This Row],[UF]],UF!A:E,3,0)</f>
        <v>Northest</v>
      </c>
      <c r="J509" s="484" t="s">
        <v>148</v>
      </c>
      <c r="K509" s="484" t="str">
        <f>VLOOKUP(TabListaLojas[[#This Row],[UF]],UF!A:B,2,0)</f>
        <v>Ceará</v>
      </c>
      <c r="L509" s="484" t="s">
        <v>130</v>
      </c>
      <c r="M509" s="484" t="s">
        <v>832</v>
      </c>
      <c r="N509" s="484" t="s">
        <v>676</v>
      </c>
      <c r="O509" s="487">
        <v>525.05999999999995</v>
      </c>
    </row>
    <row r="510" spans="2:15" ht="15" customHeight="1">
      <c r="B510" s="483">
        <v>1</v>
      </c>
      <c r="C510" s="484" t="s">
        <v>1747</v>
      </c>
      <c r="D510" s="488" t="s">
        <v>116</v>
      </c>
      <c r="E510" s="488" t="str">
        <f t="shared" si="26"/>
        <v>Open</v>
      </c>
      <c r="F510" s="488">
        <v>41941</v>
      </c>
      <c r="G510" s="488"/>
      <c r="H510" s="484" t="s">
        <v>673</v>
      </c>
      <c r="I510" s="484" t="str">
        <f>VLOOKUP(TabListaLojas[[#This Row],[UF]],UF!A:E,3,0)</f>
        <v>Northest</v>
      </c>
      <c r="J510" s="484" t="s">
        <v>148</v>
      </c>
      <c r="K510" s="484" t="str">
        <f>VLOOKUP(TabListaLojas[[#This Row],[UF]],UF!A:B,2,0)</f>
        <v>Ceará</v>
      </c>
      <c r="L510" s="484" t="s">
        <v>130</v>
      </c>
      <c r="M510" s="484" t="s">
        <v>1252</v>
      </c>
      <c r="N510" s="484" t="s">
        <v>676</v>
      </c>
      <c r="O510" s="487">
        <v>4069.67</v>
      </c>
    </row>
    <row r="511" spans="2:15" ht="15" customHeight="1">
      <c r="B511" s="483">
        <v>1</v>
      </c>
      <c r="C511" s="484" t="s">
        <v>1748</v>
      </c>
      <c r="D511" s="488" t="s">
        <v>116</v>
      </c>
      <c r="E511" s="488" t="str">
        <f t="shared" si="26"/>
        <v>Open</v>
      </c>
      <c r="F511" s="488">
        <v>41928</v>
      </c>
      <c r="G511" s="488"/>
      <c r="H511" s="484" t="s">
        <v>673</v>
      </c>
      <c r="I511" s="484" t="str">
        <f>VLOOKUP(TabListaLojas[[#This Row],[UF]],UF!A:E,3,0)</f>
        <v>Southest</v>
      </c>
      <c r="J511" s="484" t="s">
        <v>118</v>
      </c>
      <c r="K511" s="484" t="str">
        <f>VLOOKUP(TabListaLojas[[#This Row],[UF]],UF!A:B,2,0)</f>
        <v>São Paulo</v>
      </c>
      <c r="L511" s="484" t="s">
        <v>1253</v>
      </c>
      <c r="M511" s="484" t="s">
        <v>1254</v>
      </c>
      <c r="N511" s="484" t="s">
        <v>676</v>
      </c>
      <c r="O511" s="487">
        <v>2028.37</v>
      </c>
    </row>
    <row r="512" spans="2:15" ht="15" customHeight="1">
      <c r="B512" s="483">
        <v>1</v>
      </c>
      <c r="C512" s="484" t="s">
        <v>2041</v>
      </c>
      <c r="D512" s="488" t="s">
        <v>126</v>
      </c>
      <c r="E512" s="488" t="str">
        <f t="shared" si="26"/>
        <v>Open</v>
      </c>
      <c r="F512" s="488">
        <v>41908</v>
      </c>
      <c r="G512" s="488"/>
      <c r="H512" s="484" t="s">
        <v>673</v>
      </c>
      <c r="I512" s="484" t="str">
        <f>VLOOKUP(TabListaLojas[[#This Row],[UF]],UF!A:E,3,0)</f>
        <v>South</v>
      </c>
      <c r="J512" s="484" t="s">
        <v>147</v>
      </c>
      <c r="K512" s="484" t="str">
        <f>VLOOKUP(TabListaLojas[[#This Row],[UF]],UF!A:B,2,0)</f>
        <v>Santa Catarina</v>
      </c>
      <c r="L512" s="484" t="s">
        <v>135</v>
      </c>
      <c r="M512" s="484" t="s">
        <v>1255</v>
      </c>
      <c r="N512" s="484" t="s">
        <v>676</v>
      </c>
      <c r="O512" s="487">
        <v>597.98</v>
      </c>
    </row>
    <row r="513" spans="2:15" ht="15" customHeight="1">
      <c r="B513" s="483">
        <v>1</v>
      </c>
      <c r="C513" s="484" t="s">
        <v>2146</v>
      </c>
      <c r="D513" s="488" t="s">
        <v>127</v>
      </c>
      <c r="E513" s="488" t="str">
        <f t="shared" si="26"/>
        <v>Open</v>
      </c>
      <c r="F513" s="488">
        <v>41906</v>
      </c>
      <c r="G513" s="488"/>
      <c r="H513" s="484" t="s">
        <v>673</v>
      </c>
      <c r="I513" s="484" t="str">
        <f>VLOOKUP(TabListaLojas[[#This Row],[UF]],UF!A:E,3,0)</f>
        <v>Southest</v>
      </c>
      <c r="J513" s="484" t="s">
        <v>149</v>
      </c>
      <c r="K513" s="484" t="str">
        <f>VLOOKUP(TabListaLojas[[#This Row],[UF]],UF!A:B,2,0)</f>
        <v>Minas Gerais</v>
      </c>
      <c r="L513" s="484" t="s">
        <v>136</v>
      </c>
      <c r="M513" s="484" t="s">
        <v>1256</v>
      </c>
      <c r="N513" s="484" t="s">
        <v>676</v>
      </c>
      <c r="O513" s="487">
        <v>315</v>
      </c>
    </row>
    <row r="514" spans="2:15" ht="15" customHeight="1">
      <c r="B514" s="483">
        <v>1</v>
      </c>
      <c r="C514" s="484" t="s">
        <v>1749</v>
      </c>
      <c r="D514" s="488" t="s">
        <v>116</v>
      </c>
      <c r="E514" s="488" t="str">
        <f t="shared" si="26"/>
        <v>Open</v>
      </c>
      <c r="F514" s="488">
        <v>41892</v>
      </c>
      <c r="G514" s="488"/>
      <c r="H514" s="484" t="s">
        <v>673</v>
      </c>
      <c r="I514" s="484" t="str">
        <f>VLOOKUP(TabListaLojas[[#This Row],[UF]],UF!A:E,3,0)</f>
        <v>South</v>
      </c>
      <c r="J514" s="484" t="s">
        <v>147</v>
      </c>
      <c r="K514" s="484" t="str">
        <f>VLOOKUP(TabListaLojas[[#This Row],[UF]],UF!A:B,2,0)</f>
        <v>Santa Catarina</v>
      </c>
      <c r="L514" s="484" t="s">
        <v>1065</v>
      </c>
      <c r="M514" s="484" t="s">
        <v>1066</v>
      </c>
      <c r="N514" s="484" t="s">
        <v>676</v>
      </c>
      <c r="O514" s="487">
        <v>1802.06</v>
      </c>
    </row>
    <row r="515" spans="2:15" ht="15" customHeight="1">
      <c r="B515" s="483">
        <v>1</v>
      </c>
      <c r="C515" s="484" t="s">
        <v>1750</v>
      </c>
      <c r="D515" s="488" t="s">
        <v>116</v>
      </c>
      <c r="E515" s="488" t="str">
        <f t="shared" si="26"/>
        <v>Open</v>
      </c>
      <c r="F515" s="488">
        <v>41880</v>
      </c>
      <c r="G515" s="488"/>
      <c r="H515" s="484" t="s">
        <v>673</v>
      </c>
      <c r="I515" s="484" t="str">
        <f>VLOOKUP(TabListaLojas[[#This Row],[UF]],UF!A:E,3,0)</f>
        <v>South</v>
      </c>
      <c r="J515" s="484" t="s">
        <v>117</v>
      </c>
      <c r="K515" s="484" t="str">
        <f>VLOOKUP(TabListaLojas[[#This Row],[UF]],UF!A:B,2,0)</f>
        <v>Rio Grande do Sul</v>
      </c>
      <c r="L515" s="484" t="s">
        <v>1257</v>
      </c>
      <c r="M515" s="484" t="s">
        <v>1258</v>
      </c>
      <c r="N515" s="484" t="s">
        <v>676</v>
      </c>
      <c r="O515" s="487">
        <v>2505.1</v>
      </c>
    </row>
    <row r="516" spans="2:15" ht="15" customHeight="1">
      <c r="B516" s="483">
        <v>1</v>
      </c>
      <c r="C516" s="484" t="s">
        <v>2040</v>
      </c>
      <c r="D516" s="488" t="s">
        <v>126</v>
      </c>
      <c r="E516" s="488" t="str">
        <f t="shared" si="26"/>
        <v>Open</v>
      </c>
      <c r="F516" s="488">
        <v>41876</v>
      </c>
      <c r="G516" s="488"/>
      <c r="H516" s="484" t="s">
        <v>673</v>
      </c>
      <c r="I516" s="484" t="str">
        <f>VLOOKUP(TabListaLojas[[#This Row],[UF]],UF!A:E,3,0)</f>
        <v>Southest</v>
      </c>
      <c r="J516" s="484" t="s">
        <v>152</v>
      </c>
      <c r="K516" s="484" t="str">
        <f>VLOOKUP(TabListaLojas[[#This Row],[UF]],UF!A:B,2,0)</f>
        <v>Espírito Santo</v>
      </c>
      <c r="L516" s="484" t="s">
        <v>836</v>
      </c>
      <c r="M516" s="484" t="s">
        <v>837</v>
      </c>
      <c r="N516" s="484" t="s">
        <v>676</v>
      </c>
      <c r="O516" s="487">
        <v>439.01</v>
      </c>
    </row>
    <row r="517" spans="2:15" ht="15" customHeight="1">
      <c r="B517" s="483">
        <v>1</v>
      </c>
      <c r="C517" s="484" t="s">
        <v>1751</v>
      </c>
      <c r="D517" s="488" t="s">
        <v>116</v>
      </c>
      <c r="E517" s="488" t="str">
        <f t="shared" si="26"/>
        <v>Open</v>
      </c>
      <c r="F517" s="488">
        <v>41876</v>
      </c>
      <c r="G517" s="488"/>
      <c r="H517" s="484" t="s">
        <v>673</v>
      </c>
      <c r="I517" s="484" t="str">
        <f>VLOOKUP(TabListaLojas[[#This Row],[UF]],UF!A:E,3,0)</f>
        <v>Southest</v>
      </c>
      <c r="J517" s="484" t="s">
        <v>152</v>
      </c>
      <c r="K517" s="484" t="str">
        <f>VLOOKUP(TabListaLojas[[#This Row],[UF]],UF!A:B,2,0)</f>
        <v>Espírito Santo</v>
      </c>
      <c r="L517" s="484" t="s">
        <v>836</v>
      </c>
      <c r="M517" s="484" t="s">
        <v>837</v>
      </c>
      <c r="N517" s="484" t="s">
        <v>676</v>
      </c>
      <c r="O517" s="487">
        <v>2211.64</v>
      </c>
    </row>
    <row r="518" spans="2:15" ht="15" hidden="1" customHeight="1">
      <c r="B518" s="491">
        <v>0</v>
      </c>
      <c r="C518" s="492" t="s">
        <v>2039</v>
      </c>
      <c r="D518" s="493" t="s">
        <v>126</v>
      </c>
      <c r="E518" s="493" t="str">
        <f t="shared" si="26"/>
        <v>Closed</v>
      </c>
      <c r="F518" s="493">
        <v>41846</v>
      </c>
      <c r="G518" s="493">
        <v>45688</v>
      </c>
      <c r="H518" s="492" t="s">
        <v>673</v>
      </c>
      <c r="I518" s="492" t="str">
        <f>VLOOKUP(TabListaLojas[[#This Row],[UF]],UF!A:E,3,0)</f>
        <v>Midwest</v>
      </c>
      <c r="J518" s="492" t="s">
        <v>156</v>
      </c>
      <c r="K518" s="492" t="str">
        <f>VLOOKUP(TabListaLojas[[#This Row],[UF]],UF!A:B,2,0)</f>
        <v>Distrito Federal</v>
      </c>
      <c r="L518" s="492" t="s">
        <v>142</v>
      </c>
      <c r="M518" s="492" t="s">
        <v>1259</v>
      </c>
      <c r="N518" s="492" t="s">
        <v>676</v>
      </c>
      <c r="O518" s="495">
        <v>0</v>
      </c>
    </row>
    <row r="519" spans="2:15" ht="15" customHeight="1">
      <c r="B519" s="483">
        <v>1</v>
      </c>
      <c r="C519" s="484" t="s">
        <v>2145</v>
      </c>
      <c r="D519" s="488" t="s">
        <v>127</v>
      </c>
      <c r="E519" s="488" t="str">
        <f t="shared" si="26"/>
        <v>Open</v>
      </c>
      <c r="F519" s="488">
        <v>41837</v>
      </c>
      <c r="G519" s="488"/>
      <c r="H519" s="484" t="s">
        <v>673</v>
      </c>
      <c r="I519" s="484" t="str">
        <f>VLOOKUP(TabListaLojas[[#This Row],[UF]],UF!A:E,3,0)</f>
        <v>South</v>
      </c>
      <c r="J519" s="484" t="s">
        <v>117</v>
      </c>
      <c r="K519" s="484" t="str">
        <f>VLOOKUP(TabListaLojas[[#This Row],[UF]],UF!A:B,2,0)</f>
        <v>Rio Grande do Sul</v>
      </c>
      <c r="L519" s="484" t="s">
        <v>850</v>
      </c>
      <c r="M519" s="484" t="s">
        <v>851</v>
      </c>
      <c r="N519" s="484" t="s">
        <v>676</v>
      </c>
      <c r="O519" s="487">
        <v>130.78</v>
      </c>
    </row>
    <row r="520" spans="2:15" ht="15" customHeight="1">
      <c r="B520" s="483">
        <v>1</v>
      </c>
      <c r="C520" s="484" t="s">
        <v>2144</v>
      </c>
      <c r="D520" s="488" t="s">
        <v>127</v>
      </c>
      <c r="E520" s="488" t="str">
        <f t="shared" si="26"/>
        <v>Open</v>
      </c>
      <c r="F520" s="488">
        <v>41824</v>
      </c>
      <c r="G520" s="488"/>
      <c r="H520" s="484" t="s">
        <v>673</v>
      </c>
      <c r="I520" s="484" t="str">
        <f>VLOOKUP(TabListaLojas[[#This Row],[UF]],UF!A:E,3,0)</f>
        <v>Southest</v>
      </c>
      <c r="J520" s="484" t="s">
        <v>118</v>
      </c>
      <c r="K520" s="484" t="str">
        <f>VLOOKUP(TabListaLojas[[#This Row],[UF]],UF!A:B,2,0)</f>
        <v>São Paulo</v>
      </c>
      <c r="L520" s="484" t="s">
        <v>124</v>
      </c>
      <c r="M520" s="484" t="s">
        <v>1260</v>
      </c>
      <c r="N520" s="484" t="s">
        <v>676</v>
      </c>
      <c r="O520" s="487">
        <v>249.63</v>
      </c>
    </row>
    <row r="521" spans="2:15" ht="15" customHeight="1">
      <c r="B521" s="483">
        <v>1</v>
      </c>
      <c r="C521" s="484" t="s">
        <v>1752</v>
      </c>
      <c r="D521" s="488" t="s">
        <v>116</v>
      </c>
      <c r="E521" s="488" t="str">
        <f t="shared" si="26"/>
        <v>Open</v>
      </c>
      <c r="F521" s="488">
        <v>41823</v>
      </c>
      <c r="G521" s="488"/>
      <c r="H521" s="484" t="s">
        <v>673</v>
      </c>
      <c r="I521" s="484" t="str">
        <f>VLOOKUP(TabListaLojas[[#This Row],[UF]],UF!A:E,3,0)</f>
        <v>Southest</v>
      </c>
      <c r="J521" s="484" t="s">
        <v>118</v>
      </c>
      <c r="K521" s="484" t="str">
        <f>VLOOKUP(TabListaLojas[[#This Row],[UF]],UF!A:B,2,0)</f>
        <v>São Paulo</v>
      </c>
      <c r="L521" s="484" t="s">
        <v>1261</v>
      </c>
      <c r="M521" s="484" t="s">
        <v>1262</v>
      </c>
      <c r="N521" s="484" t="s">
        <v>676</v>
      </c>
      <c r="O521" s="487">
        <v>1792.69</v>
      </c>
    </row>
    <row r="522" spans="2:15" ht="15" customHeight="1">
      <c r="B522" s="483">
        <v>1</v>
      </c>
      <c r="C522" s="484" t="s">
        <v>1753</v>
      </c>
      <c r="D522" s="488" t="s">
        <v>116</v>
      </c>
      <c r="E522" s="488" t="str">
        <f t="shared" si="26"/>
        <v>Open</v>
      </c>
      <c r="F522" s="488">
        <v>41816</v>
      </c>
      <c r="G522" s="488"/>
      <c r="H522" s="484" t="s">
        <v>673</v>
      </c>
      <c r="I522" s="484" t="str">
        <f>VLOOKUP(TabListaLojas[[#This Row],[UF]],UF!A:E,3,0)</f>
        <v>Southest</v>
      </c>
      <c r="J522" s="484" t="s">
        <v>118</v>
      </c>
      <c r="K522" s="484" t="str">
        <f>VLOOKUP(TabListaLojas[[#This Row],[UF]],UF!A:B,2,0)</f>
        <v>São Paulo</v>
      </c>
      <c r="L522" s="484" t="s">
        <v>770</v>
      </c>
      <c r="M522" s="484" t="s">
        <v>1263</v>
      </c>
      <c r="N522" s="484" t="s">
        <v>676</v>
      </c>
      <c r="O522" s="487">
        <v>1976.3899999999999</v>
      </c>
    </row>
    <row r="523" spans="2:15" ht="15" customHeight="1">
      <c r="B523" s="483">
        <v>1</v>
      </c>
      <c r="C523" s="484" t="s">
        <v>1754</v>
      </c>
      <c r="D523" s="488" t="s">
        <v>116</v>
      </c>
      <c r="E523" s="488" t="str">
        <f t="shared" si="26"/>
        <v>Open</v>
      </c>
      <c r="F523" s="488">
        <v>41816</v>
      </c>
      <c r="G523" s="488"/>
      <c r="H523" s="484" t="s">
        <v>673</v>
      </c>
      <c r="I523" s="484" t="str">
        <f>VLOOKUP(TabListaLojas[[#This Row],[UF]],UF!A:E,3,0)</f>
        <v>Southest</v>
      </c>
      <c r="J523" s="484" t="s">
        <v>122</v>
      </c>
      <c r="K523" s="484" t="str">
        <f>VLOOKUP(TabListaLojas[[#This Row],[UF]],UF!A:B,2,0)</f>
        <v>Rio de Janeiro</v>
      </c>
      <c r="L523" s="484" t="s">
        <v>128</v>
      </c>
      <c r="M523" s="484" t="s">
        <v>1264</v>
      </c>
      <c r="N523" s="484" t="s">
        <v>714</v>
      </c>
      <c r="O523" s="487">
        <v>1981.59</v>
      </c>
    </row>
    <row r="524" spans="2:15" ht="15" customHeight="1">
      <c r="B524" s="483">
        <v>1</v>
      </c>
      <c r="C524" s="484" t="s">
        <v>2143</v>
      </c>
      <c r="D524" s="488" t="s">
        <v>127</v>
      </c>
      <c r="E524" s="488" t="str">
        <f t="shared" si="26"/>
        <v>Open</v>
      </c>
      <c r="F524" s="488">
        <v>41816</v>
      </c>
      <c r="G524" s="488"/>
      <c r="H524" s="484" t="s">
        <v>673</v>
      </c>
      <c r="I524" s="484" t="str">
        <f>VLOOKUP(TabListaLojas[[#This Row],[UF]],UF!A:E,3,0)</f>
        <v>South</v>
      </c>
      <c r="J524" s="484" t="s">
        <v>117</v>
      </c>
      <c r="K524" s="484" t="str">
        <f>VLOOKUP(TabListaLojas[[#This Row],[UF]],UF!A:B,2,0)</f>
        <v>Rio Grande do Sul</v>
      </c>
      <c r="L524" s="484" t="s">
        <v>950</v>
      </c>
      <c r="M524" s="484" t="s">
        <v>951</v>
      </c>
      <c r="N524" s="484" t="s">
        <v>676</v>
      </c>
      <c r="O524" s="487">
        <v>226.15</v>
      </c>
    </row>
    <row r="525" spans="2:15" ht="15" customHeight="1">
      <c r="B525" s="483">
        <v>1</v>
      </c>
      <c r="C525" s="484" t="s">
        <v>1755</v>
      </c>
      <c r="D525" s="488" t="s">
        <v>116</v>
      </c>
      <c r="E525" s="488" t="str">
        <f t="shared" si="26"/>
        <v>Open</v>
      </c>
      <c r="F525" s="488">
        <v>41814</v>
      </c>
      <c r="G525" s="488"/>
      <c r="H525" s="484" t="s">
        <v>673</v>
      </c>
      <c r="I525" s="484" t="str">
        <f>VLOOKUP(TabListaLojas[[#This Row],[UF]],UF!A:E,3,0)</f>
        <v>South</v>
      </c>
      <c r="J525" s="484" t="s">
        <v>147</v>
      </c>
      <c r="K525" s="484" t="str">
        <f>VLOOKUP(TabListaLojas[[#This Row],[UF]],UF!A:B,2,0)</f>
        <v>Santa Catarina</v>
      </c>
      <c r="L525" s="484" t="s">
        <v>135</v>
      </c>
      <c r="M525" s="484" t="s">
        <v>1182</v>
      </c>
      <c r="N525" s="484" t="s">
        <v>676</v>
      </c>
      <c r="O525" s="487">
        <v>2014.14</v>
      </c>
    </row>
    <row r="526" spans="2:15" ht="15" customHeight="1">
      <c r="B526" s="483">
        <v>1</v>
      </c>
      <c r="C526" s="484" t="s">
        <v>2142</v>
      </c>
      <c r="D526" s="488" t="s">
        <v>127</v>
      </c>
      <c r="E526" s="488" t="str">
        <f t="shared" si="26"/>
        <v>Open</v>
      </c>
      <c r="F526" s="488">
        <v>41810</v>
      </c>
      <c r="G526" s="488"/>
      <c r="H526" s="484" t="s">
        <v>673</v>
      </c>
      <c r="I526" s="484" t="str">
        <f>VLOOKUP(TabListaLojas[[#This Row],[UF]],UF!A:E,3,0)</f>
        <v>Southest</v>
      </c>
      <c r="J526" s="484" t="s">
        <v>118</v>
      </c>
      <c r="K526" s="484" t="str">
        <f>VLOOKUP(TabListaLojas[[#This Row],[UF]],UF!A:B,2,0)</f>
        <v>São Paulo</v>
      </c>
      <c r="L526" s="484" t="s">
        <v>124</v>
      </c>
      <c r="M526" s="484" t="s">
        <v>1002</v>
      </c>
      <c r="N526" s="484" t="s">
        <v>676</v>
      </c>
      <c r="O526" s="487">
        <v>315.56</v>
      </c>
    </row>
    <row r="527" spans="2:15" ht="15" customHeight="1">
      <c r="B527" s="483">
        <v>1</v>
      </c>
      <c r="C527" s="484" t="s">
        <v>1756</v>
      </c>
      <c r="D527" s="488" t="s">
        <v>116</v>
      </c>
      <c r="E527" s="488" t="str">
        <f t="shared" si="26"/>
        <v>Open</v>
      </c>
      <c r="F527" s="488">
        <v>41788</v>
      </c>
      <c r="G527" s="488"/>
      <c r="H527" s="484" t="s">
        <v>673</v>
      </c>
      <c r="I527" s="484" t="str">
        <f>VLOOKUP(TabListaLojas[[#This Row],[UF]],UF!A:E,3,0)</f>
        <v>Southest</v>
      </c>
      <c r="J527" s="484" t="s">
        <v>118</v>
      </c>
      <c r="K527" s="484" t="str">
        <f>VLOOKUP(TabListaLojas[[#This Row],[UF]],UF!A:B,2,0)</f>
        <v>São Paulo</v>
      </c>
      <c r="L527" s="484" t="s">
        <v>1265</v>
      </c>
      <c r="M527" s="484" t="s">
        <v>1266</v>
      </c>
      <c r="N527" s="484" t="s">
        <v>676</v>
      </c>
      <c r="O527" s="487">
        <v>1876.6399999999999</v>
      </c>
    </row>
    <row r="528" spans="2:15" ht="15" customHeight="1">
      <c r="B528" s="483">
        <v>1</v>
      </c>
      <c r="C528" s="484" t="s">
        <v>2038</v>
      </c>
      <c r="D528" s="488" t="s">
        <v>126</v>
      </c>
      <c r="E528" s="488" t="str">
        <f t="shared" si="26"/>
        <v>Open</v>
      </c>
      <c r="F528" s="488">
        <v>41776</v>
      </c>
      <c r="G528" s="488"/>
      <c r="H528" s="484" t="s">
        <v>673</v>
      </c>
      <c r="I528" s="484" t="str">
        <f>VLOOKUP(TabListaLojas[[#This Row],[UF]],UF!A:E,3,0)</f>
        <v>Midwest</v>
      </c>
      <c r="J528" s="484" t="s">
        <v>160</v>
      </c>
      <c r="K528" s="484" t="str">
        <f>VLOOKUP(TabListaLojas[[#This Row],[UF]],UF!A:B,2,0)</f>
        <v>Mato Grosso do Sul</v>
      </c>
      <c r="L528" s="484" t="s">
        <v>141</v>
      </c>
      <c r="M528" s="484" t="s">
        <v>868</v>
      </c>
      <c r="N528" s="484" t="s">
        <v>676</v>
      </c>
      <c r="O528" s="487">
        <v>416.28</v>
      </c>
    </row>
    <row r="529" spans="2:15" ht="15" customHeight="1">
      <c r="B529" s="483">
        <v>1</v>
      </c>
      <c r="C529" s="484" t="s">
        <v>2037</v>
      </c>
      <c r="D529" s="488" t="s">
        <v>126</v>
      </c>
      <c r="E529" s="488" t="str">
        <f t="shared" si="26"/>
        <v>Open</v>
      </c>
      <c r="F529" s="488">
        <v>41769</v>
      </c>
      <c r="G529" s="488"/>
      <c r="H529" s="484" t="s">
        <v>673</v>
      </c>
      <c r="I529" s="484" t="str">
        <f>VLOOKUP(TabListaLojas[[#This Row],[UF]],UF!A:E,3,0)</f>
        <v>Southest</v>
      </c>
      <c r="J529" s="484" t="s">
        <v>149</v>
      </c>
      <c r="K529" s="484" t="str">
        <f>VLOOKUP(TabListaLojas[[#This Row],[UF]],UF!A:B,2,0)</f>
        <v>Minas Gerais</v>
      </c>
      <c r="L529" s="484" t="s">
        <v>136</v>
      </c>
      <c r="M529" s="484" t="s">
        <v>1090</v>
      </c>
      <c r="N529" s="484" t="s">
        <v>676</v>
      </c>
      <c r="O529" s="487">
        <v>560.41999999999996</v>
      </c>
    </row>
    <row r="530" spans="2:15" ht="15" hidden="1" customHeight="1">
      <c r="B530" s="491">
        <v>0</v>
      </c>
      <c r="C530" s="492" t="s">
        <v>2036</v>
      </c>
      <c r="D530" s="493" t="s">
        <v>126</v>
      </c>
      <c r="E530" s="493" t="str">
        <f t="shared" si="26"/>
        <v>Closed</v>
      </c>
      <c r="F530" s="493">
        <v>41768</v>
      </c>
      <c r="G530" s="493">
        <v>43604</v>
      </c>
      <c r="H530" s="492" t="s">
        <v>673</v>
      </c>
      <c r="I530" s="492" t="str">
        <f>VLOOKUP(TabListaLojas[[#This Row],[UF]],UF!A:E,3,0)</f>
        <v>Midwest</v>
      </c>
      <c r="J530" s="492" t="s">
        <v>123</v>
      </c>
      <c r="K530" s="492" t="str">
        <f>VLOOKUP(TabListaLojas[[#This Row],[UF]],UF!A:B,2,0)</f>
        <v>Goiás</v>
      </c>
      <c r="L530" s="492" t="s">
        <v>140</v>
      </c>
      <c r="M530" s="492" t="s">
        <v>1537</v>
      </c>
      <c r="N530" s="492" t="s">
        <v>676</v>
      </c>
      <c r="O530" s="495">
        <v>0</v>
      </c>
    </row>
    <row r="531" spans="2:15" ht="15" hidden="1" customHeight="1">
      <c r="B531" s="491">
        <v>0</v>
      </c>
      <c r="C531" s="492" t="s">
        <v>2124</v>
      </c>
      <c r="D531" s="493" t="s">
        <v>127</v>
      </c>
      <c r="E531" s="493" t="str">
        <f t="shared" si="26"/>
        <v>Closed</v>
      </c>
      <c r="F531" s="493">
        <v>41767</v>
      </c>
      <c r="G531" s="493">
        <v>43790</v>
      </c>
      <c r="H531" s="492" t="s">
        <v>673</v>
      </c>
      <c r="I531" s="492" t="str">
        <f>VLOOKUP(TabListaLojas[[#This Row],[UF]],UF!A:E,3,0)</f>
        <v>South</v>
      </c>
      <c r="J531" s="492" t="s">
        <v>117</v>
      </c>
      <c r="K531" s="492" t="str">
        <f>VLOOKUP(TabListaLojas[[#This Row],[UF]],UF!A:B,2,0)</f>
        <v>Rio Grande do Sul</v>
      </c>
      <c r="L531" s="492" t="s">
        <v>129</v>
      </c>
      <c r="M531" s="492" t="s">
        <v>1538</v>
      </c>
      <c r="N531" s="492" t="s">
        <v>676</v>
      </c>
      <c r="O531" s="495">
        <v>0</v>
      </c>
    </row>
    <row r="532" spans="2:15" ht="15" customHeight="1">
      <c r="B532" s="483">
        <v>1</v>
      </c>
      <c r="C532" s="484" t="s">
        <v>1757</v>
      </c>
      <c r="D532" s="488" t="s">
        <v>116</v>
      </c>
      <c r="E532" s="488" t="str">
        <f t="shared" si="26"/>
        <v>Open</v>
      </c>
      <c r="F532" s="488">
        <v>41765</v>
      </c>
      <c r="G532" s="488"/>
      <c r="H532" s="484" t="s">
        <v>673</v>
      </c>
      <c r="I532" s="484" t="str">
        <f>VLOOKUP(TabListaLojas[[#This Row],[UF]],UF!A:E,3,0)</f>
        <v>Northest</v>
      </c>
      <c r="J532" s="484" t="s">
        <v>154</v>
      </c>
      <c r="K532" s="484" t="str">
        <f>VLOOKUP(TabListaLojas[[#This Row],[UF]],UF!A:B,2,0)</f>
        <v>Maranhão</v>
      </c>
      <c r="L532" s="484" t="s">
        <v>171</v>
      </c>
      <c r="M532" s="484" t="s">
        <v>1267</v>
      </c>
      <c r="N532" s="484" t="s">
        <v>676</v>
      </c>
      <c r="O532" s="487">
        <v>2650.48</v>
      </c>
    </row>
    <row r="533" spans="2:15" ht="15" customHeight="1">
      <c r="B533" s="483">
        <v>1</v>
      </c>
      <c r="C533" s="484" t="s">
        <v>1758</v>
      </c>
      <c r="D533" s="488" t="s">
        <v>116</v>
      </c>
      <c r="E533" s="488" t="str">
        <f t="shared" ref="E533:E596" si="27">IF(G533="","Open","Closed")</f>
        <v>Open</v>
      </c>
      <c r="F533" s="488">
        <v>41765</v>
      </c>
      <c r="G533" s="488"/>
      <c r="H533" s="484" t="s">
        <v>673</v>
      </c>
      <c r="I533" s="484" t="str">
        <f>VLOOKUP(TabListaLojas[[#This Row],[UF]],UF!A:E,3,0)</f>
        <v>Southest</v>
      </c>
      <c r="J533" s="484" t="s">
        <v>152</v>
      </c>
      <c r="K533" s="484" t="str">
        <f>VLOOKUP(TabListaLojas[[#This Row],[UF]],UF!A:B,2,0)</f>
        <v>Espírito Santo</v>
      </c>
      <c r="L533" s="484" t="s">
        <v>1268</v>
      </c>
      <c r="M533" s="484" t="s">
        <v>1269</v>
      </c>
      <c r="N533" s="484" t="s">
        <v>676</v>
      </c>
      <c r="O533" s="487">
        <v>1977.77</v>
      </c>
    </row>
    <row r="534" spans="2:15" ht="15" customHeight="1">
      <c r="B534" s="483">
        <v>1</v>
      </c>
      <c r="C534" s="484" t="s">
        <v>1759</v>
      </c>
      <c r="D534" s="488" t="s">
        <v>116</v>
      </c>
      <c r="E534" s="488" t="str">
        <f t="shared" si="27"/>
        <v>Open</v>
      </c>
      <c r="F534" s="488">
        <v>41758</v>
      </c>
      <c r="G534" s="488"/>
      <c r="H534" s="484" t="s">
        <v>673</v>
      </c>
      <c r="I534" s="484" t="str">
        <f>VLOOKUP(TabListaLojas[[#This Row],[UF]],UF!A:E,3,0)</f>
        <v>Southest</v>
      </c>
      <c r="J534" s="484" t="s">
        <v>122</v>
      </c>
      <c r="K534" s="484" t="str">
        <f>VLOOKUP(TabListaLojas[[#This Row],[UF]],UF!A:B,2,0)</f>
        <v>Rio de Janeiro</v>
      </c>
      <c r="L534" s="484" t="s">
        <v>128</v>
      </c>
      <c r="M534" s="484" t="s">
        <v>1219</v>
      </c>
      <c r="N534" s="484" t="s">
        <v>676</v>
      </c>
      <c r="O534" s="487">
        <v>2453.14</v>
      </c>
    </row>
    <row r="535" spans="2:15" ht="15" hidden="1" customHeight="1">
      <c r="B535" s="491">
        <v>0</v>
      </c>
      <c r="C535" s="492" t="s">
        <v>2123</v>
      </c>
      <c r="D535" s="493" t="s">
        <v>127</v>
      </c>
      <c r="E535" s="493" t="str">
        <f t="shared" si="27"/>
        <v>Closed</v>
      </c>
      <c r="F535" s="493">
        <v>41758</v>
      </c>
      <c r="G535" s="493">
        <v>43131</v>
      </c>
      <c r="H535" s="492" t="s">
        <v>673</v>
      </c>
      <c r="I535" s="492" t="str">
        <f>VLOOKUP(TabListaLojas[[#This Row],[UF]],UF!A:E,3,0)</f>
        <v>Southest</v>
      </c>
      <c r="J535" s="492" t="s">
        <v>118</v>
      </c>
      <c r="K535" s="492" t="str">
        <f>VLOOKUP(TabListaLojas[[#This Row],[UF]],UF!A:B,2,0)</f>
        <v>São Paulo</v>
      </c>
      <c r="L535" s="492" t="s">
        <v>894</v>
      </c>
      <c r="M535" s="492" t="s">
        <v>964</v>
      </c>
      <c r="N535" s="492" t="s">
        <v>676</v>
      </c>
      <c r="O535" s="495">
        <v>0</v>
      </c>
    </row>
    <row r="536" spans="2:15" ht="15" customHeight="1">
      <c r="B536" s="483">
        <v>1</v>
      </c>
      <c r="C536" s="484" t="s">
        <v>2035</v>
      </c>
      <c r="D536" s="488" t="s">
        <v>126</v>
      </c>
      <c r="E536" s="488" t="str">
        <f t="shared" si="27"/>
        <v>Open</v>
      </c>
      <c r="F536" s="488">
        <v>41755</v>
      </c>
      <c r="G536" s="488"/>
      <c r="H536" s="484" t="s">
        <v>673</v>
      </c>
      <c r="I536" s="484" t="str">
        <f>VLOOKUP(TabListaLojas[[#This Row],[UF]],UF!A:E,3,0)</f>
        <v>Southest</v>
      </c>
      <c r="J536" s="484" t="s">
        <v>118</v>
      </c>
      <c r="K536" s="484" t="str">
        <f>VLOOKUP(TabListaLojas[[#This Row],[UF]],UF!A:B,2,0)</f>
        <v>São Paulo</v>
      </c>
      <c r="L536" s="484" t="s">
        <v>783</v>
      </c>
      <c r="M536" s="484" t="s">
        <v>1270</v>
      </c>
      <c r="N536" s="484" t="s">
        <v>676</v>
      </c>
      <c r="O536" s="487">
        <v>596</v>
      </c>
    </row>
    <row r="537" spans="2:15" ht="15" customHeight="1">
      <c r="B537" s="483">
        <v>1</v>
      </c>
      <c r="C537" s="484" t="s">
        <v>1760</v>
      </c>
      <c r="D537" s="488" t="s">
        <v>116</v>
      </c>
      <c r="E537" s="488" t="str">
        <f t="shared" si="27"/>
        <v>Open</v>
      </c>
      <c r="F537" s="488">
        <v>41755</v>
      </c>
      <c r="G537" s="488"/>
      <c r="H537" s="484" t="s">
        <v>673</v>
      </c>
      <c r="I537" s="484" t="str">
        <f>VLOOKUP(TabListaLojas[[#This Row],[UF]],UF!A:E,3,0)</f>
        <v>Southest</v>
      </c>
      <c r="J537" s="484" t="s">
        <v>118</v>
      </c>
      <c r="K537" s="484" t="str">
        <f>VLOOKUP(TabListaLojas[[#This Row],[UF]],UF!A:B,2,0)</f>
        <v>São Paulo</v>
      </c>
      <c r="L537" s="484" t="s">
        <v>783</v>
      </c>
      <c r="M537" s="484" t="s">
        <v>1271</v>
      </c>
      <c r="N537" s="484" t="s">
        <v>676</v>
      </c>
      <c r="O537" s="487">
        <v>2868.87</v>
      </c>
    </row>
    <row r="538" spans="2:15" ht="15" hidden="1" customHeight="1">
      <c r="B538" s="491">
        <v>0</v>
      </c>
      <c r="C538" s="492" t="s">
        <v>2122</v>
      </c>
      <c r="D538" s="493" t="s">
        <v>127</v>
      </c>
      <c r="E538" s="493" t="str">
        <f t="shared" si="27"/>
        <v>Closed</v>
      </c>
      <c r="F538" s="493">
        <v>41755</v>
      </c>
      <c r="G538" s="493">
        <v>43317</v>
      </c>
      <c r="H538" s="492" t="s">
        <v>673</v>
      </c>
      <c r="I538" s="492" t="str">
        <f>VLOOKUP(TabListaLojas[[#This Row],[UF]],UF!A:E,3,0)</f>
        <v>Southest</v>
      </c>
      <c r="J538" s="492" t="s">
        <v>118</v>
      </c>
      <c r="K538" s="492" t="str">
        <f>VLOOKUP(TabListaLojas[[#This Row],[UF]],UF!A:B,2,0)</f>
        <v>São Paulo</v>
      </c>
      <c r="L538" s="492" t="s">
        <v>783</v>
      </c>
      <c r="M538" s="492" t="s">
        <v>1539</v>
      </c>
      <c r="N538" s="492" t="s">
        <v>676</v>
      </c>
      <c r="O538" s="495">
        <v>0</v>
      </c>
    </row>
    <row r="539" spans="2:15" ht="15" hidden="1" customHeight="1">
      <c r="B539" s="491">
        <v>0</v>
      </c>
      <c r="C539" s="492" t="s">
        <v>2034</v>
      </c>
      <c r="D539" s="493" t="s">
        <v>126</v>
      </c>
      <c r="E539" s="493" t="str">
        <f t="shared" si="27"/>
        <v>Closed</v>
      </c>
      <c r="F539" s="493">
        <v>41754</v>
      </c>
      <c r="G539" s="493">
        <v>43527</v>
      </c>
      <c r="H539" s="492" t="s">
        <v>673</v>
      </c>
      <c r="I539" s="492" t="str">
        <f>VLOOKUP(TabListaLojas[[#This Row],[UF]],UF!A:E,3,0)</f>
        <v>Southest</v>
      </c>
      <c r="J539" s="492" t="s">
        <v>118</v>
      </c>
      <c r="K539" s="492" t="str">
        <f>VLOOKUP(TabListaLojas[[#This Row],[UF]],UF!A:B,2,0)</f>
        <v>São Paulo</v>
      </c>
      <c r="L539" s="492" t="s">
        <v>124</v>
      </c>
      <c r="M539" s="492" t="s">
        <v>1540</v>
      </c>
      <c r="N539" s="492" t="s">
        <v>676</v>
      </c>
      <c r="O539" s="495">
        <v>0</v>
      </c>
    </row>
    <row r="540" spans="2:15" ht="15" hidden="1" customHeight="1">
      <c r="B540" s="491">
        <v>0</v>
      </c>
      <c r="C540" s="492" t="s">
        <v>2032</v>
      </c>
      <c r="D540" s="493" t="s">
        <v>126</v>
      </c>
      <c r="E540" s="493" t="str">
        <f t="shared" si="27"/>
        <v>Closed</v>
      </c>
      <c r="F540" s="493">
        <v>41748</v>
      </c>
      <c r="G540" s="493">
        <v>43877</v>
      </c>
      <c r="H540" s="492" t="s">
        <v>673</v>
      </c>
      <c r="I540" s="492" t="str">
        <f>VLOOKUP(TabListaLojas[[#This Row],[UF]],UF!A:E,3,0)</f>
        <v>Southest</v>
      </c>
      <c r="J540" s="492" t="s">
        <v>149</v>
      </c>
      <c r="K540" s="492" t="str">
        <f>VLOOKUP(TabListaLojas[[#This Row],[UF]],UF!A:B,2,0)</f>
        <v>Minas Gerais</v>
      </c>
      <c r="L540" s="492" t="s">
        <v>1166</v>
      </c>
      <c r="M540" s="492" t="s">
        <v>1541</v>
      </c>
      <c r="N540" s="492" t="s">
        <v>676</v>
      </c>
      <c r="O540" s="495">
        <v>0</v>
      </c>
    </row>
    <row r="541" spans="2:15" ht="15" customHeight="1">
      <c r="B541" s="483">
        <v>1</v>
      </c>
      <c r="C541" s="484" t="s">
        <v>2033</v>
      </c>
      <c r="D541" s="488" t="s">
        <v>126</v>
      </c>
      <c r="E541" s="488" t="str">
        <f t="shared" si="27"/>
        <v>Open</v>
      </c>
      <c r="F541" s="488">
        <v>41748</v>
      </c>
      <c r="G541" s="488"/>
      <c r="H541" s="484" t="s">
        <v>673</v>
      </c>
      <c r="I541" s="484" t="str">
        <f>VLOOKUP(TabListaLojas[[#This Row],[UF]],UF!A:E,3,0)</f>
        <v>Southest</v>
      </c>
      <c r="J541" s="484" t="s">
        <v>118</v>
      </c>
      <c r="K541" s="484" t="str">
        <f>VLOOKUP(TabListaLojas[[#This Row],[UF]],UF!A:B,2,0)</f>
        <v>São Paulo</v>
      </c>
      <c r="L541" s="484" t="s">
        <v>1155</v>
      </c>
      <c r="M541" s="484" t="s">
        <v>922</v>
      </c>
      <c r="N541" s="484" t="s">
        <v>676</v>
      </c>
      <c r="O541" s="487">
        <v>564</v>
      </c>
    </row>
    <row r="542" spans="2:15" ht="15" customHeight="1">
      <c r="B542" s="483">
        <v>1</v>
      </c>
      <c r="C542" s="484" t="s">
        <v>1761</v>
      </c>
      <c r="D542" s="488" t="s">
        <v>116</v>
      </c>
      <c r="E542" s="488" t="str">
        <f t="shared" si="27"/>
        <v>Open</v>
      </c>
      <c r="F542" s="488">
        <v>41746</v>
      </c>
      <c r="G542" s="488"/>
      <c r="H542" s="484" t="s">
        <v>673</v>
      </c>
      <c r="I542" s="484" t="str">
        <f>VLOOKUP(TabListaLojas[[#This Row],[UF]],UF!A:E,3,0)</f>
        <v>Northest</v>
      </c>
      <c r="J542" s="484" t="s">
        <v>153</v>
      </c>
      <c r="K542" s="484" t="str">
        <f>VLOOKUP(TabListaLojas[[#This Row],[UF]],UF!A:B,2,0)</f>
        <v>Rio Grande do Norte</v>
      </c>
      <c r="L542" s="484" t="s">
        <v>1272</v>
      </c>
      <c r="M542" s="484" t="s">
        <v>1273</v>
      </c>
      <c r="N542" s="484" t="s">
        <v>676</v>
      </c>
      <c r="O542" s="487">
        <v>2599.3199999999997</v>
      </c>
    </row>
    <row r="543" spans="2:15" ht="15" hidden="1" customHeight="1">
      <c r="B543" s="491">
        <v>0</v>
      </c>
      <c r="C543" s="492" t="s">
        <v>2244</v>
      </c>
      <c r="D543" s="493" t="s">
        <v>116</v>
      </c>
      <c r="E543" s="493" t="str">
        <f t="shared" si="27"/>
        <v>Closed</v>
      </c>
      <c r="F543" s="493">
        <v>41739</v>
      </c>
      <c r="G543" s="493">
        <v>43159</v>
      </c>
      <c r="H543" s="492" t="s">
        <v>673</v>
      </c>
      <c r="I543" s="492" t="str">
        <f>VLOOKUP(TabListaLojas[[#This Row],[UF]],UF!A:E,3,0)</f>
        <v>Southest</v>
      </c>
      <c r="J543" s="492" t="s">
        <v>149</v>
      </c>
      <c r="K543" s="492" t="str">
        <f>VLOOKUP(TabListaLojas[[#This Row],[UF]],UF!A:B,2,0)</f>
        <v>Minas Gerais</v>
      </c>
      <c r="L543" s="492" t="s">
        <v>1274</v>
      </c>
      <c r="M543" s="492" t="s">
        <v>1542</v>
      </c>
      <c r="N543" s="492" t="s">
        <v>676</v>
      </c>
      <c r="O543" s="495">
        <v>0</v>
      </c>
    </row>
    <row r="544" spans="2:15" ht="15" customHeight="1">
      <c r="B544" s="483">
        <v>1</v>
      </c>
      <c r="C544" s="484" t="s">
        <v>1762</v>
      </c>
      <c r="D544" s="488" t="s">
        <v>116</v>
      </c>
      <c r="E544" s="488" t="str">
        <f t="shared" si="27"/>
        <v>Open</v>
      </c>
      <c r="F544" s="488">
        <v>41726</v>
      </c>
      <c r="G544" s="488"/>
      <c r="H544" s="484" t="s">
        <v>673</v>
      </c>
      <c r="I544" s="484" t="str">
        <f>VLOOKUP(TabListaLojas[[#This Row],[UF]],UF!A:E,3,0)</f>
        <v>Southest</v>
      </c>
      <c r="J544" s="484" t="s">
        <v>152</v>
      </c>
      <c r="K544" s="484" t="str">
        <f>VLOOKUP(TabListaLojas[[#This Row],[UF]],UF!A:B,2,0)</f>
        <v>Espírito Santo</v>
      </c>
      <c r="L544" s="484" t="s">
        <v>1275</v>
      </c>
      <c r="M544" s="484" t="s">
        <v>1276</v>
      </c>
      <c r="N544" s="484" t="s">
        <v>676</v>
      </c>
      <c r="O544" s="487">
        <v>1511.3</v>
      </c>
    </row>
    <row r="545" spans="2:15" ht="15" customHeight="1">
      <c r="B545" s="483">
        <v>1</v>
      </c>
      <c r="C545" s="484" t="s">
        <v>2031</v>
      </c>
      <c r="D545" s="488" t="s">
        <v>126</v>
      </c>
      <c r="E545" s="488" t="str">
        <f t="shared" si="27"/>
        <v>Open</v>
      </c>
      <c r="F545" s="488">
        <v>41706</v>
      </c>
      <c r="G545" s="488"/>
      <c r="H545" s="484" t="s">
        <v>673</v>
      </c>
      <c r="I545" s="484" t="str">
        <f>VLOOKUP(TabListaLojas[[#This Row],[UF]],UF!A:E,3,0)</f>
        <v>Southest</v>
      </c>
      <c r="J545" s="484" t="s">
        <v>118</v>
      </c>
      <c r="K545" s="484" t="str">
        <f>VLOOKUP(TabListaLojas[[#This Row],[UF]],UF!A:B,2,0)</f>
        <v>São Paulo</v>
      </c>
      <c r="L545" s="484" t="s">
        <v>124</v>
      </c>
      <c r="M545" s="484" t="s">
        <v>1277</v>
      </c>
      <c r="N545" s="484" t="s">
        <v>676</v>
      </c>
      <c r="O545" s="487">
        <v>415.82</v>
      </c>
    </row>
    <row r="546" spans="2:15" ht="15" customHeight="1">
      <c r="B546" s="483">
        <v>1</v>
      </c>
      <c r="C546" s="484" t="s">
        <v>2030</v>
      </c>
      <c r="D546" s="488" t="s">
        <v>126</v>
      </c>
      <c r="E546" s="488" t="str">
        <f t="shared" si="27"/>
        <v>Open</v>
      </c>
      <c r="F546" s="488">
        <v>41705</v>
      </c>
      <c r="G546" s="488"/>
      <c r="H546" s="484" t="s">
        <v>673</v>
      </c>
      <c r="I546" s="484" t="str">
        <f>VLOOKUP(TabListaLojas[[#This Row],[UF]],UF!A:E,3,0)</f>
        <v>Southest</v>
      </c>
      <c r="J546" s="484" t="s">
        <v>122</v>
      </c>
      <c r="K546" s="484" t="str">
        <f>VLOOKUP(TabListaLojas[[#This Row],[UF]],UF!A:B,2,0)</f>
        <v>Rio de Janeiro</v>
      </c>
      <c r="L546" s="484" t="s">
        <v>128</v>
      </c>
      <c r="M546" s="484" t="s">
        <v>1278</v>
      </c>
      <c r="N546" s="484" t="s">
        <v>676</v>
      </c>
      <c r="O546" s="487">
        <v>400.68</v>
      </c>
    </row>
    <row r="547" spans="2:15" ht="15" customHeight="1">
      <c r="B547" s="483">
        <v>1</v>
      </c>
      <c r="C547" s="484" t="s">
        <v>1763</v>
      </c>
      <c r="D547" s="488" t="s">
        <v>116</v>
      </c>
      <c r="E547" s="488" t="str">
        <f t="shared" si="27"/>
        <v>Open</v>
      </c>
      <c r="F547" s="488">
        <v>41626</v>
      </c>
      <c r="G547" s="488"/>
      <c r="H547" s="484" t="s">
        <v>673</v>
      </c>
      <c r="I547" s="484" t="str">
        <f>VLOOKUP(TabListaLojas[[#This Row],[UF]],UF!A:E,3,0)</f>
        <v>Southest</v>
      </c>
      <c r="J547" s="484" t="s">
        <v>118</v>
      </c>
      <c r="K547" s="484" t="str">
        <f>VLOOKUP(TabListaLojas[[#This Row],[UF]],UF!A:B,2,0)</f>
        <v>São Paulo</v>
      </c>
      <c r="L547" s="484" t="s">
        <v>124</v>
      </c>
      <c r="M547" s="484" t="s">
        <v>1241</v>
      </c>
      <c r="N547" s="484" t="s">
        <v>676</v>
      </c>
      <c r="O547" s="487">
        <v>2577.9299999999998</v>
      </c>
    </row>
    <row r="548" spans="2:15" ht="15" hidden="1" customHeight="1">
      <c r="B548" s="491">
        <v>0</v>
      </c>
      <c r="C548" s="492" t="s">
        <v>2029</v>
      </c>
      <c r="D548" s="493" t="s">
        <v>126</v>
      </c>
      <c r="E548" s="493" t="str">
        <f t="shared" si="27"/>
        <v>Closed</v>
      </c>
      <c r="F548" s="493">
        <v>41618</v>
      </c>
      <c r="G548" s="493">
        <v>44963</v>
      </c>
      <c r="H548" s="492" t="s">
        <v>673</v>
      </c>
      <c r="I548" s="492" t="str">
        <f>VLOOKUP(TabListaLojas[[#This Row],[UF]],UF!A:E,3,0)</f>
        <v>South</v>
      </c>
      <c r="J548" s="492" t="s">
        <v>161</v>
      </c>
      <c r="K548" s="492" t="str">
        <f>VLOOKUP(TabListaLojas[[#This Row],[UF]],UF!A:B,2,0)</f>
        <v>Paraná</v>
      </c>
      <c r="L548" s="492" t="s">
        <v>146</v>
      </c>
      <c r="M548" s="492" t="s">
        <v>1543</v>
      </c>
      <c r="N548" s="492" t="s">
        <v>676</v>
      </c>
      <c r="O548" s="495">
        <v>0</v>
      </c>
    </row>
    <row r="549" spans="2:15" ht="15" customHeight="1">
      <c r="B549" s="483">
        <v>1</v>
      </c>
      <c r="C549" s="484" t="s">
        <v>2141</v>
      </c>
      <c r="D549" s="488" t="s">
        <v>127</v>
      </c>
      <c r="E549" s="488" t="str">
        <f t="shared" si="27"/>
        <v>Open</v>
      </c>
      <c r="F549" s="488">
        <v>41614</v>
      </c>
      <c r="G549" s="488"/>
      <c r="H549" s="484" t="s">
        <v>673</v>
      </c>
      <c r="I549" s="484" t="str">
        <f>VLOOKUP(TabListaLojas[[#This Row],[UF]],UF!A:E,3,0)</f>
        <v>Southest</v>
      </c>
      <c r="J549" s="484" t="s">
        <v>118</v>
      </c>
      <c r="K549" s="484" t="str">
        <f>VLOOKUP(TabListaLojas[[#This Row],[UF]],UF!A:B,2,0)</f>
        <v>São Paulo</v>
      </c>
      <c r="L549" s="484" t="s">
        <v>764</v>
      </c>
      <c r="M549" s="484" t="s">
        <v>765</v>
      </c>
      <c r="N549" s="484" t="s">
        <v>676</v>
      </c>
      <c r="O549" s="487">
        <v>198.57000000000002</v>
      </c>
    </row>
    <row r="550" spans="2:15" ht="15" customHeight="1">
      <c r="B550" s="483">
        <v>1</v>
      </c>
      <c r="C550" s="484" t="s">
        <v>1764</v>
      </c>
      <c r="D550" s="488" t="s">
        <v>116</v>
      </c>
      <c r="E550" s="488" t="str">
        <f t="shared" si="27"/>
        <v>Open</v>
      </c>
      <c r="F550" s="488">
        <v>41613</v>
      </c>
      <c r="G550" s="488"/>
      <c r="H550" s="484" t="s">
        <v>673</v>
      </c>
      <c r="I550" s="484" t="str">
        <f>VLOOKUP(TabListaLojas[[#This Row],[UF]],UF!A:E,3,0)</f>
        <v>Southest</v>
      </c>
      <c r="J550" s="484" t="s">
        <v>122</v>
      </c>
      <c r="K550" s="484" t="str">
        <f>VLOOKUP(TabListaLojas[[#This Row],[UF]],UF!A:B,2,0)</f>
        <v>Rio de Janeiro</v>
      </c>
      <c r="L550" s="484" t="s">
        <v>128</v>
      </c>
      <c r="M550" s="484" t="s">
        <v>1278</v>
      </c>
      <c r="N550" s="484" t="s">
        <v>676</v>
      </c>
      <c r="O550" s="487">
        <v>3313.9399999999996</v>
      </c>
    </row>
    <row r="551" spans="2:15" ht="15" customHeight="1">
      <c r="B551" s="483">
        <v>1</v>
      </c>
      <c r="C551" s="484" t="s">
        <v>2028</v>
      </c>
      <c r="D551" s="488" t="s">
        <v>126</v>
      </c>
      <c r="E551" s="488" t="str">
        <f t="shared" si="27"/>
        <v>Open</v>
      </c>
      <c r="F551" s="488">
        <v>41612</v>
      </c>
      <c r="G551" s="488"/>
      <c r="H551" s="484" t="s">
        <v>673</v>
      </c>
      <c r="I551" s="484" t="str">
        <f>VLOOKUP(TabListaLojas[[#This Row],[UF]],UF!A:E,3,0)</f>
        <v>Southest</v>
      </c>
      <c r="J551" s="484" t="s">
        <v>118</v>
      </c>
      <c r="K551" s="484" t="str">
        <f>VLOOKUP(TabListaLojas[[#This Row],[UF]],UF!A:B,2,0)</f>
        <v>São Paulo</v>
      </c>
      <c r="L551" s="484" t="s">
        <v>894</v>
      </c>
      <c r="M551" s="484" t="s">
        <v>1279</v>
      </c>
      <c r="N551" s="484" t="s">
        <v>676</v>
      </c>
      <c r="O551" s="487">
        <v>349.39</v>
      </c>
    </row>
    <row r="552" spans="2:15" ht="15" customHeight="1">
      <c r="B552" s="483">
        <v>1</v>
      </c>
      <c r="C552" s="484" t="s">
        <v>1765</v>
      </c>
      <c r="D552" s="488" t="s">
        <v>116</v>
      </c>
      <c r="E552" s="488" t="str">
        <f t="shared" si="27"/>
        <v>Open</v>
      </c>
      <c r="F552" s="488">
        <v>41608</v>
      </c>
      <c r="G552" s="488"/>
      <c r="H552" s="484" t="s">
        <v>673</v>
      </c>
      <c r="I552" s="484" t="str">
        <f>VLOOKUP(TabListaLojas[[#This Row],[UF]],UF!A:E,3,0)</f>
        <v>Southest</v>
      </c>
      <c r="J552" s="484" t="s">
        <v>118</v>
      </c>
      <c r="K552" s="484" t="str">
        <f>VLOOKUP(TabListaLojas[[#This Row],[UF]],UF!A:B,2,0)</f>
        <v>São Paulo</v>
      </c>
      <c r="L552" s="484" t="s">
        <v>1280</v>
      </c>
      <c r="M552" s="484" t="s">
        <v>1281</v>
      </c>
      <c r="N552" s="484" t="s">
        <v>676</v>
      </c>
      <c r="O552" s="487">
        <v>1919.15</v>
      </c>
    </row>
    <row r="553" spans="2:15" ht="15" customHeight="1">
      <c r="B553" s="483">
        <v>1</v>
      </c>
      <c r="C553" s="484" t="s">
        <v>1766</v>
      </c>
      <c r="D553" s="488" t="s">
        <v>116</v>
      </c>
      <c r="E553" s="488" t="str">
        <f t="shared" si="27"/>
        <v>Open</v>
      </c>
      <c r="F553" s="488">
        <v>41606</v>
      </c>
      <c r="G553" s="488"/>
      <c r="H553" s="484" t="s">
        <v>673</v>
      </c>
      <c r="I553" s="484" t="str">
        <f>VLOOKUP(TabListaLojas[[#This Row],[UF]],UF!A:E,3,0)</f>
        <v>Southest</v>
      </c>
      <c r="J553" s="484" t="s">
        <v>122</v>
      </c>
      <c r="K553" s="484" t="str">
        <f>VLOOKUP(TabListaLojas[[#This Row],[UF]],UF!A:B,2,0)</f>
        <v>Rio de Janeiro</v>
      </c>
      <c r="L553" s="484" t="s">
        <v>128</v>
      </c>
      <c r="M553" s="484" t="s">
        <v>1282</v>
      </c>
      <c r="N553" s="484" t="s">
        <v>676</v>
      </c>
      <c r="O553" s="487">
        <v>1895.13</v>
      </c>
    </row>
    <row r="554" spans="2:15" ht="15" customHeight="1">
      <c r="B554" s="483">
        <v>1</v>
      </c>
      <c r="C554" s="484" t="s">
        <v>1767</v>
      </c>
      <c r="D554" s="488" t="s">
        <v>116</v>
      </c>
      <c r="E554" s="488" t="str">
        <f t="shared" si="27"/>
        <v>Open</v>
      </c>
      <c r="F554" s="488">
        <v>41606</v>
      </c>
      <c r="G554" s="488"/>
      <c r="H554" s="484" t="s">
        <v>673</v>
      </c>
      <c r="I554" s="484" t="str">
        <f>VLOOKUP(TabListaLojas[[#This Row],[UF]],UF!A:E,3,0)</f>
        <v>Southest</v>
      </c>
      <c r="J554" s="484" t="s">
        <v>118</v>
      </c>
      <c r="K554" s="484" t="str">
        <f>VLOOKUP(TabListaLojas[[#This Row],[UF]],UF!A:B,2,0)</f>
        <v>São Paulo</v>
      </c>
      <c r="L554" s="484" t="s">
        <v>1126</v>
      </c>
      <c r="M554" s="484" t="s">
        <v>1283</v>
      </c>
      <c r="N554" s="484" t="s">
        <v>676</v>
      </c>
      <c r="O554" s="487">
        <v>2050.36</v>
      </c>
    </row>
    <row r="555" spans="2:15" ht="15" customHeight="1">
      <c r="B555" s="483">
        <v>1</v>
      </c>
      <c r="C555" s="484" t="s">
        <v>1768</v>
      </c>
      <c r="D555" s="488" t="s">
        <v>116</v>
      </c>
      <c r="E555" s="488" t="str">
        <f t="shared" si="27"/>
        <v>Open</v>
      </c>
      <c r="F555" s="488">
        <v>41605</v>
      </c>
      <c r="G555" s="488"/>
      <c r="H555" s="484" t="s">
        <v>673</v>
      </c>
      <c r="I555" s="484" t="str">
        <f>VLOOKUP(TabListaLojas[[#This Row],[UF]],UF!A:E,3,0)</f>
        <v>Northest</v>
      </c>
      <c r="J555" s="484" t="s">
        <v>153</v>
      </c>
      <c r="K555" s="484" t="str">
        <f>VLOOKUP(TabListaLojas[[#This Row],[UF]],UF!A:B,2,0)</f>
        <v>Rio Grande do Norte</v>
      </c>
      <c r="L555" s="484" t="s">
        <v>145</v>
      </c>
      <c r="M555" s="484" t="s">
        <v>1284</v>
      </c>
      <c r="N555" s="484" t="s">
        <v>676</v>
      </c>
      <c r="O555" s="487">
        <v>2377.8900000000003</v>
      </c>
    </row>
    <row r="556" spans="2:15" ht="15" customHeight="1">
      <c r="B556" s="483">
        <v>1</v>
      </c>
      <c r="C556" s="484" t="s">
        <v>1769</v>
      </c>
      <c r="D556" s="488" t="s">
        <v>116</v>
      </c>
      <c r="E556" s="488" t="str">
        <f t="shared" si="27"/>
        <v>Open</v>
      </c>
      <c r="F556" s="488">
        <v>41604</v>
      </c>
      <c r="G556" s="488"/>
      <c r="H556" s="484" t="s">
        <v>673</v>
      </c>
      <c r="I556" s="484" t="str">
        <f>VLOOKUP(TabListaLojas[[#This Row],[UF]],UF!A:E,3,0)</f>
        <v>Northest</v>
      </c>
      <c r="J556" s="484" t="s">
        <v>148</v>
      </c>
      <c r="K556" s="484" t="str">
        <f>VLOOKUP(TabListaLojas[[#This Row],[UF]],UF!A:B,2,0)</f>
        <v>Ceará</v>
      </c>
      <c r="L556" s="484" t="s">
        <v>130</v>
      </c>
      <c r="M556" s="484" t="s">
        <v>1285</v>
      </c>
      <c r="N556" s="484" t="s">
        <v>676</v>
      </c>
      <c r="O556" s="487">
        <v>2557.79</v>
      </c>
    </row>
    <row r="557" spans="2:15" ht="15" customHeight="1">
      <c r="B557" s="483">
        <v>1</v>
      </c>
      <c r="C557" s="484" t="s">
        <v>1770</v>
      </c>
      <c r="D557" s="488" t="s">
        <v>116</v>
      </c>
      <c r="E557" s="488" t="str">
        <f t="shared" si="27"/>
        <v>Open</v>
      </c>
      <c r="F557" s="488">
        <v>41604</v>
      </c>
      <c r="G557" s="488"/>
      <c r="H557" s="484" t="s">
        <v>673</v>
      </c>
      <c r="I557" s="484" t="str">
        <f>VLOOKUP(TabListaLojas[[#This Row],[UF]],UF!A:E,3,0)</f>
        <v>Southest</v>
      </c>
      <c r="J557" s="484" t="s">
        <v>149</v>
      </c>
      <c r="K557" s="484" t="str">
        <f>VLOOKUP(TabListaLojas[[#This Row],[UF]],UF!A:B,2,0)</f>
        <v>Minas Gerais</v>
      </c>
      <c r="L557" s="484" t="s">
        <v>1166</v>
      </c>
      <c r="M557" s="484" t="s">
        <v>1286</v>
      </c>
      <c r="N557" s="484" t="s">
        <v>676</v>
      </c>
      <c r="O557" s="487">
        <v>2554.6400000000003</v>
      </c>
    </row>
    <row r="558" spans="2:15" ht="15" customHeight="1">
      <c r="B558" s="483">
        <v>1</v>
      </c>
      <c r="C558" s="484" t="s">
        <v>1771</v>
      </c>
      <c r="D558" s="488" t="s">
        <v>116</v>
      </c>
      <c r="E558" s="488" t="str">
        <f t="shared" si="27"/>
        <v>Open</v>
      </c>
      <c r="F558" s="488">
        <v>41604</v>
      </c>
      <c r="G558" s="488"/>
      <c r="H558" s="484" t="s">
        <v>673</v>
      </c>
      <c r="I558" s="484" t="str">
        <f>VLOOKUP(TabListaLojas[[#This Row],[UF]],UF!A:E,3,0)</f>
        <v>Northest</v>
      </c>
      <c r="J558" s="484" t="s">
        <v>159</v>
      </c>
      <c r="K558" s="484" t="str">
        <f>VLOOKUP(TabListaLojas[[#This Row],[UF]],UF!A:B,2,0)</f>
        <v>Alagoas</v>
      </c>
      <c r="L558" s="484" t="s">
        <v>144</v>
      </c>
      <c r="M558" s="484" t="s">
        <v>1287</v>
      </c>
      <c r="N558" s="484" t="s">
        <v>676</v>
      </c>
      <c r="O558" s="487">
        <v>2811.39</v>
      </c>
    </row>
    <row r="559" spans="2:15" ht="15" hidden="1" customHeight="1">
      <c r="B559" s="491">
        <v>0</v>
      </c>
      <c r="C559" s="492" t="s">
        <v>2121</v>
      </c>
      <c r="D559" s="493" t="s">
        <v>127</v>
      </c>
      <c r="E559" s="493" t="str">
        <f t="shared" si="27"/>
        <v>Closed</v>
      </c>
      <c r="F559" s="493">
        <v>41604</v>
      </c>
      <c r="G559" s="493">
        <v>43131</v>
      </c>
      <c r="H559" s="492" t="s">
        <v>673</v>
      </c>
      <c r="I559" s="492" t="str">
        <f>VLOOKUP(TabListaLojas[[#This Row],[UF]],UF!A:E,3,0)</f>
        <v>Southest</v>
      </c>
      <c r="J559" s="492" t="s">
        <v>149</v>
      </c>
      <c r="K559" s="492" t="str">
        <f>VLOOKUP(TabListaLojas[[#This Row],[UF]],UF!A:B,2,0)</f>
        <v>Minas Gerais</v>
      </c>
      <c r="L559" s="492" t="s">
        <v>1166</v>
      </c>
      <c r="M559" s="492" t="s">
        <v>1541</v>
      </c>
      <c r="N559" s="492" t="s">
        <v>676</v>
      </c>
      <c r="O559" s="495">
        <v>0</v>
      </c>
    </row>
    <row r="560" spans="2:15" ht="15" hidden="1" customHeight="1">
      <c r="B560" s="491">
        <v>0</v>
      </c>
      <c r="C560" s="492" t="s">
        <v>2120</v>
      </c>
      <c r="D560" s="493" t="s">
        <v>127</v>
      </c>
      <c r="E560" s="493" t="str">
        <f t="shared" si="27"/>
        <v>Closed</v>
      </c>
      <c r="F560" s="493">
        <v>41603</v>
      </c>
      <c r="G560" s="493">
        <v>43677</v>
      </c>
      <c r="H560" s="492" t="s">
        <v>673</v>
      </c>
      <c r="I560" s="492" t="str">
        <f>VLOOKUP(TabListaLojas[[#This Row],[UF]],UF!A:E,3,0)</f>
        <v>South</v>
      </c>
      <c r="J560" s="492" t="s">
        <v>117</v>
      </c>
      <c r="K560" s="492" t="str">
        <f>VLOOKUP(TabListaLojas[[#This Row],[UF]],UF!A:B,2,0)</f>
        <v>Rio Grande do Sul</v>
      </c>
      <c r="L560" s="492" t="s">
        <v>129</v>
      </c>
      <c r="M560" s="492" t="s">
        <v>1544</v>
      </c>
      <c r="N560" s="492" t="s">
        <v>676</v>
      </c>
      <c r="O560" s="495">
        <v>0</v>
      </c>
    </row>
    <row r="561" spans="2:15" ht="15" customHeight="1">
      <c r="B561" s="483">
        <v>1</v>
      </c>
      <c r="C561" s="484" t="s">
        <v>1772</v>
      </c>
      <c r="D561" s="488" t="s">
        <v>116</v>
      </c>
      <c r="E561" s="488" t="str">
        <f t="shared" si="27"/>
        <v>Open</v>
      </c>
      <c r="F561" s="488">
        <v>41600</v>
      </c>
      <c r="G561" s="488"/>
      <c r="H561" s="484" t="s">
        <v>673</v>
      </c>
      <c r="I561" s="484" t="str">
        <f>VLOOKUP(TabListaLojas[[#This Row],[UF]],UF!A:E,3,0)</f>
        <v>South</v>
      </c>
      <c r="J561" s="484" t="s">
        <v>117</v>
      </c>
      <c r="K561" s="484" t="str">
        <f>VLOOKUP(TabListaLojas[[#This Row],[UF]],UF!A:B,2,0)</f>
        <v>Rio Grande do Sul</v>
      </c>
      <c r="L561" s="484" t="s">
        <v>1288</v>
      </c>
      <c r="M561" s="484" t="s">
        <v>1289</v>
      </c>
      <c r="N561" s="484" t="s">
        <v>676</v>
      </c>
      <c r="O561" s="487">
        <v>2742.55</v>
      </c>
    </row>
    <row r="562" spans="2:15" ht="15" customHeight="1">
      <c r="B562" s="483">
        <v>1</v>
      </c>
      <c r="C562" s="484" t="s">
        <v>1773</v>
      </c>
      <c r="D562" s="488" t="s">
        <v>116</v>
      </c>
      <c r="E562" s="488" t="str">
        <f t="shared" si="27"/>
        <v>Open</v>
      </c>
      <c r="F562" s="488">
        <v>41599</v>
      </c>
      <c r="G562" s="488"/>
      <c r="H562" s="484" t="s">
        <v>673</v>
      </c>
      <c r="I562" s="484" t="str">
        <f>VLOOKUP(TabListaLojas[[#This Row],[UF]],UF!A:E,3,0)</f>
        <v>Southest</v>
      </c>
      <c r="J562" s="484" t="s">
        <v>118</v>
      </c>
      <c r="K562" s="484" t="str">
        <f>VLOOKUP(TabListaLojas[[#This Row],[UF]],UF!A:B,2,0)</f>
        <v>São Paulo</v>
      </c>
      <c r="L562" s="484" t="s">
        <v>764</v>
      </c>
      <c r="M562" s="484" t="s">
        <v>1290</v>
      </c>
      <c r="N562" s="484" t="s">
        <v>676</v>
      </c>
      <c r="O562" s="487">
        <v>3258.8100000000004</v>
      </c>
    </row>
    <row r="563" spans="2:15" ht="15" customHeight="1">
      <c r="B563" s="483">
        <v>1</v>
      </c>
      <c r="C563" s="484" t="s">
        <v>1774</v>
      </c>
      <c r="D563" s="488" t="s">
        <v>116</v>
      </c>
      <c r="E563" s="488" t="str">
        <f t="shared" si="27"/>
        <v>Open</v>
      </c>
      <c r="F563" s="488">
        <v>41594</v>
      </c>
      <c r="G563" s="488"/>
      <c r="H563" s="484" t="s">
        <v>673</v>
      </c>
      <c r="I563" s="484" t="str">
        <f>VLOOKUP(TabListaLojas[[#This Row],[UF]],UF!A:E,3,0)</f>
        <v>Midwest</v>
      </c>
      <c r="J563" s="484" t="s">
        <v>156</v>
      </c>
      <c r="K563" s="484" t="str">
        <f>VLOOKUP(TabListaLojas[[#This Row],[UF]],UF!A:B,2,0)</f>
        <v>Distrito Federal</v>
      </c>
      <c r="L563" s="484" t="s">
        <v>142</v>
      </c>
      <c r="M563" s="484" t="s">
        <v>1291</v>
      </c>
      <c r="N563" s="484" t="s">
        <v>676</v>
      </c>
      <c r="O563" s="487">
        <v>2845.98</v>
      </c>
    </row>
    <row r="564" spans="2:15" ht="15" customHeight="1">
      <c r="B564" s="483">
        <v>1</v>
      </c>
      <c r="C564" s="484" t="s">
        <v>2027</v>
      </c>
      <c r="D564" s="488" t="s">
        <v>126</v>
      </c>
      <c r="E564" s="488" t="str">
        <f t="shared" si="27"/>
        <v>Open</v>
      </c>
      <c r="F564" s="488">
        <v>41592</v>
      </c>
      <c r="G564" s="488"/>
      <c r="H564" s="484" t="s">
        <v>673</v>
      </c>
      <c r="I564" s="484" t="str">
        <f>VLOOKUP(TabListaLojas[[#This Row],[UF]],UF!A:E,3,0)</f>
        <v>Southest</v>
      </c>
      <c r="J564" s="484" t="s">
        <v>118</v>
      </c>
      <c r="K564" s="484" t="str">
        <f>VLOOKUP(TabListaLojas[[#This Row],[UF]],UF!A:B,2,0)</f>
        <v>São Paulo</v>
      </c>
      <c r="L564" s="484" t="s">
        <v>764</v>
      </c>
      <c r="M564" s="484" t="s">
        <v>1292</v>
      </c>
      <c r="N564" s="484" t="s">
        <v>676</v>
      </c>
      <c r="O564" s="487">
        <v>508</v>
      </c>
    </row>
    <row r="565" spans="2:15" ht="15" hidden="1" customHeight="1">
      <c r="B565" s="491">
        <v>0</v>
      </c>
      <c r="C565" s="492" t="s">
        <v>2119</v>
      </c>
      <c r="D565" s="493" t="s">
        <v>127</v>
      </c>
      <c r="E565" s="493" t="str">
        <f t="shared" si="27"/>
        <v>Closed</v>
      </c>
      <c r="F565" s="493">
        <v>41592</v>
      </c>
      <c r="G565" s="493">
        <v>44961</v>
      </c>
      <c r="H565" s="492" t="s">
        <v>673</v>
      </c>
      <c r="I565" s="492" t="str">
        <f>VLOOKUP(TabListaLojas[[#This Row],[UF]],UF!A:E,3,0)</f>
        <v>Southest</v>
      </c>
      <c r="J565" s="492" t="s">
        <v>118</v>
      </c>
      <c r="K565" s="492" t="str">
        <f>VLOOKUP(TabListaLojas[[#This Row],[UF]],UF!A:B,2,0)</f>
        <v>São Paulo</v>
      </c>
      <c r="L565" s="492" t="s">
        <v>1126</v>
      </c>
      <c r="M565" s="492" t="s">
        <v>1545</v>
      </c>
      <c r="N565" s="492" t="s">
        <v>676</v>
      </c>
      <c r="O565" s="495">
        <v>0</v>
      </c>
    </row>
    <row r="566" spans="2:15" ht="15" customHeight="1">
      <c r="B566" s="483">
        <v>1</v>
      </c>
      <c r="C566" s="484" t="s">
        <v>1775</v>
      </c>
      <c r="D566" s="488" t="s">
        <v>116</v>
      </c>
      <c r="E566" s="488" t="str">
        <f t="shared" si="27"/>
        <v>Open</v>
      </c>
      <c r="F566" s="488">
        <v>41590</v>
      </c>
      <c r="G566" s="488"/>
      <c r="H566" s="484" t="s">
        <v>673</v>
      </c>
      <c r="I566" s="484" t="str">
        <f>VLOOKUP(TabListaLojas[[#This Row],[UF]],UF!A:E,3,0)</f>
        <v>Northest</v>
      </c>
      <c r="J566" s="484" t="s">
        <v>148</v>
      </c>
      <c r="K566" s="484" t="str">
        <f>VLOOKUP(TabListaLojas[[#This Row],[UF]],UF!A:B,2,0)</f>
        <v>Ceará</v>
      </c>
      <c r="L566" s="484" t="s">
        <v>130</v>
      </c>
      <c r="M566" s="484" t="s">
        <v>1293</v>
      </c>
      <c r="N566" s="484" t="s">
        <v>676</v>
      </c>
      <c r="O566" s="487">
        <v>2110.84</v>
      </c>
    </row>
    <row r="567" spans="2:15" ht="15" customHeight="1">
      <c r="B567" s="483">
        <v>1</v>
      </c>
      <c r="C567" s="484" t="s">
        <v>1776</v>
      </c>
      <c r="D567" s="488" t="s">
        <v>116</v>
      </c>
      <c r="E567" s="488" t="str">
        <f t="shared" si="27"/>
        <v>Open</v>
      </c>
      <c r="F567" s="488">
        <v>41585</v>
      </c>
      <c r="G567" s="488"/>
      <c r="H567" s="484" t="s">
        <v>673</v>
      </c>
      <c r="I567" s="484" t="str">
        <f>VLOOKUP(TabListaLojas[[#This Row],[UF]],UF!A:E,3,0)</f>
        <v>Northest</v>
      </c>
      <c r="J567" s="484" t="s">
        <v>159</v>
      </c>
      <c r="K567" s="484" t="str">
        <f>VLOOKUP(TabListaLojas[[#This Row],[UF]],UF!A:B,2,0)</f>
        <v>Alagoas</v>
      </c>
      <c r="L567" s="484" t="s">
        <v>144</v>
      </c>
      <c r="M567" s="484" t="s">
        <v>1168</v>
      </c>
      <c r="N567" s="484" t="s">
        <v>676</v>
      </c>
      <c r="O567" s="487">
        <v>2882.6</v>
      </c>
    </row>
    <row r="568" spans="2:15" ht="15" customHeight="1">
      <c r="B568" s="483">
        <v>1</v>
      </c>
      <c r="C568" s="484" t="s">
        <v>1777</v>
      </c>
      <c r="D568" s="488" t="s">
        <v>116</v>
      </c>
      <c r="E568" s="488" t="str">
        <f t="shared" si="27"/>
        <v>Open</v>
      </c>
      <c r="F568" s="488">
        <v>41578</v>
      </c>
      <c r="G568" s="488"/>
      <c r="H568" s="484" t="s">
        <v>673</v>
      </c>
      <c r="I568" s="484" t="str">
        <f>VLOOKUP(TabListaLojas[[#This Row],[UF]],UF!A:E,3,0)</f>
        <v>Northest</v>
      </c>
      <c r="J568" s="484" t="s">
        <v>154</v>
      </c>
      <c r="K568" s="484" t="str">
        <f>VLOOKUP(TabListaLojas[[#This Row],[UF]],UF!A:B,2,0)</f>
        <v>Maranhão</v>
      </c>
      <c r="L568" s="484" t="s">
        <v>171</v>
      </c>
      <c r="M568" s="484" t="s">
        <v>1294</v>
      </c>
      <c r="N568" s="484" t="s">
        <v>676</v>
      </c>
      <c r="O568" s="487">
        <v>2628.91</v>
      </c>
    </row>
    <row r="569" spans="2:15" ht="15" customHeight="1">
      <c r="B569" s="483">
        <v>1</v>
      </c>
      <c r="C569" s="484" t="s">
        <v>2140</v>
      </c>
      <c r="D569" s="488" t="s">
        <v>127</v>
      </c>
      <c r="E569" s="488" t="str">
        <f t="shared" si="27"/>
        <v>Open</v>
      </c>
      <c r="F569" s="488">
        <v>41578</v>
      </c>
      <c r="G569" s="488"/>
      <c r="H569" s="484" t="s">
        <v>673</v>
      </c>
      <c r="I569" s="484" t="str">
        <f>VLOOKUP(TabListaLojas[[#This Row],[UF]],UF!A:E,3,0)</f>
        <v>Southest</v>
      </c>
      <c r="J569" s="484" t="s">
        <v>118</v>
      </c>
      <c r="K569" s="484" t="str">
        <f>VLOOKUP(TabListaLojas[[#This Row],[UF]],UF!A:B,2,0)</f>
        <v>São Paulo</v>
      </c>
      <c r="L569" s="484" t="s">
        <v>124</v>
      </c>
      <c r="M569" s="484" t="s">
        <v>944</v>
      </c>
      <c r="N569" s="484" t="s">
        <v>676</v>
      </c>
      <c r="O569" s="487">
        <v>273.25</v>
      </c>
    </row>
    <row r="570" spans="2:15" ht="15" customHeight="1">
      <c r="B570" s="483">
        <v>1</v>
      </c>
      <c r="C570" s="484" t="s">
        <v>1778</v>
      </c>
      <c r="D570" s="488" t="s">
        <v>116</v>
      </c>
      <c r="E570" s="488" t="str">
        <f t="shared" si="27"/>
        <v>Open</v>
      </c>
      <c r="F570" s="488">
        <v>41577</v>
      </c>
      <c r="G570" s="488"/>
      <c r="H570" s="484" t="s">
        <v>673</v>
      </c>
      <c r="I570" s="484" t="str">
        <f>VLOOKUP(TabListaLojas[[#This Row],[UF]],UF!A:E,3,0)</f>
        <v>Midwest</v>
      </c>
      <c r="J570" s="484" t="s">
        <v>123</v>
      </c>
      <c r="K570" s="484" t="str">
        <f>VLOOKUP(TabListaLojas[[#This Row],[UF]],UF!A:B,2,0)</f>
        <v>Goiás</v>
      </c>
      <c r="L570" s="484" t="s">
        <v>140</v>
      </c>
      <c r="M570" s="484" t="s">
        <v>1295</v>
      </c>
      <c r="N570" s="484" t="s">
        <v>676</v>
      </c>
      <c r="O570" s="487">
        <v>2876.11</v>
      </c>
    </row>
    <row r="571" spans="2:15" ht="15" hidden="1" customHeight="1">
      <c r="B571" s="491">
        <v>0</v>
      </c>
      <c r="C571" s="492" t="s">
        <v>2026</v>
      </c>
      <c r="D571" s="493" t="s">
        <v>126</v>
      </c>
      <c r="E571" s="493" t="str">
        <f t="shared" si="27"/>
        <v>Closed</v>
      </c>
      <c r="F571" s="493">
        <v>41569</v>
      </c>
      <c r="G571" s="493">
        <v>44942</v>
      </c>
      <c r="H571" s="492" t="s">
        <v>673</v>
      </c>
      <c r="I571" s="492" t="str">
        <f>VLOOKUP(TabListaLojas[[#This Row],[UF]],UF!A:E,3,0)</f>
        <v>Southest</v>
      </c>
      <c r="J571" s="492" t="s">
        <v>118</v>
      </c>
      <c r="K571" s="492" t="str">
        <f>VLOOKUP(TabListaLojas[[#This Row],[UF]],UF!A:B,2,0)</f>
        <v>São Paulo</v>
      </c>
      <c r="L571" s="492" t="s">
        <v>1126</v>
      </c>
      <c r="M571" s="492" t="s">
        <v>1546</v>
      </c>
      <c r="N571" s="492" t="s">
        <v>676</v>
      </c>
      <c r="O571" s="495">
        <v>0</v>
      </c>
    </row>
    <row r="572" spans="2:15" ht="15" customHeight="1">
      <c r="B572" s="483">
        <v>1</v>
      </c>
      <c r="C572" s="484" t="s">
        <v>2139</v>
      </c>
      <c r="D572" s="488" t="s">
        <v>127</v>
      </c>
      <c r="E572" s="488" t="str">
        <f t="shared" si="27"/>
        <v>Open</v>
      </c>
      <c r="F572" s="488">
        <v>41564</v>
      </c>
      <c r="G572" s="488"/>
      <c r="H572" s="484" t="s">
        <v>673</v>
      </c>
      <c r="I572" s="484" t="str">
        <f>VLOOKUP(TabListaLojas[[#This Row],[UF]],UF!A:E,3,0)</f>
        <v>Southest</v>
      </c>
      <c r="J572" s="484" t="s">
        <v>118</v>
      </c>
      <c r="K572" s="484" t="str">
        <f>VLOOKUP(TabListaLojas[[#This Row],[UF]],UF!A:B,2,0)</f>
        <v>São Paulo</v>
      </c>
      <c r="L572" s="484" t="s">
        <v>1203</v>
      </c>
      <c r="M572" s="484" t="s">
        <v>1296</v>
      </c>
      <c r="N572" s="484" t="s">
        <v>676</v>
      </c>
      <c r="O572" s="487">
        <v>204.6</v>
      </c>
    </row>
    <row r="573" spans="2:15" ht="15" customHeight="1">
      <c r="B573" s="483">
        <v>1</v>
      </c>
      <c r="C573" s="484" t="s">
        <v>1779</v>
      </c>
      <c r="D573" s="488" t="s">
        <v>116</v>
      </c>
      <c r="E573" s="488" t="str">
        <f t="shared" si="27"/>
        <v>Open</v>
      </c>
      <c r="F573" s="488">
        <v>41550</v>
      </c>
      <c r="G573" s="488"/>
      <c r="H573" s="484" t="s">
        <v>673</v>
      </c>
      <c r="I573" s="484" t="str">
        <f>VLOOKUP(TabListaLojas[[#This Row],[UF]],UF!A:E,3,0)</f>
        <v>South</v>
      </c>
      <c r="J573" s="484" t="s">
        <v>117</v>
      </c>
      <c r="K573" s="484" t="str">
        <f>VLOOKUP(TabListaLojas[[#This Row],[UF]],UF!A:B,2,0)</f>
        <v>Rio Grande do Sul</v>
      </c>
      <c r="L573" s="484" t="s">
        <v>850</v>
      </c>
      <c r="M573" s="484" t="s">
        <v>851</v>
      </c>
      <c r="N573" s="484" t="s">
        <v>676</v>
      </c>
      <c r="O573" s="487">
        <v>2753.9100000000003</v>
      </c>
    </row>
    <row r="574" spans="2:15" ht="15" customHeight="1">
      <c r="B574" s="483">
        <v>1</v>
      </c>
      <c r="C574" s="484" t="s">
        <v>1780</v>
      </c>
      <c r="D574" s="488" t="s">
        <v>116</v>
      </c>
      <c r="E574" s="488" t="str">
        <f t="shared" si="27"/>
        <v>Open</v>
      </c>
      <c r="F574" s="488">
        <v>41544</v>
      </c>
      <c r="G574" s="488"/>
      <c r="H574" s="484" t="s">
        <v>673</v>
      </c>
      <c r="I574" s="484" t="str">
        <f>VLOOKUP(TabListaLojas[[#This Row],[UF]],UF!A:E,3,0)</f>
        <v>Southest</v>
      </c>
      <c r="J574" s="484" t="s">
        <v>118</v>
      </c>
      <c r="K574" s="484" t="str">
        <f>VLOOKUP(TabListaLojas[[#This Row],[UF]],UF!A:B,2,0)</f>
        <v>São Paulo</v>
      </c>
      <c r="L574" s="484" t="s">
        <v>764</v>
      </c>
      <c r="M574" s="484" t="s">
        <v>1297</v>
      </c>
      <c r="N574" s="484" t="s">
        <v>676</v>
      </c>
      <c r="O574" s="487">
        <v>2206.96</v>
      </c>
    </row>
    <row r="575" spans="2:15" ht="15" hidden="1" customHeight="1">
      <c r="B575" s="491">
        <v>0</v>
      </c>
      <c r="C575" s="492" t="s">
        <v>2118</v>
      </c>
      <c r="D575" s="493" t="s">
        <v>127</v>
      </c>
      <c r="E575" s="493" t="str">
        <f t="shared" si="27"/>
        <v>Closed</v>
      </c>
      <c r="F575" s="493">
        <v>41542</v>
      </c>
      <c r="G575" s="493">
        <v>44967</v>
      </c>
      <c r="H575" s="492" t="s">
        <v>673</v>
      </c>
      <c r="I575" s="492" t="str">
        <f>VLOOKUP(TabListaLojas[[#This Row],[UF]],UF!A:E,3,0)</f>
        <v>Southest</v>
      </c>
      <c r="J575" s="492" t="s">
        <v>149</v>
      </c>
      <c r="K575" s="492" t="str">
        <f>VLOOKUP(TabListaLojas[[#This Row],[UF]],UF!A:B,2,0)</f>
        <v>Minas Gerais</v>
      </c>
      <c r="L575" s="492" t="s">
        <v>136</v>
      </c>
      <c r="M575" s="492" t="s">
        <v>1251</v>
      </c>
      <c r="N575" s="492" t="s">
        <v>676</v>
      </c>
      <c r="O575" s="495">
        <v>0</v>
      </c>
    </row>
    <row r="576" spans="2:15" ht="15" hidden="1" customHeight="1">
      <c r="B576" s="491">
        <v>0</v>
      </c>
      <c r="C576" s="492" t="s">
        <v>2117</v>
      </c>
      <c r="D576" s="493" t="s">
        <v>127</v>
      </c>
      <c r="E576" s="493" t="str">
        <f t="shared" si="27"/>
        <v>Closed</v>
      </c>
      <c r="F576" s="493">
        <v>41530</v>
      </c>
      <c r="G576" s="493">
        <v>44961</v>
      </c>
      <c r="H576" s="492" t="s">
        <v>673</v>
      </c>
      <c r="I576" s="492" t="str">
        <f>VLOOKUP(TabListaLojas[[#This Row],[UF]],UF!A:E,3,0)</f>
        <v>South</v>
      </c>
      <c r="J576" s="492" t="s">
        <v>117</v>
      </c>
      <c r="K576" s="492" t="str">
        <f>VLOOKUP(TabListaLojas[[#This Row],[UF]],UF!A:B,2,0)</f>
        <v>Rio Grande do Sul</v>
      </c>
      <c r="L576" s="492" t="s">
        <v>129</v>
      </c>
      <c r="M576" s="492" t="s">
        <v>1547</v>
      </c>
      <c r="N576" s="492" t="s">
        <v>676</v>
      </c>
      <c r="O576" s="495">
        <v>0</v>
      </c>
    </row>
    <row r="577" spans="1:15" ht="15" hidden="1" customHeight="1">
      <c r="B577" s="491">
        <v>0</v>
      </c>
      <c r="C577" s="492" t="s">
        <v>2116</v>
      </c>
      <c r="D577" s="493" t="s">
        <v>127</v>
      </c>
      <c r="E577" s="493" t="str">
        <f t="shared" si="27"/>
        <v>Closed</v>
      </c>
      <c r="F577" s="493">
        <v>41529</v>
      </c>
      <c r="G577" s="493">
        <v>43317</v>
      </c>
      <c r="H577" s="492" t="s">
        <v>673</v>
      </c>
      <c r="I577" s="492" t="str">
        <f>VLOOKUP(TabListaLojas[[#This Row],[UF]],UF!A:E,3,0)</f>
        <v>South</v>
      </c>
      <c r="J577" s="492" t="s">
        <v>117</v>
      </c>
      <c r="K577" s="492" t="str">
        <f>VLOOKUP(TabListaLojas[[#This Row],[UF]],UF!A:B,2,0)</f>
        <v>Rio Grande do Sul</v>
      </c>
      <c r="L577" s="492" t="s">
        <v>129</v>
      </c>
      <c r="M577" s="492" t="s">
        <v>1548</v>
      </c>
      <c r="N577" s="492" t="s">
        <v>676</v>
      </c>
      <c r="O577" s="495">
        <v>0</v>
      </c>
    </row>
    <row r="578" spans="1:15" ht="15" customHeight="1">
      <c r="B578" s="483">
        <v>1</v>
      </c>
      <c r="C578" s="484" t="s">
        <v>2138</v>
      </c>
      <c r="D578" s="488" t="s">
        <v>127</v>
      </c>
      <c r="E578" s="488" t="str">
        <f t="shared" si="27"/>
        <v>Open</v>
      </c>
      <c r="F578" s="488">
        <v>41522</v>
      </c>
      <c r="G578" s="488"/>
      <c r="H578" s="484" t="s">
        <v>673</v>
      </c>
      <c r="I578" s="484" t="str">
        <f>VLOOKUP(TabListaLojas[[#This Row],[UF]],UF!A:E,3,0)</f>
        <v>Southest</v>
      </c>
      <c r="J578" s="484" t="s">
        <v>118</v>
      </c>
      <c r="K578" s="484" t="str">
        <f>VLOOKUP(TabListaLojas[[#This Row],[UF]],UF!A:B,2,0)</f>
        <v>São Paulo</v>
      </c>
      <c r="L578" s="484" t="s">
        <v>124</v>
      </c>
      <c r="M578" s="484" t="s">
        <v>1298</v>
      </c>
      <c r="N578" s="484" t="s">
        <v>676</v>
      </c>
      <c r="O578" s="487">
        <v>56.04</v>
      </c>
    </row>
    <row r="579" spans="1:15" ht="15" customHeight="1">
      <c r="B579" s="483">
        <v>1</v>
      </c>
      <c r="C579" s="484" t="s">
        <v>2137</v>
      </c>
      <c r="D579" s="488" t="s">
        <v>127</v>
      </c>
      <c r="E579" s="488" t="str">
        <f t="shared" si="27"/>
        <v>Open</v>
      </c>
      <c r="F579" s="488">
        <v>41515</v>
      </c>
      <c r="G579" s="488"/>
      <c r="H579" s="484" t="s">
        <v>673</v>
      </c>
      <c r="I579" s="484" t="str">
        <f>VLOOKUP(TabListaLojas[[#This Row],[UF]],UF!A:E,3,0)</f>
        <v>Southest</v>
      </c>
      <c r="J579" s="484" t="s">
        <v>118</v>
      </c>
      <c r="K579" s="484" t="str">
        <f>VLOOKUP(TabListaLojas[[#This Row],[UF]],UF!A:B,2,0)</f>
        <v>São Paulo</v>
      </c>
      <c r="L579" s="484" t="s">
        <v>124</v>
      </c>
      <c r="M579" s="484" t="s">
        <v>1299</v>
      </c>
      <c r="N579" s="484" t="s">
        <v>676</v>
      </c>
      <c r="O579" s="487">
        <v>257.13</v>
      </c>
    </row>
    <row r="580" spans="1:15" ht="15" customHeight="1">
      <c r="B580" s="483">
        <v>1</v>
      </c>
      <c r="C580" s="484" t="s">
        <v>2136</v>
      </c>
      <c r="D580" s="488" t="s">
        <v>127</v>
      </c>
      <c r="E580" s="488" t="str">
        <f t="shared" si="27"/>
        <v>Open</v>
      </c>
      <c r="F580" s="488">
        <v>41508</v>
      </c>
      <c r="G580" s="488"/>
      <c r="H580" s="484" t="s">
        <v>673</v>
      </c>
      <c r="I580" s="484" t="str">
        <f>VLOOKUP(TabListaLojas[[#This Row],[UF]],UF!A:E,3,0)</f>
        <v>Southest</v>
      </c>
      <c r="J580" s="484" t="s">
        <v>118</v>
      </c>
      <c r="K580" s="484" t="str">
        <f>VLOOKUP(TabListaLojas[[#This Row],[UF]],UF!A:B,2,0)</f>
        <v>São Paulo</v>
      </c>
      <c r="L580" s="484" t="s">
        <v>124</v>
      </c>
      <c r="M580" s="484" t="s">
        <v>885</v>
      </c>
      <c r="N580" s="484" t="s">
        <v>676</v>
      </c>
      <c r="O580" s="487">
        <v>279.69</v>
      </c>
    </row>
    <row r="581" spans="1:15" ht="15" hidden="1" customHeight="1">
      <c r="B581" s="491">
        <v>0</v>
      </c>
      <c r="C581" s="492" t="s">
        <v>2243</v>
      </c>
      <c r="D581" s="493" t="s">
        <v>116</v>
      </c>
      <c r="E581" s="493" t="str">
        <f t="shared" si="27"/>
        <v>Closed</v>
      </c>
      <c r="F581" s="493">
        <v>41501</v>
      </c>
      <c r="G581" s="493">
        <v>45288</v>
      </c>
      <c r="H581" s="492" t="s">
        <v>673</v>
      </c>
      <c r="I581" s="492" t="str">
        <f>VLOOKUP(TabListaLojas[[#This Row],[UF]],UF!A:E,3,0)</f>
        <v>Midwest</v>
      </c>
      <c r="J581" s="492" t="s">
        <v>160</v>
      </c>
      <c r="K581" s="492" t="str">
        <f>VLOOKUP(TabListaLojas[[#This Row],[UF]],UF!A:B,2,0)</f>
        <v>Mato Grosso do Sul</v>
      </c>
      <c r="L581" s="492" t="s">
        <v>141</v>
      </c>
      <c r="M581" s="492" t="s">
        <v>1549</v>
      </c>
      <c r="N581" s="492" t="s">
        <v>676</v>
      </c>
      <c r="O581" s="495">
        <v>0</v>
      </c>
    </row>
    <row r="582" spans="1:15" ht="15" customHeight="1">
      <c r="B582" s="483">
        <v>1</v>
      </c>
      <c r="C582" s="484" t="s">
        <v>2135</v>
      </c>
      <c r="D582" s="488" t="s">
        <v>127</v>
      </c>
      <c r="E582" s="488" t="str">
        <f t="shared" si="27"/>
        <v>Open</v>
      </c>
      <c r="F582" s="488">
        <v>41501</v>
      </c>
      <c r="G582" s="488"/>
      <c r="H582" s="484" t="s">
        <v>673</v>
      </c>
      <c r="I582" s="484" t="str">
        <f>VLOOKUP(TabListaLojas[[#This Row],[UF]],UF!A:E,3,0)</f>
        <v>Southest</v>
      </c>
      <c r="J582" s="484" t="s">
        <v>118</v>
      </c>
      <c r="K582" s="484" t="str">
        <f>VLOOKUP(TabListaLojas[[#This Row],[UF]],UF!A:B,2,0)</f>
        <v>São Paulo</v>
      </c>
      <c r="L582" s="484" t="s">
        <v>1110</v>
      </c>
      <c r="M582" s="484" t="s">
        <v>1300</v>
      </c>
      <c r="N582" s="484" t="s">
        <v>676</v>
      </c>
      <c r="O582" s="487">
        <v>179.17</v>
      </c>
    </row>
    <row r="583" spans="1:15" ht="15" customHeight="1">
      <c r="B583" s="483">
        <v>1</v>
      </c>
      <c r="C583" s="484" t="s">
        <v>1781</v>
      </c>
      <c r="D583" s="488" t="s">
        <v>116</v>
      </c>
      <c r="E583" s="488" t="str">
        <f t="shared" si="27"/>
        <v>Open</v>
      </c>
      <c r="F583" s="488">
        <v>41494</v>
      </c>
      <c r="G583" s="488"/>
      <c r="H583" s="484" t="s">
        <v>673</v>
      </c>
      <c r="I583" s="484" t="str">
        <f>VLOOKUP(TabListaLojas[[#This Row],[UF]],UF!A:E,3,0)</f>
        <v>North</v>
      </c>
      <c r="J583" s="484" t="s">
        <v>157</v>
      </c>
      <c r="K583" s="484" t="str">
        <f>VLOOKUP(TabListaLojas[[#This Row],[UF]],UF!A:B,2,0)</f>
        <v>Amazonas</v>
      </c>
      <c r="L583" s="484" t="s">
        <v>138</v>
      </c>
      <c r="M583" s="484" t="s">
        <v>1301</v>
      </c>
      <c r="N583" s="484" t="s">
        <v>676</v>
      </c>
      <c r="O583" s="487">
        <v>2206.2600000000002</v>
      </c>
    </row>
    <row r="584" spans="1:15" ht="15" customHeight="1">
      <c r="B584" s="483">
        <v>1</v>
      </c>
      <c r="C584" s="484" t="s">
        <v>2134</v>
      </c>
      <c r="D584" s="488" t="s">
        <v>127</v>
      </c>
      <c r="E584" s="488" t="str">
        <f t="shared" si="27"/>
        <v>Open</v>
      </c>
      <c r="F584" s="488">
        <v>41494</v>
      </c>
      <c r="G584" s="488"/>
      <c r="H584" s="484" t="s">
        <v>673</v>
      </c>
      <c r="I584" s="484" t="str">
        <f>VLOOKUP(TabListaLojas[[#This Row],[UF]],UF!A:E,3,0)</f>
        <v>Southest</v>
      </c>
      <c r="J584" s="484" t="s">
        <v>118</v>
      </c>
      <c r="K584" s="484" t="str">
        <f>VLOOKUP(TabListaLojas[[#This Row],[UF]],UF!A:B,2,0)</f>
        <v>São Paulo</v>
      </c>
      <c r="L584" s="484" t="s">
        <v>775</v>
      </c>
      <c r="M584" s="484" t="s">
        <v>1302</v>
      </c>
      <c r="N584" s="484" t="s">
        <v>676</v>
      </c>
      <c r="O584" s="487">
        <v>289.33</v>
      </c>
    </row>
    <row r="585" spans="1:15" ht="15" customHeight="1">
      <c r="B585" s="483">
        <v>1</v>
      </c>
      <c r="C585" s="484" t="s">
        <v>2025</v>
      </c>
      <c r="D585" s="488" t="s">
        <v>126</v>
      </c>
      <c r="E585" s="488" t="str">
        <f t="shared" si="27"/>
        <v>Open</v>
      </c>
      <c r="F585" s="488">
        <v>41487</v>
      </c>
      <c r="G585" s="488"/>
      <c r="H585" s="484" t="s">
        <v>673</v>
      </c>
      <c r="I585" s="484" t="str">
        <f>VLOOKUP(TabListaLojas[[#This Row],[UF]],UF!A:E,3,0)</f>
        <v>Midwest</v>
      </c>
      <c r="J585" s="484" t="s">
        <v>156</v>
      </c>
      <c r="K585" s="484" t="str">
        <f>VLOOKUP(TabListaLojas[[#This Row],[UF]],UF!A:B,2,0)</f>
        <v>Distrito Federal</v>
      </c>
      <c r="L585" s="484" t="s">
        <v>142</v>
      </c>
      <c r="M585" s="484" t="s">
        <v>1303</v>
      </c>
      <c r="N585" s="484" t="s">
        <v>676</v>
      </c>
      <c r="O585" s="487">
        <v>572.94000000000005</v>
      </c>
    </row>
    <row r="586" spans="1:15" ht="15" customHeight="1">
      <c r="B586" s="483">
        <v>1</v>
      </c>
      <c r="C586" s="484" t="s">
        <v>2133</v>
      </c>
      <c r="D586" s="488" t="s">
        <v>127</v>
      </c>
      <c r="E586" s="488" t="str">
        <f t="shared" si="27"/>
        <v>Open</v>
      </c>
      <c r="F586" s="488">
        <v>41486</v>
      </c>
      <c r="G586" s="488"/>
      <c r="H586" s="484" t="s">
        <v>673</v>
      </c>
      <c r="I586" s="484" t="str">
        <f>VLOOKUP(TabListaLojas[[#This Row],[UF]],UF!A:E,3,0)</f>
        <v>Southest</v>
      </c>
      <c r="J586" s="484" t="s">
        <v>118</v>
      </c>
      <c r="K586" s="484" t="str">
        <f>VLOOKUP(TabListaLojas[[#This Row],[UF]],UF!A:B,2,0)</f>
        <v>São Paulo</v>
      </c>
      <c r="L586" s="484" t="s">
        <v>124</v>
      </c>
      <c r="M586" s="484" t="s">
        <v>1199</v>
      </c>
      <c r="N586" s="484" t="s">
        <v>676</v>
      </c>
      <c r="O586" s="487">
        <v>218.07999999999998</v>
      </c>
    </row>
    <row r="587" spans="1:15" ht="15" hidden="1" customHeight="1">
      <c r="B587" s="491">
        <v>0</v>
      </c>
      <c r="C587" s="492" t="s">
        <v>2242</v>
      </c>
      <c r="D587" s="493" t="s">
        <v>116</v>
      </c>
      <c r="E587" s="493" t="str">
        <f t="shared" si="27"/>
        <v>Closed</v>
      </c>
      <c r="F587" s="493">
        <v>41485</v>
      </c>
      <c r="G587" s="493">
        <v>45106</v>
      </c>
      <c r="H587" s="492" t="s">
        <v>673</v>
      </c>
      <c r="I587" s="492" t="str">
        <f>VLOOKUP(TabListaLojas[[#This Row],[UF]],UF!A:E,3,0)</f>
        <v>North</v>
      </c>
      <c r="J587" s="492" t="s">
        <v>162</v>
      </c>
      <c r="K587" s="492" t="str">
        <f>VLOOKUP(TabListaLojas[[#This Row],[UF]],UF!A:B,2,0)</f>
        <v>Amapá</v>
      </c>
      <c r="L587" s="492" t="s">
        <v>143</v>
      </c>
      <c r="M587" s="492" t="s">
        <v>1304</v>
      </c>
      <c r="N587" s="492" t="s">
        <v>676</v>
      </c>
      <c r="O587" s="495">
        <v>0</v>
      </c>
    </row>
    <row r="588" spans="1:15" ht="15" customHeight="1">
      <c r="B588" s="483">
        <v>1</v>
      </c>
      <c r="C588" s="484" t="s">
        <v>1782</v>
      </c>
      <c r="D588" s="488" t="s">
        <v>116</v>
      </c>
      <c r="E588" s="488" t="str">
        <f t="shared" si="27"/>
        <v>Open</v>
      </c>
      <c r="F588" s="488">
        <v>41478</v>
      </c>
      <c r="G588" s="488"/>
      <c r="H588" s="484" t="s">
        <v>673</v>
      </c>
      <c r="I588" s="484" t="str">
        <f>VLOOKUP(TabListaLojas[[#This Row],[UF]],UF!A:E,3,0)</f>
        <v>Southest</v>
      </c>
      <c r="J588" s="484" t="s">
        <v>149</v>
      </c>
      <c r="K588" s="484" t="str">
        <f>VLOOKUP(TabListaLojas[[#This Row],[UF]],UF!A:B,2,0)</f>
        <v>Minas Gerais</v>
      </c>
      <c r="L588" s="484" t="s">
        <v>1274</v>
      </c>
      <c r="M588" s="484" t="s">
        <v>1305</v>
      </c>
      <c r="N588" s="484" t="s">
        <v>676</v>
      </c>
      <c r="O588" s="487">
        <v>2733.56</v>
      </c>
    </row>
    <row r="589" spans="1:15" ht="15" customHeight="1">
      <c r="B589" s="483">
        <v>1</v>
      </c>
      <c r="C589" s="484" t="s">
        <v>1783</v>
      </c>
      <c r="D589" s="488" t="s">
        <v>116</v>
      </c>
      <c r="E589" s="488" t="str">
        <f t="shared" si="27"/>
        <v>Open</v>
      </c>
      <c r="F589" s="488">
        <v>41431</v>
      </c>
      <c r="G589" s="488"/>
      <c r="H589" s="484" t="s">
        <v>673</v>
      </c>
      <c r="I589" s="484" t="str">
        <f>VLOOKUP(TabListaLojas[[#This Row],[UF]],UF!A:E,3,0)</f>
        <v>Southest</v>
      </c>
      <c r="J589" s="484" t="s">
        <v>118</v>
      </c>
      <c r="K589" s="484" t="str">
        <f>VLOOKUP(TabListaLojas[[#This Row],[UF]],UF!A:B,2,0)</f>
        <v>São Paulo</v>
      </c>
      <c r="L589" s="484" t="s">
        <v>1306</v>
      </c>
      <c r="M589" s="484" t="s">
        <v>1307</v>
      </c>
      <c r="N589" s="484" t="s">
        <v>676</v>
      </c>
      <c r="O589" s="487">
        <v>2103.4700000000003</v>
      </c>
    </row>
    <row r="590" spans="1:15" ht="15" customHeight="1">
      <c r="A590" s="356"/>
      <c r="B590" s="483">
        <v>1</v>
      </c>
      <c r="C590" s="484" t="s">
        <v>1784</v>
      </c>
      <c r="D590" s="488" t="s">
        <v>116</v>
      </c>
      <c r="E590" s="488" t="str">
        <f t="shared" si="27"/>
        <v>Open</v>
      </c>
      <c r="F590" s="488">
        <v>41431</v>
      </c>
      <c r="G590" s="488"/>
      <c r="H590" s="484" t="s">
        <v>673</v>
      </c>
      <c r="I590" s="484" t="str">
        <f>VLOOKUP(TabListaLojas[[#This Row],[UF]],UF!A:E,3,0)</f>
        <v>Northest</v>
      </c>
      <c r="J590" s="484" t="s">
        <v>151</v>
      </c>
      <c r="K590" s="484" t="str">
        <f>VLOOKUP(TabListaLojas[[#This Row],[UF]],UF!A:B,2,0)</f>
        <v>Piauí</v>
      </c>
      <c r="L590" s="484" t="s">
        <v>132</v>
      </c>
      <c r="M590" s="484" t="s">
        <v>1308</v>
      </c>
      <c r="N590" s="484" t="s">
        <v>676</v>
      </c>
      <c r="O590" s="487">
        <v>3051.3</v>
      </c>
    </row>
    <row r="591" spans="1:15" ht="15" customHeight="1">
      <c r="B591" s="483">
        <v>1</v>
      </c>
      <c r="C591" s="484" t="s">
        <v>1785</v>
      </c>
      <c r="D591" s="488" t="s">
        <v>116</v>
      </c>
      <c r="E591" s="488" t="str">
        <f t="shared" si="27"/>
        <v>Open</v>
      </c>
      <c r="F591" s="488">
        <v>41401</v>
      </c>
      <c r="G591" s="488"/>
      <c r="H591" s="484" t="s">
        <v>673</v>
      </c>
      <c r="I591" s="484" t="str">
        <f>VLOOKUP(TabListaLojas[[#This Row],[UF]],UF!A:E,3,0)</f>
        <v>North</v>
      </c>
      <c r="J591" s="484" t="s">
        <v>150</v>
      </c>
      <c r="K591" s="484" t="str">
        <f>VLOOKUP(TabListaLojas[[#This Row],[UF]],UF!A:B,2,0)</f>
        <v>Pará</v>
      </c>
      <c r="L591" s="484" t="s">
        <v>1309</v>
      </c>
      <c r="M591" s="484" t="s">
        <v>1310</v>
      </c>
      <c r="N591" s="484" t="s">
        <v>676</v>
      </c>
      <c r="O591" s="487">
        <v>2349.16</v>
      </c>
    </row>
    <row r="592" spans="1:15" ht="15" customHeight="1">
      <c r="B592" s="483">
        <v>1</v>
      </c>
      <c r="C592" s="484" t="s">
        <v>1786</v>
      </c>
      <c r="D592" s="488" t="s">
        <v>116</v>
      </c>
      <c r="E592" s="488" t="str">
        <f t="shared" si="27"/>
        <v>Open</v>
      </c>
      <c r="F592" s="488">
        <v>41397</v>
      </c>
      <c r="G592" s="488"/>
      <c r="H592" s="484" t="s">
        <v>673</v>
      </c>
      <c r="I592" s="484" t="str">
        <f>VLOOKUP(TabListaLojas[[#This Row],[UF]],UF!A:E,3,0)</f>
        <v>South</v>
      </c>
      <c r="J592" s="484" t="s">
        <v>161</v>
      </c>
      <c r="K592" s="484" t="str">
        <f>VLOOKUP(TabListaLojas[[#This Row],[UF]],UF!A:B,2,0)</f>
        <v>Paraná</v>
      </c>
      <c r="L592" s="484" t="s">
        <v>787</v>
      </c>
      <c r="M592" s="484" t="s">
        <v>1311</v>
      </c>
      <c r="N592" s="484" t="s">
        <v>676</v>
      </c>
      <c r="O592" s="487">
        <v>2586.63</v>
      </c>
    </row>
    <row r="593" spans="2:15" ht="15" customHeight="1">
      <c r="B593" s="483">
        <v>1</v>
      </c>
      <c r="C593" s="484" t="s">
        <v>1787</v>
      </c>
      <c r="D593" s="488" t="s">
        <v>116</v>
      </c>
      <c r="E593" s="488" t="str">
        <f t="shared" si="27"/>
        <v>Open</v>
      </c>
      <c r="F593" s="488">
        <v>41397</v>
      </c>
      <c r="G593" s="488"/>
      <c r="H593" s="484" t="s">
        <v>673</v>
      </c>
      <c r="I593" s="484" t="str">
        <f>VLOOKUP(TabListaLojas[[#This Row],[UF]],UF!A:E,3,0)</f>
        <v>Southest</v>
      </c>
      <c r="J593" s="484" t="s">
        <v>149</v>
      </c>
      <c r="K593" s="484" t="str">
        <f>VLOOKUP(TabListaLojas[[#This Row],[UF]],UF!A:B,2,0)</f>
        <v>Minas Gerais</v>
      </c>
      <c r="L593" s="484" t="s">
        <v>1312</v>
      </c>
      <c r="M593" s="484" t="s">
        <v>1313</v>
      </c>
      <c r="N593" s="484" t="s">
        <v>676</v>
      </c>
      <c r="O593" s="487">
        <v>1988.1599999999999</v>
      </c>
    </row>
    <row r="594" spans="2:15" ht="15" customHeight="1">
      <c r="B594" s="483">
        <v>1</v>
      </c>
      <c r="C594" s="484" t="s">
        <v>1788</v>
      </c>
      <c r="D594" s="488" t="s">
        <v>116</v>
      </c>
      <c r="E594" s="488" t="str">
        <f t="shared" si="27"/>
        <v>Open</v>
      </c>
      <c r="F594" s="488">
        <v>41382</v>
      </c>
      <c r="G594" s="488"/>
      <c r="H594" s="484" t="s">
        <v>673</v>
      </c>
      <c r="I594" s="484" t="str">
        <f>VLOOKUP(TabListaLojas[[#This Row],[UF]],UF!A:E,3,0)</f>
        <v>Southest</v>
      </c>
      <c r="J594" s="484" t="s">
        <v>118</v>
      </c>
      <c r="K594" s="484" t="str">
        <f>VLOOKUP(TabListaLojas[[#This Row],[UF]],UF!A:B,2,0)</f>
        <v>São Paulo</v>
      </c>
      <c r="L594" s="484" t="s">
        <v>124</v>
      </c>
      <c r="M594" s="484" t="s">
        <v>1210</v>
      </c>
      <c r="N594" s="484" t="s">
        <v>676</v>
      </c>
      <c r="O594" s="487">
        <v>2674.6</v>
      </c>
    </row>
    <row r="595" spans="2:15" ht="15" customHeight="1">
      <c r="B595" s="483">
        <v>1</v>
      </c>
      <c r="C595" s="484" t="s">
        <v>1789</v>
      </c>
      <c r="D595" s="488" t="s">
        <v>116</v>
      </c>
      <c r="E595" s="488" t="str">
        <f t="shared" si="27"/>
        <v>Open</v>
      </c>
      <c r="F595" s="488">
        <v>41352</v>
      </c>
      <c r="G595" s="488"/>
      <c r="H595" s="484" t="s">
        <v>673</v>
      </c>
      <c r="I595" s="484" t="str">
        <f>VLOOKUP(TabListaLojas[[#This Row],[UF]],UF!A:E,3,0)</f>
        <v>South</v>
      </c>
      <c r="J595" s="484" t="s">
        <v>117</v>
      </c>
      <c r="K595" s="484" t="str">
        <f>VLOOKUP(TabListaLojas[[#This Row],[UF]],UF!A:B,2,0)</f>
        <v>Rio Grande do Sul</v>
      </c>
      <c r="L595" s="484" t="s">
        <v>129</v>
      </c>
      <c r="M595" s="484" t="s">
        <v>1096</v>
      </c>
      <c r="N595" s="484" t="s">
        <v>676</v>
      </c>
      <c r="O595" s="487">
        <v>2002.92</v>
      </c>
    </row>
    <row r="596" spans="2:15" ht="15" customHeight="1">
      <c r="B596" s="483">
        <v>1</v>
      </c>
      <c r="C596" s="484" t="s">
        <v>2024</v>
      </c>
      <c r="D596" s="488" t="s">
        <v>126</v>
      </c>
      <c r="E596" s="488" t="str">
        <f t="shared" si="27"/>
        <v>Open</v>
      </c>
      <c r="F596" s="488">
        <v>41284</v>
      </c>
      <c r="G596" s="488"/>
      <c r="H596" s="484" t="s">
        <v>673</v>
      </c>
      <c r="I596" s="484" t="str">
        <f>VLOOKUP(TabListaLojas[[#This Row],[UF]],UF!A:E,3,0)</f>
        <v>Southest</v>
      </c>
      <c r="J596" s="484" t="s">
        <v>118</v>
      </c>
      <c r="K596" s="484" t="str">
        <f>VLOOKUP(TabListaLojas[[#This Row],[UF]],UF!A:B,2,0)</f>
        <v>São Paulo</v>
      </c>
      <c r="L596" s="484" t="s">
        <v>702</v>
      </c>
      <c r="M596" s="484" t="s">
        <v>1314</v>
      </c>
      <c r="N596" s="484" t="s">
        <v>676</v>
      </c>
      <c r="O596" s="487">
        <v>446.67</v>
      </c>
    </row>
    <row r="597" spans="2:15" ht="15" customHeight="1">
      <c r="B597" s="483">
        <v>1</v>
      </c>
      <c r="C597" s="484" t="s">
        <v>1790</v>
      </c>
      <c r="D597" s="488" t="s">
        <v>116</v>
      </c>
      <c r="E597" s="488" t="str">
        <f t="shared" ref="E597:E660" si="28">IF(G597="","Open","Closed")</f>
        <v>Open</v>
      </c>
      <c r="F597" s="488">
        <v>41258</v>
      </c>
      <c r="G597" s="488"/>
      <c r="H597" s="484" t="s">
        <v>673</v>
      </c>
      <c r="I597" s="484" t="str">
        <f>VLOOKUP(TabListaLojas[[#This Row],[UF]],UF!A:E,3,0)</f>
        <v>Southest</v>
      </c>
      <c r="J597" s="484" t="s">
        <v>118</v>
      </c>
      <c r="K597" s="484" t="str">
        <f>VLOOKUP(TabListaLojas[[#This Row],[UF]],UF!A:B,2,0)</f>
        <v>São Paulo</v>
      </c>
      <c r="L597" s="484" t="s">
        <v>761</v>
      </c>
      <c r="M597" s="484" t="s">
        <v>1315</v>
      </c>
      <c r="N597" s="484" t="s">
        <v>676</v>
      </c>
      <c r="O597" s="487">
        <v>2245.9300000000003</v>
      </c>
    </row>
    <row r="598" spans="2:15" ht="15" customHeight="1">
      <c r="B598" s="483">
        <v>1</v>
      </c>
      <c r="C598" s="484" t="s">
        <v>1791</v>
      </c>
      <c r="D598" s="488" t="s">
        <v>116</v>
      </c>
      <c r="E598" s="488" t="str">
        <f t="shared" si="28"/>
        <v>Open</v>
      </c>
      <c r="F598" s="488">
        <v>41256</v>
      </c>
      <c r="G598" s="488"/>
      <c r="H598" s="484" t="s">
        <v>673</v>
      </c>
      <c r="I598" s="484" t="str">
        <f>VLOOKUP(TabListaLojas[[#This Row],[UF]],UF!A:E,3,0)</f>
        <v>Southest</v>
      </c>
      <c r="J598" s="484" t="s">
        <v>118</v>
      </c>
      <c r="K598" s="484" t="str">
        <f>VLOOKUP(TabListaLojas[[#This Row],[UF]],UF!A:B,2,0)</f>
        <v>São Paulo</v>
      </c>
      <c r="L598" s="484" t="s">
        <v>1316</v>
      </c>
      <c r="M598" s="484" t="s">
        <v>1317</v>
      </c>
      <c r="N598" s="484" t="s">
        <v>676</v>
      </c>
      <c r="O598" s="487">
        <v>2418.21</v>
      </c>
    </row>
    <row r="599" spans="2:15" ht="15" hidden="1" customHeight="1">
      <c r="B599" s="491">
        <v>0</v>
      </c>
      <c r="C599" s="492" t="s">
        <v>2241</v>
      </c>
      <c r="D599" s="493" t="s">
        <v>116</v>
      </c>
      <c r="E599" s="493" t="str">
        <f t="shared" si="28"/>
        <v>Closed</v>
      </c>
      <c r="F599" s="493">
        <v>41249</v>
      </c>
      <c r="G599" s="493">
        <v>44985</v>
      </c>
      <c r="H599" s="492" t="s">
        <v>673</v>
      </c>
      <c r="I599" s="492" t="str">
        <f>VLOOKUP(TabListaLojas[[#This Row],[UF]],UF!A:E,3,0)</f>
        <v>Southest</v>
      </c>
      <c r="J599" s="492" t="s">
        <v>152</v>
      </c>
      <c r="K599" s="492" t="str">
        <f>VLOOKUP(TabListaLojas[[#This Row],[UF]],UF!A:B,2,0)</f>
        <v>Espírito Santo</v>
      </c>
      <c r="L599" s="492" t="s">
        <v>168</v>
      </c>
      <c r="M599" s="492" t="s">
        <v>1550</v>
      </c>
      <c r="N599" s="492" t="s">
        <v>714</v>
      </c>
      <c r="O599" s="495">
        <v>0</v>
      </c>
    </row>
    <row r="600" spans="2:15" ht="15" hidden="1" customHeight="1">
      <c r="B600" s="491">
        <v>0</v>
      </c>
      <c r="C600" s="492" t="s">
        <v>2240</v>
      </c>
      <c r="D600" s="493" t="s">
        <v>116</v>
      </c>
      <c r="E600" s="493" t="str">
        <f t="shared" si="28"/>
        <v>Closed</v>
      </c>
      <c r="F600" s="493">
        <v>41242</v>
      </c>
      <c r="G600" s="493">
        <v>44928</v>
      </c>
      <c r="H600" s="492" t="s">
        <v>673</v>
      </c>
      <c r="I600" s="492" t="str">
        <f>VLOOKUP(TabListaLojas[[#This Row],[UF]],UF!A:E,3,0)</f>
        <v>Midwest</v>
      </c>
      <c r="J600" s="492" t="s">
        <v>119</v>
      </c>
      <c r="K600" s="492" t="str">
        <f>VLOOKUP(TabListaLojas[[#This Row],[UF]],UF!A:B,2,0)</f>
        <v>Mato Grosso</v>
      </c>
      <c r="L600" s="492" t="s">
        <v>133</v>
      </c>
      <c r="M600" s="492" t="s">
        <v>1551</v>
      </c>
      <c r="N600" s="492" t="s">
        <v>676</v>
      </c>
      <c r="O600" s="495">
        <v>0</v>
      </c>
    </row>
    <row r="601" spans="2:15" ht="15" customHeight="1">
      <c r="B601" s="483">
        <v>1</v>
      </c>
      <c r="C601" s="484" t="s">
        <v>1792</v>
      </c>
      <c r="D601" s="488" t="s">
        <v>116</v>
      </c>
      <c r="E601" s="488" t="str">
        <f t="shared" si="28"/>
        <v>Open</v>
      </c>
      <c r="F601" s="488">
        <v>41242</v>
      </c>
      <c r="G601" s="488"/>
      <c r="H601" s="484" t="s">
        <v>673</v>
      </c>
      <c r="I601" s="484" t="str">
        <f>VLOOKUP(TabListaLojas[[#This Row],[UF]],UF!A:E,3,0)</f>
        <v>Southest</v>
      </c>
      <c r="J601" s="484" t="s">
        <v>122</v>
      </c>
      <c r="K601" s="484" t="str">
        <f>VLOOKUP(TabListaLojas[[#This Row],[UF]],UF!A:B,2,0)</f>
        <v>Rio de Janeiro</v>
      </c>
      <c r="L601" s="484" t="s">
        <v>128</v>
      </c>
      <c r="M601" s="484" t="s">
        <v>1318</v>
      </c>
      <c r="N601" s="484" t="s">
        <v>676</v>
      </c>
      <c r="O601" s="487">
        <v>3572.75</v>
      </c>
    </row>
    <row r="602" spans="2:15" ht="15" hidden="1" customHeight="1">
      <c r="B602" s="491">
        <v>0</v>
      </c>
      <c r="C602" s="492" t="s">
        <v>2023</v>
      </c>
      <c r="D602" s="493" t="s">
        <v>126</v>
      </c>
      <c r="E602" s="493" t="str">
        <f t="shared" si="28"/>
        <v>Closed</v>
      </c>
      <c r="F602" s="493">
        <v>41241</v>
      </c>
      <c r="G602" s="493">
        <v>44963</v>
      </c>
      <c r="H602" s="492" t="s">
        <v>673</v>
      </c>
      <c r="I602" s="492" t="str">
        <f>VLOOKUP(TabListaLojas[[#This Row],[UF]],UF!A:E,3,0)</f>
        <v>Southest</v>
      </c>
      <c r="J602" s="492" t="s">
        <v>122</v>
      </c>
      <c r="K602" s="492" t="str">
        <f>VLOOKUP(TabListaLojas[[#This Row],[UF]],UF!A:B,2,0)</f>
        <v>Rio de Janeiro</v>
      </c>
      <c r="L602" s="492" t="s">
        <v>128</v>
      </c>
      <c r="M602" s="492" t="s">
        <v>1552</v>
      </c>
      <c r="N602" s="492" t="s">
        <v>676</v>
      </c>
      <c r="O602" s="495">
        <v>0</v>
      </c>
    </row>
    <row r="603" spans="2:15" ht="15" customHeight="1">
      <c r="B603" s="483">
        <v>1</v>
      </c>
      <c r="C603" s="484" t="s">
        <v>1793</v>
      </c>
      <c r="D603" s="488" t="s">
        <v>116</v>
      </c>
      <c r="E603" s="488" t="str">
        <f t="shared" si="28"/>
        <v>Open</v>
      </c>
      <c r="F603" s="488">
        <v>41241</v>
      </c>
      <c r="G603" s="488"/>
      <c r="H603" s="484" t="s">
        <v>673</v>
      </c>
      <c r="I603" s="484" t="str">
        <f>VLOOKUP(TabListaLojas[[#This Row],[UF]],UF!A:E,3,0)</f>
        <v>Southest</v>
      </c>
      <c r="J603" s="484" t="s">
        <v>118</v>
      </c>
      <c r="K603" s="484" t="str">
        <f>VLOOKUP(TabListaLojas[[#This Row],[UF]],UF!A:B,2,0)</f>
        <v>São Paulo</v>
      </c>
      <c r="L603" s="484" t="s">
        <v>775</v>
      </c>
      <c r="M603" s="484" t="s">
        <v>1319</v>
      </c>
      <c r="N603" s="484" t="s">
        <v>676</v>
      </c>
      <c r="O603" s="487">
        <v>2660.81</v>
      </c>
    </row>
    <row r="604" spans="2:15" ht="15" hidden="1" customHeight="1">
      <c r="B604" s="491">
        <v>0</v>
      </c>
      <c r="C604" s="492" t="s">
        <v>2239</v>
      </c>
      <c r="D604" s="493" t="s">
        <v>116</v>
      </c>
      <c r="E604" s="493" t="str">
        <f t="shared" si="28"/>
        <v>Closed</v>
      </c>
      <c r="F604" s="493">
        <v>41227</v>
      </c>
      <c r="G604" s="493">
        <v>43145</v>
      </c>
      <c r="H604" s="492" t="s">
        <v>673</v>
      </c>
      <c r="I604" s="492" t="str">
        <f>VLOOKUP(TabListaLojas[[#This Row],[UF]],UF!A:E,3,0)</f>
        <v>Midwest</v>
      </c>
      <c r="J604" s="492" t="s">
        <v>123</v>
      </c>
      <c r="K604" s="492" t="str">
        <f>VLOOKUP(TabListaLojas[[#This Row],[UF]],UF!A:B,2,0)</f>
        <v>Goiás</v>
      </c>
      <c r="L604" s="492" t="s">
        <v>140</v>
      </c>
      <c r="M604" s="492" t="s">
        <v>1553</v>
      </c>
      <c r="N604" s="492" t="s">
        <v>676</v>
      </c>
      <c r="O604" s="495">
        <v>0</v>
      </c>
    </row>
    <row r="605" spans="2:15" ht="15" customHeight="1">
      <c r="B605" s="483">
        <v>1</v>
      </c>
      <c r="C605" s="484" t="s">
        <v>1794</v>
      </c>
      <c r="D605" s="488" t="s">
        <v>116</v>
      </c>
      <c r="E605" s="488" t="str">
        <f t="shared" si="28"/>
        <v>Open</v>
      </c>
      <c r="F605" s="488">
        <v>41227</v>
      </c>
      <c r="G605" s="488"/>
      <c r="H605" s="484" t="s">
        <v>673</v>
      </c>
      <c r="I605" s="484" t="str">
        <f>VLOOKUP(TabListaLojas[[#This Row],[UF]],UF!A:E,3,0)</f>
        <v>South</v>
      </c>
      <c r="J605" s="484" t="s">
        <v>161</v>
      </c>
      <c r="K605" s="484" t="str">
        <f>VLOOKUP(TabListaLojas[[#This Row],[UF]],UF!A:B,2,0)</f>
        <v>Paraná</v>
      </c>
      <c r="L605" s="484" t="s">
        <v>146</v>
      </c>
      <c r="M605" s="484" t="s">
        <v>1320</v>
      </c>
      <c r="N605" s="484" t="s">
        <v>676</v>
      </c>
      <c r="O605" s="487">
        <v>1336.97</v>
      </c>
    </row>
    <row r="606" spans="2:15" ht="15" customHeight="1">
      <c r="B606" s="483">
        <v>1</v>
      </c>
      <c r="C606" s="484" t="s">
        <v>1795</v>
      </c>
      <c r="D606" s="488" t="s">
        <v>116</v>
      </c>
      <c r="E606" s="488" t="str">
        <f t="shared" si="28"/>
        <v>Open</v>
      </c>
      <c r="F606" s="488">
        <v>41226</v>
      </c>
      <c r="G606" s="488"/>
      <c r="H606" s="484" t="s">
        <v>673</v>
      </c>
      <c r="I606" s="484" t="str">
        <f>VLOOKUP(TabListaLojas[[#This Row],[UF]],UF!A:E,3,0)</f>
        <v>Southest</v>
      </c>
      <c r="J606" s="484" t="s">
        <v>118</v>
      </c>
      <c r="K606" s="484" t="str">
        <f>VLOOKUP(TabListaLojas[[#This Row],[UF]],UF!A:B,2,0)</f>
        <v>São Paulo</v>
      </c>
      <c r="L606" s="484" t="s">
        <v>1126</v>
      </c>
      <c r="M606" s="484" t="s">
        <v>1205</v>
      </c>
      <c r="N606" s="484" t="s">
        <v>676</v>
      </c>
      <c r="O606" s="487">
        <v>2793.71</v>
      </c>
    </row>
    <row r="607" spans="2:15" ht="15" customHeight="1">
      <c r="B607" s="483">
        <v>1</v>
      </c>
      <c r="C607" s="484" t="s">
        <v>2022</v>
      </c>
      <c r="D607" s="488" t="s">
        <v>126</v>
      </c>
      <c r="E607" s="488" t="str">
        <f t="shared" si="28"/>
        <v>Open</v>
      </c>
      <c r="F607" s="488">
        <v>41213</v>
      </c>
      <c r="G607" s="488"/>
      <c r="H607" s="484" t="s">
        <v>673</v>
      </c>
      <c r="I607" s="484" t="str">
        <f>VLOOKUP(TabListaLojas[[#This Row],[UF]],UF!A:E,3,0)</f>
        <v>Southest</v>
      </c>
      <c r="J607" s="484" t="s">
        <v>118</v>
      </c>
      <c r="K607" s="484" t="str">
        <f>VLOOKUP(TabListaLojas[[#This Row],[UF]],UF!A:B,2,0)</f>
        <v>São Paulo</v>
      </c>
      <c r="L607" s="484" t="s">
        <v>1203</v>
      </c>
      <c r="M607" s="484" t="s">
        <v>1321</v>
      </c>
      <c r="N607" s="484" t="s">
        <v>676</v>
      </c>
      <c r="O607" s="487">
        <v>447.77</v>
      </c>
    </row>
    <row r="608" spans="2:15" ht="15" customHeight="1">
      <c r="B608" s="483">
        <v>1</v>
      </c>
      <c r="C608" s="484" t="s">
        <v>1796</v>
      </c>
      <c r="D608" s="488" t="s">
        <v>116</v>
      </c>
      <c r="E608" s="488" t="str">
        <f t="shared" si="28"/>
        <v>Open</v>
      </c>
      <c r="F608" s="488">
        <v>41212</v>
      </c>
      <c r="G608" s="488"/>
      <c r="H608" s="484" t="s">
        <v>673</v>
      </c>
      <c r="I608" s="484" t="str">
        <f>VLOOKUP(TabListaLojas[[#This Row],[UF]],UF!A:E,3,0)</f>
        <v>Southest</v>
      </c>
      <c r="J608" s="484" t="s">
        <v>122</v>
      </c>
      <c r="K608" s="484" t="str">
        <f>VLOOKUP(TabListaLojas[[#This Row],[UF]],UF!A:B,2,0)</f>
        <v>Rio de Janeiro</v>
      </c>
      <c r="L608" s="484" t="s">
        <v>128</v>
      </c>
      <c r="M608" s="484" t="s">
        <v>1322</v>
      </c>
      <c r="N608" s="484" t="s">
        <v>676</v>
      </c>
      <c r="O608" s="487">
        <v>3768.7599999999998</v>
      </c>
    </row>
    <row r="609" spans="2:15" ht="15" customHeight="1">
      <c r="B609" s="483">
        <v>1</v>
      </c>
      <c r="C609" s="484" t="s">
        <v>1797</v>
      </c>
      <c r="D609" s="488" t="s">
        <v>116</v>
      </c>
      <c r="E609" s="488" t="str">
        <f t="shared" si="28"/>
        <v>Open</v>
      </c>
      <c r="F609" s="488">
        <v>41212</v>
      </c>
      <c r="G609" s="488"/>
      <c r="H609" s="484" t="s">
        <v>673</v>
      </c>
      <c r="I609" s="484" t="str">
        <f>VLOOKUP(TabListaLojas[[#This Row],[UF]],UF!A:E,3,0)</f>
        <v>Northest</v>
      </c>
      <c r="J609" s="484" t="s">
        <v>121</v>
      </c>
      <c r="K609" s="484" t="str">
        <f>VLOOKUP(TabListaLojas[[#This Row],[UF]],UF!A:B,2,0)</f>
        <v>Pernambuco</v>
      </c>
      <c r="L609" s="484" t="s">
        <v>125</v>
      </c>
      <c r="M609" s="484" t="s">
        <v>822</v>
      </c>
      <c r="N609" s="484" t="s">
        <v>676</v>
      </c>
      <c r="O609" s="487">
        <v>4327.68</v>
      </c>
    </row>
    <row r="610" spans="2:15" ht="15" customHeight="1">
      <c r="B610" s="483">
        <v>1</v>
      </c>
      <c r="C610" s="484" t="s">
        <v>1798</v>
      </c>
      <c r="D610" s="488" t="s">
        <v>116</v>
      </c>
      <c r="E610" s="488" t="str">
        <f t="shared" si="28"/>
        <v>Open</v>
      </c>
      <c r="F610" s="488">
        <v>41209</v>
      </c>
      <c r="G610" s="488"/>
      <c r="H610" s="484" t="s">
        <v>673</v>
      </c>
      <c r="I610" s="484" t="str">
        <f>VLOOKUP(TabListaLojas[[#This Row],[UF]],UF!A:E,3,0)</f>
        <v>South</v>
      </c>
      <c r="J610" s="484" t="s">
        <v>147</v>
      </c>
      <c r="K610" s="484" t="str">
        <f>VLOOKUP(TabListaLojas[[#This Row],[UF]],UF!A:B,2,0)</f>
        <v>Santa Catarina</v>
      </c>
      <c r="L610" s="484" t="s">
        <v>1116</v>
      </c>
      <c r="M610" s="484" t="s">
        <v>1117</v>
      </c>
      <c r="N610" s="484" t="s">
        <v>676</v>
      </c>
      <c r="O610" s="487">
        <v>2960.7700000000004</v>
      </c>
    </row>
    <row r="611" spans="2:15" ht="15" customHeight="1">
      <c r="B611" s="483">
        <v>1</v>
      </c>
      <c r="C611" s="484" t="s">
        <v>1799</v>
      </c>
      <c r="D611" s="488" t="s">
        <v>116</v>
      </c>
      <c r="E611" s="488" t="str">
        <f t="shared" si="28"/>
        <v>Open</v>
      </c>
      <c r="F611" s="488">
        <v>41207</v>
      </c>
      <c r="G611" s="488"/>
      <c r="H611" s="484" t="s">
        <v>673</v>
      </c>
      <c r="I611" s="484" t="str">
        <f>VLOOKUP(TabListaLojas[[#This Row],[UF]],UF!A:E,3,0)</f>
        <v>Southest</v>
      </c>
      <c r="J611" s="484" t="s">
        <v>118</v>
      </c>
      <c r="K611" s="484" t="str">
        <f>VLOOKUP(TabListaLojas[[#This Row],[UF]],UF!A:B,2,0)</f>
        <v>São Paulo</v>
      </c>
      <c r="L611" s="484" t="s">
        <v>1155</v>
      </c>
      <c r="M611" s="484" t="s">
        <v>1216</v>
      </c>
      <c r="N611" s="484" t="s">
        <v>676</v>
      </c>
      <c r="O611" s="487">
        <v>3313.56</v>
      </c>
    </row>
    <row r="612" spans="2:15" ht="15" customHeight="1">
      <c r="B612" s="483">
        <v>1</v>
      </c>
      <c r="C612" s="484" t="s">
        <v>2021</v>
      </c>
      <c r="D612" s="488" t="s">
        <v>126</v>
      </c>
      <c r="E612" s="488" t="str">
        <f t="shared" si="28"/>
        <v>Open</v>
      </c>
      <c r="F612" s="488">
        <v>41205</v>
      </c>
      <c r="G612" s="488"/>
      <c r="H612" s="484" t="s">
        <v>673</v>
      </c>
      <c r="I612" s="484" t="str">
        <f>VLOOKUP(TabListaLojas[[#This Row],[UF]],UF!A:E,3,0)</f>
        <v>Southest</v>
      </c>
      <c r="J612" s="484" t="s">
        <v>149</v>
      </c>
      <c r="K612" s="484" t="str">
        <f>VLOOKUP(TabListaLojas[[#This Row],[UF]],UF!A:B,2,0)</f>
        <v>Minas Gerais</v>
      </c>
      <c r="L612" s="484" t="s">
        <v>1113</v>
      </c>
      <c r="M612" s="484" t="s">
        <v>1323</v>
      </c>
      <c r="N612" s="484" t="s">
        <v>676</v>
      </c>
      <c r="O612" s="487">
        <v>488.17</v>
      </c>
    </row>
    <row r="613" spans="2:15" ht="15" hidden="1" customHeight="1">
      <c r="B613" s="491">
        <v>0</v>
      </c>
      <c r="C613" s="492" t="s">
        <v>2019</v>
      </c>
      <c r="D613" s="493" t="s">
        <v>126</v>
      </c>
      <c r="E613" s="493" t="str">
        <f t="shared" si="28"/>
        <v>Closed</v>
      </c>
      <c r="F613" s="493">
        <v>41200</v>
      </c>
      <c r="G613" s="493">
        <v>43485</v>
      </c>
      <c r="H613" s="492" t="s">
        <v>673</v>
      </c>
      <c r="I613" s="492" t="str">
        <f>VLOOKUP(TabListaLojas[[#This Row],[UF]],UF!A:E,3,0)</f>
        <v>Southest</v>
      </c>
      <c r="J613" s="492" t="s">
        <v>118</v>
      </c>
      <c r="K613" s="492" t="str">
        <f>VLOOKUP(TabListaLojas[[#This Row],[UF]],UF!A:B,2,0)</f>
        <v>São Paulo</v>
      </c>
      <c r="L613" s="492" t="s">
        <v>1164</v>
      </c>
      <c r="M613" s="492" t="s">
        <v>1554</v>
      </c>
      <c r="N613" s="492" t="s">
        <v>676</v>
      </c>
      <c r="O613" s="495">
        <v>0</v>
      </c>
    </row>
    <row r="614" spans="2:15" ht="15" customHeight="1">
      <c r="B614" s="483">
        <v>1</v>
      </c>
      <c r="C614" s="484" t="s">
        <v>2020</v>
      </c>
      <c r="D614" s="488" t="s">
        <v>126</v>
      </c>
      <c r="E614" s="488" t="str">
        <f t="shared" si="28"/>
        <v>Open</v>
      </c>
      <c r="F614" s="488">
        <v>41200</v>
      </c>
      <c r="G614" s="488"/>
      <c r="H614" s="484" t="s">
        <v>673</v>
      </c>
      <c r="I614" s="484" t="str">
        <f>VLOOKUP(TabListaLojas[[#This Row],[UF]],UF!A:E,3,0)</f>
        <v>Southest</v>
      </c>
      <c r="J614" s="484" t="s">
        <v>118</v>
      </c>
      <c r="K614" s="484" t="str">
        <f>VLOOKUP(TabListaLojas[[#This Row],[UF]],UF!A:B,2,0)</f>
        <v>São Paulo</v>
      </c>
      <c r="L614" s="484" t="s">
        <v>1186</v>
      </c>
      <c r="M614" s="484" t="s">
        <v>1324</v>
      </c>
      <c r="N614" s="484" t="s">
        <v>676</v>
      </c>
      <c r="O614" s="487">
        <v>458.87</v>
      </c>
    </row>
    <row r="615" spans="2:15" ht="15" customHeight="1">
      <c r="B615" s="483">
        <v>1</v>
      </c>
      <c r="C615" s="484" t="s">
        <v>1800</v>
      </c>
      <c r="D615" s="488" t="s">
        <v>116</v>
      </c>
      <c r="E615" s="488" t="str">
        <f t="shared" si="28"/>
        <v>Open</v>
      </c>
      <c r="F615" s="488">
        <v>41200</v>
      </c>
      <c r="G615" s="488"/>
      <c r="H615" s="484" t="s">
        <v>673</v>
      </c>
      <c r="I615" s="484" t="str">
        <f>VLOOKUP(TabListaLojas[[#This Row],[UF]],UF!A:E,3,0)</f>
        <v>Southest</v>
      </c>
      <c r="J615" s="484" t="s">
        <v>118</v>
      </c>
      <c r="K615" s="484" t="str">
        <f>VLOOKUP(TabListaLojas[[#This Row],[UF]],UF!A:B,2,0)</f>
        <v>São Paulo</v>
      </c>
      <c r="L615" s="484" t="s">
        <v>1186</v>
      </c>
      <c r="M615" s="484" t="s">
        <v>1324</v>
      </c>
      <c r="N615" s="484" t="s">
        <v>676</v>
      </c>
      <c r="O615" s="487">
        <v>2131.91</v>
      </c>
    </row>
    <row r="616" spans="2:15" ht="15" customHeight="1">
      <c r="B616" s="483">
        <v>1</v>
      </c>
      <c r="C616" s="484" t="s">
        <v>1801</v>
      </c>
      <c r="D616" s="488" t="s">
        <v>116</v>
      </c>
      <c r="E616" s="488" t="str">
        <f t="shared" si="28"/>
        <v>Open</v>
      </c>
      <c r="F616" s="488">
        <v>41191</v>
      </c>
      <c r="G616" s="488"/>
      <c r="H616" s="484" t="s">
        <v>673</v>
      </c>
      <c r="I616" s="484" t="str">
        <f>VLOOKUP(TabListaLojas[[#This Row],[UF]],UF!A:E,3,0)</f>
        <v>Northest</v>
      </c>
      <c r="J616" s="484" t="s">
        <v>121</v>
      </c>
      <c r="K616" s="484" t="str">
        <f>VLOOKUP(TabListaLojas[[#This Row],[UF]],UF!A:B,2,0)</f>
        <v>Pernambuco</v>
      </c>
      <c r="L616" s="484" t="s">
        <v>1325</v>
      </c>
      <c r="M616" s="484" t="s">
        <v>1326</v>
      </c>
      <c r="N616" s="484" t="s">
        <v>676</v>
      </c>
      <c r="O616" s="487">
        <v>2431.02</v>
      </c>
    </row>
    <row r="617" spans="2:15" ht="15" hidden="1" customHeight="1">
      <c r="B617" s="491">
        <v>0</v>
      </c>
      <c r="C617" s="492" t="s">
        <v>2018</v>
      </c>
      <c r="D617" s="493" t="s">
        <v>126</v>
      </c>
      <c r="E617" s="493" t="str">
        <f t="shared" si="28"/>
        <v>Closed</v>
      </c>
      <c r="F617" s="493">
        <v>41138</v>
      </c>
      <c r="G617" s="493">
        <v>44935</v>
      </c>
      <c r="H617" s="492" t="s">
        <v>673</v>
      </c>
      <c r="I617" s="492" t="str">
        <f>VLOOKUP(TabListaLojas[[#This Row],[UF]],UF!A:E,3,0)</f>
        <v>Southest</v>
      </c>
      <c r="J617" s="492" t="s">
        <v>118</v>
      </c>
      <c r="K617" s="492" t="str">
        <f>VLOOKUP(TabListaLojas[[#This Row],[UF]],UF!A:B,2,0)</f>
        <v>São Paulo</v>
      </c>
      <c r="L617" s="492" t="s">
        <v>894</v>
      </c>
      <c r="M617" s="492" t="s">
        <v>1555</v>
      </c>
      <c r="N617" s="492" t="s">
        <v>676</v>
      </c>
      <c r="O617" s="495">
        <v>0</v>
      </c>
    </row>
    <row r="618" spans="2:15" ht="15" customHeight="1">
      <c r="B618" s="483">
        <v>1</v>
      </c>
      <c r="C618" s="484" t="s">
        <v>2017</v>
      </c>
      <c r="D618" s="488" t="s">
        <v>126</v>
      </c>
      <c r="E618" s="488" t="str">
        <f t="shared" si="28"/>
        <v>Open</v>
      </c>
      <c r="F618" s="488">
        <v>41124</v>
      </c>
      <c r="G618" s="488"/>
      <c r="H618" s="484" t="s">
        <v>673</v>
      </c>
      <c r="I618" s="484" t="str">
        <f>VLOOKUP(TabListaLojas[[#This Row],[UF]],UF!A:E,3,0)</f>
        <v>South</v>
      </c>
      <c r="J618" s="484" t="s">
        <v>147</v>
      </c>
      <c r="K618" s="484" t="str">
        <f>VLOOKUP(TabListaLojas[[#This Row],[UF]],UF!A:B,2,0)</f>
        <v>Santa Catarina</v>
      </c>
      <c r="L618" s="484" t="s">
        <v>1009</v>
      </c>
      <c r="M618" s="484" t="s">
        <v>1010</v>
      </c>
      <c r="N618" s="484" t="s">
        <v>676</v>
      </c>
      <c r="O618" s="487">
        <v>422.28</v>
      </c>
    </row>
    <row r="619" spans="2:15" ht="15" customHeight="1">
      <c r="B619" s="483">
        <v>1</v>
      </c>
      <c r="C619" s="484" t="s">
        <v>1802</v>
      </c>
      <c r="D619" s="488" t="s">
        <v>116</v>
      </c>
      <c r="E619" s="488" t="str">
        <f t="shared" si="28"/>
        <v>Open</v>
      </c>
      <c r="F619" s="488">
        <v>41124</v>
      </c>
      <c r="G619" s="488"/>
      <c r="H619" s="484" t="s">
        <v>673</v>
      </c>
      <c r="I619" s="484" t="str">
        <f>VLOOKUP(TabListaLojas[[#This Row],[UF]],UF!A:E,3,0)</f>
        <v>Southest</v>
      </c>
      <c r="J619" s="484" t="s">
        <v>118</v>
      </c>
      <c r="K619" s="484" t="str">
        <f>VLOOKUP(TabListaLojas[[#This Row],[UF]],UF!A:B,2,0)</f>
        <v>São Paulo</v>
      </c>
      <c r="L619" s="484" t="s">
        <v>894</v>
      </c>
      <c r="M619" s="484" t="s">
        <v>1327</v>
      </c>
      <c r="N619" s="484" t="s">
        <v>676</v>
      </c>
      <c r="O619" s="487">
        <v>2892.86</v>
      </c>
    </row>
    <row r="620" spans="2:15" ht="15" customHeight="1">
      <c r="B620" s="483">
        <v>1</v>
      </c>
      <c r="C620" s="484" t="s">
        <v>1803</v>
      </c>
      <c r="D620" s="488" t="s">
        <v>116</v>
      </c>
      <c r="E620" s="488" t="str">
        <f t="shared" si="28"/>
        <v>Open</v>
      </c>
      <c r="F620" s="488">
        <v>41103</v>
      </c>
      <c r="G620" s="488"/>
      <c r="H620" s="484" t="s">
        <v>673</v>
      </c>
      <c r="I620" s="484" t="str">
        <f>VLOOKUP(TabListaLojas[[#This Row],[UF]],UF!A:E,3,0)</f>
        <v>Northest</v>
      </c>
      <c r="J620" s="484" t="s">
        <v>120</v>
      </c>
      <c r="K620" s="484" t="str">
        <f>VLOOKUP(TabListaLojas[[#This Row],[UF]],UF!A:B,2,0)</f>
        <v>Bahia</v>
      </c>
      <c r="L620" s="484" t="s">
        <v>134</v>
      </c>
      <c r="M620" s="484" t="s">
        <v>1328</v>
      </c>
      <c r="N620" s="484" t="s">
        <v>676</v>
      </c>
      <c r="O620" s="487">
        <v>3165.6499999999996</v>
      </c>
    </row>
    <row r="621" spans="2:15" ht="15" customHeight="1">
      <c r="B621" s="483">
        <v>1</v>
      </c>
      <c r="C621" s="484" t="s">
        <v>1804</v>
      </c>
      <c r="D621" s="488" t="s">
        <v>116</v>
      </c>
      <c r="E621" s="488" t="str">
        <f t="shared" si="28"/>
        <v>Open</v>
      </c>
      <c r="F621" s="488">
        <v>41080</v>
      </c>
      <c r="G621" s="488"/>
      <c r="H621" s="484" t="s">
        <v>673</v>
      </c>
      <c r="I621" s="484" t="str">
        <f>VLOOKUP(TabListaLojas[[#This Row],[UF]],UF!A:E,3,0)</f>
        <v>Southest</v>
      </c>
      <c r="J621" s="484" t="s">
        <v>122</v>
      </c>
      <c r="K621" s="484" t="str">
        <f>VLOOKUP(TabListaLojas[[#This Row],[UF]],UF!A:B,2,0)</f>
        <v>Rio de Janeiro</v>
      </c>
      <c r="L621" s="484" t="s">
        <v>128</v>
      </c>
      <c r="M621" s="484" t="s">
        <v>1329</v>
      </c>
      <c r="N621" s="484" t="s">
        <v>714</v>
      </c>
      <c r="O621" s="487">
        <v>2027.2</v>
      </c>
    </row>
    <row r="622" spans="2:15" ht="15" customHeight="1">
      <c r="B622" s="483">
        <v>1</v>
      </c>
      <c r="C622" s="484" t="s">
        <v>1805</v>
      </c>
      <c r="D622" s="488" t="s">
        <v>116</v>
      </c>
      <c r="E622" s="488" t="str">
        <f t="shared" si="28"/>
        <v>Open</v>
      </c>
      <c r="F622" s="488">
        <v>41064</v>
      </c>
      <c r="G622" s="488"/>
      <c r="H622" s="484" t="s">
        <v>673</v>
      </c>
      <c r="I622" s="484" t="str">
        <f>VLOOKUP(TabListaLojas[[#This Row],[UF]],UF!A:E,3,0)</f>
        <v>Southest</v>
      </c>
      <c r="J622" s="484" t="s">
        <v>118</v>
      </c>
      <c r="K622" s="484" t="str">
        <f>VLOOKUP(TabListaLojas[[#This Row],[UF]],UF!A:B,2,0)</f>
        <v>São Paulo</v>
      </c>
      <c r="L622" s="484" t="s">
        <v>1203</v>
      </c>
      <c r="M622" s="484" t="s">
        <v>1204</v>
      </c>
      <c r="N622" s="484" t="s">
        <v>676</v>
      </c>
      <c r="O622" s="487">
        <v>3181.43</v>
      </c>
    </row>
    <row r="623" spans="2:15" ht="15" hidden="1" customHeight="1">
      <c r="B623" s="491">
        <v>0</v>
      </c>
      <c r="C623" s="492" t="s">
        <v>2016</v>
      </c>
      <c r="D623" s="493" t="s">
        <v>126</v>
      </c>
      <c r="E623" s="493" t="str">
        <f t="shared" si="28"/>
        <v>Closed</v>
      </c>
      <c r="F623" s="493">
        <v>41060</v>
      </c>
      <c r="G623" s="493">
        <v>45320</v>
      </c>
      <c r="H623" s="492" t="s">
        <v>673</v>
      </c>
      <c r="I623" s="492" t="str">
        <f>VLOOKUP(TabListaLojas[[#This Row],[UF]],UF!A:E,3,0)</f>
        <v>South</v>
      </c>
      <c r="J623" s="492" t="s">
        <v>147</v>
      </c>
      <c r="K623" s="492" t="str">
        <f>VLOOKUP(TabListaLojas[[#This Row],[UF]],UF!A:B,2,0)</f>
        <v>Santa Catarina</v>
      </c>
      <c r="L623" s="492" t="s">
        <v>1116</v>
      </c>
      <c r="M623" s="492" t="s">
        <v>1556</v>
      </c>
      <c r="N623" s="492" t="s">
        <v>676</v>
      </c>
      <c r="O623" s="495">
        <v>0</v>
      </c>
    </row>
    <row r="624" spans="2:15" ht="15" customHeight="1">
      <c r="B624" s="483">
        <v>1</v>
      </c>
      <c r="C624" s="484" t="s">
        <v>1806</v>
      </c>
      <c r="D624" s="488" t="s">
        <v>116</v>
      </c>
      <c r="E624" s="488" t="str">
        <f t="shared" si="28"/>
        <v>Open</v>
      </c>
      <c r="F624" s="488">
        <v>41059</v>
      </c>
      <c r="G624" s="488"/>
      <c r="H624" s="484" t="s">
        <v>673</v>
      </c>
      <c r="I624" s="484" t="str">
        <f>VLOOKUP(TabListaLojas[[#This Row],[UF]],UF!A:E,3,0)</f>
        <v>North</v>
      </c>
      <c r="J624" s="484" t="s">
        <v>150</v>
      </c>
      <c r="K624" s="484" t="str">
        <f>VLOOKUP(TabListaLojas[[#This Row],[UF]],UF!A:B,2,0)</f>
        <v>Pará</v>
      </c>
      <c r="L624" s="484" t="s">
        <v>131</v>
      </c>
      <c r="M624" s="484" t="s">
        <v>1330</v>
      </c>
      <c r="N624" s="484" t="s">
        <v>676</v>
      </c>
      <c r="O624" s="487">
        <v>3014.76</v>
      </c>
    </row>
    <row r="625" spans="2:15" ht="15" customHeight="1">
      <c r="B625" s="483">
        <v>1</v>
      </c>
      <c r="C625" s="484" t="s">
        <v>1807</v>
      </c>
      <c r="D625" s="488" t="s">
        <v>116</v>
      </c>
      <c r="E625" s="488" t="str">
        <f t="shared" si="28"/>
        <v>Open</v>
      </c>
      <c r="F625" s="488">
        <v>41052</v>
      </c>
      <c r="G625" s="488"/>
      <c r="H625" s="484" t="s">
        <v>673</v>
      </c>
      <c r="I625" s="484" t="str">
        <f>VLOOKUP(TabListaLojas[[#This Row],[UF]],UF!A:E,3,0)</f>
        <v>Southest</v>
      </c>
      <c r="J625" s="484" t="s">
        <v>149</v>
      </c>
      <c r="K625" s="484" t="str">
        <f>VLOOKUP(TabListaLojas[[#This Row],[UF]],UF!A:B,2,0)</f>
        <v>Minas Gerais</v>
      </c>
      <c r="L625" s="484" t="s">
        <v>136</v>
      </c>
      <c r="M625" s="484" t="s">
        <v>1331</v>
      </c>
      <c r="N625" s="484" t="s">
        <v>676</v>
      </c>
      <c r="O625" s="487">
        <v>2782.79</v>
      </c>
    </row>
    <row r="626" spans="2:15" ht="15" hidden="1" customHeight="1">
      <c r="B626" s="491">
        <v>0</v>
      </c>
      <c r="C626" s="492" t="s">
        <v>2015</v>
      </c>
      <c r="D626" s="493" t="s">
        <v>126</v>
      </c>
      <c r="E626" s="493" t="str">
        <f t="shared" si="28"/>
        <v>Closed</v>
      </c>
      <c r="F626" s="493">
        <v>41025</v>
      </c>
      <c r="G626" s="493">
        <v>43849</v>
      </c>
      <c r="H626" s="492" t="s">
        <v>673</v>
      </c>
      <c r="I626" s="492" t="str">
        <f>VLOOKUP(TabListaLojas[[#This Row],[UF]],UF!A:E,3,0)</f>
        <v>South</v>
      </c>
      <c r="J626" s="492" t="s">
        <v>117</v>
      </c>
      <c r="K626" s="492" t="str">
        <f>VLOOKUP(TabListaLojas[[#This Row],[UF]],UF!A:B,2,0)</f>
        <v>Rio Grande do Sul</v>
      </c>
      <c r="L626" s="492" t="s">
        <v>129</v>
      </c>
      <c r="M626" s="492" t="s">
        <v>1548</v>
      </c>
      <c r="N626" s="492" t="s">
        <v>676</v>
      </c>
      <c r="O626" s="495">
        <v>0</v>
      </c>
    </row>
    <row r="627" spans="2:15" ht="15" customHeight="1">
      <c r="B627" s="483">
        <v>1</v>
      </c>
      <c r="C627" s="484" t="s">
        <v>1808</v>
      </c>
      <c r="D627" s="488" t="s">
        <v>116</v>
      </c>
      <c r="E627" s="488" t="str">
        <f t="shared" si="28"/>
        <v>Open</v>
      </c>
      <c r="F627" s="488">
        <v>41025</v>
      </c>
      <c r="G627" s="488"/>
      <c r="H627" s="484" t="s">
        <v>673</v>
      </c>
      <c r="I627" s="484" t="str">
        <f>VLOOKUP(TabListaLojas[[#This Row],[UF]],UF!A:E,3,0)</f>
        <v>South</v>
      </c>
      <c r="J627" s="484" t="s">
        <v>117</v>
      </c>
      <c r="K627" s="484" t="str">
        <f>VLOOKUP(TabListaLojas[[#This Row],[UF]],UF!A:B,2,0)</f>
        <v>Rio Grande do Sul</v>
      </c>
      <c r="L627" s="484" t="s">
        <v>129</v>
      </c>
      <c r="M627" s="484" t="s">
        <v>1332</v>
      </c>
      <c r="N627" s="484" t="s">
        <v>676</v>
      </c>
      <c r="O627" s="487">
        <v>3471.8999999999996</v>
      </c>
    </row>
    <row r="628" spans="2:15" ht="15" customHeight="1">
      <c r="B628" s="483">
        <v>1</v>
      </c>
      <c r="C628" s="484" t="s">
        <v>1809</v>
      </c>
      <c r="D628" s="488" t="s">
        <v>116</v>
      </c>
      <c r="E628" s="488" t="str">
        <f t="shared" si="28"/>
        <v>Open</v>
      </c>
      <c r="F628" s="488">
        <v>40996</v>
      </c>
      <c r="G628" s="488"/>
      <c r="H628" s="484" t="s">
        <v>673</v>
      </c>
      <c r="I628" s="484" t="str">
        <f>VLOOKUP(TabListaLojas[[#This Row],[UF]],UF!A:E,3,0)</f>
        <v>Southest</v>
      </c>
      <c r="J628" s="484" t="s">
        <v>149</v>
      </c>
      <c r="K628" s="484" t="str">
        <f>VLOOKUP(TabListaLojas[[#This Row],[UF]],UF!A:B,2,0)</f>
        <v>Minas Gerais</v>
      </c>
      <c r="L628" s="484" t="s">
        <v>1113</v>
      </c>
      <c r="M628" s="484" t="s">
        <v>1333</v>
      </c>
      <c r="N628" s="484" t="s">
        <v>676</v>
      </c>
      <c r="O628" s="487">
        <v>1805.0500000000002</v>
      </c>
    </row>
    <row r="629" spans="2:15" ht="15" hidden="1" customHeight="1">
      <c r="B629" s="491">
        <v>0</v>
      </c>
      <c r="C629" s="492" t="s">
        <v>2238</v>
      </c>
      <c r="D629" s="493" t="s">
        <v>116</v>
      </c>
      <c r="E629" s="493" t="str">
        <f t="shared" si="28"/>
        <v>Closed</v>
      </c>
      <c r="F629" s="493">
        <v>40994</v>
      </c>
      <c r="G629" s="493">
        <v>45120</v>
      </c>
      <c r="H629" s="492" t="s">
        <v>673</v>
      </c>
      <c r="I629" s="492" t="str">
        <f>VLOOKUP(TabListaLojas[[#This Row],[UF]],UF!A:E,3,0)</f>
        <v>South</v>
      </c>
      <c r="J629" s="492" t="s">
        <v>117</v>
      </c>
      <c r="K629" s="492" t="str">
        <f>VLOOKUP(TabListaLojas[[#This Row],[UF]],UF!A:B,2,0)</f>
        <v>Rio Grande do Sul</v>
      </c>
      <c r="L629" s="492" t="s">
        <v>129</v>
      </c>
      <c r="M629" s="492" t="s">
        <v>1557</v>
      </c>
      <c r="N629" s="492" t="s">
        <v>714</v>
      </c>
      <c r="O629" s="495">
        <v>0</v>
      </c>
    </row>
    <row r="630" spans="2:15" ht="15" hidden="1" customHeight="1">
      <c r="B630" s="491">
        <v>0</v>
      </c>
      <c r="C630" s="492" t="s">
        <v>2014</v>
      </c>
      <c r="D630" s="493" t="s">
        <v>126</v>
      </c>
      <c r="E630" s="493" t="str">
        <f t="shared" si="28"/>
        <v>Closed</v>
      </c>
      <c r="F630" s="493">
        <v>40962</v>
      </c>
      <c r="G630" s="493">
        <v>44991</v>
      </c>
      <c r="H630" s="492" t="s">
        <v>673</v>
      </c>
      <c r="I630" s="492" t="str">
        <f>VLOOKUP(TabListaLojas[[#This Row],[UF]],UF!A:E,3,0)</f>
        <v>South</v>
      </c>
      <c r="J630" s="492" t="s">
        <v>117</v>
      </c>
      <c r="K630" s="492" t="str">
        <f>VLOOKUP(TabListaLojas[[#This Row],[UF]],UF!A:B,2,0)</f>
        <v>Rio Grande do Sul</v>
      </c>
      <c r="L630" s="492" t="s">
        <v>1217</v>
      </c>
      <c r="M630" s="492" t="s">
        <v>1558</v>
      </c>
      <c r="N630" s="492" t="s">
        <v>676</v>
      </c>
      <c r="O630" s="495">
        <v>0</v>
      </c>
    </row>
    <row r="631" spans="2:15" ht="15" customHeight="1">
      <c r="B631" s="483">
        <v>1</v>
      </c>
      <c r="C631" s="484" t="s">
        <v>2013</v>
      </c>
      <c r="D631" s="488" t="s">
        <v>126</v>
      </c>
      <c r="E631" s="488" t="str">
        <f t="shared" si="28"/>
        <v>Open</v>
      </c>
      <c r="F631" s="488">
        <v>40897</v>
      </c>
      <c r="G631" s="488"/>
      <c r="H631" s="484" t="s">
        <v>673</v>
      </c>
      <c r="I631" s="484" t="str">
        <f>VLOOKUP(TabListaLojas[[#This Row],[UF]],UF!A:E,3,0)</f>
        <v>Southest</v>
      </c>
      <c r="J631" s="484" t="s">
        <v>152</v>
      </c>
      <c r="K631" s="484" t="str">
        <f>VLOOKUP(TabListaLojas[[#This Row],[UF]],UF!A:B,2,0)</f>
        <v>Espírito Santo</v>
      </c>
      <c r="L631" s="484" t="s">
        <v>168</v>
      </c>
      <c r="M631" s="484" t="s">
        <v>722</v>
      </c>
      <c r="N631" s="484" t="s">
        <v>676</v>
      </c>
      <c r="O631" s="487">
        <v>1018.39</v>
      </c>
    </row>
    <row r="632" spans="2:15" ht="15" customHeight="1">
      <c r="B632" s="483">
        <v>1</v>
      </c>
      <c r="C632" s="484" t="s">
        <v>1810</v>
      </c>
      <c r="D632" s="488" t="s">
        <v>116</v>
      </c>
      <c r="E632" s="488" t="str">
        <f t="shared" si="28"/>
        <v>Open</v>
      </c>
      <c r="F632" s="488">
        <v>40897</v>
      </c>
      <c r="G632" s="488"/>
      <c r="H632" s="484" t="s">
        <v>673</v>
      </c>
      <c r="I632" s="484" t="str">
        <f>VLOOKUP(TabListaLojas[[#This Row],[UF]],UF!A:E,3,0)</f>
        <v>Southest</v>
      </c>
      <c r="J632" s="484" t="s">
        <v>118</v>
      </c>
      <c r="K632" s="484" t="str">
        <f>VLOOKUP(TabListaLojas[[#This Row],[UF]],UF!A:B,2,0)</f>
        <v>São Paulo</v>
      </c>
      <c r="L632" s="484" t="s">
        <v>1334</v>
      </c>
      <c r="M632" s="484" t="s">
        <v>1335</v>
      </c>
      <c r="N632" s="484" t="s">
        <v>676</v>
      </c>
      <c r="O632" s="487">
        <v>1941.03</v>
      </c>
    </row>
    <row r="633" spans="2:15" ht="15" customHeight="1">
      <c r="B633" s="483">
        <v>1</v>
      </c>
      <c r="C633" s="484" t="s">
        <v>1811</v>
      </c>
      <c r="D633" s="488" t="s">
        <v>116</v>
      </c>
      <c r="E633" s="488" t="str">
        <f t="shared" si="28"/>
        <v>Open</v>
      </c>
      <c r="F633" s="488">
        <v>40897</v>
      </c>
      <c r="G633" s="488"/>
      <c r="H633" s="484" t="s">
        <v>673</v>
      </c>
      <c r="I633" s="484" t="str">
        <f>VLOOKUP(TabListaLojas[[#This Row],[UF]],UF!A:E,3,0)</f>
        <v>Northest</v>
      </c>
      <c r="J633" s="484" t="s">
        <v>154</v>
      </c>
      <c r="K633" s="484" t="str">
        <f>VLOOKUP(TabListaLojas[[#This Row],[UF]],UF!A:B,2,0)</f>
        <v>Maranhão</v>
      </c>
      <c r="L633" s="484" t="s">
        <v>171</v>
      </c>
      <c r="M633" s="484" t="s">
        <v>828</v>
      </c>
      <c r="N633" s="484" t="s">
        <v>676</v>
      </c>
      <c r="O633" s="487">
        <v>4868.7</v>
      </c>
    </row>
    <row r="634" spans="2:15" ht="15" customHeight="1">
      <c r="B634" s="483">
        <v>1</v>
      </c>
      <c r="C634" s="484" t="s">
        <v>1812</v>
      </c>
      <c r="D634" s="488" t="s">
        <v>116</v>
      </c>
      <c r="E634" s="488" t="str">
        <f t="shared" si="28"/>
        <v>Open</v>
      </c>
      <c r="F634" s="488">
        <v>40893</v>
      </c>
      <c r="G634" s="488"/>
      <c r="H634" s="484" t="s">
        <v>673</v>
      </c>
      <c r="I634" s="484" t="str">
        <f>VLOOKUP(TabListaLojas[[#This Row],[UF]],UF!A:E,3,0)</f>
        <v>South</v>
      </c>
      <c r="J634" s="484" t="s">
        <v>161</v>
      </c>
      <c r="K634" s="484" t="str">
        <f>VLOOKUP(TabListaLojas[[#This Row],[UF]],UF!A:B,2,0)</f>
        <v>Paraná</v>
      </c>
      <c r="L634" s="484" t="s">
        <v>1160</v>
      </c>
      <c r="M634" s="484" t="s">
        <v>1336</v>
      </c>
      <c r="N634" s="484" t="s">
        <v>676</v>
      </c>
      <c r="O634" s="487">
        <v>2110.3200000000002</v>
      </c>
    </row>
    <row r="635" spans="2:15" ht="15" customHeight="1">
      <c r="B635" s="483">
        <v>1</v>
      </c>
      <c r="C635" s="484" t="s">
        <v>1813</v>
      </c>
      <c r="D635" s="488" t="s">
        <v>116</v>
      </c>
      <c r="E635" s="488" t="str">
        <f t="shared" si="28"/>
        <v>Open</v>
      </c>
      <c r="F635" s="488">
        <v>40892</v>
      </c>
      <c r="G635" s="488"/>
      <c r="H635" s="484" t="s">
        <v>673</v>
      </c>
      <c r="I635" s="484" t="str">
        <f>VLOOKUP(TabListaLojas[[#This Row],[UF]],UF!A:E,3,0)</f>
        <v>Southest</v>
      </c>
      <c r="J635" s="484" t="s">
        <v>118</v>
      </c>
      <c r="K635" s="484" t="str">
        <f>VLOOKUP(TabListaLojas[[#This Row],[UF]],UF!A:B,2,0)</f>
        <v>São Paulo</v>
      </c>
      <c r="L635" s="484" t="s">
        <v>1337</v>
      </c>
      <c r="M635" s="484" t="s">
        <v>1338</v>
      </c>
      <c r="N635" s="484" t="s">
        <v>676</v>
      </c>
      <c r="O635" s="487">
        <v>1439.6299999999999</v>
      </c>
    </row>
    <row r="636" spans="2:15" ht="15" customHeight="1">
      <c r="B636" s="483">
        <v>1</v>
      </c>
      <c r="C636" s="484" t="s">
        <v>1814</v>
      </c>
      <c r="D636" s="488" t="s">
        <v>116</v>
      </c>
      <c r="E636" s="488" t="str">
        <f t="shared" si="28"/>
        <v>Open</v>
      </c>
      <c r="F636" s="488">
        <v>40891</v>
      </c>
      <c r="G636" s="488"/>
      <c r="H636" s="484" t="s">
        <v>673</v>
      </c>
      <c r="I636" s="484" t="str">
        <f>VLOOKUP(TabListaLojas[[#This Row],[UF]],UF!A:E,3,0)</f>
        <v>Southest</v>
      </c>
      <c r="J636" s="484" t="s">
        <v>118</v>
      </c>
      <c r="K636" s="484" t="str">
        <f>VLOOKUP(TabListaLojas[[#This Row],[UF]],UF!A:B,2,0)</f>
        <v>São Paulo</v>
      </c>
      <c r="L636" s="484" t="s">
        <v>1339</v>
      </c>
      <c r="M636" s="484" t="s">
        <v>1340</v>
      </c>
      <c r="N636" s="484" t="s">
        <v>676</v>
      </c>
      <c r="O636" s="487">
        <v>2325.9499999999998</v>
      </c>
    </row>
    <row r="637" spans="2:15" ht="15" customHeight="1">
      <c r="B637" s="483">
        <v>1</v>
      </c>
      <c r="C637" s="484" t="s">
        <v>1815</v>
      </c>
      <c r="D637" s="488" t="s">
        <v>116</v>
      </c>
      <c r="E637" s="488" t="str">
        <f t="shared" si="28"/>
        <v>Open</v>
      </c>
      <c r="F637" s="488">
        <v>40890</v>
      </c>
      <c r="G637" s="488"/>
      <c r="H637" s="484" t="s">
        <v>673</v>
      </c>
      <c r="I637" s="484" t="str">
        <f>VLOOKUP(TabListaLojas[[#This Row],[UF]],UF!A:E,3,0)</f>
        <v>Southest</v>
      </c>
      <c r="J637" s="484" t="s">
        <v>152</v>
      </c>
      <c r="K637" s="484" t="str">
        <f>VLOOKUP(TabListaLojas[[#This Row],[UF]],UF!A:B,2,0)</f>
        <v>Espírito Santo</v>
      </c>
      <c r="L637" s="484" t="s">
        <v>1275</v>
      </c>
      <c r="M637" s="484" t="s">
        <v>1341</v>
      </c>
      <c r="N637" s="484" t="s">
        <v>676</v>
      </c>
      <c r="O637" s="487">
        <v>2470.3199999999997</v>
      </c>
    </row>
    <row r="638" spans="2:15" ht="15" customHeight="1">
      <c r="B638" s="483">
        <v>1</v>
      </c>
      <c r="C638" s="484" t="s">
        <v>1816</v>
      </c>
      <c r="D638" s="488" t="s">
        <v>116</v>
      </c>
      <c r="E638" s="488" t="str">
        <f t="shared" si="28"/>
        <v>Open</v>
      </c>
      <c r="F638" s="488">
        <v>40890</v>
      </c>
      <c r="G638" s="488"/>
      <c r="H638" s="484" t="s">
        <v>673</v>
      </c>
      <c r="I638" s="484" t="str">
        <f>VLOOKUP(TabListaLojas[[#This Row],[UF]],UF!A:E,3,0)</f>
        <v>Northest</v>
      </c>
      <c r="J638" s="484" t="s">
        <v>120</v>
      </c>
      <c r="K638" s="484" t="str">
        <f>VLOOKUP(TabListaLojas[[#This Row],[UF]],UF!A:B,2,0)</f>
        <v>Bahia</v>
      </c>
      <c r="L638" s="484" t="s">
        <v>1032</v>
      </c>
      <c r="M638" s="484" t="s">
        <v>1342</v>
      </c>
      <c r="N638" s="484" t="s">
        <v>676</v>
      </c>
      <c r="O638" s="487">
        <v>2003.22</v>
      </c>
    </row>
    <row r="639" spans="2:15" ht="15" customHeight="1">
      <c r="B639" s="483">
        <v>1</v>
      </c>
      <c r="C639" s="484" t="s">
        <v>1817</v>
      </c>
      <c r="D639" s="488" t="s">
        <v>116</v>
      </c>
      <c r="E639" s="488" t="str">
        <f t="shared" si="28"/>
        <v>Open</v>
      </c>
      <c r="F639" s="488">
        <v>40884</v>
      </c>
      <c r="G639" s="488"/>
      <c r="H639" s="484" t="s">
        <v>673</v>
      </c>
      <c r="I639" s="484" t="str">
        <f>VLOOKUP(TabListaLojas[[#This Row],[UF]],UF!A:E,3,0)</f>
        <v>Southest</v>
      </c>
      <c r="J639" s="484" t="s">
        <v>149</v>
      </c>
      <c r="K639" s="484" t="str">
        <f>VLOOKUP(TabListaLojas[[#This Row],[UF]],UF!A:B,2,0)</f>
        <v>Minas Gerais</v>
      </c>
      <c r="L639" s="484" t="s">
        <v>1343</v>
      </c>
      <c r="M639" s="484" t="s">
        <v>1344</v>
      </c>
      <c r="N639" s="484" t="s">
        <v>676</v>
      </c>
      <c r="O639" s="487">
        <v>2101.2600000000002</v>
      </c>
    </row>
    <row r="640" spans="2:15" ht="15" customHeight="1">
      <c r="B640" s="483">
        <v>1</v>
      </c>
      <c r="C640" s="484" t="s">
        <v>1818</v>
      </c>
      <c r="D640" s="488" t="s">
        <v>116</v>
      </c>
      <c r="E640" s="488" t="str">
        <f t="shared" si="28"/>
        <v>Open</v>
      </c>
      <c r="F640" s="488">
        <v>40883</v>
      </c>
      <c r="G640" s="488"/>
      <c r="H640" s="484" t="s">
        <v>673</v>
      </c>
      <c r="I640" s="484" t="str">
        <f>VLOOKUP(TabListaLojas[[#This Row],[UF]],UF!A:E,3,0)</f>
        <v>Northest</v>
      </c>
      <c r="J640" s="484" t="s">
        <v>121</v>
      </c>
      <c r="K640" s="484" t="str">
        <f>VLOOKUP(TabListaLojas[[#This Row],[UF]],UF!A:B,2,0)</f>
        <v>Pernambuco</v>
      </c>
      <c r="L640" s="484" t="s">
        <v>125</v>
      </c>
      <c r="M640" s="484" t="s">
        <v>932</v>
      </c>
      <c r="N640" s="484" t="s">
        <v>676</v>
      </c>
      <c r="O640" s="487">
        <v>2795.77</v>
      </c>
    </row>
    <row r="641" spans="2:15" ht="15" customHeight="1">
      <c r="B641" s="483">
        <v>1</v>
      </c>
      <c r="C641" s="484" t="s">
        <v>1819</v>
      </c>
      <c r="D641" s="488" t="s">
        <v>116</v>
      </c>
      <c r="E641" s="488" t="str">
        <f t="shared" si="28"/>
        <v>Open</v>
      </c>
      <c r="F641" s="488">
        <v>40878</v>
      </c>
      <c r="G641" s="488"/>
      <c r="H641" s="484" t="s">
        <v>673</v>
      </c>
      <c r="I641" s="484" t="str">
        <f>VLOOKUP(TabListaLojas[[#This Row],[UF]],UF!A:E,3,0)</f>
        <v>South</v>
      </c>
      <c r="J641" s="484" t="s">
        <v>161</v>
      </c>
      <c r="K641" s="484" t="str">
        <f>VLOOKUP(TabListaLojas[[#This Row],[UF]],UF!A:B,2,0)</f>
        <v>Paraná</v>
      </c>
      <c r="L641" s="484" t="s">
        <v>995</v>
      </c>
      <c r="M641" s="484" t="s">
        <v>1345</v>
      </c>
      <c r="N641" s="484" t="s">
        <v>676</v>
      </c>
      <c r="O641" s="487">
        <v>2534.92</v>
      </c>
    </row>
    <row r="642" spans="2:15" ht="15" customHeight="1">
      <c r="B642" s="483">
        <v>1</v>
      </c>
      <c r="C642" s="484" t="s">
        <v>1820</v>
      </c>
      <c r="D642" s="488" t="s">
        <v>116</v>
      </c>
      <c r="E642" s="488" t="str">
        <f t="shared" si="28"/>
        <v>Open</v>
      </c>
      <c r="F642" s="488">
        <v>40877</v>
      </c>
      <c r="G642" s="488"/>
      <c r="H642" s="484" t="s">
        <v>673</v>
      </c>
      <c r="I642" s="484" t="str">
        <f>VLOOKUP(TabListaLojas[[#This Row],[UF]],UF!A:E,3,0)</f>
        <v>Southest</v>
      </c>
      <c r="J642" s="484" t="s">
        <v>118</v>
      </c>
      <c r="K642" s="484" t="str">
        <f>VLOOKUP(TabListaLojas[[#This Row],[UF]],UF!A:B,2,0)</f>
        <v>São Paulo</v>
      </c>
      <c r="L642" s="484" t="s">
        <v>1110</v>
      </c>
      <c r="M642" s="484" t="s">
        <v>1346</v>
      </c>
      <c r="N642" s="484" t="s">
        <v>676</v>
      </c>
      <c r="O642" s="487">
        <v>3484.37</v>
      </c>
    </row>
    <row r="643" spans="2:15" ht="15" customHeight="1">
      <c r="B643" s="483">
        <v>1</v>
      </c>
      <c r="C643" s="484" t="s">
        <v>1821</v>
      </c>
      <c r="D643" s="488" t="s">
        <v>116</v>
      </c>
      <c r="E643" s="488" t="str">
        <f t="shared" si="28"/>
        <v>Open</v>
      </c>
      <c r="F643" s="488">
        <v>40876</v>
      </c>
      <c r="G643" s="488"/>
      <c r="H643" s="484" t="s">
        <v>673</v>
      </c>
      <c r="I643" s="484" t="str">
        <f>VLOOKUP(TabListaLojas[[#This Row],[UF]],UF!A:E,3,0)</f>
        <v>Southest</v>
      </c>
      <c r="J643" s="484" t="s">
        <v>118</v>
      </c>
      <c r="K643" s="484" t="str">
        <f>VLOOKUP(TabListaLojas[[#This Row],[UF]],UF!A:B,2,0)</f>
        <v>São Paulo</v>
      </c>
      <c r="L643" s="484" t="s">
        <v>124</v>
      </c>
      <c r="M643" s="484" t="s">
        <v>1277</v>
      </c>
      <c r="N643" s="484" t="s">
        <v>676</v>
      </c>
      <c r="O643" s="487">
        <v>2573.17</v>
      </c>
    </row>
    <row r="644" spans="2:15" ht="15" customHeight="1">
      <c r="B644" s="483">
        <v>1</v>
      </c>
      <c r="C644" s="484" t="s">
        <v>1822</v>
      </c>
      <c r="D644" s="488" t="s">
        <v>116</v>
      </c>
      <c r="E644" s="488" t="str">
        <f t="shared" si="28"/>
        <v>Open</v>
      </c>
      <c r="F644" s="488">
        <v>40857</v>
      </c>
      <c r="G644" s="488"/>
      <c r="H644" s="484" t="s">
        <v>673</v>
      </c>
      <c r="I644" s="484" t="str">
        <f>VLOOKUP(TabListaLojas[[#This Row],[UF]],UF!A:E,3,0)</f>
        <v>Southest</v>
      </c>
      <c r="J644" s="484" t="s">
        <v>118</v>
      </c>
      <c r="K644" s="484" t="str">
        <f>VLOOKUP(TabListaLojas[[#This Row],[UF]],UF!A:B,2,0)</f>
        <v>São Paulo</v>
      </c>
      <c r="L644" s="484" t="s">
        <v>1347</v>
      </c>
      <c r="M644" s="484" t="s">
        <v>1348</v>
      </c>
      <c r="N644" s="484" t="s">
        <v>676</v>
      </c>
      <c r="O644" s="487">
        <v>2655.35</v>
      </c>
    </row>
    <row r="645" spans="2:15" ht="15" customHeight="1">
      <c r="B645" s="483">
        <v>1</v>
      </c>
      <c r="C645" s="484" t="s">
        <v>2012</v>
      </c>
      <c r="D645" s="488" t="s">
        <v>126</v>
      </c>
      <c r="E645" s="488" t="str">
        <f t="shared" si="28"/>
        <v>Open</v>
      </c>
      <c r="F645" s="488">
        <v>40856</v>
      </c>
      <c r="G645" s="488"/>
      <c r="H645" s="484" t="s">
        <v>673</v>
      </c>
      <c r="I645" s="484" t="str">
        <f>VLOOKUP(TabListaLojas[[#This Row],[UF]],UF!A:E,3,0)</f>
        <v>Southest</v>
      </c>
      <c r="J645" s="484" t="s">
        <v>118</v>
      </c>
      <c r="K645" s="484" t="str">
        <f>VLOOKUP(TabListaLojas[[#This Row],[UF]],UF!A:B,2,0)</f>
        <v>São Paulo</v>
      </c>
      <c r="L645" s="484" t="s">
        <v>1347</v>
      </c>
      <c r="M645" s="484" t="s">
        <v>1036</v>
      </c>
      <c r="N645" s="484" t="s">
        <v>676</v>
      </c>
      <c r="O645" s="487">
        <v>692.68</v>
      </c>
    </row>
    <row r="646" spans="2:15" ht="15" customHeight="1">
      <c r="B646" s="483">
        <v>1</v>
      </c>
      <c r="C646" s="484" t="s">
        <v>1823</v>
      </c>
      <c r="D646" s="488" t="s">
        <v>116</v>
      </c>
      <c r="E646" s="488" t="str">
        <f t="shared" si="28"/>
        <v>Open</v>
      </c>
      <c r="F646" s="488">
        <v>40856</v>
      </c>
      <c r="G646" s="488"/>
      <c r="H646" s="484" t="s">
        <v>673</v>
      </c>
      <c r="I646" s="484" t="str">
        <f>VLOOKUP(TabListaLojas[[#This Row],[UF]],UF!A:E,3,0)</f>
        <v>Southest</v>
      </c>
      <c r="J646" s="484" t="s">
        <v>118</v>
      </c>
      <c r="K646" s="484" t="str">
        <f>VLOOKUP(TabListaLojas[[#This Row],[UF]],UF!A:B,2,0)</f>
        <v>São Paulo</v>
      </c>
      <c r="L646" s="484" t="s">
        <v>124</v>
      </c>
      <c r="M646" s="484" t="s">
        <v>1349</v>
      </c>
      <c r="N646" s="484" t="s">
        <v>676</v>
      </c>
      <c r="O646" s="487">
        <v>1070.0899999999999</v>
      </c>
    </row>
    <row r="647" spans="2:15" ht="15" customHeight="1">
      <c r="B647" s="483">
        <v>1</v>
      </c>
      <c r="C647" s="484" t="s">
        <v>1824</v>
      </c>
      <c r="D647" s="488" t="s">
        <v>116</v>
      </c>
      <c r="E647" s="488" t="str">
        <f t="shared" si="28"/>
        <v>Open</v>
      </c>
      <c r="F647" s="488">
        <v>40855</v>
      </c>
      <c r="G647" s="488"/>
      <c r="H647" s="484" t="s">
        <v>673</v>
      </c>
      <c r="I647" s="484" t="str">
        <f>VLOOKUP(TabListaLojas[[#This Row],[UF]],UF!A:E,3,0)</f>
        <v>North</v>
      </c>
      <c r="J647" s="484" t="s">
        <v>165</v>
      </c>
      <c r="K647" s="484" t="str">
        <f>VLOOKUP(TabListaLojas[[#This Row],[UF]],UF!A:B,2,0)</f>
        <v>Acre</v>
      </c>
      <c r="L647" s="484" t="s">
        <v>170</v>
      </c>
      <c r="M647" s="484" t="s">
        <v>1350</v>
      </c>
      <c r="N647" s="484" t="s">
        <v>676</v>
      </c>
      <c r="O647" s="487">
        <v>2411.09</v>
      </c>
    </row>
    <row r="648" spans="2:15" ht="15" customHeight="1">
      <c r="B648" s="483">
        <v>1</v>
      </c>
      <c r="C648" s="484" t="s">
        <v>1825</v>
      </c>
      <c r="D648" s="488" t="s">
        <v>116</v>
      </c>
      <c r="E648" s="488" t="str">
        <f t="shared" si="28"/>
        <v>Open</v>
      </c>
      <c r="F648" s="488">
        <v>40851</v>
      </c>
      <c r="G648" s="488"/>
      <c r="H648" s="484" t="s">
        <v>673</v>
      </c>
      <c r="I648" s="484" t="str">
        <f>VLOOKUP(TabListaLojas[[#This Row],[UF]],UF!A:E,3,0)</f>
        <v>Southest</v>
      </c>
      <c r="J648" s="484" t="s">
        <v>118</v>
      </c>
      <c r="K648" s="484" t="str">
        <f>VLOOKUP(TabListaLojas[[#This Row],[UF]],UF!A:B,2,0)</f>
        <v>São Paulo</v>
      </c>
      <c r="L648" s="484" t="s">
        <v>1351</v>
      </c>
      <c r="M648" s="484" t="s">
        <v>1352</v>
      </c>
      <c r="N648" s="484" t="s">
        <v>714</v>
      </c>
      <c r="O648" s="487">
        <v>1662.56</v>
      </c>
    </row>
    <row r="649" spans="2:15" ht="15" customHeight="1">
      <c r="B649" s="483">
        <v>1</v>
      </c>
      <c r="C649" s="484" t="s">
        <v>1826</v>
      </c>
      <c r="D649" s="488" t="s">
        <v>116</v>
      </c>
      <c r="E649" s="488" t="str">
        <f t="shared" si="28"/>
        <v>Open</v>
      </c>
      <c r="F649" s="488">
        <v>40835</v>
      </c>
      <c r="G649" s="488"/>
      <c r="H649" s="484" t="s">
        <v>673</v>
      </c>
      <c r="I649" s="484" t="str">
        <f>VLOOKUP(TabListaLojas[[#This Row],[UF]],UF!A:E,3,0)</f>
        <v>South</v>
      </c>
      <c r="J649" s="484" t="s">
        <v>117</v>
      </c>
      <c r="K649" s="484" t="str">
        <f>VLOOKUP(TabListaLojas[[#This Row],[UF]],UF!A:B,2,0)</f>
        <v>Rio Grande do Sul</v>
      </c>
      <c r="L649" s="484" t="s">
        <v>1353</v>
      </c>
      <c r="M649" s="484" t="s">
        <v>1354</v>
      </c>
      <c r="N649" s="484" t="s">
        <v>714</v>
      </c>
      <c r="O649" s="487">
        <v>1760.77</v>
      </c>
    </row>
    <row r="650" spans="2:15" ht="15" hidden="1" customHeight="1">
      <c r="B650" s="491">
        <v>0</v>
      </c>
      <c r="C650" s="492" t="s">
        <v>2237</v>
      </c>
      <c r="D650" s="493" t="s">
        <v>116</v>
      </c>
      <c r="E650" s="493" t="str">
        <f t="shared" si="28"/>
        <v>Closed</v>
      </c>
      <c r="F650" s="493">
        <v>40829</v>
      </c>
      <c r="G650" s="493">
        <v>43099</v>
      </c>
      <c r="H650" s="492" t="s">
        <v>673</v>
      </c>
      <c r="I650" s="492" t="str">
        <f>VLOOKUP(TabListaLojas[[#This Row],[UF]],UF!A:E,3,0)</f>
        <v>Northest</v>
      </c>
      <c r="J650" s="492" t="s">
        <v>153</v>
      </c>
      <c r="K650" s="492" t="str">
        <f>VLOOKUP(TabListaLojas[[#This Row],[UF]],UF!A:B,2,0)</f>
        <v>Rio Grande do Norte</v>
      </c>
      <c r="L650" s="492" t="s">
        <v>145</v>
      </c>
      <c r="M650" s="492" t="s">
        <v>1559</v>
      </c>
      <c r="N650" s="492" t="s">
        <v>714</v>
      </c>
      <c r="O650" s="495">
        <v>0</v>
      </c>
    </row>
    <row r="651" spans="2:15" ht="15" customHeight="1">
      <c r="B651" s="483">
        <v>1</v>
      </c>
      <c r="C651" s="484" t="s">
        <v>1827</v>
      </c>
      <c r="D651" s="488" t="s">
        <v>116</v>
      </c>
      <c r="E651" s="488" t="str">
        <f t="shared" si="28"/>
        <v>Open</v>
      </c>
      <c r="F651" s="488">
        <v>40821</v>
      </c>
      <c r="G651" s="488"/>
      <c r="H651" s="484" t="s">
        <v>673</v>
      </c>
      <c r="I651" s="484" t="str">
        <f>VLOOKUP(TabListaLojas[[#This Row],[UF]],UF!A:E,3,0)</f>
        <v>South</v>
      </c>
      <c r="J651" s="484" t="s">
        <v>147</v>
      </c>
      <c r="K651" s="484" t="str">
        <f>VLOOKUP(TabListaLojas[[#This Row],[UF]],UF!A:B,2,0)</f>
        <v>Santa Catarina</v>
      </c>
      <c r="L651" s="484" t="s">
        <v>800</v>
      </c>
      <c r="M651" s="484" t="s">
        <v>1355</v>
      </c>
      <c r="N651" s="484" t="s">
        <v>676</v>
      </c>
      <c r="O651" s="487">
        <v>2748</v>
      </c>
    </row>
    <row r="652" spans="2:15" ht="15" customHeight="1">
      <c r="B652" s="483">
        <v>1</v>
      </c>
      <c r="C652" s="484" t="s">
        <v>1828</v>
      </c>
      <c r="D652" s="488" t="s">
        <v>116</v>
      </c>
      <c r="E652" s="488" t="str">
        <f t="shared" si="28"/>
        <v>Open</v>
      </c>
      <c r="F652" s="488">
        <v>40820</v>
      </c>
      <c r="G652" s="488"/>
      <c r="H652" s="484" t="s">
        <v>673</v>
      </c>
      <c r="I652" s="484" t="str">
        <f>VLOOKUP(TabListaLojas[[#This Row],[UF]],UF!A:E,3,0)</f>
        <v>Southest</v>
      </c>
      <c r="J652" s="484" t="s">
        <v>149</v>
      </c>
      <c r="K652" s="484" t="str">
        <f>VLOOKUP(TabListaLojas[[#This Row],[UF]],UF!A:B,2,0)</f>
        <v>Minas Gerais</v>
      </c>
      <c r="L652" s="484" t="s">
        <v>681</v>
      </c>
      <c r="M652" s="484" t="s">
        <v>1001</v>
      </c>
      <c r="N652" s="484" t="s">
        <v>676</v>
      </c>
      <c r="O652" s="487">
        <v>2257.08</v>
      </c>
    </row>
    <row r="653" spans="2:15" ht="15" customHeight="1">
      <c r="B653" s="483">
        <v>1</v>
      </c>
      <c r="C653" s="484" t="s">
        <v>1829</v>
      </c>
      <c r="D653" s="488" t="s">
        <v>116</v>
      </c>
      <c r="E653" s="488" t="str">
        <f t="shared" si="28"/>
        <v>Open</v>
      </c>
      <c r="F653" s="488">
        <v>40802</v>
      </c>
      <c r="G653" s="488"/>
      <c r="H653" s="484" t="s">
        <v>673</v>
      </c>
      <c r="I653" s="484" t="str">
        <f>VLOOKUP(TabListaLojas[[#This Row],[UF]],UF!A:E,3,0)</f>
        <v>Northest</v>
      </c>
      <c r="J653" s="484" t="s">
        <v>120</v>
      </c>
      <c r="K653" s="484" t="str">
        <f>VLOOKUP(TabListaLojas[[#This Row],[UF]],UF!A:B,2,0)</f>
        <v>Bahia</v>
      </c>
      <c r="L653" s="484" t="s">
        <v>1356</v>
      </c>
      <c r="M653" s="484" t="s">
        <v>1357</v>
      </c>
      <c r="N653" s="484" t="s">
        <v>676</v>
      </c>
      <c r="O653" s="487">
        <v>2348.7199999999998</v>
      </c>
    </row>
    <row r="654" spans="2:15" ht="15" customHeight="1">
      <c r="B654" s="483">
        <v>1</v>
      </c>
      <c r="C654" s="484" t="s">
        <v>1830</v>
      </c>
      <c r="D654" s="488" t="s">
        <v>116</v>
      </c>
      <c r="E654" s="488" t="str">
        <f t="shared" si="28"/>
        <v>Open</v>
      </c>
      <c r="F654" s="488">
        <v>40723</v>
      </c>
      <c r="G654" s="488"/>
      <c r="H654" s="484" t="s">
        <v>673</v>
      </c>
      <c r="I654" s="484" t="str">
        <f>VLOOKUP(TabListaLojas[[#This Row],[UF]],UF!A:E,3,0)</f>
        <v>Southest</v>
      </c>
      <c r="J654" s="484" t="s">
        <v>118</v>
      </c>
      <c r="K654" s="484" t="str">
        <f>VLOOKUP(TabListaLojas[[#This Row],[UF]],UF!A:B,2,0)</f>
        <v>São Paulo</v>
      </c>
      <c r="L654" s="484" t="s">
        <v>894</v>
      </c>
      <c r="M654" s="484" t="s">
        <v>1358</v>
      </c>
      <c r="N654" s="484" t="s">
        <v>676</v>
      </c>
      <c r="O654" s="487">
        <v>2874.2000000000003</v>
      </c>
    </row>
    <row r="655" spans="2:15" ht="15" customHeight="1">
      <c r="B655" s="483">
        <v>1</v>
      </c>
      <c r="C655" s="484" t="s">
        <v>1831</v>
      </c>
      <c r="D655" s="488" t="s">
        <v>116</v>
      </c>
      <c r="E655" s="488" t="str">
        <f t="shared" si="28"/>
        <v>Open</v>
      </c>
      <c r="F655" s="488">
        <v>40711</v>
      </c>
      <c r="G655" s="488"/>
      <c r="H655" s="484" t="s">
        <v>673</v>
      </c>
      <c r="I655" s="484" t="str">
        <f>VLOOKUP(TabListaLojas[[#This Row],[UF]],UF!A:E,3,0)</f>
        <v>Southest</v>
      </c>
      <c r="J655" s="484" t="s">
        <v>122</v>
      </c>
      <c r="K655" s="484" t="str">
        <f>VLOOKUP(TabListaLojas[[#This Row],[UF]],UF!A:B,2,0)</f>
        <v>Rio de Janeiro</v>
      </c>
      <c r="L655" s="484" t="s">
        <v>1359</v>
      </c>
      <c r="M655" s="484" t="s">
        <v>1360</v>
      </c>
      <c r="N655" s="484" t="s">
        <v>676</v>
      </c>
      <c r="O655" s="487">
        <v>1957.94</v>
      </c>
    </row>
    <row r="656" spans="2:15" ht="15" customHeight="1">
      <c r="B656" s="483">
        <v>1</v>
      </c>
      <c r="C656" s="484" t="s">
        <v>1832</v>
      </c>
      <c r="D656" s="488" t="s">
        <v>116</v>
      </c>
      <c r="E656" s="488" t="str">
        <f t="shared" si="28"/>
        <v>Open</v>
      </c>
      <c r="F656" s="488">
        <v>40710</v>
      </c>
      <c r="G656" s="488"/>
      <c r="H656" s="484" t="s">
        <v>673</v>
      </c>
      <c r="I656" s="484" t="str">
        <f>VLOOKUP(TabListaLojas[[#This Row],[UF]],UF!A:E,3,0)</f>
        <v>Midwest</v>
      </c>
      <c r="J656" s="484" t="s">
        <v>156</v>
      </c>
      <c r="K656" s="484" t="str">
        <f>VLOOKUP(TabListaLojas[[#This Row],[UF]],UF!A:B,2,0)</f>
        <v>Distrito Federal</v>
      </c>
      <c r="L656" s="484" t="s">
        <v>142</v>
      </c>
      <c r="M656" s="484" t="s">
        <v>1303</v>
      </c>
      <c r="N656" s="484" t="s">
        <v>676</v>
      </c>
      <c r="O656" s="487">
        <v>2625.74</v>
      </c>
    </row>
    <row r="657" spans="2:15" ht="15" customHeight="1">
      <c r="B657" s="483">
        <v>1</v>
      </c>
      <c r="C657" s="484" t="s">
        <v>1833</v>
      </c>
      <c r="D657" s="488" t="s">
        <v>116</v>
      </c>
      <c r="E657" s="488" t="str">
        <f t="shared" si="28"/>
        <v>Open</v>
      </c>
      <c r="F657" s="488">
        <v>40694</v>
      </c>
      <c r="G657" s="488"/>
      <c r="H657" s="484" t="s">
        <v>673</v>
      </c>
      <c r="I657" s="484" t="str">
        <f>VLOOKUP(TabListaLojas[[#This Row],[UF]],UF!A:E,3,0)</f>
        <v>Southest</v>
      </c>
      <c r="J657" s="484" t="s">
        <v>122</v>
      </c>
      <c r="K657" s="484" t="str">
        <f>VLOOKUP(TabListaLojas[[#This Row],[UF]],UF!A:B,2,0)</f>
        <v>Rio de Janeiro</v>
      </c>
      <c r="L657" s="484" t="s">
        <v>1361</v>
      </c>
      <c r="M657" s="484" t="s">
        <v>1362</v>
      </c>
      <c r="N657" s="484" t="s">
        <v>676</v>
      </c>
      <c r="O657" s="487">
        <v>2822.92</v>
      </c>
    </row>
    <row r="658" spans="2:15" ht="15" customHeight="1">
      <c r="B658" s="483">
        <v>1</v>
      </c>
      <c r="C658" s="484" t="s">
        <v>1834</v>
      </c>
      <c r="D658" s="488" t="s">
        <v>116</v>
      </c>
      <c r="E658" s="488" t="str">
        <f t="shared" si="28"/>
        <v>Open</v>
      </c>
      <c r="F658" s="488">
        <v>40694</v>
      </c>
      <c r="G658" s="488"/>
      <c r="H658" s="484" t="s">
        <v>673</v>
      </c>
      <c r="I658" s="484" t="str">
        <f>VLOOKUP(TabListaLojas[[#This Row],[UF]],UF!A:E,3,0)</f>
        <v>Northest</v>
      </c>
      <c r="J658" s="484" t="s">
        <v>163</v>
      </c>
      <c r="K658" s="484" t="str">
        <f>VLOOKUP(TabListaLojas[[#This Row],[UF]],UF!A:B,2,0)</f>
        <v>Sergipe</v>
      </c>
      <c r="L658" s="484" t="s">
        <v>169</v>
      </c>
      <c r="M658" s="484" t="s">
        <v>1363</v>
      </c>
      <c r="N658" s="484" t="s">
        <v>676</v>
      </c>
      <c r="O658" s="487">
        <v>2522.7800000000002</v>
      </c>
    </row>
    <row r="659" spans="2:15" ht="15" customHeight="1">
      <c r="B659" s="483">
        <v>1</v>
      </c>
      <c r="C659" s="484" t="s">
        <v>1835</v>
      </c>
      <c r="D659" s="488" t="s">
        <v>116</v>
      </c>
      <c r="E659" s="488" t="str">
        <f t="shared" si="28"/>
        <v>Open</v>
      </c>
      <c r="F659" s="488">
        <v>40691</v>
      </c>
      <c r="G659" s="488"/>
      <c r="H659" s="484" t="s">
        <v>673</v>
      </c>
      <c r="I659" s="484" t="str">
        <f>VLOOKUP(TabListaLojas[[#This Row],[UF]],UF!A:E,3,0)</f>
        <v>South</v>
      </c>
      <c r="J659" s="484" t="s">
        <v>147</v>
      </c>
      <c r="K659" s="484" t="str">
        <f>VLOOKUP(TabListaLojas[[#This Row],[UF]],UF!A:B,2,0)</f>
        <v>Santa Catarina</v>
      </c>
      <c r="L659" s="484" t="s">
        <v>1009</v>
      </c>
      <c r="M659" s="484" t="s">
        <v>1364</v>
      </c>
      <c r="N659" s="484" t="s">
        <v>676</v>
      </c>
      <c r="O659" s="487">
        <v>2087.85</v>
      </c>
    </row>
    <row r="660" spans="2:15" ht="15" customHeight="1">
      <c r="B660" s="483">
        <v>1</v>
      </c>
      <c r="C660" s="484" t="s">
        <v>1836</v>
      </c>
      <c r="D660" s="488" t="s">
        <v>116</v>
      </c>
      <c r="E660" s="488" t="str">
        <f t="shared" si="28"/>
        <v>Open</v>
      </c>
      <c r="F660" s="488">
        <v>40688</v>
      </c>
      <c r="G660" s="488"/>
      <c r="H660" s="484" t="s">
        <v>673</v>
      </c>
      <c r="I660" s="484" t="str">
        <f>VLOOKUP(TabListaLojas[[#This Row],[UF]],UF!A:E,3,0)</f>
        <v>Midwest</v>
      </c>
      <c r="J660" s="484" t="s">
        <v>160</v>
      </c>
      <c r="K660" s="484" t="str">
        <f>VLOOKUP(TabListaLojas[[#This Row],[UF]],UF!A:B,2,0)</f>
        <v>Mato Grosso do Sul</v>
      </c>
      <c r="L660" s="484" t="s">
        <v>141</v>
      </c>
      <c r="M660" s="484" t="s">
        <v>1365</v>
      </c>
      <c r="N660" s="484" t="s">
        <v>676</v>
      </c>
      <c r="O660" s="487">
        <v>2861.5499999999997</v>
      </c>
    </row>
    <row r="661" spans="2:15" ht="15" customHeight="1">
      <c r="B661" s="483">
        <v>1</v>
      </c>
      <c r="C661" s="484" t="s">
        <v>2011</v>
      </c>
      <c r="D661" s="488" t="s">
        <v>126</v>
      </c>
      <c r="E661" s="488" t="str">
        <f t="shared" ref="E661:E724" si="29">IF(G661="","Open","Closed")</f>
        <v>Open</v>
      </c>
      <c r="F661" s="488">
        <v>40661</v>
      </c>
      <c r="G661" s="488"/>
      <c r="H661" s="484" t="s">
        <v>673</v>
      </c>
      <c r="I661" s="484" t="str">
        <f>VLOOKUP(TabListaLojas[[#This Row],[UF]],UF!A:E,3,0)</f>
        <v>Southest</v>
      </c>
      <c r="J661" s="484" t="s">
        <v>118</v>
      </c>
      <c r="K661" s="484" t="str">
        <f>VLOOKUP(TabListaLojas[[#This Row],[UF]],UF!A:B,2,0)</f>
        <v>São Paulo</v>
      </c>
      <c r="L661" s="484" t="s">
        <v>1110</v>
      </c>
      <c r="M661" s="484" t="s">
        <v>1300</v>
      </c>
      <c r="N661" s="484" t="s">
        <v>676</v>
      </c>
      <c r="O661" s="487">
        <v>530.12</v>
      </c>
    </row>
    <row r="662" spans="2:15" ht="15" customHeight="1">
      <c r="B662" s="483">
        <v>1</v>
      </c>
      <c r="C662" s="484" t="s">
        <v>1837</v>
      </c>
      <c r="D662" s="488" t="s">
        <v>116</v>
      </c>
      <c r="E662" s="488" t="str">
        <f t="shared" si="29"/>
        <v>Open</v>
      </c>
      <c r="F662" s="488">
        <v>40661</v>
      </c>
      <c r="G662" s="488"/>
      <c r="H662" s="484" t="s">
        <v>673</v>
      </c>
      <c r="I662" s="484" t="str">
        <f>VLOOKUP(TabListaLojas[[#This Row],[UF]],UF!A:E,3,0)</f>
        <v>Southest</v>
      </c>
      <c r="J662" s="484" t="s">
        <v>118</v>
      </c>
      <c r="K662" s="484" t="str">
        <f>VLOOKUP(TabListaLojas[[#This Row],[UF]],UF!A:B,2,0)</f>
        <v>São Paulo</v>
      </c>
      <c r="L662" s="484" t="s">
        <v>1063</v>
      </c>
      <c r="M662" s="484" t="s">
        <v>1064</v>
      </c>
      <c r="N662" s="484" t="s">
        <v>676</v>
      </c>
      <c r="O662" s="487">
        <v>2353.75</v>
      </c>
    </row>
    <row r="663" spans="2:15" ht="15" customHeight="1">
      <c r="B663" s="483">
        <v>1</v>
      </c>
      <c r="C663" s="484" t="s">
        <v>1838</v>
      </c>
      <c r="D663" s="488" t="s">
        <v>116</v>
      </c>
      <c r="E663" s="488" t="str">
        <f t="shared" si="29"/>
        <v>Open</v>
      </c>
      <c r="F663" s="488">
        <v>40661</v>
      </c>
      <c r="G663" s="488"/>
      <c r="H663" s="484" t="s">
        <v>673</v>
      </c>
      <c r="I663" s="484" t="str">
        <f>VLOOKUP(TabListaLojas[[#This Row],[UF]],UF!A:E,3,0)</f>
        <v>Southest</v>
      </c>
      <c r="J663" s="484" t="s">
        <v>118</v>
      </c>
      <c r="K663" s="484" t="str">
        <f>VLOOKUP(TabListaLojas[[#This Row],[UF]],UF!A:B,2,0)</f>
        <v>São Paulo</v>
      </c>
      <c r="L663" s="484" t="s">
        <v>1110</v>
      </c>
      <c r="M663" s="484" t="s">
        <v>1300</v>
      </c>
      <c r="N663" s="484" t="s">
        <v>676</v>
      </c>
      <c r="O663" s="487">
        <v>2912.94</v>
      </c>
    </row>
    <row r="664" spans="2:15" ht="15" customHeight="1">
      <c r="B664" s="483">
        <v>1</v>
      </c>
      <c r="C664" s="484" t="s">
        <v>1839</v>
      </c>
      <c r="D664" s="488" t="s">
        <v>116</v>
      </c>
      <c r="E664" s="488" t="str">
        <f t="shared" si="29"/>
        <v>Open</v>
      </c>
      <c r="F664" s="488">
        <v>40527</v>
      </c>
      <c r="G664" s="488"/>
      <c r="H664" s="484" t="s">
        <v>673</v>
      </c>
      <c r="I664" s="484" t="str">
        <f>VLOOKUP(TabListaLojas[[#This Row],[UF]],UF!A:E,3,0)</f>
        <v>Southest</v>
      </c>
      <c r="J664" s="484" t="s">
        <v>118</v>
      </c>
      <c r="K664" s="484" t="str">
        <f>VLOOKUP(TabListaLojas[[#This Row],[UF]],UF!A:B,2,0)</f>
        <v>São Paulo</v>
      </c>
      <c r="L664" s="484" t="s">
        <v>1366</v>
      </c>
      <c r="M664" s="484" t="s">
        <v>1367</v>
      </c>
      <c r="N664" s="484" t="s">
        <v>676</v>
      </c>
      <c r="O664" s="487">
        <v>2130.89</v>
      </c>
    </row>
    <row r="665" spans="2:15" ht="15" customHeight="1">
      <c r="B665" s="483">
        <v>1</v>
      </c>
      <c r="C665" s="484" t="s">
        <v>1840</v>
      </c>
      <c r="D665" s="488" t="s">
        <v>116</v>
      </c>
      <c r="E665" s="488" t="str">
        <f t="shared" si="29"/>
        <v>Open</v>
      </c>
      <c r="F665" s="488">
        <v>40521</v>
      </c>
      <c r="G665" s="488"/>
      <c r="H665" s="484" t="s">
        <v>673</v>
      </c>
      <c r="I665" s="484" t="str">
        <f>VLOOKUP(TabListaLojas[[#This Row],[UF]],UF!A:E,3,0)</f>
        <v>South</v>
      </c>
      <c r="J665" s="484" t="s">
        <v>117</v>
      </c>
      <c r="K665" s="484" t="str">
        <f>VLOOKUP(TabListaLojas[[#This Row],[UF]],UF!A:B,2,0)</f>
        <v>Rio Grande do Sul</v>
      </c>
      <c r="L665" s="484" t="s">
        <v>1071</v>
      </c>
      <c r="M665" s="484" t="s">
        <v>1368</v>
      </c>
      <c r="N665" s="484" t="s">
        <v>676</v>
      </c>
      <c r="O665" s="487">
        <v>1740.85</v>
      </c>
    </row>
    <row r="666" spans="2:15" ht="15" customHeight="1">
      <c r="B666" s="483">
        <v>1</v>
      </c>
      <c r="C666" s="484" t="s">
        <v>1841</v>
      </c>
      <c r="D666" s="488" t="s">
        <v>116</v>
      </c>
      <c r="E666" s="488" t="str">
        <f t="shared" si="29"/>
        <v>Open</v>
      </c>
      <c r="F666" s="488">
        <v>40521</v>
      </c>
      <c r="G666" s="488"/>
      <c r="H666" s="484" t="s">
        <v>673</v>
      </c>
      <c r="I666" s="484" t="str">
        <f>VLOOKUP(TabListaLojas[[#This Row],[UF]],UF!A:E,3,0)</f>
        <v>Southest</v>
      </c>
      <c r="J666" s="484" t="s">
        <v>122</v>
      </c>
      <c r="K666" s="484" t="str">
        <f>VLOOKUP(TabListaLojas[[#This Row],[UF]],UF!A:B,2,0)</f>
        <v>Rio de Janeiro</v>
      </c>
      <c r="L666" s="484" t="s">
        <v>1369</v>
      </c>
      <c r="M666" s="484" t="s">
        <v>1370</v>
      </c>
      <c r="N666" s="484" t="s">
        <v>676</v>
      </c>
      <c r="O666" s="487">
        <v>1887.01</v>
      </c>
    </row>
    <row r="667" spans="2:15" ht="15" customHeight="1">
      <c r="B667" s="483">
        <v>1</v>
      </c>
      <c r="C667" s="484" t="s">
        <v>1842</v>
      </c>
      <c r="D667" s="488" t="s">
        <v>116</v>
      </c>
      <c r="E667" s="488" t="str">
        <f t="shared" si="29"/>
        <v>Open</v>
      </c>
      <c r="F667" s="488">
        <v>40515</v>
      </c>
      <c r="G667" s="488"/>
      <c r="H667" s="484" t="s">
        <v>673</v>
      </c>
      <c r="I667" s="484" t="str">
        <f>VLOOKUP(TabListaLojas[[#This Row],[UF]],UF!A:E,3,0)</f>
        <v>Northest</v>
      </c>
      <c r="J667" s="484" t="s">
        <v>120</v>
      </c>
      <c r="K667" s="484" t="str">
        <f>VLOOKUP(TabListaLojas[[#This Row],[UF]],UF!A:B,2,0)</f>
        <v>Bahia</v>
      </c>
      <c r="L667" s="484" t="s">
        <v>134</v>
      </c>
      <c r="M667" s="484" t="s">
        <v>1106</v>
      </c>
      <c r="N667" s="484" t="s">
        <v>676</v>
      </c>
      <c r="O667" s="487">
        <v>2832.36</v>
      </c>
    </row>
    <row r="668" spans="2:15" ht="15" customHeight="1">
      <c r="B668" s="483">
        <v>1</v>
      </c>
      <c r="C668" s="484" t="s">
        <v>1843</v>
      </c>
      <c r="D668" s="488" t="s">
        <v>116</v>
      </c>
      <c r="E668" s="488" t="str">
        <f t="shared" si="29"/>
        <v>Open</v>
      </c>
      <c r="F668" s="488">
        <v>40506</v>
      </c>
      <c r="G668" s="488"/>
      <c r="H668" s="484" t="s">
        <v>673</v>
      </c>
      <c r="I668" s="484" t="str">
        <f>VLOOKUP(TabListaLojas[[#This Row],[UF]],UF!A:E,3,0)</f>
        <v>Southest</v>
      </c>
      <c r="J668" s="484" t="s">
        <v>118</v>
      </c>
      <c r="K668" s="484" t="str">
        <f>VLOOKUP(TabListaLojas[[#This Row],[UF]],UF!A:B,2,0)</f>
        <v>São Paulo</v>
      </c>
      <c r="L668" s="484" t="s">
        <v>1371</v>
      </c>
      <c r="M668" s="484" t="s">
        <v>1372</v>
      </c>
      <c r="N668" s="484" t="s">
        <v>676</v>
      </c>
      <c r="O668" s="487">
        <v>2257.87</v>
      </c>
    </row>
    <row r="669" spans="2:15" ht="15" customHeight="1">
      <c r="B669" s="483">
        <v>1</v>
      </c>
      <c r="C669" s="484" t="s">
        <v>1844</v>
      </c>
      <c r="D669" s="488" t="s">
        <v>116</v>
      </c>
      <c r="E669" s="488" t="str">
        <f t="shared" si="29"/>
        <v>Open</v>
      </c>
      <c r="F669" s="488">
        <v>40491</v>
      </c>
      <c r="G669" s="488"/>
      <c r="H669" s="484" t="s">
        <v>673</v>
      </c>
      <c r="I669" s="484" t="str">
        <f>VLOOKUP(TabListaLojas[[#This Row],[UF]],UF!A:E,3,0)</f>
        <v>South</v>
      </c>
      <c r="J669" s="484" t="s">
        <v>117</v>
      </c>
      <c r="K669" s="484" t="str">
        <f>VLOOKUP(TabListaLojas[[#This Row],[UF]],UF!A:B,2,0)</f>
        <v>Rio Grande do Sul</v>
      </c>
      <c r="L669" s="484" t="s">
        <v>950</v>
      </c>
      <c r="M669" s="484" t="s">
        <v>1373</v>
      </c>
      <c r="N669" s="484" t="s">
        <v>676</v>
      </c>
      <c r="O669" s="487">
        <v>1996</v>
      </c>
    </row>
    <row r="670" spans="2:15" ht="15" customHeight="1">
      <c r="B670" s="483">
        <v>1</v>
      </c>
      <c r="C670" s="484" t="s">
        <v>1845</v>
      </c>
      <c r="D670" s="488" t="s">
        <v>116</v>
      </c>
      <c r="E670" s="488" t="str">
        <f t="shared" si="29"/>
        <v>Open</v>
      </c>
      <c r="F670" s="488">
        <v>40491</v>
      </c>
      <c r="G670" s="488"/>
      <c r="H670" s="484" t="s">
        <v>673</v>
      </c>
      <c r="I670" s="484" t="str">
        <f>VLOOKUP(TabListaLojas[[#This Row],[UF]],UF!A:E,3,0)</f>
        <v>Northest</v>
      </c>
      <c r="J670" s="484" t="s">
        <v>120</v>
      </c>
      <c r="K670" s="484" t="str">
        <f>VLOOKUP(TabListaLojas[[#This Row],[UF]],UF!A:B,2,0)</f>
        <v>Bahia</v>
      </c>
      <c r="L670" s="484" t="s">
        <v>134</v>
      </c>
      <c r="M670" s="484" t="s">
        <v>1374</v>
      </c>
      <c r="N670" s="484" t="s">
        <v>676</v>
      </c>
      <c r="O670" s="487">
        <v>2772.54</v>
      </c>
    </row>
    <row r="671" spans="2:15" ht="15" customHeight="1">
      <c r="B671" s="483">
        <v>1</v>
      </c>
      <c r="C671" s="484" t="s">
        <v>2010</v>
      </c>
      <c r="D671" s="488" t="s">
        <v>126</v>
      </c>
      <c r="E671" s="488" t="str">
        <f t="shared" si="29"/>
        <v>Open</v>
      </c>
      <c r="F671" s="488">
        <v>40487</v>
      </c>
      <c r="G671" s="488"/>
      <c r="H671" s="484" t="s">
        <v>673</v>
      </c>
      <c r="I671" s="484" t="str">
        <f>VLOOKUP(TabListaLojas[[#This Row],[UF]],UF!A:E,3,0)</f>
        <v>Southest</v>
      </c>
      <c r="J671" s="484" t="s">
        <v>149</v>
      </c>
      <c r="K671" s="484" t="str">
        <f>VLOOKUP(TabListaLojas[[#This Row],[UF]],UF!A:B,2,0)</f>
        <v>Minas Gerais</v>
      </c>
      <c r="L671" s="484" t="s">
        <v>136</v>
      </c>
      <c r="M671" s="484" t="s">
        <v>1375</v>
      </c>
      <c r="N671" s="484" t="s">
        <v>676</v>
      </c>
      <c r="O671" s="487">
        <v>556.13</v>
      </c>
    </row>
    <row r="672" spans="2:15" ht="15" customHeight="1">
      <c r="B672" s="483">
        <v>1</v>
      </c>
      <c r="C672" s="484" t="s">
        <v>1846</v>
      </c>
      <c r="D672" s="488" t="s">
        <v>116</v>
      </c>
      <c r="E672" s="488" t="str">
        <f t="shared" si="29"/>
        <v>Open</v>
      </c>
      <c r="F672" s="488">
        <v>40477</v>
      </c>
      <c r="G672" s="488"/>
      <c r="H672" s="484" t="s">
        <v>673</v>
      </c>
      <c r="I672" s="484" t="str">
        <f>VLOOKUP(TabListaLojas[[#This Row],[UF]],UF!A:E,3,0)</f>
        <v>Southest</v>
      </c>
      <c r="J672" s="484" t="s">
        <v>149</v>
      </c>
      <c r="K672" s="484" t="str">
        <f>VLOOKUP(TabListaLojas[[#This Row],[UF]],UF!A:B,2,0)</f>
        <v>Minas Gerais</v>
      </c>
      <c r="L672" s="484" t="s">
        <v>136</v>
      </c>
      <c r="M672" s="484" t="s">
        <v>1376</v>
      </c>
      <c r="N672" s="484" t="s">
        <v>676</v>
      </c>
      <c r="O672" s="487">
        <v>3113.04</v>
      </c>
    </row>
    <row r="673" spans="2:15" ht="15" customHeight="1">
      <c r="B673" s="483">
        <v>1</v>
      </c>
      <c r="C673" s="484" t="s">
        <v>1847</v>
      </c>
      <c r="D673" s="488" t="s">
        <v>116</v>
      </c>
      <c r="E673" s="488" t="str">
        <f t="shared" si="29"/>
        <v>Open</v>
      </c>
      <c r="F673" s="488">
        <v>40407</v>
      </c>
      <c r="G673" s="488"/>
      <c r="H673" s="484" t="s">
        <v>673</v>
      </c>
      <c r="I673" s="484" t="str">
        <f>VLOOKUP(TabListaLojas[[#This Row],[UF]],UF!A:E,3,0)</f>
        <v>North</v>
      </c>
      <c r="J673" s="484" t="s">
        <v>166</v>
      </c>
      <c r="K673" s="484" t="str">
        <f>VLOOKUP(TabListaLojas[[#This Row],[UF]],UF!A:B,2,0)</f>
        <v>Tocantins</v>
      </c>
      <c r="L673" s="484" t="s">
        <v>177</v>
      </c>
      <c r="M673" s="484" t="s">
        <v>965</v>
      </c>
      <c r="N673" s="484" t="s">
        <v>676</v>
      </c>
      <c r="O673" s="487">
        <v>2590.75</v>
      </c>
    </row>
    <row r="674" spans="2:15" ht="15" customHeight="1">
      <c r="B674" s="483">
        <v>1</v>
      </c>
      <c r="C674" s="484" t="s">
        <v>1848</v>
      </c>
      <c r="D674" s="488" t="s">
        <v>116</v>
      </c>
      <c r="E674" s="488" t="str">
        <f t="shared" si="29"/>
        <v>Open</v>
      </c>
      <c r="F674" s="488">
        <v>40359</v>
      </c>
      <c r="G674" s="488"/>
      <c r="H674" s="484" t="s">
        <v>673</v>
      </c>
      <c r="I674" s="484" t="str">
        <f>VLOOKUP(TabListaLojas[[#This Row],[UF]],UF!A:E,3,0)</f>
        <v>Southest</v>
      </c>
      <c r="J674" s="484" t="s">
        <v>118</v>
      </c>
      <c r="K674" s="484" t="str">
        <f>VLOOKUP(TabListaLojas[[#This Row],[UF]],UF!A:B,2,0)</f>
        <v>São Paulo</v>
      </c>
      <c r="L674" s="484" t="s">
        <v>124</v>
      </c>
      <c r="M674" s="484" t="s">
        <v>1377</v>
      </c>
      <c r="N674" s="484" t="s">
        <v>676</v>
      </c>
      <c r="O674" s="487">
        <v>2663.89</v>
      </c>
    </row>
    <row r="675" spans="2:15" ht="15" customHeight="1">
      <c r="B675" s="483">
        <v>1</v>
      </c>
      <c r="C675" s="484" t="s">
        <v>1849</v>
      </c>
      <c r="D675" s="488" t="s">
        <v>116</v>
      </c>
      <c r="E675" s="488" t="str">
        <f t="shared" si="29"/>
        <v>Open</v>
      </c>
      <c r="F675" s="488">
        <v>40330</v>
      </c>
      <c r="G675" s="488"/>
      <c r="H675" s="484" t="s">
        <v>673</v>
      </c>
      <c r="I675" s="484" t="str">
        <f>VLOOKUP(TabListaLojas[[#This Row],[UF]],UF!A:E,3,0)</f>
        <v>Southest</v>
      </c>
      <c r="J675" s="484" t="s">
        <v>122</v>
      </c>
      <c r="K675" s="484" t="str">
        <f>VLOOKUP(TabListaLojas[[#This Row],[UF]],UF!A:B,2,0)</f>
        <v>Rio de Janeiro</v>
      </c>
      <c r="L675" s="484" t="s">
        <v>128</v>
      </c>
      <c r="M675" s="484" t="s">
        <v>1378</v>
      </c>
      <c r="N675" s="484" t="s">
        <v>676</v>
      </c>
      <c r="O675" s="487">
        <v>3235.01</v>
      </c>
    </row>
    <row r="676" spans="2:15" ht="15" customHeight="1">
      <c r="B676" s="483">
        <v>1</v>
      </c>
      <c r="C676" s="484" t="s">
        <v>1850</v>
      </c>
      <c r="D676" s="488" t="s">
        <v>116</v>
      </c>
      <c r="E676" s="488" t="str">
        <f t="shared" si="29"/>
        <v>Open</v>
      </c>
      <c r="F676" s="488">
        <v>40303</v>
      </c>
      <c r="G676" s="488"/>
      <c r="H676" s="484" t="s">
        <v>673</v>
      </c>
      <c r="I676" s="484" t="str">
        <f>VLOOKUP(TabListaLojas[[#This Row],[UF]],UF!A:E,3,0)</f>
        <v>Southest</v>
      </c>
      <c r="J676" s="484" t="s">
        <v>118</v>
      </c>
      <c r="K676" s="484" t="str">
        <f>VLOOKUP(TabListaLojas[[#This Row],[UF]],UF!A:B,2,0)</f>
        <v>São Paulo</v>
      </c>
      <c r="L676" s="484" t="s">
        <v>124</v>
      </c>
      <c r="M676" s="484" t="s">
        <v>1379</v>
      </c>
      <c r="N676" s="484" t="s">
        <v>714</v>
      </c>
      <c r="O676" s="487">
        <v>4021.33</v>
      </c>
    </row>
    <row r="677" spans="2:15" ht="15" customHeight="1">
      <c r="B677" s="483">
        <v>1</v>
      </c>
      <c r="C677" s="484" t="s">
        <v>1851</v>
      </c>
      <c r="D677" s="488" t="s">
        <v>116</v>
      </c>
      <c r="E677" s="488" t="str">
        <f t="shared" si="29"/>
        <v>Open</v>
      </c>
      <c r="F677" s="488">
        <v>40292</v>
      </c>
      <c r="G677" s="488"/>
      <c r="H677" s="484" t="s">
        <v>673</v>
      </c>
      <c r="I677" s="484" t="str">
        <f>VLOOKUP(TabListaLojas[[#This Row],[UF]],UF!A:E,3,0)</f>
        <v>South</v>
      </c>
      <c r="J677" s="484" t="s">
        <v>147</v>
      </c>
      <c r="K677" s="484" t="str">
        <f>VLOOKUP(TabListaLojas[[#This Row],[UF]],UF!A:B,2,0)</f>
        <v>Santa Catarina</v>
      </c>
      <c r="L677" s="484" t="s">
        <v>1013</v>
      </c>
      <c r="M677" s="484" t="s">
        <v>1014</v>
      </c>
      <c r="N677" s="484" t="s">
        <v>676</v>
      </c>
      <c r="O677" s="487">
        <v>3051.3999999999996</v>
      </c>
    </row>
    <row r="678" spans="2:15" ht="15" customHeight="1">
      <c r="B678" s="483">
        <v>1</v>
      </c>
      <c r="C678" s="484" t="s">
        <v>1852</v>
      </c>
      <c r="D678" s="488" t="s">
        <v>116</v>
      </c>
      <c r="E678" s="488" t="str">
        <f t="shared" si="29"/>
        <v>Open</v>
      </c>
      <c r="F678" s="488">
        <v>40268</v>
      </c>
      <c r="G678" s="488"/>
      <c r="H678" s="484" t="s">
        <v>673</v>
      </c>
      <c r="I678" s="484" t="str">
        <f>VLOOKUP(TabListaLojas[[#This Row],[UF]],UF!A:E,3,0)</f>
        <v>Northest</v>
      </c>
      <c r="J678" s="484" t="s">
        <v>159</v>
      </c>
      <c r="K678" s="484" t="str">
        <f>VLOOKUP(TabListaLojas[[#This Row],[UF]],UF!A:B,2,0)</f>
        <v>Alagoas</v>
      </c>
      <c r="L678" s="484" t="s">
        <v>144</v>
      </c>
      <c r="M678" s="484" t="s">
        <v>1087</v>
      </c>
      <c r="N678" s="484" t="s">
        <v>676</v>
      </c>
      <c r="O678" s="487">
        <v>3669.84</v>
      </c>
    </row>
    <row r="679" spans="2:15" ht="15" customHeight="1">
      <c r="B679" s="483">
        <v>1</v>
      </c>
      <c r="C679" s="484" t="s">
        <v>1853</v>
      </c>
      <c r="D679" s="488" t="s">
        <v>116</v>
      </c>
      <c r="E679" s="488" t="str">
        <f t="shared" si="29"/>
        <v>Open</v>
      </c>
      <c r="F679" s="488">
        <v>40143</v>
      </c>
      <c r="G679" s="488"/>
      <c r="H679" s="484" t="s">
        <v>673</v>
      </c>
      <c r="I679" s="484" t="str">
        <f>VLOOKUP(TabListaLojas[[#This Row],[UF]],UF!A:E,3,0)</f>
        <v>South</v>
      </c>
      <c r="J679" s="484" t="s">
        <v>117</v>
      </c>
      <c r="K679" s="484" t="str">
        <f>VLOOKUP(TabListaLojas[[#This Row],[UF]],UF!A:B,2,0)</f>
        <v>Rio Grande do Sul</v>
      </c>
      <c r="L679" s="484" t="s">
        <v>129</v>
      </c>
      <c r="M679" s="484" t="s">
        <v>1380</v>
      </c>
      <c r="N679" s="484" t="s">
        <v>676</v>
      </c>
      <c r="O679" s="487">
        <v>3097.42</v>
      </c>
    </row>
    <row r="680" spans="2:15" ht="15" hidden="1" customHeight="1">
      <c r="B680" s="491">
        <v>0</v>
      </c>
      <c r="C680" s="492" t="s">
        <v>2009</v>
      </c>
      <c r="D680" s="493" t="s">
        <v>126</v>
      </c>
      <c r="E680" s="493" t="str">
        <f t="shared" si="29"/>
        <v>Closed</v>
      </c>
      <c r="F680" s="493">
        <v>40142</v>
      </c>
      <c r="G680" s="493">
        <v>44935</v>
      </c>
      <c r="H680" s="492" t="s">
        <v>673</v>
      </c>
      <c r="I680" s="492" t="str">
        <f>VLOOKUP(TabListaLojas[[#This Row],[UF]],UF!A:E,3,0)</f>
        <v>Southest</v>
      </c>
      <c r="J680" s="492" t="s">
        <v>118</v>
      </c>
      <c r="K680" s="492" t="str">
        <f>VLOOKUP(TabListaLojas[[#This Row],[UF]],UF!A:B,2,0)</f>
        <v>São Paulo</v>
      </c>
      <c r="L680" s="492" t="s">
        <v>124</v>
      </c>
      <c r="M680" s="492" t="s">
        <v>1560</v>
      </c>
      <c r="N680" s="492" t="s">
        <v>676</v>
      </c>
      <c r="O680" s="495">
        <v>0</v>
      </c>
    </row>
    <row r="681" spans="2:15" ht="15" customHeight="1">
      <c r="B681" s="483">
        <v>1</v>
      </c>
      <c r="C681" s="484" t="s">
        <v>1854</v>
      </c>
      <c r="D681" s="488" t="s">
        <v>116</v>
      </c>
      <c r="E681" s="488" t="str">
        <f t="shared" si="29"/>
        <v>Open</v>
      </c>
      <c r="F681" s="488">
        <v>40134</v>
      </c>
      <c r="G681" s="488"/>
      <c r="H681" s="484" t="s">
        <v>673</v>
      </c>
      <c r="I681" s="484" t="str">
        <f>VLOOKUP(TabListaLojas[[#This Row],[UF]],UF!A:E,3,0)</f>
        <v>North</v>
      </c>
      <c r="J681" s="484" t="s">
        <v>150</v>
      </c>
      <c r="K681" s="484" t="str">
        <f>VLOOKUP(TabListaLojas[[#This Row],[UF]],UF!A:B,2,0)</f>
        <v>Pará</v>
      </c>
      <c r="L681" s="484" t="s">
        <v>131</v>
      </c>
      <c r="M681" s="484" t="s">
        <v>1381</v>
      </c>
      <c r="N681" s="484" t="s">
        <v>676</v>
      </c>
      <c r="O681" s="487">
        <v>2707.13</v>
      </c>
    </row>
    <row r="682" spans="2:15" ht="15" customHeight="1">
      <c r="B682" s="483">
        <v>1</v>
      </c>
      <c r="C682" s="484" t="s">
        <v>2008</v>
      </c>
      <c r="D682" s="488" t="s">
        <v>126</v>
      </c>
      <c r="E682" s="488" t="str">
        <f t="shared" si="29"/>
        <v>Open</v>
      </c>
      <c r="F682" s="488">
        <v>40114</v>
      </c>
      <c r="G682" s="488"/>
      <c r="H682" s="484" t="s">
        <v>673</v>
      </c>
      <c r="I682" s="484" t="str">
        <f>VLOOKUP(TabListaLojas[[#This Row],[UF]],UF!A:E,3,0)</f>
        <v>Midwest</v>
      </c>
      <c r="J682" s="484" t="s">
        <v>156</v>
      </c>
      <c r="K682" s="484" t="str">
        <f>VLOOKUP(TabListaLojas[[#This Row],[UF]],UF!A:B,2,0)</f>
        <v>Distrito Federal</v>
      </c>
      <c r="L682" s="484" t="s">
        <v>142</v>
      </c>
      <c r="M682" s="484" t="s">
        <v>1382</v>
      </c>
      <c r="N682" s="484" t="s">
        <v>676</v>
      </c>
      <c r="O682" s="487">
        <v>590.21</v>
      </c>
    </row>
    <row r="683" spans="2:15" ht="15" customHeight="1">
      <c r="B683" s="483">
        <v>1</v>
      </c>
      <c r="C683" s="484" t="s">
        <v>2007</v>
      </c>
      <c r="D683" s="488" t="s">
        <v>126</v>
      </c>
      <c r="E683" s="488" t="str">
        <f t="shared" si="29"/>
        <v>Open</v>
      </c>
      <c r="F683" s="488">
        <v>40103</v>
      </c>
      <c r="G683" s="488"/>
      <c r="H683" s="484" t="s">
        <v>673</v>
      </c>
      <c r="I683" s="484" t="str">
        <f>VLOOKUP(TabListaLojas[[#This Row],[UF]],UF!A:E,3,0)</f>
        <v>Midwest</v>
      </c>
      <c r="J683" s="484" t="s">
        <v>123</v>
      </c>
      <c r="K683" s="484" t="str">
        <f>VLOOKUP(TabListaLojas[[#This Row],[UF]],UF!A:B,2,0)</f>
        <v>Goiás</v>
      </c>
      <c r="L683" s="484" t="s">
        <v>140</v>
      </c>
      <c r="M683" s="484" t="s">
        <v>1383</v>
      </c>
      <c r="N683" s="484" t="s">
        <v>676</v>
      </c>
      <c r="O683" s="487">
        <v>545</v>
      </c>
    </row>
    <row r="684" spans="2:15" ht="15" customHeight="1">
      <c r="B684" s="483">
        <v>1</v>
      </c>
      <c r="C684" s="484" t="s">
        <v>1855</v>
      </c>
      <c r="D684" s="488" t="s">
        <v>116</v>
      </c>
      <c r="E684" s="488" t="str">
        <f t="shared" si="29"/>
        <v>Open</v>
      </c>
      <c r="F684" s="488">
        <v>40094</v>
      </c>
      <c r="G684" s="488"/>
      <c r="H684" s="484" t="s">
        <v>673</v>
      </c>
      <c r="I684" s="484" t="str">
        <f>VLOOKUP(TabListaLojas[[#This Row],[UF]],UF!A:E,3,0)</f>
        <v>Southest</v>
      </c>
      <c r="J684" s="484" t="s">
        <v>118</v>
      </c>
      <c r="K684" s="484" t="str">
        <f>VLOOKUP(TabListaLojas[[#This Row],[UF]],UF!A:B,2,0)</f>
        <v>São Paulo</v>
      </c>
      <c r="L684" s="484" t="s">
        <v>1164</v>
      </c>
      <c r="M684" s="484" t="s">
        <v>1384</v>
      </c>
      <c r="N684" s="484" t="s">
        <v>676</v>
      </c>
      <c r="O684" s="487">
        <v>3940.2200000000003</v>
      </c>
    </row>
    <row r="685" spans="2:15" ht="15" customHeight="1">
      <c r="B685" s="483">
        <v>1</v>
      </c>
      <c r="C685" s="484" t="s">
        <v>1856</v>
      </c>
      <c r="D685" s="488" t="s">
        <v>116</v>
      </c>
      <c r="E685" s="488" t="str">
        <f t="shared" si="29"/>
        <v>Open</v>
      </c>
      <c r="F685" s="488">
        <v>40087</v>
      </c>
      <c r="G685" s="488"/>
      <c r="H685" s="484" t="s">
        <v>673</v>
      </c>
      <c r="I685" s="484" t="str">
        <f>VLOOKUP(TabListaLojas[[#This Row],[UF]],UF!A:E,3,0)</f>
        <v>Southest</v>
      </c>
      <c r="J685" s="484" t="s">
        <v>118</v>
      </c>
      <c r="K685" s="484" t="str">
        <f>VLOOKUP(TabListaLojas[[#This Row],[UF]],UF!A:B,2,0)</f>
        <v>São Paulo</v>
      </c>
      <c r="L685" s="484" t="s">
        <v>1017</v>
      </c>
      <c r="M685" s="484" t="s">
        <v>1385</v>
      </c>
      <c r="N685" s="484" t="s">
        <v>676</v>
      </c>
      <c r="O685" s="487">
        <v>2652.66</v>
      </c>
    </row>
    <row r="686" spans="2:15" ht="15" customHeight="1">
      <c r="B686" s="483">
        <v>1</v>
      </c>
      <c r="C686" s="484" t="s">
        <v>1857</v>
      </c>
      <c r="D686" s="488" t="s">
        <v>116</v>
      </c>
      <c r="E686" s="488" t="str">
        <f t="shared" si="29"/>
        <v>Open</v>
      </c>
      <c r="F686" s="488">
        <v>40073</v>
      </c>
      <c r="G686" s="488"/>
      <c r="H686" s="484" t="s">
        <v>673</v>
      </c>
      <c r="I686" s="484" t="str">
        <f>VLOOKUP(TabListaLojas[[#This Row],[UF]],UF!A:E,3,0)</f>
        <v>South</v>
      </c>
      <c r="J686" s="484" t="s">
        <v>117</v>
      </c>
      <c r="K686" s="484" t="str">
        <f>VLOOKUP(TabListaLojas[[#This Row],[UF]],UF!A:B,2,0)</f>
        <v>Rio Grande do Sul</v>
      </c>
      <c r="L686" s="484" t="s">
        <v>792</v>
      </c>
      <c r="M686" s="484" t="s">
        <v>1386</v>
      </c>
      <c r="N686" s="484" t="s">
        <v>676</v>
      </c>
      <c r="O686" s="487">
        <v>3539</v>
      </c>
    </row>
    <row r="687" spans="2:15" ht="15" customHeight="1">
      <c r="B687" s="483">
        <v>1</v>
      </c>
      <c r="C687" s="484" t="s">
        <v>1858</v>
      </c>
      <c r="D687" s="488" t="s">
        <v>116</v>
      </c>
      <c r="E687" s="488" t="str">
        <f t="shared" si="29"/>
        <v>Open</v>
      </c>
      <c r="F687" s="488">
        <v>39989</v>
      </c>
      <c r="G687" s="488"/>
      <c r="H687" s="484" t="s">
        <v>673</v>
      </c>
      <c r="I687" s="484" t="str">
        <f>VLOOKUP(TabListaLojas[[#This Row],[UF]],UF!A:E,3,0)</f>
        <v>Midwest</v>
      </c>
      <c r="J687" s="484" t="s">
        <v>156</v>
      </c>
      <c r="K687" s="484" t="str">
        <f>VLOOKUP(TabListaLojas[[#This Row],[UF]],UF!A:B,2,0)</f>
        <v>Distrito Federal</v>
      </c>
      <c r="L687" s="484" t="s">
        <v>142</v>
      </c>
      <c r="M687" s="484" t="s">
        <v>1387</v>
      </c>
      <c r="N687" s="484" t="s">
        <v>676</v>
      </c>
      <c r="O687" s="487">
        <v>2387.75</v>
      </c>
    </row>
    <row r="688" spans="2:15" ht="15" hidden="1" customHeight="1">
      <c r="B688" s="491">
        <v>0</v>
      </c>
      <c r="C688" s="492" t="s">
        <v>2006</v>
      </c>
      <c r="D688" s="493" t="s">
        <v>126</v>
      </c>
      <c r="E688" s="493" t="str">
        <f t="shared" si="29"/>
        <v>Closed</v>
      </c>
      <c r="F688" s="493">
        <v>39970</v>
      </c>
      <c r="G688" s="493">
        <v>45159</v>
      </c>
      <c r="H688" s="492" t="s">
        <v>673</v>
      </c>
      <c r="I688" s="492" t="str">
        <f>VLOOKUP(TabListaLojas[[#This Row],[UF]],UF!A:E,3,0)</f>
        <v>Southest</v>
      </c>
      <c r="J688" s="492" t="s">
        <v>122</v>
      </c>
      <c r="K688" s="492" t="str">
        <f>VLOOKUP(TabListaLojas[[#This Row],[UF]],UF!A:B,2,0)</f>
        <v>Rio de Janeiro</v>
      </c>
      <c r="L688" s="492" t="s">
        <v>128</v>
      </c>
      <c r="M688" s="492" t="s">
        <v>1561</v>
      </c>
      <c r="N688" s="492" t="s">
        <v>676</v>
      </c>
      <c r="O688" s="495">
        <v>0</v>
      </c>
    </row>
    <row r="689" spans="1:15" ht="15" customHeight="1">
      <c r="B689" s="483">
        <v>1</v>
      </c>
      <c r="C689" s="484" t="s">
        <v>1859</v>
      </c>
      <c r="D689" s="488" t="s">
        <v>116</v>
      </c>
      <c r="E689" s="488" t="str">
        <f t="shared" si="29"/>
        <v>Open</v>
      </c>
      <c r="F689" s="488">
        <v>39933</v>
      </c>
      <c r="G689" s="488"/>
      <c r="H689" s="484" t="s">
        <v>673</v>
      </c>
      <c r="I689" s="484" t="str">
        <f>VLOOKUP(TabListaLojas[[#This Row],[UF]],UF!A:E,3,0)</f>
        <v>Southest</v>
      </c>
      <c r="J689" s="484" t="s">
        <v>118</v>
      </c>
      <c r="K689" s="484" t="str">
        <f>VLOOKUP(TabListaLojas[[#This Row],[UF]],UF!A:B,2,0)</f>
        <v>São Paulo</v>
      </c>
      <c r="L689" s="484" t="s">
        <v>761</v>
      </c>
      <c r="M689" s="484" t="s">
        <v>1388</v>
      </c>
      <c r="N689" s="484" t="s">
        <v>676</v>
      </c>
      <c r="O689" s="487">
        <v>2958.5</v>
      </c>
    </row>
    <row r="690" spans="1:15" ht="15" customHeight="1">
      <c r="B690" s="483">
        <v>1</v>
      </c>
      <c r="C690" s="484" t="s">
        <v>1860</v>
      </c>
      <c r="D690" s="488" t="s">
        <v>116</v>
      </c>
      <c r="E690" s="488" t="str">
        <f t="shared" si="29"/>
        <v>Open</v>
      </c>
      <c r="F690" s="488">
        <v>39933</v>
      </c>
      <c r="G690" s="488"/>
      <c r="H690" s="484" t="s">
        <v>673</v>
      </c>
      <c r="I690" s="484" t="str">
        <f>VLOOKUP(TabListaLojas[[#This Row],[UF]],UF!A:E,3,0)</f>
        <v>Midwest</v>
      </c>
      <c r="J690" s="484" t="s">
        <v>123</v>
      </c>
      <c r="K690" s="484" t="str">
        <f>VLOOKUP(TabListaLojas[[#This Row],[UF]],UF!A:B,2,0)</f>
        <v>Goiás</v>
      </c>
      <c r="L690" s="484" t="s">
        <v>140</v>
      </c>
      <c r="M690" s="484" t="s">
        <v>1042</v>
      </c>
      <c r="N690" s="484" t="s">
        <v>676</v>
      </c>
      <c r="O690" s="487">
        <v>2302.48</v>
      </c>
    </row>
    <row r="691" spans="1:15" ht="15" customHeight="1">
      <c r="B691" s="483">
        <v>1</v>
      </c>
      <c r="C691" s="484" t="s">
        <v>1861</v>
      </c>
      <c r="D691" s="488" t="s">
        <v>116</v>
      </c>
      <c r="E691" s="488" t="str">
        <f t="shared" si="29"/>
        <v>Open</v>
      </c>
      <c r="F691" s="488">
        <v>39928</v>
      </c>
      <c r="G691" s="488"/>
      <c r="H691" s="484" t="s">
        <v>673</v>
      </c>
      <c r="I691" s="484" t="str">
        <f>VLOOKUP(TabListaLojas[[#This Row],[UF]],UF!A:E,3,0)</f>
        <v>Northest</v>
      </c>
      <c r="J691" s="484" t="s">
        <v>153</v>
      </c>
      <c r="K691" s="484" t="str">
        <f>VLOOKUP(TabListaLojas[[#This Row],[UF]],UF!A:B,2,0)</f>
        <v>Rio Grande do Norte</v>
      </c>
      <c r="L691" s="484" t="s">
        <v>145</v>
      </c>
      <c r="M691" s="484" t="s">
        <v>824</v>
      </c>
      <c r="N691" s="484" t="s">
        <v>676</v>
      </c>
      <c r="O691" s="487">
        <v>2848.1099999999997</v>
      </c>
    </row>
    <row r="692" spans="1:15" ht="15" customHeight="1">
      <c r="B692" s="483">
        <v>1</v>
      </c>
      <c r="C692" s="484" t="s">
        <v>1862</v>
      </c>
      <c r="D692" s="488" t="s">
        <v>116</v>
      </c>
      <c r="E692" s="488" t="str">
        <f t="shared" si="29"/>
        <v>Open</v>
      </c>
      <c r="F692" s="488">
        <v>39910</v>
      </c>
      <c r="G692" s="488"/>
      <c r="H692" s="484" t="s">
        <v>673</v>
      </c>
      <c r="I692" s="484" t="str">
        <f>VLOOKUP(TabListaLojas[[#This Row],[UF]],UF!A:E,3,0)</f>
        <v>North</v>
      </c>
      <c r="J692" s="484" t="s">
        <v>157</v>
      </c>
      <c r="K692" s="484" t="str">
        <f>VLOOKUP(TabListaLojas[[#This Row],[UF]],UF!A:B,2,0)</f>
        <v>Amazonas</v>
      </c>
      <c r="L692" s="484" t="s">
        <v>138</v>
      </c>
      <c r="M692" s="484" t="s">
        <v>1389</v>
      </c>
      <c r="N692" s="484" t="s">
        <v>676</v>
      </c>
      <c r="O692" s="487">
        <v>2909.12</v>
      </c>
    </row>
    <row r="693" spans="1:15" ht="15" customHeight="1">
      <c r="A693" s="173"/>
      <c r="B693" s="483">
        <v>1</v>
      </c>
      <c r="C693" s="484" t="s">
        <v>1863</v>
      </c>
      <c r="D693" s="488" t="s">
        <v>116</v>
      </c>
      <c r="E693" s="488" t="str">
        <f t="shared" si="29"/>
        <v>Open</v>
      </c>
      <c r="F693" s="488">
        <v>39777</v>
      </c>
      <c r="G693" s="488"/>
      <c r="H693" s="484" t="s">
        <v>673</v>
      </c>
      <c r="I693" s="484" t="str">
        <f>VLOOKUP(TabListaLojas[[#This Row],[UF]],UF!A:E,3,0)</f>
        <v>Southest</v>
      </c>
      <c r="J693" s="484" t="s">
        <v>152</v>
      </c>
      <c r="K693" s="484" t="str">
        <f>VLOOKUP(TabListaLojas[[#This Row],[UF]],UF!A:B,2,0)</f>
        <v>Espírito Santo</v>
      </c>
      <c r="L693" s="484" t="s">
        <v>836</v>
      </c>
      <c r="M693" s="484" t="s">
        <v>1390</v>
      </c>
      <c r="N693" s="484" t="s">
        <v>676</v>
      </c>
      <c r="O693" s="487">
        <v>2123.56</v>
      </c>
    </row>
    <row r="694" spans="1:15" ht="15" customHeight="1">
      <c r="A694" s="173"/>
      <c r="B694" s="483">
        <v>1</v>
      </c>
      <c r="C694" s="484" t="s">
        <v>1864</v>
      </c>
      <c r="D694" s="488" t="s">
        <v>116</v>
      </c>
      <c r="E694" s="488" t="str">
        <f t="shared" si="29"/>
        <v>Open</v>
      </c>
      <c r="F694" s="488">
        <v>39772</v>
      </c>
      <c r="G694" s="488"/>
      <c r="H694" s="484" t="s">
        <v>673</v>
      </c>
      <c r="I694" s="484" t="str">
        <f>VLOOKUP(TabListaLojas[[#This Row],[UF]],UF!A:E,3,0)</f>
        <v>Midwest</v>
      </c>
      <c r="J694" s="484" t="s">
        <v>123</v>
      </c>
      <c r="K694" s="484" t="str">
        <f>VLOOKUP(TabListaLojas[[#This Row],[UF]],UF!A:B,2,0)</f>
        <v>Goiás</v>
      </c>
      <c r="L694" s="484" t="s">
        <v>1391</v>
      </c>
      <c r="M694" s="484" t="s">
        <v>1392</v>
      </c>
      <c r="N694" s="484" t="s">
        <v>676</v>
      </c>
      <c r="O694" s="487">
        <v>2399.37</v>
      </c>
    </row>
    <row r="695" spans="1:15" ht="15" customHeight="1">
      <c r="A695" s="173"/>
      <c r="B695" s="483">
        <v>1</v>
      </c>
      <c r="C695" s="484" t="s">
        <v>2005</v>
      </c>
      <c r="D695" s="488" t="s">
        <v>126</v>
      </c>
      <c r="E695" s="488" t="str">
        <f t="shared" si="29"/>
        <v>Open</v>
      </c>
      <c r="F695" s="488">
        <v>39770</v>
      </c>
      <c r="G695" s="488"/>
      <c r="H695" s="484" t="s">
        <v>673</v>
      </c>
      <c r="I695" s="484" t="str">
        <f>VLOOKUP(TabListaLojas[[#This Row],[UF]],UF!A:E,3,0)</f>
        <v>South</v>
      </c>
      <c r="J695" s="484" t="s">
        <v>117</v>
      </c>
      <c r="K695" s="484" t="str">
        <f>VLOOKUP(TabListaLojas[[#This Row],[UF]],UF!A:B,2,0)</f>
        <v>Rio Grande do Sul</v>
      </c>
      <c r="L695" s="484" t="s">
        <v>129</v>
      </c>
      <c r="M695" s="484" t="s">
        <v>933</v>
      </c>
      <c r="N695" s="484" t="s">
        <v>676</v>
      </c>
      <c r="O695" s="487">
        <v>953.85</v>
      </c>
    </row>
    <row r="696" spans="1:15" ht="15" customHeight="1">
      <c r="A696" s="173"/>
      <c r="B696" s="483">
        <v>1</v>
      </c>
      <c r="C696" s="484" t="s">
        <v>1865</v>
      </c>
      <c r="D696" s="488" t="s">
        <v>116</v>
      </c>
      <c r="E696" s="488" t="str">
        <f t="shared" si="29"/>
        <v>Open</v>
      </c>
      <c r="F696" s="488">
        <v>39770</v>
      </c>
      <c r="G696" s="488"/>
      <c r="H696" s="484" t="s">
        <v>673</v>
      </c>
      <c r="I696" s="484" t="str">
        <f>VLOOKUP(TabListaLojas[[#This Row],[UF]],UF!A:E,3,0)</f>
        <v>South</v>
      </c>
      <c r="J696" s="484" t="s">
        <v>117</v>
      </c>
      <c r="K696" s="484" t="str">
        <f>VLOOKUP(TabListaLojas[[#This Row],[UF]],UF!A:B,2,0)</f>
        <v>Rio Grande do Sul</v>
      </c>
      <c r="L696" s="484" t="s">
        <v>129</v>
      </c>
      <c r="M696" s="484" t="s">
        <v>933</v>
      </c>
      <c r="N696" s="484" t="s">
        <v>676</v>
      </c>
      <c r="O696" s="487">
        <v>4699.75</v>
      </c>
    </row>
    <row r="697" spans="1:15" ht="15" customHeight="1">
      <c r="A697" s="173"/>
      <c r="B697" s="483">
        <v>1</v>
      </c>
      <c r="C697" s="484" t="s">
        <v>2004</v>
      </c>
      <c r="D697" s="488" t="s">
        <v>126</v>
      </c>
      <c r="E697" s="488" t="str">
        <f t="shared" si="29"/>
        <v>Open</v>
      </c>
      <c r="F697" s="488">
        <v>39764</v>
      </c>
      <c r="G697" s="488"/>
      <c r="H697" s="484" t="s">
        <v>673</v>
      </c>
      <c r="I697" s="484" t="str">
        <f>VLOOKUP(TabListaLojas[[#This Row],[UF]],UF!A:E,3,0)</f>
        <v>South</v>
      </c>
      <c r="J697" s="484" t="s">
        <v>161</v>
      </c>
      <c r="K697" s="484" t="str">
        <f>VLOOKUP(TabListaLojas[[#This Row],[UF]],UF!A:B,2,0)</f>
        <v>Paraná</v>
      </c>
      <c r="L697" s="484" t="s">
        <v>787</v>
      </c>
      <c r="M697" s="484" t="s">
        <v>1393</v>
      </c>
      <c r="N697" s="484" t="s">
        <v>676</v>
      </c>
      <c r="O697" s="487">
        <v>571.25</v>
      </c>
    </row>
    <row r="698" spans="1:15" ht="15" customHeight="1">
      <c r="B698" s="483">
        <v>1</v>
      </c>
      <c r="C698" s="484" t="s">
        <v>1866</v>
      </c>
      <c r="D698" s="488" t="s">
        <v>116</v>
      </c>
      <c r="E698" s="488" t="str">
        <f t="shared" si="29"/>
        <v>Open</v>
      </c>
      <c r="F698" s="488">
        <v>39763</v>
      </c>
      <c r="G698" s="488"/>
      <c r="H698" s="484" t="s">
        <v>673</v>
      </c>
      <c r="I698" s="484" t="str">
        <f>VLOOKUP(TabListaLojas[[#This Row],[UF]],UF!A:E,3,0)</f>
        <v>Southest</v>
      </c>
      <c r="J698" s="484" t="s">
        <v>122</v>
      </c>
      <c r="K698" s="484" t="str">
        <f>VLOOKUP(TabListaLojas[[#This Row],[UF]],UF!A:B,2,0)</f>
        <v>Rio de Janeiro</v>
      </c>
      <c r="L698" s="484" t="s">
        <v>1394</v>
      </c>
      <c r="M698" s="484" t="s">
        <v>1395</v>
      </c>
      <c r="N698" s="484" t="s">
        <v>676</v>
      </c>
      <c r="O698" s="487">
        <v>2833.7999999999997</v>
      </c>
    </row>
    <row r="699" spans="1:15" ht="15" customHeight="1">
      <c r="A699" s="173"/>
      <c r="B699" s="483">
        <v>1</v>
      </c>
      <c r="C699" s="484" t="s">
        <v>1867</v>
      </c>
      <c r="D699" s="488" t="s">
        <v>116</v>
      </c>
      <c r="E699" s="488" t="str">
        <f t="shared" si="29"/>
        <v>Open</v>
      </c>
      <c r="F699" s="488">
        <v>39751</v>
      </c>
      <c r="G699" s="488"/>
      <c r="H699" s="484" t="s">
        <v>673</v>
      </c>
      <c r="I699" s="484" t="str">
        <f>VLOOKUP(TabListaLojas[[#This Row],[UF]],UF!A:E,3,0)</f>
        <v>North</v>
      </c>
      <c r="J699" s="484" t="s">
        <v>164</v>
      </c>
      <c r="K699" s="484" t="str">
        <f>VLOOKUP(TabListaLojas[[#This Row],[UF]],UF!A:B,2,0)</f>
        <v>Rondônia</v>
      </c>
      <c r="L699" s="484" t="s">
        <v>178</v>
      </c>
      <c r="M699" s="484" t="s">
        <v>969</v>
      </c>
      <c r="N699" s="484" t="s">
        <v>676</v>
      </c>
      <c r="O699" s="487">
        <v>2965.1800000000003</v>
      </c>
    </row>
    <row r="700" spans="1:15" ht="15" customHeight="1">
      <c r="A700" s="173"/>
      <c r="B700" s="483">
        <v>1</v>
      </c>
      <c r="C700" s="484" t="s">
        <v>1868</v>
      </c>
      <c r="D700" s="488" t="s">
        <v>116</v>
      </c>
      <c r="E700" s="488" t="str">
        <f t="shared" si="29"/>
        <v>Open</v>
      </c>
      <c r="F700" s="488">
        <v>39750</v>
      </c>
      <c r="G700" s="488"/>
      <c r="H700" s="484" t="s">
        <v>673</v>
      </c>
      <c r="I700" s="484" t="str">
        <f>VLOOKUP(TabListaLojas[[#This Row],[UF]],UF!A:E,3,0)</f>
        <v>Southest</v>
      </c>
      <c r="J700" s="484" t="s">
        <v>118</v>
      </c>
      <c r="K700" s="484" t="str">
        <f>VLOOKUP(TabListaLojas[[#This Row],[UF]],UF!A:B,2,0)</f>
        <v>São Paulo</v>
      </c>
      <c r="L700" s="484" t="s">
        <v>775</v>
      </c>
      <c r="M700" s="484" t="s">
        <v>1396</v>
      </c>
      <c r="N700" s="484" t="s">
        <v>676</v>
      </c>
      <c r="O700" s="487">
        <v>2596.8000000000002</v>
      </c>
    </row>
    <row r="701" spans="1:15" ht="15" customHeight="1">
      <c r="A701" s="352"/>
      <c r="B701" s="483">
        <v>1</v>
      </c>
      <c r="C701" s="484" t="s">
        <v>1869</v>
      </c>
      <c r="D701" s="488" t="s">
        <v>116</v>
      </c>
      <c r="E701" s="488" t="str">
        <f t="shared" si="29"/>
        <v>Open</v>
      </c>
      <c r="F701" s="488">
        <v>39730</v>
      </c>
      <c r="G701" s="488"/>
      <c r="H701" s="484" t="s">
        <v>673</v>
      </c>
      <c r="I701" s="484" t="str">
        <f>VLOOKUP(TabListaLojas[[#This Row],[UF]],UF!A:E,3,0)</f>
        <v>Midwest</v>
      </c>
      <c r="J701" s="484" t="s">
        <v>123</v>
      </c>
      <c r="K701" s="484" t="str">
        <f>VLOOKUP(TabListaLojas[[#This Row],[UF]],UF!A:B,2,0)</f>
        <v>Goiás</v>
      </c>
      <c r="L701" s="484" t="s">
        <v>1397</v>
      </c>
      <c r="M701" s="484" t="s">
        <v>1038</v>
      </c>
      <c r="N701" s="484" t="s">
        <v>676</v>
      </c>
      <c r="O701" s="487">
        <v>3074.6600000000003</v>
      </c>
    </row>
    <row r="702" spans="1:15" ht="15" customHeight="1">
      <c r="A702" s="173"/>
      <c r="B702" s="483">
        <v>1</v>
      </c>
      <c r="C702" s="484" t="s">
        <v>1870</v>
      </c>
      <c r="D702" s="488" t="s">
        <v>116</v>
      </c>
      <c r="E702" s="488" t="str">
        <f t="shared" si="29"/>
        <v>Open</v>
      </c>
      <c r="F702" s="488">
        <v>39717</v>
      </c>
      <c r="G702" s="488"/>
      <c r="H702" s="484" t="s">
        <v>673</v>
      </c>
      <c r="I702" s="484" t="str">
        <f>VLOOKUP(TabListaLojas[[#This Row],[UF]],UF!A:E,3,0)</f>
        <v>South</v>
      </c>
      <c r="J702" s="484" t="s">
        <v>161</v>
      </c>
      <c r="K702" s="484" t="str">
        <f>VLOOKUP(TabListaLojas[[#This Row],[UF]],UF!A:B,2,0)</f>
        <v>Paraná</v>
      </c>
      <c r="L702" s="484" t="s">
        <v>1131</v>
      </c>
      <c r="M702" s="484" t="s">
        <v>1398</v>
      </c>
      <c r="N702" s="484" t="s">
        <v>676</v>
      </c>
      <c r="O702" s="487">
        <v>2181.75</v>
      </c>
    </row>
    <row r="703" spans="1:15" ht="15" customHeight="1">
      <c r="A703" s="173"/>
      <c r="B703" s="483">
        <v>1</v>
      </c>
      <c r="C703" s="484" t="s">
        <v>1871</v>
      </c>
      <c r="D703" s="488" t="s">
        <v>116</v>
      </c>
      <c r="E703" s="488" t="str">
        <f t="shared" si="29"/>
        <v>Open</v>
      </c>
      <c r="F703" s="488">
        <v>39687</v>
      </c>
      <c r="G703" s="488"/>
      <c r="H703" s="484" t="s">
        <v>673</v>
      </c>
      <c r="I703" s="484" t="str">
        <f>VLOOKUP(TabListaLojas[[#This Row],[UF]],UF!A:E,3,0)</f>
        <v>Southest</v>
      </c>
      <c r="J703" s="484" t="s">
        <v>118</v>
      </c>
      <c r="K703" s="484" t="str">
        <f>VLOOKUP(TabListaLojas[[#This Row],[UF]],UF!A:B,2,0)</f>
        <v>São Paulo</v>
      </c>
      <c r="L703" s="484" t="s">
        <v>1057</v>
      </c>
      <c r="M703" s="484" t="s">
        <v>1399</v>
      </c>
      <c r="N703" s="484" t="s">
        <v>676</v>
      </c>
      <c r="O703" s="487">
        <v>2959.41</v>
      </c>
    </row>
    <row r="704" spans="1:15" ht="15" customHeight="1">
      <c r="A704" s="173"/>
      <c r="B704" s="483">
        <v>1</v>
      </c>
      <c r="C704" s="484" t="s">
        <v>1872</v>
      </c>
      <c r="D704" s="488" t="s">
        <v>116</v>
      </c>
      <c r="E704" s="488" t="str">
        <f t="shared" si="29"/>
        <v>Open</v>
      </c>
      <c r="F704" s="488">
        <v>39577</v>
      </c>
      <c r="G704" s="488"/>
      <c r="H704" s="484" t="s">
        <v>673</v>
      </c>
      <c r="I704" s="484" t="str">
        <f>VLOOKUP(TabListaLojas[[#This Row],[UF]],UF!A:E,3,0)</f>
        <v>South</v>
      </c>
      <c r="J704" s="484" t="s">
        <v>161</v>
      </c>
      <c r="K704" s="484" t="str">
        <f>VLOOKUP(TabListaLojas[[#This Row],[UF]],UF!A:B,2,0)</f>
        <v>Paraná</v>
      </c>
      <c r="L704" s="484" t="s">
        <v>146</v>
      </c>
      <c r="M704" s="484" t="s">
        <v>1400</v>
      </c>
      <c r="N704" s="484" t="s">
        <v>676</v>
      </c>
      <c r="O704" s="487">
        <v>2967.91</v>
      </c>
    </row>
    <row r="705" spans="1:15" ht="15" customHeight="1">
      <c r="A705" s="355"/>
      <c r="B705" s="483">
        <v>1</v>
      </c>
      <c r="C705" s="484" t="s">
        <v>1873</v>
      </c>
      <c r="D705" s="488" t="s">
        <v>116</v>
      </c>
      <c r="E705" s="488" t="str">
        <f t="shared" si="29"/>
        <v>Open</v>
      </c>
      <c r="F705" s="488">
        <v>39574</v>
      </c>
      <c r="G705" s="488"/>
      <c r="H705" s="484" t="s">
        <v>673</v>
      </c>
      <c r="I705" s="484" t="str">
        <f>VLOOKUP(TabListaLojas[[#This Row],[UF]],UF!A:E,3,0)</f>
        <v>Southest</v>
      </c>
      <c r="J705" s="484" t="s">
        <v>122</v>
      </c>
      <c r="K705" s="484" t="str">
        <f>VLOOKUP(TabListaLojas[[#This Row],[UF]],UF!A:B,2,0)</f>
        <v>Rio de Janeiro</v>
      </c>
      <c r="L705" s="484" t="s">
        <v>1401</v>
      </c>
      <c r="M705" s="484" t="s">
        <v>1402</v>
      </c>
      <c r="N705" s="484" t="s">
        <v>676</v>
      </c>
      <c r="O705" s="487">
        <v>3070.04</v>
      </c>
    </row>
    <row r="706" spans="1:15" ht="15" customHeight="1">
      <c r="B706" s="483">
        <v>1</v>
      </c>
      <c r="C706" s="484" t="s">
        <v>1874</v>
      </c>
      <c r="D706" s="488" t="s">
        <v>116</v>
      </c>
      <c r="E706" s="488" t="str">
        <f t="shared" si="29"/>
        <v>Open</v>
      </c>
      <c r="F706" s="488">
        <v>39562</v>
      </c>
      <c r="G706" s="488"/>
      <c r="H706" s="484" t="s">
        <v>673</v>
      </c>
      <c r="I706" s="484" t="str">
        <f>VLOOKUP(TabListaLojas[[#This Row],[UF]],UF!A:E,3,0)</f>
        <v>South</v>
      </c>
      <c r="J706" s="484" t="s">
        <v>161</v>
      </c>
      <c r="K706" s="484" t="str">
        <f>VLOOKUP(TabListaLojas[[#This Row],[UF]],UF!A:B,2,0)</f>
        <v>Paraná</v>
      </c>
      <c r="L706" s="484" t="s">
        <v>957</v>
      </c>
      <c r="M706" s="484" t="s">
        <v>1130</v>
      </c>
      <c r="N706" s="484" t="s">
        <v>676</v>
      </c>
      <c r="O706" s="487">
        <v>2701.46</v>
      </c>
    </row>
    <row r="707" spans="1:15" ht="15" customHeight="1">
      <c r="A707" s="173"/>
      <c r="B707" s="483">
        <v>1</v>
      </c>
      <c r="C707" s="484" t="s">
        <v>1875</v>
      </c>
      <c r="D707" s="488" t="s">
        <v>116</v>
      </c>
      <c r="E707" s="488" t="str">
        <f t="shared" si="29"/>
        <v>Open</v>
      </c>
      <c r="F707" s="488">
        <v>39561</v>
      </c>
      <c r="G707" s="488"/>
      <c r="H707" s="484" t="s">
        <v>673</v>
      </c>
      <c r="I707" s="484" t="str">
        <f>VLOOKUP(TabListaLojas[[#This Row],[UF]],UF!A:E,3,0)</f>
        <v>Southest</v>
      </c>
      <c r="J707" s="484" t="s">
        <v>118</v>
      </c>
      <c r="K707" s="484" t="str">
        <f>VLOOKUP(TabListaLojas[[#This Row],[UF]],UF!A:B,2,0)</f>
        <v>São Paulo</v>
      </c>
      <c r="L707" s="484" t="s">
        <v>1202</v>
      </c>
      <c r="M707" s="484" t="s">
        <v>1403</v>
      </c>
      <c r="N707" s="484" t="s">
        <v>676</v>
      </c>
      <c r="O707" s="487">
        <v>3149.8100000000004</v>
      </c>
    </row>
    <row r="708" spans="1:15" ht="15" customHeight="1">
      <c r="A708" s="173"/>
      <c r="B708" s="483">
        <v>1</v>
      </c>
      <c r="C708" s="484" t="s">
        <v>1876</v>
      </c>
      <c r="D708" s="488" t="s">
        <v>116</v>
      </c>
      <c r="E708" s="488" t="str">
        <f t="shared" si="29"/>
        <v>Open</v>
      </c>
      <c r="F708" s="488">
        <v>39560</v>
      </c>
      <c r="G708" s="488"/>
      <c r="H708" s="484" t="s">
        <v>673</v>
      </c>
      <c r="I708" s="484" t="str">
        <f>VLOOKUP(TabListaLojas[[#This Row],[UF]],UF!A:E,3,0)</f>
        <v>Southest</v>
      </c>
      <c r="J708" s="484" t="s">
        <v>149</v>
      </c>
      <c r="K708" s="484" t="str">
        <f>VLOOKUP(TabListaLojas[[#This Row],[UF]],UF!A:B,2,0)</f>
        <v>Minas Gerais</v>
      </c>
      <c r="L708" s="484" t="s">
        <v>1097</v>
      </c>
      <c r="M708" s="484" t="s">
        <v>1098</v>
      </c>
      <c r="N708" s="484" t="s">
        <v>676</v>
      </c>
      <c r="O708" s="487">
        <v>3420.9300000000003</v>
      </c>
    </row>
    <row r="709" spans="1:15" ht="15" customHeight="1">
      <c r="B709" s="483">
        <v>1</v>
      </c>
      <c r="C709" s="484" t="s">
        <v>1877</v>
      </c>
      <c r="D709" s="488" t="s">
        <v>116</v>
      </c>
      <c r="E709" s="488" t="str">
        <f t="shared" si="29"/>
        <v>Open</v>
      </c>
      <c r="F709" s="488">
        <v>39535</v>
      </c>
      <c r="G709" s="488"/>
      <c r="H709" s="484" t="s">
        <v>673</v>
      </c>
      <c r="I709" s="484" t="str">
        <f>VLOOKUP(TabListaLojas[[#This Row],[UF]],UF!A:E,3,0)</f>
        <v>Southest</v>
      </c>
      <c r="J709" s="484" t="s">
        <v>118</v>
      </c>
      <c r="K709" s="484" t="str">
        <f>VLOOKUP(TabListaLojas[[#This Row],[UF]],UF!A:B,2,0)</f>
        <v>São Paulo</v>
      </c>
      <c r="L709" s="484" t="s">
        <v>124</v>
      </c>
      <c r="M709" s="484" t="s">
        <v>1404</v>
      </c>
      <c r="N709" s="484" t="s">
        <v>676</v>
      </c>
      <c r="O709" s="487">
        <v>2883.91</v>
      </c>
    </row>
    <row r="710" spans="1:15" ht="15" hidden="1" customHeight="1">
      <c r="A710" s="355"/>
      <c r="B710" s="491">
        <v>0</v>
      </c>
      <c r="C710" s="492" t="s">
        <v>2003</v>
      </c>
      <c r="D710" s="493" t="s">
        <v>126</v>
      </c>
      <c r="E710" s="493" t="str">
        <f t="shared" si="29"/>
        <v>Closed</v>
      </c>
      <c r="F710" s="493">
        <v>39431</v>
      </c>
      <c r="G710" s="493">
        <v>43849</v>
      </c>
      <c r="H710" s="492" t="s">
        <v>673</v>
      </c>
      <c r="I710" s="492" t="str">
        <f>VLOOKUP(TabListaLojas[[#This Row],[UF]],UF!A:E,3,0)</f>
        <v>Southest</v>
      </c>
      <c r="J710" s="492" t="s">
        <v>118</v>
      </c>
      <c r="K710" s="492" t="str">
        <f>VLOOKUP(TabListaLojas[[#This Row],[UF]],UF!A:B,2,0)</f>
        <v>São Paulo</v>
      </c>
      <c r="L710" s="492" t="s">
        <v>124</v>
      </c>
      <c r="M710" s="492" t="s">
        <v>1562</v>
      </c>
      <c r="N710" s="492" t="s">
        <v>676</v>
      </c>
      <c r="O710" s="495">
        <v>0</v>
      </c>
    </row>
    <row r="711" spans="1:15" ht="15" customHeight="1">
      <c r="A711" s="173"/>
      <c r="B711" s="483">
        <v>1</v>
      </c>
      <c r="C711" s="484" t="s">
        <v>1878</v>
      </c>
      <c r="D711" s="488" t="s">
        <v>116</v>
      </c>
      <c r="E711" s="488" t="str">
        <f t="shared" si="29"/>
        <v>Open</v>
      </c>
      <c r="F711" s="488">
        <v>39428</v>
      </c>
      <c r="G711" s="488"/>
      <c r="H711" s="484" t="s">
        <v>673</v>
      </c>
      <c r="I711" s="484" t="str">
        <f>VLOOKUP(TabListaLojas[[#This Row],[UF]],UF!A:E,3,0)</f>
        <v>Northest</v>
      </c>
      <c r="J711" s="484" t="s">
        <v>158</v>
      </c>
      <c r="K711" s="484" t="str">
        <f>VLOOKUP(TabListaLojas[[#This Row],[UF]],UF!A:B,2,0)</f>
        <v>Paraíba</v>
      </c>
      <c r="L711" s="484" t="s">
        <v>139</v>
      </c>
      <c r="M711" s="484" t="s">
        <v>724</v>
      </c>
      <c r="N711" s="484" t="s">
        <v>676</v>
      </c>
      <c r="O711" s="487">
        <v>3406.8</v>
      </c>
    </row>
    <row r="712" spans="1:15" ht="15" customHeight="1">
      <c r="A712" s="173"/>
      <c r="B712" s="483">
        <v>1</v>
      </c>
      <c r="C712" s="484" t="s">
        <v>1879</v>
      </c>
      <c r="D712" s="488" t="s">
        <v>116</v>
      </c>
      <c r="E712" s="488" t="str">
        <f t="shared" si="29"/>
        <v>Open</v>
      </c>
      <c r="F712" s="488">
        <v>39428</v>
      </c>
      <c r="G712" s="488"/>
      <c r="H712" s="484" t="s">
        <v>673</v>
      </c>
      <c r="I712" s="484" t="str">
        <f>VLOOKUP(TabListaLojas[[#This Row],[UF]],UF!A:E,3,0)</f>
        <v>South</v>
      </c>
      <c r="J712" s="484" t="s">
        <v>117</v>
      </c>
      <c r="K712" s="484" t="str">
        <f>VLOOKUP(TabListaLojas[[#This Row],[UF]],UF!A:B,2,0)</f>
        <v>Rio Grande do Sul</v>
      </c>
      <c r="L712" s="484" t="s">
        <v>950</v>
      </c>
      <c r="M712" s="484" t="s">
        <v>1405</v>
      </c>
      <c r="N712" s="484" t="s">
        <v>676</v>
      </c>
      <c r="O712" s="487">
        <v>3051.12</v>
      </c>
    </row>
    <row r="713" spans="1:15" ht="15" customHeight="1">
      <c r="A713" s="352"/>
      <c r="B713" s="483">
        <v>1</v>
      </c>
      <c r="C713" s="484" t="s">
        <v>1880</v>
      </c>
      <c r="D713" s="488" t="s">
        <v>116</v>
      </c>
      <c r="E713" s="488" t="str">
        <f t="shared" si="29"/>
        <v>Open</v>
      </c>
      <c r="F713" s="488">
        <v>39416</v>
      </c>
      <c r="G713" s="488"/>
      <c r="H713" s="484" t="s">
        <v>673</v>
      </c>
      <c r="I713" s="484" t="str">
        <f>VLOOKUP(TabListaLojas[[#This Row],[UF]],UF!A:E,3,0)</f>
        <v>Northest</v>
      </c>
      <c r="J713" s="484" t="s">
        <v>120</v>
      </c>
      <c r="K713" s="484" t="str">
        <f>VLOOKUP(TabListaLojas[[#This Row],[UF]],UF!A:B,2,0)</f>
        <v>Bahia</v>
      </c>
      <c r="L713" s="484" t="s">
        <v>134</v>
      </c>
      <c r="M713" s="484" t="s">
        <v>690</v>
      </c>
      <c r="N713" s="484" t="s">
        <v>676</v>
      </c>
      <c r="O713" s="487">
        <v>3000.46</v>
      </c>
    </row>
    <row r="714" spans="1:15" ht="15" customHeight="1">
      <c r="A714" s="352"/>
      <c r="B714" s="483">
        <v>1</v>
      </c>
      <c r="C714" s="484" t="s">
        <v>1881</v>
      </c>
      <c r="D714" s="488" t="s">
        <v>116</v>
      </c>
      <c r="E714" s="488" t="str">
        <f t="shared" si="29"/>
        <v>Open</v>
      </c>
      <c r="F714" s="488">
        <v>39414</v>
      </c>
      <c r="G714" s="488"/>
      <c r="H714" s="484" t="s">
        <v>673</v>
      </c>
      <c r="I714" s="484" t="str">
        <f>VLOOKUP(TabListaLojas[[#This Row],[UF]],UF!A:E,3,0)</f>
        <v>South</v>
      </c>
      <c r="J714" s="484" t="s">
        <v>161</v>
      </c>
      <c r="K714" s="484" t="str">
        <f>VLOOKUP(TabListaLojas[[#This Row],[UF]],UF!A:B,2,0)</f>
        <v>Paraná</v>
      </c>
      <c r="L714" s="484" t="s">
        <v>1406</v>
      </c>
      <c r="M714" s="484" t="s">
        <v>1407</v>
      </c>
      <c r="N714" s="484" t="s">
        <v>676</v>
      </c>
      <c r="O714" s="487">
        <v>2002.35</v>
      </c>
    </row>
    <row r="715" spans="1:15" ht="15" customHeight="1">
      <c r="A715" s="173"/>
      <c r="B715" s="483">
        <v>1</v>
      </c>
      <c r="C715" s="484" t="s">
        <v>1882</v>
      </c>
      <c r="D715" s="488" t="s">
        <v>116</v>
      </c>
      <c r="E715" s="488" t="str">
        <f t="shared" si="29"/>
        <v>Open</v>
      </c>
      <c r="F715" s="488">
        <v>39382</v>
      </c>
      <c r="G715" s="488"/>
      <c r="H715" s="484" t="s">
        <v>673</v>
      </c>
      <c r="I715" s="484" t="str">
        <f>VLOOKUP(TabListaLojas[[#This Row],[UF]],UF!A:E,3,0)</f>
        <v>South</v>
      </c>
      <c r="J715" s="484" t="s">
        <v>147</v>
      </c>
      <c r="K715" s="484" t="str">
        <f>VLOOKUP(TabListaLojas[[#This Row],[UF]],UF!A:B,2,0)</f>
        <v>Santa Catarina</v>
      </c>
      <c r="L715" s="484" t="s">
        <v>1145</v>
      </c>
      <c r="M715" s="484" t="s">
        <v>1408</v>
      </c>
      <c r="N715" s="484" t="s">
        <v>676</v>
      </c>
      <c r="O715" s="487">
        <v>3874.6400000000003</v>
      </c>
    </row>
    <row r="716" spans="1:15" ht="15" customHeight="1">
      <c r="A716" s="352"/>
      <c r="B716" s="483">
        <v>1</v>
      </c>
      <c r="C716" s="484" t="s">
        <v>1883</v>
      </c>
      <c r="D716" s="488" t="s">
        <v>116</v>
      </c>
      <c r="E716" s="488" t="str">
        <f t="shared" si="29"/>
        <v>Open</v>
      </c>
      <c r="F716" s="488">
        <v>39380</v>
      </c>
      <c r="G716" s="488"/>
      <c r="H716" s="484" t="s">
        <v>673</v>
      </c>
      <c r="I716" s="484" t="str">
        <f>VLOOKUP(TabListaLojas[[#This Row],[UF]],UF!A:E,3,0)</f>
        <v>Southest</v>
      </c>
      <c r="J716" s="484" t="s">
        <v>118</v>
      </c>
      <c r="K716" s="484" t="str">
        <f>VLOOKUP(TabListaLojas[[#This Row],[UF]],UF!A:B,2,0)</f>
        <v>São Paulo</v>
      </c>
      <c r="L716" s="484" t="s">
        <v>124</v>
      </c>
      <c r="M716" s="484" t="s">
        <v>1175</v>
      </c>
      <c r="N716" s="484" t="s">
        <v>676</v>
      </c>
      <c r="O716" s="487">
        <v>2484.0700000000002</v>
      </c>
    </row>
    <row r="717" spans="1:15" ht="15" customHeight="1">
      <c r="B717" s="483">
        <v>1</v>
      </c>
      <c r="C717" s="484" t="s">
        <v>1884</v>
      </c>
      <c r="D717" s="488" t="s">
        <v>116</v>
      </c>
      <c r="E717" s="488" t="str">
        <f t="shared" si="29"/>
        <v>Open</v>
      </c>
      <c r="F717" s="488">
        <v>39378</v>
      </c>
      <c r="G717" s="488"/>
      <c r="H717" s="484" t="s">
        <v>673</v>
      </c>
      <c r="I717" s="484" t="str">
        <f>VLOOKUP(TabListaLojas[[#This Row],[UF]],UF!A:E,3,0)</f>
        <v>Midwest</v>
      </c>
      <c r="J717" s="484" t="s">
        <v>156</v>
      </c>
      <c r="K717" s="484" t="str">
        <f>VLOOKUP(TabListaLojas[[#This Row],[UF]],UF!A:B,2,0)</f>
        <v>Distrito Federal</v>
      </c>
      <c r="L717" s="484" t="s">
        <v>142</v>
      </c>
      <c r="M717" s="484" t="s">
        <v>972</v>
      </c>
      <c r="N717" s="484" t="s">
        <v>676</v>
      </c>
      <c r="O717" s="487">
        <v>2903.0899999999997</v>
      </c>
    </row>
    <row r="718" spans="1:15" ht="15" customHeight="1">
      <c r="B718" s="483">
        <v>1</v>
      </c>
      <c r="C718" s="484" t="s">
        <v>1885</v>
      </c>
      <c r="D718" s="488" t="s">
        <v>116</v>
      </c>
      <c r="E718" s="488" t="str">
        <f t="shared" si="29"/>
        <v>Open</v>
      </c>
      <c r="F718" s="488">
        <v>39352</v>
      </c>
      <c r="G718" s="488"/>
      <c r="H718" s="484" t="s">
        <v>673</v>
      </c>
      <c r="I718" s="484" t="str">
        <f>VLOOKUP(TabListaLojas[[#This Row],[UF]],UF!A:E,3,0)</f>
        <v>Southest</v>
      </c>
      <c r="J718" s="484" t="s">
        <v>149</v>
      </c>
      <c r="K718" s="484" t="str">
        <f>VLOOKUP(TabListaLojas[[#This Row],[UF]],UF!A:B,2,0)</f>
        <v>Minas Gerais</v>
      </c>
      <c r="L718" s="484" t="s">
        <v>136</v>
      </c>
      <c r="M718" s="484" t="s">
        <v>1143</v>
      </c>
      <c r="N718" s="484" t="s">
        <v>676</v>
      </c>
      <c r="O718" s="487">
        <v>4005.74</v>
      </c>
    </row>
    <row r="719" spans="1:15" ht="15" customHeight="1">
      <c r="B719" s="483">
        <v>1</v>
      </c>
      <c r="C719" s="484" t="s">
        <v>2002</v>
      </c>
      <c r="D719" s="488" t="s">
        <v>126</v>
      </c>
      <c r="E719" s="488" t="str">
        <f t="shared" si="29"/>
        <v>Open</v>
      </c>
      <c r="F719" s="488">
        <v>39270</v>
      </c>
      <c r="G719" s="488"/>
      <c r="H719" s="484" t="s">
        <v>673</v>
      </c>
      <c r="I719" s="484" t="str">
        <f>VLOOKUP(TabListaLojas[[#This Row],[UF]],UF!A:E,3,0)</f>
        <v>South</v>
      </c>
      <c r="J719" s="484" t="s">
        <v>117</v>
      </c>
      <c r="K719" s="484" t="str">
        <f>VLOOKUP(TabListaLojas[[#This Row],[UF]],UF!A:B,2,0)</f>
        <v>Rio Grande do Sul</v>
      </c>
      <c r="L719" s="484" t="s">
        <v>129</v>
      </c>
      <c r="M719" s="484" t="s">
        <v>1409</v>
      </c>
      <c r="N719" s="484" t="s">
        <v>676</v>
      </c>
      <c r="O719" s="487">
        <v>463</v>
      </c>
    </row>
    <row r="720" spans="1:15" ht="15" customHeight="1">
      <c r="B720" s="483">
        <v>1</v>
      </c>
      <c r="C720" s="484" t="s">
        <v>1886</v>
      </c>
      <c r="D720" s="488" t="s">
        <v>116</v>
      </c>
      <c r="E720" s="488" t="str">
        <f t="shared" si="29"/>
        <v>Open</v>
      </c>
      <c r="F720" s="488">
        <v>39224</v>
      </c>
      <c r="G720" s="488"/>
      <c r="H720" s="484" t="s">
        <v>673</v>
      </c>
      <c r="I720" s="484" t="str">
        <f>VLOOKUP(TabListaLojas[[#This Row],[UF]],UF!A:E,3,0)</f>
        <v>Northest</v>
      </c>
      <c r="J720" s="484" t="s">
        <v>120</v>
      </c>
      <c r="K720" s="484" t="str">
        <f>VLOOKUP(TabListaLojas[[#This Row],[UF]],UF!A:B,2,0)</f>
        <v>Bahia</v>
      </c>
      <c r="L720" s="484" t="s">
        <v>134</v>
      </c>
      <c r="M720" s="484" t="s">
        <v>1039</v>
      </c>
      <c r="N720" s="484" t="s">
        <v>676</v>
      </c>
      <c r="O720" s="487">
        <v>4795.63</v>
      </c>
    </row>
    <row r="721" spans="2:15" ht="15" customHeight="1">
      <c r="B721" s="483">
        <v>1</v>
      </c>
      <c r="C721" s="484" t="s">
        <v>1887</v>
      </c>
      <c r="D721" s="488" t="s">
        <v>116</v>
      </c>
      <c r="E721" s="488" t="str">
        <f t="shared" si="29"/>
        <v>Open</v>
      </c>
      <c r="F721" s="488">
        <v>39212</v>
      </c>
      <c r="G721" s="488"/>
      <c r="H721" s="484" t="s">
        <v>673</v>
      </c>
      <c r="I721" s="484" t="str">
        <f>VLOOKUP(TabListaLojas[[#This Row],[UF]],UF!A:E,3,0)</f>
        <v>Northest</v>
      </c>
      <c r="J721" s="484" t="s">
        <v>163</v>
      </c>
      <c r="K721" s="484" t="str">
        <f>VLOOKUP(TabListaLojas[[#This Row],[UF]],UF!A:B,2,0)</f>
        <v>Sergipe</v>
      </c>
      <c r="L721" s="484" t="s">
        <v>169</v>
      </c>
      <c r="M721" s="484" t="s">
        <v>1410</v>
      </c>
      <c r="N721" s="484" t="s">
        <v>676</v>
      </c>
      <c r="O721" s="487">
        <v>2726.28</v>
      </c>
    </row>
    <row r="722" spans="2:15" ht="15" customHeight="1">
      <c r="B722" s="483">
        <v>1</v>
      </c>
      <c r="C722" s="484" t="s">
        <v>1888</v>
      </c>
      <c r="D722" s="488" t="s">
        <v>116</v>
      </c>
      <c r="E722" s="488" t="str">
        <f t="shared" si="29"/>
        <v>Open</v>
      </c>
      <c r="F722" s="488">
        <v>39205</v>
      </c>
      <c r="G722" s="488"/>
      <c r="H722" s="484" t="s">
        <v>673</v>
      </c>
      <c r="I722" s="484" t="str">
        <f>VLOOKUP(TabListaLojas[[#This Row],[UF]],UF!A:E,3,0)</f>
        <v>North</v>
      </c>
      <c r="J722" s="484" t="s">
        <v>157</v>
      </c>
      <c r="K722" s="484" t="str">
        <f>VLOOKUP(TabListaLojas[[#This Row],[UF]],UF!A:B,2,0)</f>
        <v>Amazonas</v>
      </c>
      <c r="L722" s="484" t="s">
        <v>138</v>
      </c>
      <c r="M722" s="484" t="s">
        <v>1019</v>
      </c>
      <c r="N722" s="484" t="s">
        <v>676</v>
      </c>
      <c r="O722" s="487">
        <v>2942.17</v>
      </c>
    </row>
    <row r="723" spans="2:15" ht="15" customHeight="1">
      <c r="B723" s="483">
        <v>1</v>
      </c>
      <c r="C723" s="484" t="s">
        <v>1889</v>
      </c>
      <c r="D723" s="488" t="s">
        <v>116</v>
      </c>
      <c r="E723" s="488" t="str">
        <f t="shared" si="29"/>
        <v>Open</v>
      </c>
      <c r="F723" s="488">
        <v>39199</v>
      </c>
      <c r="G723" s="488"/>
      <c r="H723" s="484" t="s">
        <v>673</v>
      </c>
      <c r="I723" s="484" t="str">
        <f>VLOOKUP(TabListaLojas[[#This Row],[UF]],UF!A:E,3,0)</f>
        <v>Southest</v>
      </c>
      <c r="J723" s="484" t="s">
        <v>122</v>
      </c>
      <c r="K723" s="484" t="str">
        <f>VLOOKUP(TabListaLojas[[#This Row],[UF]],UF!A:B,2,0)</f>
        <v>Rio de Janeiro</v>
      </c>
      <c r="L723" s="484" t="s">
        <v>128</v>
      </c>
      <c r="M723" s="484" t="s">
        <v>1037</v>
      </c>
      <c r="N723" s="484" t="s">
        <v>676</v>
      </c>
      <c r="O723" s="487">
        <v>2646.8199999999997</v>
      </c>
    </row>
    <row r="724" spans="2:15" ht="15" customHeight="1">
      <c r="B724" s="483">
        <v>1</v>
      </c>
      <c r="C724" s="484" t="s">
        <v>1890</v>
      </c>
      <c r="D724" s="488" t="s">
        <v>116</v>
      </c>
      <c r="E724" s="488" t="str">
        <f t="shared" si="29"/>
        <v>Open</v>
      </c>
      <c r="F724" s="488">
        <v>39196</v>
      </c>
      <c r="G724" s="488"/>
      <c r="H724" s="484" t="s">
        <v>673</v>
      </c>
      <c r="I724" s="484" t="str">
        <f>VLOOKUP(TabListaLojas[[#This Row],[UF]],UF!A:E,3,0)</f>
        <v>Southest</v>
      </c>
      <c r="J724" s="484" t="s">
        <v>118</v>
      </c>
      <c r="K724" s="484" t="str">
        <f>VLOOKUP(TabListaLojas[[#This Row],[UF]],UF!A:B,2,0)</f>
        <v>São Paulo</v>
      </c>
      <c r="L724" s="484" t="s">
        <v>905</v>
      </c>
      <c r="M724" s="484" t="s">
        <v>906</v>
      </c>
      <c r="N724" s="484" t="s">
        <v>676</v>
      </c>
      <c r="O724" s="487">
        <v>2941.73</v>
      </c>
    </row>
    <row r="725" spans="2:15" ht="15" customHeight="1">
      <c r="B725" s="483">
        <v>1</v>
      </c>
      <c r="C725" s="484" t="s">
        <v>1891</v>
      </c>
      <c r="D725" s="488" t="s">
        <v>116</v>
      </c>
      <c r="E725" s="488" t="str">
        <f t="shared" ref="E725:E788" si="30">IF(G725="","Open","Closed")</f>
        <v>Open</v>
      </c>
      <c r="F725" s="488">
        <v>39189</v>
      </c>
      <c r="G725" s="488"/>
      <c r="H725" s="484" t="s">
        <v>673</v>
      </c>
      <c r="I725" s="484" t="str">
        <f>VLOOKUP(TabListaLojas[[#This Row],[UF]],UF!A:E,3,0)</f>
        <v>South</v>
      </c>
      <c r="J725" s="484" t="s">
        <v>147</v>
      </c>
      <c r="K725" s="484" t="str">
        <f>VLOOKUP(TabListaLojas[[#This Row],[UF]],UF!A:B,2,0)</f>
        <v>Santa Catarina</v>
      </c>
      <c r="L725" s="484" t="s">
        <v>135</v>
      </c>
      <c r="M725" s="484" t="s">
        <v>1983</v>
      </c>
      <c r="N725" s="484" t="s">
        <v>676</v>
      </c>
      <c r="O725" s="487">
        <v>2567.23</v>
      </c>
    </row>
    <row r="726" spans="2:15" ht="15" customHeight="1">
      <c r="B726" s="483">
        <v>1</v>
      </c>
      <c r="C726" s="484" t="s">
        <v>2001</v>
      </c>
      <c r="D726" s="488" t="s">
        <v>126</v>
      </c>
      <c r="E726" s="488" t="str">
        <f t="shared" si="30"/>
        <v>Open</v>
      </c>
      <c r="F726" s="488">
        <v>39069</v>
      </c>
      <c r="G726" s="488"/>
      <c r="H726" s="484" t="s">
        <v>673</v>
      </c>
      <c r="I726" s="484" t="str">
        <f>VLOOKUP(TabListaLojas[[#This Row],[UF]],UF!A:E,3,0)</f>
        <v>Southest</v>
      </c>
      <c r="J726" s="484" t="s">
        <v>122</v>
      </c>
      <c r="K726" s="484" t="str">
        <f>VLOOKUP(TabListaLojas[[#This Row],[UF]],UF!A:B,2,0)</f>
        <v>Rio de Janeiro</v>
      </c>
      <c r="L726" s="484" t="s">
        <v>128</v>
      </c>
      <c r="M726" s="484" t="s">
        <v>847</v>
      </c>
      <c r="N726" s="484" t="s">
        <v>676</v>
      </c>
      <c r="O726" s="487">
        <v>568.38</v>
      </c>
    </row>
    <row r="727" spans="2:15" ht="15" customHeight="1">
      <c r="B727" s="483">
        <v>1</v>
      </c>
      <c r="C727" s="484" t="s">
        <v>1892</v>
      </c>
      <c r="D727" s="488" t="s">
        <v>116</v>
      </c>
      <c r="E727" s="488" t="str">
        <f t="shared" si="30"/>
        <v>Open</v>
      </c>
      <c r="F727" s="488">
        <v>39058</v>
      </c>
      <c r="G727" s="488"/>
      <c r="H727" s="484" t="s">
        <v>673</v>
      </c>
      <c r="I727" s="484" t="str">
        <f>VLOOKUP(TabListaLojas[[#This Row],[UF]],UF!A:E,3,0)</f>
        <v>Midwest</v>
      </c>
      <c r="J727" s="484" t="s">
        <v>123</v>
      </c>
      <c r="K727" s="484" t="str">
        <f>VLOOKUP(TabListaLojas[[#This Row],[UF]],UF!A:B,2,0)</f>
        <v>Goiás</v>
      </c>
      <c r="L727" s="484" t="s">
        <v>140</v>
      </c>
      <c r="M727" s="484" t="s">
        <v>1411</v>
      </c>
      <c r="N727" s="484" t="s">
        <v>676</v>
      </c>
      <c r="O727" s="487">
        <v>2477.9899999999998</v>
      </c>
    </row>
    <row r="728" spans="2:15" ht="15" customHeight="1">
      <c r="B728" s="483">
        <v>1</v>
      </c>
      <c r="C728" s="484" t="s">
        <v>1893</v>
      </c>
      <c r="D728" s="488" t="s">
        <v>116</v>
      </c>
      <c r="E728" s="488" t="str">
        <f t="shared" si="30"/>
        <v>Open</v>
      </c>
      <c r="F728" s="488">
        <v>39057</v>
      </c>
      <c r="G728" s="488"/>
      <c r="H728" s="484" t="s">
        <v>673</v>
      </c>
      <c r="I728" s="484" t="str">
        <f>VLOOKUP(TabListaLojas[[#This Row],[UF]],UF!A:E,3,0)</f>
        <v>Southest</v>
      </c>
      <c r="J728" s="484" t="s">
        <v>122</v>
      </c>
      <c r="K728" s="484" t="str">
        <f>VLOOKUP(TabListaLojas[[#This Row],[UF]],UF!A:B,2,0)</f>
        <v>Rio de Janeiro</v>
      </c>
      <c r="L728" s="484" t="s">
        <v>128</v>
      </c>
      <c r="M728" s="484" t="s">
        <v>1412</v>
      </c>
      <c r="N728" s="484" t="s">
        <v>676</v>
      </c>
      <c r="O728" s="487">
        <v>2431.9300000000003</v>
      </c>
    </row>
    <row r="729" spans="2:15" ht="15" customHeight="1">
      <c r="B729" s="483">
        <v>1</v>
      </c>
      <c r="C729" s="484" t="s">
        <v>1894</v>
      </c>
      <c r="D729" s="488" t="s">
        <v>116</v>
      </c>
      <c r="E729" s="488" t="str">
        <f t="shared" si="30"/>
        <v>Open</v>
      </c>
      <c r="F729" s="488">
        <v>39056</v>
      </c>
      <c r="G729" s="488"/>
      <c r="H729" s="484" t="s">
        <v>673</v>
      </c>
      <c r="I729" s="484" t="str">
        <f>VLOOKUP(TabListaLojas[[#This Row],[UF]],UF!A:E,3,0)</f>
        <v>Southest</v>
      </c>
      <c r="J729" s="484" t="s">
        <v>118</v>
      </c>
      <c r="K729" s="484" t="str">
        <f>VLOOKUP(TabListaLojas[[#This Row],[UF]],UF!A:B,2,0)</f>
        <v>São Paulo</v>
      </c>
      <c r="L729" s="484" t="s">
        <v>124</v>
      </c>
      <c r="M729" s="484" t="s">
        <v>949</v>
      </c>
      <c r="N729" s="484" t="s">
        <v>676</v>
      </c>
      <c r="O729" s="487">
        <v>2413.83</v>
      </c>
    </row>
    <row r="730" spans="2:15" ht="15" customHeight="1">
      <c r="B730" s="483">
        <v>1</v>
      </c>
      <c r="C730" s="484" t="s">
        <v>1895</v>
      </c>
      <c r="D730" s="488" t="s">
        <v>116</v>
      </c>
      <c r="E730" s="488" t="str">
        <f t="shared" si="30"/>
        <v>Open</v>
      </c>
      <c r="F730" s="488">
        <v>39045</v>
      </c>
      <c r="G730" s="488"/>
      <c r="H730" s="484" t="s">
        <v>673</v>
      </c>
      <c r="I730" s="484" t="str">
        <f>VLOOKUP(TabListaLojas[[#This Row],[UF]],UF!A:E,3,0)</f>
        <v>Northest</v>
      </c>
      <c r="J730" s="484" t="s">
        <v>120</v>
      </c>
      <c r="K730" s="484" t="str">
        <f>VLOOKUP(TabListaLojas[[#This Row],[UF]],UF!A:B,2,0)</f>
        <v>Bahia</v>
      </c>
      <c r="L730" s="484" t="s">
        <v>134</v>
      </c>
      <c r="M730" s="484" t="s">
        <v>1147</v>
      </c>
      <c r="N730" s="484" t="s">
        <v>676</v>
      </c>
      <c r="O730" s="487">
        <v>4632.25</v>
      </c>
    </row>
    <row r="731" spans="2:15" ht="15" customHeight="1">
      <c r="B731" s="483">
        <v>1</v>
      </c>
      <c r="C731" s="484" t="s">
        <v>1896</v>
      </c>
      <c r="D731" s="488" t="s">
        <v>116</v>
      </c>
      <c r="E731" s="488" t="str">
        <f t="shared" si="30"/>
        <v>Open</v>
      </c>
      <c r="F731" s="488">
        <v>39030</v>
      </c>
      <c r="G731" s="488"/>
      <c r="H731" s="484" t="s">
        <v>673</v>
      </c>
      <c r="I731" s="484" t="str">
        <f>VLOOKUP(TabListaLojas[[#This Row],[UF]],UF!A:E,3,0)</f>
        <v>Southest</v>
      </c>
      <c r="J731" s="484" t="s">
        <v>122</v>
      </c>
      <c r="K731" s="484" t="str">
        <f>VLOOKUP(TabListaLojas[[#This Row],[UF]],UF!A:B,2,0)</f>
        <v>Rio de Janeiro</v>
      </c>
      <c r="L731" s="484" t="s">
        <v>128</v>
      </c>
      <c r="M731" s="484" t="s">
        <v>1413</v>
      </c>
      <c r="N731" s="484" t="s">
        <v>676</v>
      </c>
      <c r="O731" s="487">
        <v>3272.4700000000003</v>
      </c>
    </row>
    <row r="732" spans="2:15" ht="15" customHeight="1">
      <c r="B732" s="483">
        <v>1</v>
      </c>
      <c r="C732" s="484" t="s">
        <v>1897</v>
      </c>
      <c r="D732" s="488" t="s">
        <v>116</v>
      </c>
      <c r="E732" s="488" t="str">
        <f t="shared" si="30"/>
        <v>Open</v>
      </c>
      <c r="F732" s="488">
        <v>39016</v>
      </c>
      <c r="G732" s="488"/>
      <c r="H732" s="484" t="s">
        <v>673</v>
      </c>
      <c r="I732" s="484" t="str">
        <f>VLOOKUP(TabListaLojas[[#This Row],[UF]],UF!A:E,3,0)</f>
        <v>South</v>
      </c>
      <c r="J732" s="484" t="s">
        <v>147</v>
      </c>
      <c r="K732" s="484" t="str">
        <f>VLOOKUP(TabListaLojas[[#This Row],[UF]],UF!A:B,2,0)</f>
        <v>Santa Catarina</v>
      </c>
      <c r="L732" s="484" t="s">
        <v>1414</v>
      </c>
      <c r="M732" s="484" t="s">
        <v>1415</v>
      </c>
      <c r="N732" s="484" t="s">
        <v>676</v>
      </c>
      <c r="O732" s="487">
        <v>2952.25</v>
      </c>
    </row>
    <row r="733" spans="2:15" ht="15" customHeight="1">
      <c r="B733" s="483">
        <v>1</v>
      </c>
      <c r="C733" s="484" t="s">
        <v>1898</v>
      </c>
      <c r="D733" s="488" t="s">
        <v>116</v>
      </c>
      <c r="E733" s="488" t="str">
        <f t="shared" si="30"/>
        <v>Open</v>
      </c>
      <c r="F733" s="488">
        <v>38988</v>
      </c>
      <c r="G733" s="488"/>
      <c r="H733" s="484" t="s">
        <v>673</v>
      </c>
      <c r="I733" s="484" t="str">
        <f>VLOOKUP(TabListaLojas[[#This Row],[UF]],UF!A:E,3,0)</f>
        <v>Northest</v>
      </c>
      <c r="J733" s="484" t="s">
        <v>121</v>
      </c>
      <c r="K733" s="484" t="str">
        <f>VLOOKUP(TabListaLojas[[#This Row],[UF]],UF!A:B,2,0)</f>
        <v>Pernambuco</v>
      </c>
      <c r="L733" s="484" t="s">
        <v>125</v>
      </c>
      <c r="M733" s="484" t="s">
        <v>902</v>
      </c>
      <c r="N733" s="484" t="s">
        <v>676</v>
      </c>
      <c r="O733" s="487">
        <v>4919.46</v>
      </c>
    </row>
    <row r="734" spans="2:15" ht="15" customHeight="1">
      <c r="B734" s="483">
        <v>1</v>
      </c>
      <c r="C734" s="484" t="s">
        <v>1899</v>
      </c>
      <c r="D734" s="488" t="s">
        <v>116</v>
      </c>
      <c r="E734" s="488" t="str">
        <f t="shared" si="30"/>
        <v>Open</v>
      </c>
      <c r="F734" s="488">
        <v>38986</v>
      </c>
      <c r="G734" s="488"/>
      <c r="H734" s="484" t="s">
        <v>673</v>
      </c>
      <c r="I734" s="484" t="str">
        <f>VLOOKUP(TabListaLojas[[#This Row],[UF]],UF!A:E,3,0)</f>
        <v>Southest</v>
      </c>
      <c r="J734" s="484" t="s">
        <v>118</v>
      </c>
      <c r="K734" s="484" t="str">
        <f>VLOOKUP(TabListaLojas[[#This Row],[UF]],UF!A:B,2,0)</f>
        <v>São Paulo</v>
      </c>
      <c r="L734" s="484" t="s">
        <v>124</v>
      </c>
      <c r="M734" s="484" t="s">
        <v>1157</v>
      </c>
      <c r="N734" s="484" t="s">
        <v>676</v>
      </c>
      <c r="O734" s="487">
        <v>2285.14</v>
      </c>
    </row>
    <row r="735" spans="2:15" ht="15" customHeight="1">
      <c r="B735" s="483">
        <v>1</v>
      </c>
      <c r="C735" s="484" t="s">
        <v>1900</v>
      </c>
      <c r="D735" s="488" t="s">
        <v>116</v>
      </c>
      <c r="E735" s="488" t="str">
        <f t="shared" si="30"/>
        <v>Open</v>
      </c>
      <c r="F735" s="488">
        <v>38974</v>
      </c>
      <c r="G735" s="488"/>
      <c r="H735" s="484" t="s">
        <v>673</v>
      </c>
      <c r="I735" s="484" t="str">
        <f>VLOOKUP(TabListaLojas[[#This Row],[UF]],UF!A:E,3,0)</f>
        <v>South</v>
      </c>
      <c r="J735" s="484" t="s">
        <v>117</v>
      </c>
      <c r="K735" s="484" t="str">
        <f>VLOOKUP(TabListaLojas[[#This Row],[UF]],UF!A:B,2,0)</f>
        <v>Rio Grande do Sul</v>
      </c>
      <c r="L735" s="484" t="s">
        <v>1416</v>
      </c>
      <c r="M735" s="484" t="s">
        <v>1417</v>
      </c>
      <c r="N735" s="484" t="s">
        <v>676</v>
      </c>
      <c r="O735" s="487">
        <v>2694.1</v>
      </c>
    </row>
    <row r="736" spans="2:15" ht="15" customHeight="1">
      <c r="B736" s="483">
        <v>1</v>
      </c>
      <c r="C736" s="484" t="s">
        <v>1901</v>
      </c>
      <c r="D736" s="488" t="s">
        <v>116</v>
      </c>
      <c r="E736" s="488" t="str">
        <f t="shared" si="30"/>
        <v>Open</v>
      </c>
      <c r="F736" s="488">
        <v>38866</v>
      </c>
      <c r="G736" s="488"/>
      <c r="H736" s="484" t="s">
        <v>673</v>
      </c>
      <c r="I736" s="484" t="str">
        <f>VLOOKUP(TabListaLojas[[#This Row],[UF]],UF!A:E,3,0)</f>
        <v>Northest</v>
      </c>
      <c r="J736" s="484" t="s">
        <v>148</v>
      </c>
      <c r="K736" s="484" t="str">
        <f>VLOOKUP(TabListaLojas[[#This Row],[UF]],UF!A:B,2,0)</f>
        <v>Ceará</v>
      </c>
      <c r="L736" s="484" t="s">
        <v>130</v>
      </c>
      <c r="M736" s="484" t="s">
        <v>1418</v>
      </c>
      <c r="N736" s="484" t="s">
        <v>676</v>
      </c>
      <c r="O736" s="487">
        <v>3025.78</v>
      </c>
    </row>
    <row r="737" spans="2:15" ht="15" customHeight="1">
      <c r="B737" s="483">
        <v>1</v>
      </c>
      <c r="C737" s="484" t="s">
        <v>1902</v>
      </c>
      <c r="D737" s="488" t="s">
        <v>116</v>
      </c>
      <c r="E737" s="488" t="str">
        <f t="shared" si="30"/>
        <v>Open</v>
      </c>
      <c r="F737" s="488">
        <v>38849</v>
      </c>
      <c r="G737" s="488"/>
      <c r="H737" s="484" t="s">
        <v>673</v>
      </c>
      <c r="I737" s="484" t="str">
        <f>VLOOKUP(TabListaLojas[[#This Row],[UF]],UF!A:E,3,0)</f>
        <v>Southest</v>
      </c>
      <c r="J737" s="484" t="s">
        <v>118</v>
      </c>
      <c r="K737" s="484" t="str">
        <f>VLOOKUP(TabListaLojas[[#This Row],[UF]],UF!A:B,2,0)</f>
        <v>São Paulo</v>
      </c>
      <c r="L737" s="484" t="s">
        <v>1186</v>
      </c>
      <c r="M737" s="484" t="s">
        <v>1419</v>
      </c>
      <c r="N737" s="484" t="s">
        <v>676</v>
      </c>
      <c r="O737" s="487">
        <v>2865.24</v>
      </c>
    </row>
    <row r="738" spans="2:15" ht="15" customHeight="1">
      <c r="B738" s="483">
        <v>1</v>
      </c>
      <c r="C738" s="484" t="s">
        <v>1903</v>
      </c>
      <c r="D738" s="488" t="s">
        <v>116</v>
      </c>
      <c r="E738" s="488" t="str">
        <f t="shared" si="30"/>
        <v>Open</v>
      </c>
      <c r="F738" s="488">
        <v>38846</v>
      </c>
      <c r="G738" s="488"/>
      <c r="H738" s="484" t="s">
        <v>673</v>
      </c>
      <c r="I738" s="484" t="str">
        <f>VLOOKUP(TabListaLojas[[#This Row],[UF]],UF!A:E,3,0)</f>
        <v>Northest</v>
      </c>
      <c r="J738" s="484" t="s">
        <v>148</v>
      </c>
      <c r="K738" s="484" t="str">
        <f>VLOOKUP(TabListaLojas[[#This Row],[UF]],UF!A:B,2,0)</f>
        <v>Ceará</v>
      </c>
      <c r="L738" s="484" t="s">
        <v>130</v>
      </c>
      <c r="M738" s="484" t="s">
        <v>799</v>
      </c>
      <c r="N738" s="484" t="s">
        <v>676</v>
      </c>
      <c r="O738" s="487">
        <v>4734.8599999999997</v>
      </c>
    </row>
    <row r="739" spans="2:15" ht="15" customHeight="1">
      <c r="B739" s="483">
        <v>1</v>
      </c>
      <c r="C739" s="484" t="s">
        <v>1904</v>
      </c>
      <c r="D739" s="488" t="s">
        <v>116</v>
      </c>
      <c r="E739" s="488" t="str">
        <f t="shared" si="30"/>
        <v>Open</v>
      </c>
      <c r="F739" s="488">
        <v>38842</v>
      </c>
      <c r="G739" s="488"/>
      <c r="H739" s="484" t="s">
        <v>673</v>
      </c>
      <c r="I739" s="484" t="str">
        <f>VLOOKUP(TabListaLojas[[#This Row],[UF]],UF!A:E,3,0)</f>
        <v>South</v>
      </c>
      <c r="J739" s="484" t="s">
        <v>161</v>
      </c>
      <c r="K739" s="484" t="str">
        <f>VLOOKUP(TabListaLojas[[#This Row],[UF]],UF!A:B,2,0)</f>
        <v>Paraná</v>
      </c>
      <c r="L739" s="484" t="s">
        <v>146</v>
      </c>
      <c r="M739" s="484" t="s">
        <v>1420</v>
      </c>
      <c r="N739" s="484" t="s">
        <v>676</v>
      </c>
      <c r="O739" s="487">
        <v>2197.6</v>
      </c>
    </row>
    <row r="740" spans="2:15" ht="15" customHeight="1">
      <c r="B740" s="483">
        <v>1</v>
      </c>
      <c r="C740" s="484" t="s">
        <v>2000</v>
      </c>
      <c r="D740" s="488" t="s">
        <v>126</v>
      </c>
      <c r="E740" s="488" t="str">
        <f t="shared" si="30"/>
        <v>Open</v>
      </c>
      <c r="F740" s="488">
        <v>38820</v>
      </c>
      <c r="G740" s="488"/>
      <c r="H740" s="484" t="s">
        <v>673</v>
      </c>
      <c r="I740" s="484" t="str">
        <f>VLOOKUP(TabListaLojas[[#This Row],[UF]],UF!A:E,3,0)</f>
        <v>South</v>
      </c>
      <c r="J740" s="484" t="s">
        <v>117</v>
      </c>
      <c r="K740" s="484" t="str">
        <f>VLOOKUP(TabListaLojas[[#This Row],[UF]],UF!A:B,2,0)</f>
        <v>Rio Grande do Sul</v>
      </c>
      <c r="L740" s="484" t="s">
        <v>129</v>
      </c>
      <c r="M740" s="484" t="s">
        <v>1421</v>
      </c>
      <c r="N740" s="484" t="s">
        <v>676</v>
      </c>
      <c r="O740" s="487">
        <v>947.95</v>
      </c>
    </row>
    <row r="741" spans="2:15" ht="15" hidden="1" customHeight="1">
      <c r="B741" s="491">
        <v>0</v>
      </c>
      <c r="C741" s="492" t="s">
        <v>2236</v>
      </c>
      <c r="D741" s="493" t="s">
        <v>116</v>
      </c>
      <c r="E741" s="493" t="str">
        <f t="shared" si="30"/>
        <v>Closed</v>
      </c>
      <c r="F741" s="493">
        <v>38805</v>
      </c>
      <c r="G741" s="493">
        <v>43099</v>
      </c>
      <c r="H741" s="492" t="s">
        <v>673</v>
      </c>
      <c r="I741" s="492" t="str">
        <f>VLOOKUP(TabListaLojas[[#This Row],[UF]],UF!A:E,3,0)</f>
        <v>Northest</v>
      </c>
      <c r="J741" s="492" t="s">
        <v>121</v>
      </c>
      <c r="K741" s="492" t="str">
        <f>VLOOKUP(TabListaLojas[[#This Row],[UF]],UF!A:B,2,0)</f>
        <v>Pernambuco</v>
      </c>
      <c r="L741" s="492" t="s">
        <v>125</v>
      </c>
      <c r="M741" s="492" t="s">
        <v>1563</v>
      </c>
      <c r="N741" s="492" t="s">
        <v>714</v>
      </c>
      <c r="O741" s="495">
        <v>0</v>
      </c>
    </row>
    <row r="742" spans="2:15" ht="15" customHeight="1">
      <c r="B742" s="483">
        <v>1</v>
      </c>
      <c r="C742" s="484" t="s">
        <v>1905</v>
      </c>
      <c r="D742" s="488" t="s">
        <v>116</v>
      </c>
      <c r="E742" s="488" t="str">
        <f t="shared" si="30"/>
        <v>Open</v>
      </c>
      <c r="F742" s="488">
        <v>38805</v>
      </c>
      <c r="G742" s="488"/>
      <c r="H742" s="484" t="s">
        <v>673</v>
      </c>
      <c r="I742" s="484" t="str">
        <f>VLOOKUP(TabListaLojas[[#This Row],[UF]],UF!A:E,3,0)</f>
        <v>Northest</v>
      </c>
      <c r="J742" s="484" t="s">
        <v>121</v>
      </c>
      <c r="K742" s="484" t="str">
        <f>VLOOKUP(TabListaLojas[[#This Row],[UF]],UF!A:B,2,0)</f>
        <v>Pernambuco</v>
      </c>
      <c r="L742" s="484" t="s">
        <v>1422</v>
      </c>
      <c r="M742" s="484" t="s">
        <v>1423</v>
      </c>
      <c r="N742" s="484" t="s">
        <v>676</v>
      </c>
      <c r="O742" s="487">
        <v>3196.0699999999997</v>
      </c>
    </row>
    <row r="743" spans="2:15" ht="15" customHeight="1">
      <c r="B743" s="483">
        <v>1</v>
      </c>
      <c r="C743" s="484" t="s">
        <v>1999</v>
      </c>
      <c r="D743" s="488" t="s">
        <v>126</v>
      </c>
      <c r="E743" s="488" t="str">
        <f t="shared" si="30"/>
        <v>Open</v>
      </c>
      <c r="F743" s="488">
        <v>38801</v>
      </c>
      <c r="G743" s="488"/>
      <c r="H743" s="484" t="s">
        <v>673</v>
      </c>
      <c r="I743" s="484" t="str">
        <f>VLOOKUP(TabListaLojas[[#This Row],[UF]],UF!A:E,3,0)</f>
        <v>South</v>
      </c>
      <c r="J743" s="484" t="s">
        <v>161</v>
      </c>
      <c r="K743" s="484" t="str">
        <f>VLOOKUP(TabListaLojas[[#This Row],[UF]],UF!A:B,2,0)</f>
        <v>Paraná</v>
      </c>
      <c r="L743" s="484" t="s">
        <v>146</v>
      </c>
      <c r="M743" s="484" t="s">
        <v>1424</v>
      </c>
      <c r="N743" s="484" t="s">
        <v>676</v>
      </c>
      <c r="O743" s="487">
        <v>510.63</v>
      </c>
    </row>
    <row r="744" spans="2:15" ht="15" customHeight="1">
      <c r="B744" s="483">
        <v>1</v>
      </c>
      <c r="C744" s="484" t="s">
        <v>1906</v>
      </c>
      <c r="D744" s="488" t="s">
        <v>116</v>
      </c>
      <c r="E744" s="488" t="str">
        <f t="shared" si="30"/>
        <v>Open</v>
      </c>
      <c r="F744" s="488">
        <v>38659</v>
      </c>
      <c r="G744" s="488"/>
      <c r="H744" s="484" t="s">
        <v>673</v>
      </c>
      <c r="I744" s="484" t="str">
        <f>VLOOKUP(TabListaLojas[[#This Row],[UF]],UF!A:E,3,0)</f>
        <v>South</v>
      </c>
      <c r="J744" s="484" t="s">
        <v>117</v>
      </c>
      <c r="K744" s="484" t="str">
        <f>VLOOKUP(TabListaLojas[[#This Row],[UF]],UF!A:B,2,0)</f>
        <v>Rio Grande do Sul</v>
      </c>
      <c r="L744" s="484" t="s">
        <v>1079</v>
      </c>
      <c r="M744" s="484" t="s">
        <v>1425</v>
      </c>
      <c r="N744" s="484" t="s">
        <v>676</v>
      </c>
      <c r="O744" s="487">
        <v>3017.62</v>
      </c>
    </row>
    <row r="745" spans="2:15" ht="15" customHeight="1">
      <c r="B745" s="483">
        <v>1</v>
      </c>
      <c r="C745" s="484" t="s">
        <v>1907</v>
      </c>
      <c r="D745" s="488" t="s">
        <v>116</v>
      </c>
      <c r="E745" s="488" t="str">
        <f t="shared" si="30"/>
        <v>Open</v>
      </c>
      <c r="F745" s="488">
        <v>38652</v>
      </c>
      <c r="G745" s="488"/>
      <c r="H745" s="484" t="s">
        <v>673</v>
      </c>
      <c r="I745" s="484" t="str">
        <f>VLOOKUP(TabListaLojas[[#This Row],[UF]],UF!A:E,3,0)</f>
        <v>Southest</v>
      </c>
      <c r="J745" s="484" t="s">
        <v>118</v>
      </c>
      <c r="K745" s="484" t="str">
        <f>VLOOKUP(TabListaLojas[[#This Row],[UF]],UF!A:B,2,0)</f>
        <v>São Paulo</v>
      </c>
      <c r="L745" s="484" t="s">
        <v>1164</v>
      </c>
      <c r="M745" s="484" t="s">
        <v>1426</v>
      </c>
      <c r="N745" s="484" t="s">
        <v>676</v>
      </c>
      <c r="O745" s="487">
        <v>1710.02</v>
      </c>
    </row>
    <row r="746" spans="2:15" ht="15" customHeight="1">
      <c r="B746" s="483">
        <v>1</v>
      </c>
      <c r="C746" s="484" t="s">
        <v>1908</v>
      </c>
      <c r="D746" s="488" t="s">
        <v>116</v>
      </c>
      <c r="E746" s="488" t="str">
        <f t="shared" si="30"/>
        <v>Open</v>
      </c>
      <c r="F746" s="488">
        <v>38470</v>
      </c>
      <c r="G746" s="488"/>
      <c r="H746" s="484" t="s">
        <v>673</v>
      </c>
      <c r="I746" s="484" t="str">
        <f>VLOOKUP(TabListaLojas[[#This Row],[UF]],UF!A:E,3,0)</f>
        <v>South</v>
      </c>
      <c r="J746" s="484" t="s">
        <v>161</v>
      </c>
      <c r="K746" s="484" t="str">
        <f>VLOOKUP(TabListaLojas[[#This Row],[UF]],UF!A:B,2,0)</f>
        <v>Paraná</v>
      </c>
      <c r="L746" s="484" t="s">
        <v>787</v>
      </c>
      <c r="M746" s="484" t="s">
        <v>1427</v>
      </c>
      <c r="N746" s="484" t="s">
        <v>676</v>
      </c>
      <c r="O746" s="487">
        <v>3012.49</v>
      </c>
    </row>
    <row r="747" spans="2:15" ht="15" customHeight="1">
      <c r="B747" s="483">
        <v>1</v>
      </c>
      <c r="C747" s="484" t="s">
        <v>1909</v>
      </c>
      <c r="D747" s="488" t="s">
        <v>116</v>
      </c>
      <c r="E747" s="488" t="str">
        <f t="shared" si="30"/>
        <v>Open</v>
      </c>
      <c r="F747" s="488">
        <v>38462</v>
      </c>
      <c r="G747" s="488"/>
      <c r="H747" s="484" t="s">
        <v>673</v>
      </c>
      <c r="I747" s="484" t="str">
        <f>VLOOKUP(TabListaLojas[[#This Row],[UF]],UF!A:E,3,0)</f>
        <v>Midwest</v>
      </c>
      <c r="J747" s="484" t="s">
        <v>160</v>
      </c>
      <c r="K747" s="484" t="str">
        <f>VLOOKUP(TabListaLojas[[#This Row],[UF]],UF!A:B,2,0)</f>
        <v>Mato Grosso do Sul</v>
      </c>
      <c r="L747" s="484" t="s">
        <v>141</v>
      </c>
      <c r="M747" s="484" t="s">
        <v>868</v>
      </c>
      <c r="N747" s="484" t="s">
        <v>676</v>
      </c>
      <c r="O747" s="487">
        <v>3611.44</v>
      </c>
    </row>
    <row r="748" spans="2:15" ht="15" hidden="1" customHeight="1">
      <c r="B748" s="491">
        <v>0</v>
      </c>
      <c r="C748" s="492" t="s">
        <v>1998</v>
      </c>
      <c r="D748" s="493" t="s">
        <v>126</v>
      </c>
      <c r="E748" s="493" t="str">
        <f t="shared" si="30"/>
        <v>Closed</v>
      </c>
      <c r="F748" s="493">
        <v>38451</v>
      </c>
      <c r="G748" s="493">
        <v>42401</v>
      </c>
      <c r="H748" s="492" t="s">
        <v>673</v>
      </c>
      <c r="I748" s="492" t="str">
        <f>VLOOKUP(TabListaLojas[[#This Row],[UF]],UF!A:E,3,0)</f>
        <v>Southest</v>
      </c>
      <c r="J748" s="492" t="s">
        <v>118</v>
      </c>
      <c r="K748" s="492" t="str">
        <f>VLOOKUP(TabListaLojas[[#This Row],[UF]],UF!A:B,2,0)</f>
        <v>São Paulo</v>
      </c>
      <c r="L748" s="492" t="s">
        <v>124</v>
      </c>
      <c r="M748" s="492" t="s">
        <v>1564</v>
      </c>
      <c r="N748" s="492" t="s">
        <v>676</v>
      </c>
      <c r="O748" s="495">
        <v>0</v>
      </c>
    </row>
    <row r="749" spans="2:15" ht="15" customHeight="1">
      <c r="B749" s="483">
        <v>1</v>
      </c>
      <c r="C749" s="484" t="s">
        <v>1910</v>
      </c>
      <c r="D749" s="488" t="s">
        <v>116</v>
      </c>
      <c r="E749" s="488" t="str">
        <f t="shared" si="30"/>
        <v>Open</v>
      </c>
      <c r="F749" s="488">
        <v>38321</v>
      </c>
      <c r="G749" s="488"/>
      <c r="H749" s="484" t="s">
        <v>673</v>
      </c>
      <c r="I749" s="484" t="str">
        <f>VLOOKUP(TabListaLojas[[#This Row],[UF]],UF!A:E,3,0)</f>
        <v>Midwest</v>
      </c>
      <c r="J749" s="484" t="s">
        <v>119</v>
      </c>
      <c r="K749" s="484" t="str">
        <f>VLOOKUP(TabListaLojas[[#This Row],[UF]],UF!A:B,2,0)</f>
        <v>Mato Grosso</v>
      </c>
      <c r="L749" s="484" t="s">
        <v>133</v>
      </c>
      <c r="M749" s="484" t="s">
        <v>1213</v>
      </c>
      <c r="N749" s="484" t="s">
        <v>676</v>
      </c>
      <c r="O749" s="487">
        <v>2888.69</v>
      </c>
    </row>
    <row r="750" spans="2:15" ht="15" hidden="1" customHeight="1">
      <c r="B750" s="491">
        <v>0</v>
      </c>
      <c r="C750" s="492" t="s">
        <v>1997</v>
      </c>
      <c r="D750" s="493" t="s">
        <v>126</v>
      </c>
      <c r="E750" s="493" t="str">
        <f t="shared" si="30"/>
        <v>Closed</v>
      </c>
      <c r="F750" s="493">
        <v>38311</v>
      </c>
      <c r="G750" s="493">
        <v>44950</v>
      </c>
      <c r="H750" s="492" t="s">
        <v>673</v>
      </c>
      <c r="I750" s="492" t="str">
        <f>VLOOKUP(TabListaLojas[[#This Row],[UF]],UF!A:E,3,0)</f>
        <v>Southest</v>
      </c>
      <c r="J750" s="492" t="s">
        <v>122</v>
      </c>
      <c r="K750" s="492" t="str">
        <f>VLOOKUP(TabListaLojas[[#This Row],[UF]],UF!A:B,2,0)</f>
        <v>Rio de Janeiro</v>
      </c>
      <c r="L750" s="492" t="s">
        <v>128</v>
      </c>
      <c r="M750" s="492" t="s">
        <v>1565</v>
      </c>
      <c r="N750" s="492" t="s">
        <v>676</v>
      </c>
      <c r="O750" s="495">
        <v>0</v>
      </c>
    </row>
    <row r="751" spans="2:15" ht="15" hidden="1" customHeight="1">
      <c r="B751" s="491">
        <v>0</v>
      </c>
      <c r="C751" s="492" t="s">
        <v>1996</v>
      </c>
      <c r="D751" s="493" t="s">
        <v>126</v>
      </c>
      <c r="E751" s="493" t="str">
        <f t="shared" si="30"/>
        <v>Closed</v>
      </c>
      <c r="F751" s="493">
        <v>38276</v>
      </c>
      <c r="G751" s="493">
        <v>42005</v>
      </c>
      <c r="H751" s="492" t="s">
        <v>673</v>
      </c>
      <c r="I751" s="492" t="str">
        <f>VLOOKUP(TabListaLojas[[#This Row],[UF]],UF!A:E,3,0)</f>
        <v>Southest</v>
      </c>
      <c r="J751" s="492" t="s">
        <v>118</v>
      </c>
      <c r="K751" s="492" t="str">
        <f>VLOOKUP(TabListaLojas[[#This Row],[UF]],UF!A:B,2,0)</f>
        <v>São Paulo</v>
      </c>
      <c r="L751" s="492" t="s">
        <v>124</v>
      </c>
      <c r="M751" s="492" t="s">
        <v>1566</v>
      </c>
      <c r="N751" s="492" t="s">
        <v>676</v>
      </c>
      <c r="O751" s="495">
        <v>0</v>
      </c>
    </row>
    <row r="752" spans="2:15" ht="15" customHeight="1">
      <c r="B752" s="483">
        <v>1</v>
      </c>
      <c r="C752" s="484" t="s">
        <v>1911</v>
      </c>
      <c r="D752" s="488" t="s">
        <v>116</v>
      </c>
      <c r="E752" s="488" t="str">
        <f t="shared" si="30"/>
        <v>Open</v>
      </c>
      <c r="F752" s="488">
        <v>38232</v>
      </c>
      <c r="G752" s="488"/>
      <c r="H752" s="484" t="s">
        <v>673</v>
      </c>
      <c r="I752" s="484" t="str">
        <f>VLOOKUP(TabListaLojas[[#This Row],[UF]],UF!A:E,3,0)</f>
        <v>Southest</v>
      </c>
      <c r="J752" s="484" t="s">
        <v>118</v>
      </c>
      <c r="K752" s="484" t="str">
        <f>VLOOKUP(TabListaLojas[[#This Row],[UF]],UF!A:B,2,0)</f>
        <v>São Paulo</v>
      </c>
      <c r="L752" s="484" t="s">
        <v>775</v>
      </c>
      <c r="M752" s="484" t="s">
        <v>776</v>
      </c>
      <c r="N752" s="484" t="s">
        <v>676</v>
      </c>
      <c r="O752" s="487">
        <v>3109.02</v>
      </c>
    </row>
    <row r="753" spans="2:15" ht="15" hidden="1" customHeight="1">
      <c r="B753" s="491">
        <v>0</v>
      </c>
      <c r="C753" s="492" t="s">
        <v>2235</v>
      </c>
      <c r="D753" s="493" t="s">
        <v>116</v>
      </c>
      <c r="E753" s="493" t="str">
        <f t="shared" si="30"/>
        <v>Closed</v>
      </c>
      <c r="F753" s="493">
        <v>38141</v>
      </c>
      <c r="G753" s="493">
        <v>44928</v>
      </c>
      <c r="H753" s="492" t="s">
        <v>673</v>
      </c>
      <c r="I753" s="492" t="str">
        <f>VLOOKUP(TabListaLojas[[#This Row],[UF]],UF!A:E,3,0)</f>
        <v>Southest</v>
      </c>
      <c r="J753" s="492" t="s">
        <v>149</v>
      </c>
      <c r="K753" s="492" t="str">
        <f>VLOOKUP(TabListaLojas[[#This Row],[UF]],UF!A:B,2,0)</f>
        <v>Minas Gerais</v>
      </c>
      <c r="L753" s="492" t="s">
        <v>136</v>
      </c>
      <c r="M753" s="492" t="s">
        <v>1567</v>
      </c>
      <c r="N753" s="492" t="s">
        <v>714</v>
      </c>
      <c r="O753" s="495">
        <v>0</v>
      </c>
    </row>
    <row r="754" spans="2:15" ht="15" customHeight="1">
      <c r="B754" s="483">
        <v>1</v>
      </c>
      <c r="C754" s="484" t="s">
        <v>1912</v>
      </c>
      <c r="D754" s="488" t="s">
        <v>116</v>
      </c>
      <c r="E754" s="488" t="str">
        <f t="shared" si="30"/>
        <v>Open</v>
      </c>
      <c r="F754" s="488">
        <v>38064</v>
      </c>
      <c r="G754" s="488"/>
      <c r="H754" s="484" t="s">
        <v>673</v>
      </c>
      <c r="I754" s="484" t="str">
        <f>VLOOKUP(TabListaLojas[[#This Row],[UF]],UF!A:E,3,0)</f>
        <v>Southest</v>
      </c>
      <c r="J754" s="484" t="s">
        <v>149</v>
      </c>
      <c r="K754" s="484" t="str">
        <f>VLOOKUP(TabListaLojas[[#This Row],[UF]],UF!A:B,2,0)</f>
        <v>Minas Gerais</v>
      </c>
      <c r="L754" s="484" t="s">
        <v>1166</v>
      </c>
      <c r="M754" s="484" t="s">
        <v>1428</v>
      </c>
      <c r="N754" s="484" t="s">
        <v>676</v>
      </c>
      <c r="O754" s="487">
        <v>2669.23</v>
      </c>
    </row>
    <row r="755" spans="2:15" ht="15" customHeight="1">
      <c r="B755" s="483">
        <v>1</v>
      </c>
      <c r="C755" s="484" t="s">
        <v>1995</v>
      </c>
      <c r="D755" s="488" t="s">
        <v>126</v>
      </c>
      <c r="E755" s="488" t="str">
        <f t="shared" si="30"/>
        <v>Open</v>
      </c>
      <c r="F755" s="488">
        <v>37938</v>
      </c>
      <c r="G755" s="488"/>
      <c r="H755" s="484" t="s">
        <v>673</v>
      </c>
      <c r="I755" s="484" t="str">
        <f>VLOOKUP(TabListaLojas[[#This Row],[UF]],UF!A:E,3,0)</f>
        <v>South</v>
      </c>
      <c r="J755" s="484" t="s">
        <v>161</v>
      </c>
      <c r="K755" s="484" t="str">
        <f>VLOOKUP(TabListaLojas[[#This Row],[UF]],UF!A:B,2,0)</f>
        <v>Paraná</v>
      </c>
      <c r="L755" s="484" t="s">
        <v>146</v>
      </c>
      <c r="M755" s="484" t="s">
        <v>1429</v>
      </c>
      <c r="N755" s="484" t="s">
        <v>676</v>
      </c>
      <c r="O755" s="487">
        <v>545.53</v>
      </c>
    </row>
    <row r="756" spans="2:15" ht="15" customHeight="1">
      <c r="B756" s="483">
        <v>1</v>
      </c>
      <c r="C756" s="484" t="s">
        <v>1913</v>
      </c>
      <c r="D756" s="488" t="s">
        <v>116</v>
      </c>
      <c r="E756" s="488" t="str">
        <f t="shared" si="30"/>
        <v>Open</v>
      </c>
      <c r="F756" s="488">
        <v>37938</v>
      </c>
      <c r="G756" s="488"/>
      <c r="H756" s="484" t="s">
        <v>673</v>
      </c>
      <c r="I756" s="484" t="str">
        <f>VLOOKUP(TabListaLojas[[#This Row],[UF]],UF!A:E,3,0)</f>
        <v>South</v>
      </c>
      <c r="J756" s="484" t="s">
        <v>161</v>
      </c>
      <c r="K756" s="484" t="str">
        <f>VLOOKUP(TabListaLojas[[#This Row],[UF]],UF!A:B,2,0)</f>
        <v>Paraná</v>
      </c>
      <c r="L756" s="484" t="s">
        <v>146</v>
      </c>
      <c r="M756" s="484" t="s">
        <v>1430</v>
      </c>
      <c r="N756" s="484" t="s">
        <v>676</v>
      </c>
      <c r="O756" s="487">
        <v>4103.84</v>
      </c>
    </row>
    <row r="757" spans="2:15" ht="15" customHeight="1">
      <c r="B757" s="483">
        <v>1</v>
      </c>
      <c r="C757" s="484" t="s">
        <v>1914</v>
      </c>
      <c r="D757" s="488" t="s">
        <v>116</v>
      </c>
      <c r="E757" s="488" t="str">
        <f t="shared" si="30"/>
        <v>Open</v>
      </c>
      <c r="F757" s="488">
        <v>37931</v>
      </c>
      <c r="G757" s="488"/>
      <c r="H757" s="484" t="s">
        <v>673</v>
      </c>
      <c r="I757" s="484" t="str">
        <f>VLOOKUP(TabListaLojas[[#This Row],[UF]],UF!A:E,3,0)</f>
        <v>Southest</v>
      </c>
      <c r="J757" s="484" t="s">
        <v>122</v>
      </c>
      <c r="K757" s="484" t="str">
        <f>VLOOKUP(TabListaLojas[[#This Row],[UF]],UF!A:B,2,0)</f>
        <v>Rio de Janeiro</v>
      </c>
      <c r="L757" s="484" t="s">
        <v>128</v>
      </c>
      <c r="M757" s="484" t="s">
        <v>847</v>
      </c>
      <c r="N757" s="484" t="s">
        <v>676</v>
      </c>
      <c r="O757" s="487">
        <v>3737.18</v>
      </c>
    </row>
    <row r="758" spans="2:15" ht="15" customHeight="1">
      <c r="B758" s="483">
        <v>1</v>
      </c>
      <c r="C758" s="484" t="s">
        <v>1915</v>
      </c>
      <c r="D758" s="488" t="s">
        <v>116</v>
      </c>
      <c r="E758" s="488" t="str">
        <f t="shared" si="30"/>
        <v>Open</v>
      </c>
      <c r="F758" s="488">
        <v>37800</v>
      </c>
      <c r="G758" s="488"/>
      <c r="H758" s="484" t="s">
        <v>673</v>
      </c>
      <c r="I758" s="484" t="str">
        <f>VLOOKUP(TabListaLojas[[#This Row],[UF]],UF!A:E,3,0)</f>
        <v>Southest</v>
      </c>
      <c r="J758" s="484" t="s">
        <v>152</v>
      </c>
      <c r="K758" s="484" t="str">
        <f>VLOOKUP(TabListaLojas[[#This Row],[UF]],UF!A:B,2,0)</f>
        <v>Espírito Santo</v>
      </c>
      <c r="L758" s="484" t="s">
        <v>168</v>
      </c>
      <c r="M758" s="484" t="s">
        <v>722</v>
      </c>
      <c r="N758" s="484" t="s">
        <v>676</v>
      </c>
      <c r="O758" s="487">
        <v>2594.6</v>
      </c>
    </row>
    <row r="759" spans="2:15" ht="15" customHeight="1">
      <c r="B759" s="483">
        <v>1</v>
      </c>
      <c r="C759" s="484" t="s">
        <v>1916</v>
      </c>
      <c r="D759" s="488" t="s">
        <v>116</v>
      </c>
      <c r="E759" s="488" t="str">
        <f t="shared" si="30"/>
        <v>Open</v>
      </c>
      <c r="F759" s="488">
        <v>37749</v>
      </c>
      <c r="G759" s="488"/>
      <c r="H759" s="484" t="s">
        <v>673</v>
      </c>
      <c r="I759" s="484" t="str">
        <f>VLOOKUP(TabListaLojas[[#This Row],[UF]],UF!A:E,3,0)</f>
        <v>Southest</v>
      </c>
      <c r="J759" s="484" t="s">
        <v>118</v>
      </c>
      <c r="K759" s="484" t="str">
        <f>VLOOKUP(TabListaLojas[[#This Row],[UF]],UF!A:B,2,0)</f>
        <v>São Paulo</v>
      </c>
      <c r="L759" s="484" t="s">
        <v>124</v>
      </c>
      <c r="M759" s="484" t="s">
        <v>1431</v>
      </c>
      <c r="N759" s="484" t="s">
        <v>676</v>
      </c>
      <c r="O759" s="487">
        <v>4131.74</v>
      </c>
    </row>
    <row r="760" spans="2:15" ht="15" customHeight="1">
      <c r="B760" s="483">
        <v>1</v>
      </c>
      <c r="C760" s="484" t="s">
        <v>1994</v>
      </c>
      <c r="D760" s="488" t="s">
        <v>126</v>
      </c>
      <c r="E760" s="488" t="str">
        <f t="shared" si="30"/>
        <v>Open</v>
      </c>
      <c r="F760" s="488">
        <v>37723</v>
      </c>
      <c r="G760" s="488"/>
      <c r="H760" s="484" t="s">
        <v>673</v>
      </c>
      <c r="I760" s="484" t="str">
        <f>VLOOKUP(TabListaLojas[[#This Row],[UF]],UF!A:E,3,0)</f>
        <v>Southest</v>
      </c>
      <c r="J760" s="484" t="s">
        <v>118</v>
      </c>
      <c r="K760" s="484" t="str">
        <f>VLOOKUP(TabListaLojas[[#This Row],[UF]],UF!A:B,2,0)</f>
        <v>São Paulo</v>
      </c>
      <c r="L760" s="484" t="s">
        <v>775</v>
      </c>
      <c r="M760" s="484" t="s">
        <v>1421</v>
      </c>
      <c r="N760" s="484" t="s">
        <v>676</v>
      </c>
      <c r="O760" s="487">
        <v>827.34</v>
      </c>
    </row>
    <row r="761" spans="2:15" ht="15" customHeight="1">
      <c r="B761" s="483">
        <v>1</v>
      </c>
      <c r="C761" s="484" t="s">
        <v>1917</v>
      </c>
      <c r="D761" s="488" t="s">
        <v>116</v>
      </c>
      <c r="E761" s="488" t="str">
        <f t="shared" si="30"/>
        <v>Open</v>
      </c>
      <c r="F761" s="488">
        <v>37225</v>
      </c>
      <c r="G761" s="488"/>
      <c r="H761" s="484" t="s">
        <v>673</v>
      </c>
      <c r="I761" s="484" t="str">
        <f>VLOOKUP(TabListaLojas[[#This Row],[UF]],UF!A:E,3,0)</f>
        <v>Southest</v>
      </c>
      <c r="J761" s="484" t="s">
        <v>118</v>
      </c>
      <c r="K761" s="484" t="str">
        <f>VLOOKUP(TabListaLojas[[#This Row],[UF]],UF!A:B,2,0)</f>
        <v>São Paulo</v>
      </c>
      <c r="L761" s="484" t="s">
        <v>783</v>
      </c>
      <c r="M761" s="484" t="s">
        <v>784</v>
      </c>
      <c r="N761" s="484" t="s">
        <v>676</v>
      </c>
      <c r="O761" s="487">
        <v>4605.8600000000006</v>
      </c>
    </row>
    <row r="762" spans="2:15" ht="15" customHeight="1">
      <c r="B762" s="483">
        <v>1</v>
      </c>
      <c r="C762" s="484" t="s">
        <v>1918</v>
      </c>
      <c r="D762" s="488" t="s">
        <v>116</v>
      </c>
      <c r="E762" s="488" t="str">
        <f t="shared" si="30"/>
        <v>Open</v>
      </c>
      <c r="F762" s="488">
        <v>37161</v>
      </c>
      <c r="G762" s="488"/>
      <c r="H762" s="484" t="s">
        <v>673</v>
      </c>
      <c r="I762" s="484" t="str">
        <f>VLOOKUP(TabListaLojas[[#This Row],[UF]],UF!A:E,3,0)</f>
        <v>Southest</v>
      </c>
      <c r="J762" s="484" t="s">
        <v>122</v>
      </c>
      <c r="K762" s="484" t="str">
        <f>VLOOKUP(TabListaLojas[[#This Row],[UF]],UF!A:B,2,0)</f>
        <v>Rio de Janeiro</v>
      </c>
      <c r="L762" s="484" t="s">
        <v>128</v>
      </c>
      <c r="M762" s="484" t="s">
        <v>1432</v>
      </c>
      <c r="N762" s="484" t="s">
        <v>676</v>
      </c>
      <c r="O762" s="487">
        <v>2867.67</v>
      </c>
    </row>
    <row r="763" spans="2:15" ht="15" customHeight="1">
      <c r="B763" s="483">
        <v>1</v>
      </c>
      <c r="C763" s="484" t="s">
        <v>1919</v>
      </c>
      <c r="D763" s="488" t="s">
        <v>116</v>
      </c>
      <c r="E763" s="488" t="str">
        <f t="shared" si="30"/>
        <v>Open</v>
      </c>
      <c r="F763" s="488">
        <v>37019</v>
      </c>
      <c r="G763" s="488"/>
      <c r="H763" s="484" t="s">
        <v>673</v>
      </c>
      <c r="I763" s="484" t="str">
        <f>VLOOKUP(TabListaLojas[[#This Row],[UF]],UF!A:E,3,0)</f>
        <v>Midwest</v>
      </c>
      <c r="J763" s="484" t="s">
        <v>156</v>
      </c>
      <c r="K763" s="484" t="str">
        <f>VLOOKUP(TabListaLojas[[#This Row],[UF]],UF!A:B,2,0)</f>
        <v>Distrito Federal</v>
      </c>
      <c r="L763" s="484" t="s">
        <v>142</v>
      </c>
      <c r="M763" s="484" t="s">
        <v>1433</v>
      </c>
      <c r="N763" s="484" t="s">
        <v>676</v>
      </c>
      <c r="O763" s="487">
        <v>3717.37</v>
      </c>
    </row>
    <row r="764" spans="2:15" ht="15" customHeight="1">
      <c r="B764" s="483">
        <v>1</v>
      </c>
      <c r="C764" s="484" t="s">
        <v>1920</v>
      </c>
      <c r="D764" s="488" t="s">
        <v>116</v>
      </c>
      <c r="E764" s="488" t="str">
        <f t="shared" si="30"/>
        <v>Open</v>
      </c>
      <c r="F764" s="488">
        <v>37014</v>
      </c>
      <c r="G764" s="488"/>
      <c r="H764" s="484" t="s">
        <v>673</v>
      </c>
      <c r="I764" s="484" t="str">
        <f>VLOOKUP(TabListaLojas[[#This Row],[UF]],UF!A:E,3,0)</f>
        <v>Southest</v>
      </c>
      <c r="J764" s="484" t="s">
        <v>149</v>
      </c>
      <c r="K764" s="484" t="str">
        <f>VLOOKUP(TabListaLojas[[#This Row],[UF]],UF!A:B,2,0)</f>
        <v>Minas Gerais</v>
      </c>
      <c r="L764" s="484" t="s">
        <v>136</v>
      </c>
      <c r="M764" s="484" t="s">
        <v>1012</v>
      </c>
      <c r="N764" s="484" t="s">
        <v>676</v>
      </c>
      <c r="O764" s="487">
        <v>2992.38</v>
      </c>
    </row>
    <row r="765" spans="2:15" ht="15" customHeight="1">
      <c r="B765" s="483">
        <v>1</v>
      </c>
      <c r="C765" s="484" t="s">
        <v>1921</v>
      </c>
      <c r="D765" s="488" t="s">
        <v>116</v>
      </c>
      <c r="E765" s="488" t="str">
        <f t="shared" si="30"/>
        <v>Open</v>
      </c>
      <c r="F765" s="488">
        <v>36979</v>
      </c>
      <c r="G765" s="488"/>
      <c r="H765" s="484" t="s">
        <v>673</v>
      </c>
      <c r="I765" s="484" t="str">
        <f>VLOOKUP(TabListaLojas[[#This Row],[UF]],UF!A:E,3,0)</f>
        <v>South</v>
      </c>
      <c r="J765" s="484" t="s">
        <v>147</v>
      </c>
      <c r="K765" s="484" t="str">
        <f>VLOOKUP(TabListaLojas[[#This Row],[UF]],UF!A:B,2,0)</f>
        <v>Santa Catarina</v>
      </c>
      <c r="L765" s="484" t="s">
        <v>1116</v>
      </c>
      <c r="M765" s="484" t="s">
        <v>1208</v>
      </c>
      <c r="N765" s="484" t="s">
        <v>676</v>
      </c>
      <c r="O765" s="487">
        <v>3442</v>
      </c>
    </row>
    <row r="766" spans="2:15" ht="15" customHeight="1">
      <c r="B766" s="483">
        <v>1</v>
      </c>
      <c r="C766" s="484" t="s">
        <v>1922</v>
      </c>
      <c r="D766" s="488" t="s">
        <v>116</v>
      </c>
      <c r="E766" s="488" t="str">
        <f t="shared" si="30"/>
        <v>Open</v>
      </c>
      <c r="F766" s="488">
        <v>36846</v>
      </c>
      <c r="G766" s="488"/>
      <c r="H766" s="484" t="s">
        <v>673</v>
      </c>
      <c r="I766" s="484" t="str">
        <f>VLOOKUP(TabListaLojas[[#This Row],[UF]],UF!A:E,3,0)</f>
        <v>Midwest</v>
      </c>
      <c r="J766" s="484" t="s">
        <v>156</v>
      </c>
      <c r="K766" s="484" t="str">
        <f>VLOOKUP(TabListaLojas[[#This Row],[UF]],UF!A:B,2,0)</f>
        <v>Distrito Federal</v>
      </c>
      <c r="L766" s="484" t="s">
        <v>142</v>
      </c>
      <c r="M766" s="484" t="s">
        <v>1150</v>
      </c>
      <c r="N766" s="484" t="s">
        <v>676</v>
      </c>
      <c r="O766" s="487">
        <v>3259.96</v>
      </c>
    </row>
    <row r="767" spans="2:15" ht="15" customHeight="1">
      <c r="B767" s="483">
        <v>1</v>
      </c>
      <c r="C767" s="484" t="s">
        <v>1923</v>
      </c>
      <c r="D767" s="488" t="s">
        <v>116</v>
      </c>
      <c r="E767" s="488" t="str">
        <f t="shared" si="30"/>
        <v>Open</v>
      </c>
      <c r="F767" s="488">
        <v>36826</v>
      </c>
      <c r="G767" s="488"/>
      <c r="H767" s="484" t="s">
        <v>673</v>
      </c>
      <c r="I767" s="484" t="str">
        <f>VLOOKUP(TabListaLojas[[#This Row],[UF]],UF!A:E,3,0)</f>
        <v>Southest</v>
      </c>
      <c r="J767" s="484" t="s">
        <v>149</v>
      </c>
      <c r="K767" s="484" t="str">
        <f>VLOOKUP(TabListaLojas[[#This Row],[UF]],UF!A:B,2,0)</f>
        <v>Minas Gerais</v>
      </c>
      <c r="L767" s="484" t="s">
        <v>1113</v>
      </c>
      <c r="M767" s="484" t="s">
        <v>1323</v>
      </c>
      <c r="N767" s="484" t="s">
        <v>676</v>
      </c>
      <c r="O767" s="487">
        <v>3531.4800000000005</v>
      </c>
    </row>
    <row r="768" spans="2:15" ht="15" hidden="1" customHeight="1">
      <c r="B768" s="491">
        <v>0</v>
      </c>
      <c r="C768" s="492" t="s">
        <v>1993</v>
      </c>
      <c r="D768" s="493" t="s">
        <v>126</v>
      </c>
      <c r="E768" s="493" t="str">
        <f t="shared" si="30"/>
        <v>Closed</v>
      </c>
      <c r="F768" s="493">
        <v>36797</v>
      </c>
      <c r="G768" s="493">
        <v>42401</v>
      </c>
      <c r="H768" s="492" t="s">
        <v>673</v>
      </c>
      <c r="I768" s="492" t="str">
        <f>VLOOKUP(TabListaLojas[[#This Row],[UF]],UF!A:E,3,0)</f>
        <v>Southest</v>
      </c>
      <c r="J768" s="492" t="s">
        <v>118</v>
      </c>
      <c r="K768" s="492" t="str">
        <f>VLOOKUP(TabListaLojas[[#This Row],[UF]],UF!A:B,2,0)</f>
        <v>São Paulo</v>
      </c>
      <c r="L768" s="492" t="s">
        <v>124</v>
      </c>
      <c r="M768" s="492" t="s">
        <v>1568</v>
      </c>
      <c r="N768" s="492" t="s">
        <v>676</v>
      </c>
      <c r="O768" s="495">
        <v>0</v>
      </c>
    </row>
    <row r="769" spans="2:15" ht="15" customHeight="1">
      <c r="B769" s="483">
        <v>1</v>
      </c>
      <c r="C769" s="484" t="s">
        <v>1924</v>
      </c>
      <c r="D769" s="488" t="s">
        <v>116</v>
      </c>
      <c r="E769" s="488" t="str">
        <f t="shared" si="30"/>
        <v>Open</v>
      </c>
      <c r="F769" s="488">
        <v>36783</v>
      </c>
      <c r="G769" s="488"/>
      <c r="H769" s="484" t="s">
        <v>673</v>
      </c>
      <c r="I769" s="484" t="str">
        <f>VLOOKUP(TabListaLojas[[#This Row],[UF]],UF!A:E,3,0)</f>
        <v>Southest</v>
      </c>
      <c r="J769" s="484" t="s">
        <v>118</v>
      </c>
      <c r="K769" s="484" t="str">
        <f>VLOOKUP(TabListaLojas[[#This Row],[UF]],UF!A:B,2,0)</f>
        <v>São Paulo</v>
      </c>
      <c r="L769" s="484" t="s">
        <v>775</v>
      </c>
      <c r="M769" s="484" t="s">
        <v>1434</v>
      </c>
      <c r="N769" s="484" t="s">
        <v>676</v>
      </c>
      <c r="O769" s="487">
        <v>4515.82</v>
      </c>
    </row>
    <row r="770" spans="2:15" ht="15" customHeight="1">
      <c r="B770" s="483">
        <v>1</v>
      </c>
      <c r="C770" s="484" t="s">
        <v>1992</v>
      </c>
      <c r="D770" s="488" t="s">
        <v>126</v>
      </c>
      <c r="E770" s="488" t="str">
        <f t="shared" si="30"/>
        <v>Open</v>
      </c>
      <c r="F770" s="488">
        <v>36719</v>
      </c>
      <c r="G770" s="488"/>
      <c r="H770" s="484" t="s">
        <v>673</v>
      </c>
      <c r="I770" s="484" t="str">
        <f>VLOOKUP(TabListaLojas[[#This Row],[UF]],UF!A:E,3,0)</f>
        <v>Southest</v>
      </c>
      <c r="J770" s="484" t="s">
        <v>118</v>
      </c>
      <c r="K770" s="484" t="str">
        <f>VLOOKUP(TabListaLojas[[#This Row],[UF]],UF!A:B,2,0)</f>
        <v>São Paulo</v>
      </c>
      <c r="L770" s="484" t="s">
        <v>124</v>
      </c>
      <c r="M770" s="484" t="s">
        <v>1435</v>
      </c>
      <c r="N770" s="484" t="s">
        <v>676</v>
      </c>
      <c r="O770" s="487">
        <v>632.86</v>
      </c>
    </row>
    <row r="771" spans="2:15" ht="15" customHeight="1">
      <c r="B771" s="483">
        <v>1</v>
      </c>
      <c r="C771" s="484" t="s">
        <v>1925</v>
      </c>
      <c r="D771" s="488" t="s">
        <v>116</v>
      </c>
      <c r="E771" s="488" t="str">
        <f t="shared" si="30"/>
        <v>Open</v>
      </c>
      <c r="F771" s="488">
        <v>36657</v>
      </c>
      <c r="G771" s="488"/>
      <c r="H771" s="484" t="s">
        <v>673</v>
      </c>
      <c r="I771" s="484" t="str">
        <f>VLOOKUP(TabListaLojas[[#This Row],[UF]],UF!A:E,3,0)</f>
        <v>Southest</v>
      </c>
      <c r="J771" s="484" t="s">
        <v>118</v>
      </c>
      <c r="K771" s="484" t="str">
        <f>VLOOKUP(TabListaLojas[[#This Row],[UF]],UF!A:B,2,0)</f>
        <v>São Paulo</v>
      </c>
      <c r="L771" s="484" t="s">
        <v>124</v>
      </c>
      <c r="M771" s="484" t="s">
        <v>1073</v>
      </c>
      <c r="N771" s="484" t="s">
        <v>676</v>
      </c>
      <c r="O771" s="487">
        <v>4915.8600000000006</v>
      </c>
    </row>
    <row r="772" spans="2:15" ht="15" customHeight="1">
      <c r="B772" s="483">
        <v>1</v>
      </c>
      <c r="C772" s="484" t="s">
        <v>1926</v>
      </c>
      <c r="D772" s="488" t="s">
        <v>116</v>
      </c>
      <c r="E772" s="488" t="str">
        <f t="shared" si="30"/>
        <v>Open</v>
      </c>
      <c r="F772" s="488">
        <v>36656</v>
      </c>
      <c r="G772" s="488"/>
      <c r="H772" s="484" t="s">
        <v>673</v>
      </c>
      <c r="I772" s="484" t="str">
        <f>VLOOKUP(TabListaLojas[[#This Row],[UF]],UF!A:E,3,0)</f>
        <v>Southest</v>
      </c>
      <c r="J772" s="484" t="s">
        <v>118</v>
      </c>
      <c r="K772" s="484" t="str">
        <f>VLOOKUP(TabListaLojas[[#This Row],[UF]],UF!A:B,2,0)</f>
        <v>São Paulo</v>
      </c>
      <c r="L772" s="484" t="s">
        <v>124</v>
      </c>
      <c r="M772" s="484" t="s">
        <v>857</v>
      </c>
      <c r="N772" s="484" t="s">
        <v>676</v>
      </c>
      <c r="O772" s="487">
        <v>3118.3199999999997</v>
      </c>
    </row>
    <row r="773" spans="2:15" ht="15" customHeight="1">
      <c r="B773" s="483">
        <v>1</v>
      </c>
      <c r="C773" s="484" t="s">
        <v>1927</v>
      </c>
      <c r="D773" s="488" t="s">
        <v>116</v>
      </c>
      <c r="E773" s="488" t="str">
        <f t="shared" si="30"/>
        <v>Open</v>
      </c>
      <c r="F773" s="488">
        <v>36650</v>
      </c>
      <c r="G773" s="488"/>
      <c r="H773" s="484" t="s">
        <v>673</v>
      </c>
      <c r="I773" s="484" t="str">
        <f>VLOOKUP(TabListaLojas[[#This Row],[UF]],UF!A:E,3,0)</f>
        <v>South</v>
      </c>
      <c r="J773" s="484" t="s">
        <v>161</v>
      </c>
      <c r="K773" s="484" t="str">
        <f>VLOOKUP(TabListaLojas[[#This Row],[UF]],UF!A:B,2,0)</f>
        <v>Paraná</v>
      </c>
      <c r="L773" s="484" t="s">
        <v>146</v>
      </c>
      <c r="M773" s="484" t="s">
        <v>1424</v>
      </c>
      <c r="N773" s="484" t="s">
        <v>676</v>
      </c>
      <c r="O773" s="487">
        <v>3114.4300000000003</v>
      </c>
    </row>
    <row r="774" spans="2:15" ht="15" customHeight="1">
      <c r="B774" s="483">
        <v>1</v>
      </c>
      <c r="C774" s="484" t="s">
        <v>1928</v>
      </c>
      <c r="D774" s="488" t="s">
        <v>116</v>
      </c>
      <c r="E774" s="488" t="str">
        <f t="shared" si="30"/>
        <v>Open</v>
      </c>
      <c r="F774" s="488">
        <v>36644</v>
      </c>
      <c r="G774" s="488"/>
      <c r="H774" s="484" t="s">
        <v>673</v>
      </c>
      <c r="I774" s="484" t="str">
        <f>VLOOKUP(TabListaLojas[[#This Row],[UF]],UF!A:E,3,0)</f>
        <v>Southest</v>
      </c>
      <c r="J774" s="484" t="s">
        <v>118</v>
      </c>
      <c r="K774" s="484" t="str">
        <f>VLOOKUP(TabListaLojas[[#This Row],[UF]],UF!A:B,2,0)</f>
        <v>São Paulo</v>
      </c>
      <c r="L774" s="484" t="s">
        <v>702</v>
      </c>
      <c r="M774" s="484" t="s">
        <v>1436</v>
      </c>
      <c r="N774" s="484" t="s">
        <v>676</v>
      </c>
      <c r="O774" s="487">
        <v>3137.38</v>
      </c>
    </row>
    <row r="775" spans="2:15" ht="15" customHeight="1">
      <c r="B775" s="483">
        <v>1</v>
      </c>
      <c r="C775" s="484" t="s">
        <v>1929</v>
      </c>
      <c r="D775" s="488" t="s">
        <v>116</v>
      </c>
      <c r="E775" s="488" t="str">
        <f t="shared" si="30"/>
        <v>Open</v>
      </c>
      <c r="F775" s="488">
        <v>36643</v>
      </c>
      <c r="G775" s="488"/>
      <c r="H775" s="484" t="s">
        <v>673</v>
      </c>
      <c r="I775" s="484" t="str">
        <f>VLOOKUP(TabListaLojas[[#This Row],[UF]],UF!A:E,3,0)</f>
        <v>Southest</v>
      </c>
      <c r="J775" s="484" t="s">
        <v>118</v>
      </c>
      <c r="K775" s="484" t="str">
        <f>VLOOKUP(TabListaLojas[[#This Row],[UF]],UF!A:B,2,0)</f>
        <v>São Paulo</v>
      </c>
      <c r="L775" s="484" t="s">
        <v>1155</v>
      </c>
      <c r="M775" s="484" t="s">
        <v>922</v>
      </c>
      <c r="N775" s="484" t="s">
        <v>676</v>
      </c>
      <c r="O775" s="487">
        <v>2637.47</v>
      </c>
    </row>
    <row r="776" spans="2:15" ht="15" customHeight="1">
      <c r="B776" s="483">
        <v>1</v>
      </c>
      <c r="C776" s="484" t="s">
        <v>1930</v>
      </c>
      <c r="D776" s="488" t="s">
        <v>116</v>
      </c>
      <c r="E776" s="488" t="str">
        <f t="shared" si="30"/>
        <v>Open</v>
      </c>
      <c r="F776" s="488">
        <v>36641</v>
      </c>
      <c r="G776" s="488"/>
      <c r="H776" s="484" t="s">
        <v>673</v>
      </c>
      <c r="I776" s="484" t="str">
        <f>VLOOKUP(TabListaLojas[[#This Row],[UF]],UF!A:E,3,0)</f>
        <v>Midwest</v>
      </c>
      <c r="J776" s="484" t="s">
        <v>123</v>
      </c>
      <c r="K776" s="484" t="str">
        <f>VLOOKUP(TabListaLojas[[#This Row],[UF]],UF!A:B,2,0)</f>
        <v>Goiás</v>
      </c>
      <c r="L776" s="484" t="s">
        <v>140</v>
      </c>
      <c r="M776" s="484" t="s">
        <v>1437</v>
      </c>
      <c r="N776" s="484" t="s">
        <v>676</v>
      </c>
      <c r="O776" s="487">
        <v>4118.09</v>
      </c>
    </row>
    <row r="777" spans="2:15" ht="15" customHeight="1">
      <c r="B777" s="483">
        <v>1</v>
      </c>
      <c r="C777" s="484" t="s">
        <v>1931</v>
      </c>
      <c r="D777" s="488" t="s">
        <v>116</v>
      </c>
      <c r="E777" s="488" t="str">
        <f t="shared" si="30"/>
        <v>Open</v>
      </c>
      <c r="F777" s="488">
        <v>36634</v>
      </c>
      <c r="G777" s="488"/>
      <c r="H777" s="484" t="s">
        <v>673</v>
      </c>
      <c r="I777" s="484" t="str">
        <f>VLOOKUP(TabListaLojas[[#This Row],[UF]],UF!A:E,3,0)</f>
        <v>Southest</v>
      </c>
      <c r="J777" s="484" t="s">
        <v>118</v>
      </c>
      <c r="K777" s="484" t="str">
        <f>VLOOKUP(TabListaLojas[[#This Row],[UF]],UF!A:B,2,0)</f>
        <v>São Paulo</v>
      </c>
      <c r="L777" s="484" t="s">
        <v>124</v>
      </c>
      <c r="M777" s="484" t="s">
        <v>1438</v>
      </c>
      <c r="N777" s="484" t="s">
        <v>676</v>
      </c>
      <c r="O777" s="487">
        <v>2960.58</v>
      </c>
    </row>
    <row r="778" spans="2:15" ht="15" customHeight="1">
      <c r="B778" s="483">
        <v>1</v>
      </c>
      <c r="C778" s="484" t="s">
        <v>1932</v>
      </c>
      <c r="D778" s="488" t="s">
        <v>116</v>
      </c>
      <c r="E778" s="488" t="str">
        <f t="shared" si="30"/>
        <v>Open</v>
      </c>
      <c r="F778" s="488">
        <v>36627</v>
      </c>
      <c r="G778" s="488"/>
      <c r="H778" s="484" t="s">
        <v>673</v>
      </c>
      <c r="I778" s="484" t="str">
        <f>VLOOKUP(TabListaLojas[[#This Row],[UF]],UF!A:E,3,0)</f>
        <v>Southest</v>
      </c>
      <c r="J778" s="484" t="s">
        <v>118</v>
      </c>
      <c r="K778" s="484" t="str">
        <f>VLOOKUP(TabListaLojas[[#This Row],[UF]],UF!A:B,2,0)</f>
        <v>São Paulo</v>
      </c>
      <c r="L778" s="484" t="s">
        <v>775</v>
      </c>
      <c r="M778" s="484" t="s">
        <v>1439</v>
      </c>
      <c r="N778" s="484" t="s">
        <v>714</v>
      </c>
      <c r="O778" s="487">
        <v>8173.71</v>
      </c>
    </row>
    <row r="779" spans="2:15" ht="15" customHeight="1">
      <c r="B779" s="483">
        <v>1</v>
      </c>
      <c r="C779" s="484" t="s">
        <v>1933</v>
      </c>
      <c r="D779" s="488" t="s">
        <v>116</v>
      </c>
      <c r="E779" s="488" t="str">
        <f t="shared" si="30"/>
        <v>Open</v>
      </c>
      <c r="F779" s="488">
        <v>36622</v>
      </c>
      <c r="G779" s="488"/>
      <c r="H779" s="484" t="s">
        <v>673</v>
      </c>
      <c r="I779" s="484" t="str">
        <f>VLOOKUP(TabListaLojas[[#This Row],[UF]],UF!A:E,3,0)</f>
        <v>Southest</v>
      </c>
      <c r="J779" s="484" t="s">
        <v>118</v>
      </c>
      <c r="K779" s="484" t="str">
        <f>VLOOKUP(TabListaLojas[[#This Row],[UF]],UF!A:B,2,0)</f>
        <v>São Paulo</v>
      </c>
      <c r="L779" s="484" t="s">
        <v>124</v>
      </c>
      <c r="M779" s="484" t="s">
        <v>1440</v>
      </c>
      <c r="N779" s="484" t="s">
        <v>676</v>
      </c>
      <c r="O779" s="487">
        <v>1717</v>
      </c>
    </row>
    <row r="780" spans="2:15" ht="15" customHeight="1">
      <c r="B780" s="483">
        <v>1</v>
      </c>
      <c r="C780" s="484" t="s">
        <v>1934</v>
      </c>
      <c r="D780" s="488" t="s">
        <v>116</v>
      </c>
      <c r="E780" s="488" t="str">
        <f t="shared" si="30"/>
        <v>Open</v>
      </c>
      <c r="F780" s="488">
        <v>36615</v>
      </c>
      <c r="G780" s="488"/>
      <c r="H780" s="484" t="s">
        <v>673</v>
      </c>
      <c r="I780" s="484" t="str">
        <f>VLOOKUP(TabListaLojas[[#This Row],[UF]],UF!A:E,3,0)</f>
        <v>Southest</v>
      </c>
      <c r="J780" s="484" t="s">
        <v>118</v>
      </c>
      <c r="K780" s="484" t="str">
        <f>VLOOKUP(TabListaLojas[[#This Row],[UF]],UF!A:B,2,0)</f>
        <v>São Paulo</v>
      </c>
      <c r="L780" s="484" t="s">
        <v>124</v>
      </c>
      <c r="M780" s="484" t="s">
        <v>1441</v>
      </c>
      <c r="N780" s="484" t="s">
        <v>676</v>
      </c>
      <c r="O780" s="487">
        <v>5450</v>
      </c>
    </row>
    <row r="781" spans="2:15" ht="15" customHeight="1">
      <c r="B781" s="483">
        <v>1</v>
      </c>
      <c r="C781" s="484" t="s">
        <v>1935</v>
      </c>
      <c r="D781" s="488" t="s">
        <v>116</v>
      </c>
      <c r="E781" s="488" t="str">
        <f t="shared" si="30"/>
        <v>Open</v>
      </c>
      <c r="F781" s="488">
        <v>36601</v>
      </c>
      <c r="G781" s="488"/>
      <c r="H781" s="484" t="s">
        <v>673</v>
      </c>
      <c r="I781" s="484" t="str">
        <f>VLOOKUP(TabListaLojas[[#This Row],[UF]],UF!A:E,3,0)</f>
        <v>Southest</v>
      </c>
      <c r="J781" s="484" t="s">
        <v>118</v>
      </c>
      <c r="K781" s="484" t="str">
        <f>VLOOKUP(TabListaLojas[[#This Row],[UF]],UF!A:B,2,0)</f>
        <v>São Paulo</v>
      </c>
      <c r="L781" s="484" t="s">
        <v>124</v>
      </c>
      <c r="M781" s="484" t="s">
        <v>1442</v>
      </c>
      <c r="N781" s="484" t="s">
        <v>676</v>
      </c>
      <c r="O781" s="487">
        <v>2844.15</v>
      </c>
    </row>
    <row r="782" spans="2:15" ht="15" customHeight="1">
      <c r="B782" s="483">
        <v>1</v>
      </c>
      <c r="C782" s="484" t="s">
        <v>1991</v>
      </c>
      <c r="D782" s="488" t="s">
        <v>126</v>
      </c>
      <c r="E782" s="488" t="str">
        <f t="shared" si="30"/>
        <v>Open</v>
      </c>
      <c r="F782" s="488">
        <v>36594</v>
      </c>
      <c r="G782" s="488"/>
      <c r="H782" s="484" t="s">
        <v>673</v>
      </c>
      <c r="I782" s="484" t="str">
        <f>VLOOKUP(TabListaLojas[[#This Row],[UF]],UF!A:E,3,0)</f>
        <v>Southest</v>
      </c>
      <c r="J782" s="484" t="s">
        <v>118</v>
      </c>
      <c r="K782" s="484" t="str">
        <f>VLOOKUP(TabListaLojas[[#This Row],[UF]],UF!A:B,2,0)</f>
        <v>São Paulo</v>
      </c>
      <c r="L782" s="484" t="s">
        <v>124</v>
      </c>
      <c r="M782" s="484" t="s">
        <v>1443</v>
      </c>
      <c r="N782" s="484" t="s">
        <v>676</v>
      </c>
      <c r="O782" s="487">
        <v>852.24</v>
      </c>
    </row>
    <row r="783" spans="2:15" ht="15" customHeight="1">
      <c r="B783" s="483">
        <v>1</v>
      </c>
      <c r="C783" s="484" t="s">
        <v>1936</v>
      </c>
      <c r="D783" s="488" t="s">
        <v>116</v>
      </c>
      <c r="E783" s="488" t="str">
        <f t="shared" si="30"/>
        <v>Open</v>
      </c>
      <c r="F783" s="488">
        <v>36509</v>
      </c>
      <c r="G783" s="488"/>
      <c r="H783" s="484" t="s">
        <v>673</v>
      </c>
      <c r="I783" s="484" t="str">
        <f>VLOOKUP(TabListaLojas[[#This Row],[UF]],UF!A:E,3,0)</f>
        <v>Southest</v>
      </c>
      <c r="J783" s="484" t="s">
        <v>118</v>
      </c>
      <c r="K783" s="484" t="str">
        <f>VLOOKUP(TabListaLojas[[#This Row],[UF]],UF!A:B,2,0)</f>
        <v>São Paulo</v>
      </c>
      <c r="L783" s="484" t="s">
        <v>702</v>
      </c>
      <c r="M783" s="484" t="s">
        <v>1444</v>
      </c>
      <c r="N783" s="484" t="s">
        <v>676</v>
      </c>
      <c r="O783" s="487">
        <v>3135.2</v>
      </c>
    </row>
    <row r="784" spans="2:15" ht="15" customHeight="1">
      <c r="B784" s="483">
        <v>1</v>
      </c>
      <c r="C784" s="484" t="s">
        <v>1937</v>
      </c>
      <c r="D784" s="488" t="s">
        <v>116</v>
      </c>
      <c r="E784" s="488" t="str">
        <f t="shared" si="30"/>
        <v>Open</v>
      </c>
      <c r="F784" s="488">
        <v>36501</v>
      </c>
      <c r="G784" s="488"/>
      <c r="H784" s="484" t="s">
        <v>673</v>
      </c>
      <c r="I784" s="484" t="str">
        <f>VLOOKUP(TabListaLojas[[#This Row],[UF]],UF!A:E,3,0)</f>
        <v>Southest</v>
      </c>
      <c r="J784" s="484" t="s">
        <v>122</v>
      </c>
      <c r="K784" s="484" t="str">
        <f>VLOOKUP(TabListaLojas[[#This Row],[UF]],UF!A:B,2,0)</f>
        <v>Rio de Janeiro</v>
      </c>
      <c r="L784" s="484" t="s">
        <v>938</v>
      </c>
      <c r="M784" s="484" t="s">
        <v>1445</v>
      </c>
      <c r="N784" s="484" t="s">
        <v>676</v>
      </c>
      <c r="O784" s="487">
        <v>3763.53</v>
      </c>
    </row>
    <row r="785" spans="2:15" ht="15" customHeight="1">
      <c r="B785" s="483">
        <v>1</v>
      </c>
      <c r="C785" s="484" t="s">
        <v>1938</v>
      </c>
      <c r="D785" s="488" t="s">
        <v>116</v>
      </c>
      <c r="E785" s="488" t="str">
        <f t="shared" si="30"/>
        <v>Open</v>
      </c>
      <c r="F785" s="488">
        <v>36497</v>
      </c>
      <c r="G785" s="488"/>
      <c r="H785" s="484" t="s">
        <v>673</v>
      </c>
      <c r="I785" s="484" t="str">
        <f>VLOOKUP(TabListaLojas[[#This Row],[UF]],UF!A:E,3,0)</f>
        <v>Midwest</v>
      </c>
      <c r="J785" s="484" t="s">
        <v>156</v>
      </c>
      <c r="K785" s="484" t="str">
        <f>VLOOKUP(TabListaLojas[[#This Row],[UF]],UF!A:B,2,0)</f>
        <v>Distrito Federal</v>
      </c>
      <c r="L785" s="484" t="s">
        <v>142</v>
      </c>
      <c r="M785" s="484" t="s">
        <v>1446</v>
      </c>
      <c r="N785" s="484" t="s">
        <v>676</v>
      </c>
      <c r="O785" s="487">
        <v>5902.76</v>
      </c>
    </row>
    <row r="786" spans="2:15" ht="15" customHeight="1">
      <c r="B786" s="483">
        <v>1</v>
      </c>
      <c r="C786" s="484" t="s">
        <v>1939</v>
      </c>
      <c r="D786" s="488" t="s">
        <v>116</v>
      </c>
      <c r="E786" s="488" t="str">
        <f t="shared" si="30"/>
        <v>Open</v>
      </c>
      <c r="F786" s="488">
        <v>36494</v>
      </c>
      <c r="G786" s="488"/>
      <c r="H786" s="484" t="s">
        <v>673</v>
      </c>
      <c r="I786" s="484" t="str">
        <f>VLOOKUP(TabListaLojas[[#This Row],[UF]],UF!A:E,3,0)</f>
        <v>Southest</v>
      </c>
      <c r="J786" s="484" t="s">
        <v>122</v>
      </c>
      <c r="K786" s="484" t="str">
        <f>VLOOKUP(TabListaLojas[[#This Row],[UF]],UF!A:B,2,0)</f>
        <v>Rio de Janeiro</v>
      </c>
      <c r="L786" s="484" t="s">
        <v>755</v>
      </c>
      <c r="M786" s="484" t="s">
        <v>1447</v>
      </c>
      <c r="N786" s="484" t="s">
        <v>676</v>
      </c>
      <c r="O786" s="487">
        <v>4128.2699999999995</v>
      </c>
    </row>
    <row r="787" spans="2:15" ht="15" customHeight="1">
      <c r="B787" s="483">
        <v>1</v>
      </c>
      <c r="C787" s="484" t="s">
        <v>1940</v>
      </c>
      <c r="D787" s="488" t="s">
        <v>116</v>
      </c>
      <c r="E787" s="488" t="str">
        <f t="shared" si="30"/>
        <v>Open</v>
      </c>
      <c r="F787" s="488">
        <v>36490</v>
      </c>
      <c r="G787" s="488"/>
      <c r="H787" s="484" t="s">
        <v>673</v>
      </c>
      <c r="I787" s="484" t="str">
        <f>VLOOKUP(TabListaLojas[[#This Row],[UF]],UF!A:E,3,0)</f>
        <v>Southest</v>
      </c>
      <c r="J787" s="484" t="s">
        <v>122</v>
      </c>
      <c r="K787" s="484" t="str">
        <f>VLOOKUP(TabListaLojas[[#This Row],[UF]],UF!A:B,2,0)</f>
        <v>Rio de Janeiro</v>
      </c>
      <c r="L787" s="484" t="s">
        <v>128</v>
      </c>
      <c r="M787" s="484" t="s">
        <v>1448</v>
      </c>
      <c r="N787" s="484" t="s">
        <v>676</v>
      </c>
      <c r="O787" s="487">
        <v>6796.93</v>
      </c>
    </row>
    <row r="788" spans="2:15" ht="15" customHeight="1">
      <c r="B788" s="483">
        <v>1</v>
      </c>
      <c r="C788" s="484" t="s">
        <v>1941</v>
      </c>
      <c r="D788" s="488" t="s">
        <v>116</v>
      </c>
      <c r="E788" s="488" t="str">
        <f t="shared" si="30"/>
        <v>Open</v>
      </c>
      <c r="F788" s="488">
        <v>36489</v>
      </c>
      <c r="G788" s="488"/>
      <c r="H788" s="484" t="s">
        <v>673</v>
      </c>
      <c r="I788" s="484" t="str">
        <f>VLOOKUP(TabListaLojas[[#This Row],[UF]],UF!A:E,3,0)</f>
        <v>Southest</v>
      </c>
      <c r="J788" s="484" t="s">
        <v>122</v>
      </c>
      <c r="K788" s="484" t="str">
        <f>VLOOKUP(TabListaLojas[[#This Row],[UF]],UF!A:B,2,0)</f>
        <v>Rio de Janeiro</v>
      </c>
      <c r="L788" s="484" t="s">
        <v>128</v>
      </c>
      <c r="M788" s="484" t="s">
        <v>1449</v>
      </c>
      <c r="N788" s="484" t="s">
        <v>676</v>
      </c>
      <c r="O788" s="487">
        <v>5336.08</v>
      </c>
    </row>
    <row r="789" spans="2:15" ht="15" customHeight="1">
      <c r="B789" s="483">
        <v>1</v>
      </c>
      <c r="C789" s="484" t="s">
        <v>1942</v>
      </c>
      <c r="D789" s="488" t="s">
        <v>116</v>
      </c>
      <c r="E789" s="488" t="str">
        <f t="shared" ref="E789:E824" si="31">IF(G789="","Open","Closed")</f>
        <v>Open</v>
      </c>
      <c r="F789" s="488">
        <v>36486</v>
      </c>
      <c r="G789" s="488"/>
      <c r="H789" s="484" t="s">
        <v>673</v>
      </c>
      <c r="I789" s="484" t="str">
        <f>VLOOKUP(TabListaLojas[[#This Row],[UF]],UF!A:E,3,0)</f>
        <v>Southest</v>
      </c>
      <c r="J789" s="484" t="s">
        <v>149</v>
      </c>
      <c r="K789" s="484" t="str">
        <f>VLOOKUP(TabListaLojas[[#This Row],[UF]],UF!A:B,2,0)</f>
        <v>Minas Gerais</v>
      </c>
      <c r="L789" s="484" t="s">
        <v>136</v>
      </c>
      <c r="M789" s="484" t="s">
        <v>1090</v>
      </c>
      <c r="N789" s="484" t="s">
        <v>676</v>
      </c>
      <c r="O789" s="487">
        <v>4469.9000000000005</v>
      </c>
    </row>
    <row r="790" spans="2:15" ht="15" customHeight="1">
      <c r="B790" s="483">
        <v>1</v>
      </c>
      <c r="C790" s="484" t="s">
        <v>1943</v>
      </c>
      <c r="D790" s="488" t="s">
        <v>116</v>
      </c>
      <c r="E790" s="488" t="str">
        <f t="shared" si="31"/>
        <v>Open</v>
      </c>
      <c r="F790" s="488">
        <v>36474</v>
      </c>
      <c r="G790" s="488"/>
      <c r="H790" s="484" t="s">
        <v>673</v>
      </c>
      <c r="I790" s="484" t="str">
        <f>VLOOKUP(TabListaLojas[[#This Row],[UF]],UF!A:E,3,0)</f>
        <v>Southest</v>
      </c>
      <c r="J790" s="484" t="s">
        <v>118</v>
      </c>
      <c r="K790" s="484" t="str">
        <f>VLOOKUP(TabListaLojas[[#This Row],[UF]],UF!A:B,2,0)</f>
        <v>São Paulo</v>
      </c>
      <c r="L790" s="484" t="s">
        <v>124</v>
      </c>
      <c r="M790" s="484" t="s">
        <v>1002</v>
      </c>
      <c r="N790" s="484" t="s">
        <v>676</v>
      </c>
      <c r="O790" s="487">
        <v>2485</v>
      </c>
    </row>
    <row r="791" spans="2:15" ht="15" customHeight="1">
      <c r="B791" s="483">
        <v>1</v>
      </c>
      <c r="C791" s="484" t="s">
        <v>1944</v>
      </c>
      <c r="D791" s="488" t="s">
        <v>116</v>
      </c>
      <c r="E791" s="488" t="str">
        <f t="shared" si="31"/>
        <v>Open</v>
      </c>
      <c r="F791" s="488">
        <v>36469</v>
      </c>
      <c r="G791" s="488"/>
      <c r="H791" s="484" t="s">
        <v>673</v>
      </c>
      <c r="I791" s="484" t="str">
        <f>VLOOKUP(TabListaLojas[[#This Row],[UF]],UF!A:E,3,0)</f>
        <v>Southest</v>
      </c>
      <c r="J791" s="484" t="s">
        <v>122</v>
      </c>
      <c r="K791" s="484" t="str">
        <f>VLOOKUP(TabListaLojas[[#This Row],[UF]],UF!A:B,2,0)</f>
        <v>Rio de Janeiro</v>
      </c>
      <c r="L791" s="484" t="s">
        <v>128</v>
      </c>
      <c r="M791" s="484" t="s">
        <v>1450</v>
      </c>
      <c r="N791" s="484" t="s">
        <v>676</v>
      </c>
      <c r="O791" s="487">
        <v>2138.3000000000002</v>
      </c>
    </row>
    <row r="792" spans="2:15" ht="15" customHeight="1">
      <c r="B792" s="483">
        <v>1</v>
      </c>
      <c r="C792" s="484" t="s">
        <v>1945</v>
      </c>
      <c r="D792" s="488" t="s">
        <v>116</v>
      </c>
      <c r="E792" s="488" t="str">
        <f t="shared" si="31"/>
        <v>Open</v>
      </c>
      <c r="F792" s="488">
        <v>36468</v>
      </c>
      <c r="G792" s="488"/>
      <c r="H792" s="484" t="s">
        <v>673</v>
      </c>
      <c r="I792" s="484" t="str">
        <f>VLOOKUP(TabListaLojas[[#This Row],[UF]],UF!A:E,3,0)</f>
        <v>Southest</v>
      </c>
      <c r="J792" s="484" t="s">
        <v>118</v>
      </c>
      <c r="K792" s="484" t="str">
        <f>VLOOKUP(TabListaLojas[[#This Row],[UF]],UF!A:B,2,0)</f>
        <v>São Paulo</v>
      </c>
      <c r="L792" s="484" t="s">
        <v>124</v>
      </c>
      <c r="M792" s="484" t="s">
        <v>1179</v>
      </c>
      <c r="N792" s="484" t="s">
        <v>676</v>
      </c>
      <c r="O792" s="487">
        <v>3761.04</v>
      </c>
    </row>
    <row r="793" spans="2:15" ht="15" customHeight="1">
      <c r="B793" s="483">
        <v>1</v>
      </c>
      <c r="C793" s="484" t="s">
        <v>1990</v>
      </c>
      <c r="D793" s="488" t="s">
        <v>126</v>
      </c>
      <c r="E793" s="488" t="str">
        <f t="shared" si="31"/>
        <v>Open</v>
      </c>
      <c r="F793" s="488">
        <v>36447</v>
      </c>
      <c r="G793" s="488"/>
      <c r="H793" s="484" t="s">
        <v>673</v>
      </c>
      <c r="I793" s="484" t="str">
        <f>VLOOKUP(TabListaLojas[[#This Row],[UF]],UF!A:E,3,0)</f>
        <v>Southest</v>
      </c>
      <c r="J793" s="484" t="s">
        <v>118</v>
      </c>
      <c r="K793" s="484" t="str">
        <f>VLOOKUP(TabListaLojas[[#This Row],[UF]],UF!A:B,2,0)</f>
        <v>São Paulo</v>
      </c>
      <c r="L793" s="484" t="s">
        <v>124</v>
      </c>
      <c r="M793" s="484" t="s">
        <v>1451</v>
      </c>
      <c r="N793" s="484" t="s">
        <v>676</v>
      </c>
      <c r="O793" s="487">
        <v>722.38</v>
      </c>
    </row>
    <row r="794" spans="2:15" ht="15" customHeight="1">
      <c r="B794" s="483">
        <v>1</v>
      </c>
      <c r="C794" s="484" t="s">
        <v>1946</v>
      </c>
      <c r="D794" s="488" t="s">
        <v>116</v>
      </c>
      <c r="E794" s="488" t="str">
        <f t="shared" si="31"/>
        <v>Open</v>
      </c>
      <c r="F794" s="488">
        <v>36447</v>
      </c>
      <c r="G794" s="488"/>
      <c r="H794" s="484" t="s">
        <v>673</v>
      </c>
      <c r="I794" s="484" t="str">
        <f>VLOOKUP(TabListaLojas[[#This Row],[UF]],UF!A:E,3,0)</f>
        <v>Southest</v>
      </c>
      <c r="J794" s="484" t="s">
        <v>122</v>
      </c>
      <c r="K794" s="484" t="str">
        <f>VLOOKUP(TabListaLojas[[#This Row],[UF]],UF!A:B,2,0)</f>
        <v>Rio de Janeiro</v>
      </c>
      <c r="L794" s="484" t="s">
        <v>128</v>
      </c>
      <c r="M794" s="484" t="s">
        <v>1452</v>
      </c>
      <c r="N794" s="484" t="s">
        <v>676</v>
      </c>
      <c r="O794" s="487">
        <v>3165.13</v>
      </c>
    </row>
    <row r="795" spans="2:15" ht="15" hidden="1" customHeight="1">
      <c r="B795" s="491">
        <v>0</v>
      </c>
      <c r="C795" s="492" t="s">
        <v>2234</v>
      </c>
      <c r="D795" s="493" t="s">
        <v>116</v>
      </c>
      <c r="E795" s="493" t="str">
        <f t="shared" si="31"/>
        <v>Closed</v>
      </c>
      <c r="F795" s="493">
        <v>36433</v>
      </c>
      <c r="G795" s="493">
        <v>45386</v>
      </c>
      <c r="H795" s="492" t="s">
        <v>673</v>
      </c>
      <c r="I795" s="492" t="str">
        <f>VLOOKUP(TabListaLojas[[#This Row],[UF]],UF!A:E,3,0)</f>
        <v>Southest</v>
      </c>
      <c r="J795" s="492" t="s">
        <v>118</v>
      </c>
      <c r="K795" s="492" t="str">
        <f>VLOOKUP(TabListaLojas[[#This Row],[UF]],UF!A:B,2,0)</f>
        <v>São Paulo</v>
      </c>
      <c r="L795" s="492" t="s">
        <v>124</v>
      </c>
      <c r="M795" s="492" t="s">
        <v>1569</v>
      </c>
      <c r="N795" s="492" t="s">
        <v>676</v>
      </c>
      <c r="O795" s="495">
        <v>0</v>
      </c>
    </row>
    <row r="796" spans="2:15" ht="15" customHeight="1">
      <c r="B796" s="483">
        <v>1</v>
      </c>
      <c r="C796" s="484" t="s">
        <v>1947</v>
      </c>
      <c r="D796" s="488" t="s">
        <v>116</v>
      </c>
      <c r="E796" s="488" t="str">
        <f t="shared" si="31"/>
        <v>Open</v>
      </c>
      <c r="F796" s="488">
        <v>36285</v>
      </c>
      <c r="G796" s="488"/>
      <c r="H796" s="484" t="s">
        <v>673</v>
      </c>
      <c r="I796" s="484" t="str">
        <f>VLOOKUP(TabListaLojas[[#This Row],[UF]],UF!A:E,3,0)</f>
        <v>Southest</v>
      </c>
      <c r="J796" s="484" t="s">
        <v>118</v>
      </c>
      <c r="K796" s="484" t="str">
        <f>VLOOKUP(TabListaLojas[[#This Row],[UF]],UF!A:B,2,0)</f>
        <v>São Paulo</v>
      </c>
      <c r="L796" s="484" t="s">
        <v>894</v>
      </c>
      <c r="M796" s="484" t="s">
        <v>1279</v>
      </c>
      <c r="N796" s="484" t="s">
        <v>676</v>
      </c>
      <c r="O796" s="487">
        <v>4268.92</v>
      </c>
    </row>
    <row r="797" spans="2:15" ht="15" customHeight="1">
      <c r="B797" s="483">
        <v>1</v>
      </c>
      <c r="C797" s="484" t="s">
        <v>1948</v>
      </c>
      <c r="D797" s="488" t="s">
        <v>116</v>
      </c>
      <c r="E797" s="488" t="str">
        <f t="shared" si="31"/>
        <v>Open</v>
      </c>
      <c r="F797" s="488">
        <v>36279</v>
      </c>
      <c r="G797" s="488"/>
      <c r="H797" s="484" t="s">
        <v>673</v>
      </c>
      <c r="I797" s="484" t="str">
        <f>VLOOKUP(TabListaLojas[[#This Row],[UF]],UF!A:E,3,0)</f>
        <v>Southest</v>
      </c>
      <c r="J797" s="484" t="s">
        <v>118</v>
      </c>
      <c r="K797" s="484" t="str">
        <f>VLOOKUP(TabListaLojas[[#This Row],[UF]],UF!A:B,2,0)</f>
        <v>São Paulo</v>
      </c>
      <c r="L797" s="484" t="s">
        <v>1203</v>
      </c>
      <c r="M797" s="484" t="s">
        <v>1296</v>
      </c>
      <c r="N797" s="484" t="s">
        <v>676</v>
      </c>
      <c r="O797" s="487">
        <v>3741.7</v>
      </c>
    </row>
    <row r="798" spans="2:15" ht="15" hidden="1" customHeight="1">
      <c r="B798" s="491">
        <v>0</v>
      </c>
      <c r="C798" s="492" t="s">
        <v>1989</v>
      </c>
      <c r="D798" s="493" t="s">
        <v>126</v>
      </c>
      <c r="E798" s="493" t="str">
        <f t="shared" si="31"/>
        <v>Closed</v>
      </c>
      <c r="F798" s="493">
        <v>36250</v>
      </c>
      <c r="G798" s="493">
        <v>46174</v>
      </c>
      <c r="H798" s="492" t="s">
        <v>673</v>
      </c>
      <c r="I798" s="492" t="str">
        <f>VLOOKUP(TabListaLojas[[#This Row],[UF]],UF!A:E,3,0)</f>
        <v>Southest</v>
      </c>
      <c r="J798" s="492" t="s">
        <v>118</v>
      </c>
      <c r="K798" s="492" t="str">
        <f>VLOOKUP(TabListaLojas[[#This Row],[UF]],UF!A:B,2,0)</f>
        <v>São Paulo</v>
      </c>
      <c r="L798" s="492" t="s">
        <v>897</v>
      </c>
      <c r="M798" s="492" t="s">
        <v>1453</v>
      </c>
      <c r="N798" s="492" t="s">
        <v>676</v>
      </c>
      <c r="O798" s="495">
        <v>0</v>
      </c>
    </row>
    <row r="799" spans="2:15" ht="15" customHeight="1">
      <c r="B799" s="483">
        <v>1</v>
      </c>
      <c r="C799" s="484" t="s">
        <v>1988</v>
      </c>
      <c r="D799" s="488" t="s">
        <v>126</v>
      </c>
      <c r="E799" s="488" t="str">
        <f t="shared" si="31"/>
        <v>Open</v>
      </c>
      <c r="F799" s="488">
        <v>36210</v>
      </c>
      <c r="G799" s="488"/>
      <c r="H799" s="484" t="s">
        <v>673</v>
      </c>
      <c r="I799" s="484" t="str">
        <f>VLOOKUP(TabListaLojas[[#This Row],[UF]],UF!A:E,3,0)</f>
        <v>Southest</v>
      </c>
      <c r="J799" s="484" t="s">
        <v>118</v>
      </c>
      <c r="K799" s="484" t="str">
        <f>VLOOKUP(TabListaLojas[[#This Row],[UF]],UF!A:B,2,0)</f>
        <v>São Paulo</v>
      </c>
      <c r="L799" s="484" t="s">
        <v>124</v>
      </c>
      <c r="M799" s="484" t="s">
        <v>885</v>
      </c>
      <c r="N799" s="484" t="s">
        <v>676</v>
      </c>
      <c r="O799" s="487">
        <v>694.16</v>
      </c>
    </row>
    <row r="800" spans="2:15" ht="15" customHeight="1">
      <c r="B800" s="483">
        <v>1</v>
      </c>
      <c r="C800" s="484" t="s">
        <v>1949</v>
      </c>
      <c r="D800" s="488" t="s">
        <v>116</v>
      </c>
      <c r="E800" s="488" t="str">
        <f t="shared" si="31"/>
        <v>Open</v>
      </c>
      <c r="F800" s="488">
        <v>36111</v>
      </c>
      <c r="G800" s="488"/>
      <c r="H800" s="484" t="s">
        <v>673</v>
      </c>
      <c r="I800" s="484" t="str">
        <f>VLOOKUP(TabListaLojas[[#This Row],[UF]],UF!A:E,3,0)</f>
        <v>Southest</v>
      </c>
      <c r="J800" s="484" t="s">
        <v>118</v>
      </c>
      <c r="K800" s="484" t="str">
        <f>VLOOKUP(TabListaLojas[[#This Row],[UF]],UF!A:B,2,0)</f>
        <v>São Paulo</v>
      </c>
      <c r="L800" s="484" t="s">
        <v>897</v>
      </c>
      <c r="M800" s="484" t="s">
        <v>1454</v>
      </c>
      <c r="N800" s="484" t="s">
        <v>676</v>
      </c>
      <c r="O800" s="487">
        <v>3078.04</v>
      </c>
    </row>
    <row r="801" spans="2:15" ht="15" customHeight="1">
      <c r="B801" s="483">
        <v>1</v>
      </c>
      <c r="C801" s="484" t="s">
        <v>1950</v>
      </c>
      <c r="D801" s="488" t="s">
        <v>116</v>
      </c>
      <c r="E801" s="488" t="str">
        <f t="shared" si="31"/>
        <v>Open</v>
      </c>
      <c r="F801" s="488">
        <v>36088</v>
      </c>
      <c r="G801" s="488"/>
      <c r="H801" s="484" t="s">
        <v>673</v>
      </c>
      <c r="I801" s="484" t="str">
        <f>VLOOKUP(TabListaLojas[[#This Row],[UF]],UF!A:E,3,0)</f>
        <v>South</v>
      </c>
      <c r="J801" s="484" t="s">
        <v>161</v>
      </c>
      <c r="K801" s="484" t="str">
        <f>VLOOKUP(TabListaLojas[[#This Row],[UF]],UF!A:B,2,0)</f>
        <v>Paraná</v>
      </c>
      <c r="L801" s="484" t="s">
        <v>146</v>
      </c>
      <c r="M801" s="484" t="s">
        <v>1455</v>
      </c>
      <c r="N801" s="484" t="s">
        <v>714</v>
      </c>
      <c r="O801" s="487">
        <v>3007.91</v>
      </c>
    </row>
    <row r="802" spans="2:15" ht="15" customHeight="1">
      <c r="B802" s="483">
        <v>1</v>
      </c>
      <c r="C802" s="484" t="s">
        <v>1951</v>
      </c>
      <c r="D802" s="488" t="s">
        <v>116</v>
      </c>
      <c r="E802" s="488" t="str">
        <f t="shared" si="31"/>
        <v>Open</v>
      </c>
      <c r="F802" s="488">
        <v>36062</v>
      </c>
      <c r="G802" s="488"/>
      <c r="H802" s="484" t="s">
        <v>673</v>
      </c>
      <c r="I802" s="484" t="str">
        <f>VLOOKUP(TabListaLojas[[#This Row],[UF]],UF!A:E,3,0)</f>
        <v>Southest</v>
      </c>
      <c r="J802" s="484" t="s">
        <v>118</v>
      </c>
      <c r="K802" s="484" t="str">
        <f>VLOOKUP(TabListaLojas[[#This Row],[UF]],UF!A:B,2,0)</f>
        <v>São Paulo</v>
      </c>
      <c r="L802" s="484" t="s">
        <v>124</v>
      </c>
      <c r="M802" s="484" t="s">
        <v>887</v>
      </c>
      <c r="N802" s="484" t="s">
        <v>676</v>
      </c>
      <c r="O802" s="487">
        <v>4137.8</v>
      </c>
    </row>
    <row r="803" spans="2:15" ht="15" customHeight="1">
      <c r="B803" s="483">
        <v>1</v>
      </c>
      <c r="C803" s="484" t="s">
        <v>1952</v>
      </c>
      <c r="D803" s="488" t="s">
        <v>116</v>
      </c>
      <c r="E803" s="488" t="str">
        <f t="shared" si="31"/>
        <v>Open</v>
      </c>
      <c r="F803" s="488">
        <v>35920</v>
      </c>
      <c r="G803" s="488"/>
      <c r="H803" s="484" t="s">
        <v>673</v>
      </c>
      <c r="I803" s="484" t="str">
        <f>VLOOKUP(TabListaLojas[[#This Row],[UF]],UF!A:E,3,0)</f>
        <v>Southest</v>
      </c>
      <c r="J803" s="484" t="s">
        <v>118</v>
      </c>
      <c r="K803" s="484" t="str">
        <f>VLOOKUP(TabListaLojas[[#This Row],[UF]],UF!A:B,2,0)</f>
        <v>São Paulo</v>
      </c>
      <c r="L803" s="484" t="s">
        <v>764</v>
      </c>
      <c r="M803" s="484" t="s">
        <v>1456</v>
      </c>
      <c r="N803" s="484" t="s">
        <v>676</v>
      </c>
      <c r="O803" s="487">
        <v>3683.79</v>
      </c>
    </row>
    <row r="804" spans="2:15" ht="15" customHeight="1">
      <c r="B804" s="483">
        <v>1</v>
      </c>
      <c r="C804" s="484" t="s">
        <v>1953</v>
      </c>
      <c r="D804" s="488" t="s">
        <v>116</v>
      </c>
      <c r="E804" s="488" t="str">
        <f t="shared" si="31"/>
        <v>Open</v>
      </c>
      <c r="F804" s="488">
        <v>35914</v>
      </c>
      <c r="G804" s="488"/>
      <c r="H804" s="484" t="s">
        <v>673</v>
      </c>
      <c r="I804" s="484" t="str">
        <f>VLOOKUP(TabListaLojas[[#This Row],[UF]],UF!A:E,3,0)</f>
        <v>South</v>
      </c>
      <c r="J804" s="484" t="s">
        <v>117</v>
      </c>
      <c r="K804" s="484" t="str">
        <f>VLOOKUP(TabListaLojas[[#This Row],[UF]],UF!A:B,2,0)</f>
        <v>Rio Grande do Sul</v>
      </c>
      <c r="L804" s="484" t="s">
        <v>1050</v>
      </c>
      <c r="M804" s="484" t="s">
        <v>1457</v>
      </c>
      <c r="N804" s="484" t="s">
        <v>676</v>
      </c>
      <c r="O804" s="487">
        <v>4320.8599999999997</v>
      </c>
    </row>
    <row r="805" spans="2:15" ht="15" customHeight="1">
      <c r="B805" s="483">
        <v>1</v>
      </c>
      <c r="C805" s="484" t="s">
        <v>1987</v>
      </c>
      <c r="D805" s="488" t="s">
        <v>126</v>
      </c>
      <c r="E805" s="488" t="str">
        <f t="shared" si="31"/>
        <v>Open</v>
      </c>
      <c r="F805" s="488">
        <v>35873</v>
      </c>
      <c r="G805" s="488"/>
      <c r="H805" s="484" t="s">
        <v>673</v>
      </c>
      <c r="I805" s="484" t="str">
        <f>VLOOKUP(TabListaLojas[[#This Row],[UF]],UF!A:E,3,0)</f>
        <v>Southest</v>
      </c>
      <c r="J805" s="484" t="s">
        <v>118</v>
      </c>
      <c r="K805" s="484" t="str">
        <f>VLOOKUP(TabListaLojas[[#This Row],[UF]],UF!A:B,2,0)</f>
        <v>São Paulo</v>
      </c>
      <c r="L805" s="484" t="s">
        <v>124</v>
      </c>
      <c r="M805" s="484" t="s">
        <v>1438</v>
      </c>
      <c r="N805" s="484" t="s">
        <v>676</v>
      </c>
      <c r="O805" s="487">
        <v>688.36</v>
      </c>
    </row>
    <row r="806" spans="2:15" ht="15" customHeight="1">
      <c r="B806" s="483">
        <v>1</v>
      </c>
      <c r="C806" s="484" t="s">
        <v>1954</v>
      </c>
      <c r="D806" s="488" t="s">
        <v>116</v>
      </c>
      <c r="E806" s="488" t="str">
        <f t="shared" si="31"/>
        <v>Open</v>
      </c>
      <c r="F806" s="488">
        <v>35556</v>
      </c>
      <c r="G806" s="488"/>
      <c r="H806" s="484" t="s">
        <v>673</v>
      </c>
      <c r="I806" s="484" t="str">
        <f>VLOOKUP(TabListaLojas[[#This Row],[UF]],UF!A:E,3,0)</f>
        <v>South</v>
      </c>
      <c r="J806" s="484" t="s">
        <v>147</v>
      </c>
      <c r="K806" s="484" t="str">
        <f>VLOOKUP(TabListaLojas[[#This Row],[UF]],UF!A:B,2,0)</f>
        <v>Santa Catarina</v>
      </c>
      <c r="L806" s="484" t="s">
        <v>1009</v>
      </c>
      <c r="M806" s="484" t="s">
        <v>1458</v>
      </c>
      <c r="N806" s="484" t="s">
        <v>676</v>
      </c>
      <c r="O806" s="487">
        <v>3861.0499999999997</v>
      </c>
    </row>
    <row r="807" spans="2:15" ht="15" customHeight="1">
      <c r="B807" s="483">
        <v>1</v>
      </c>
      <c r="C807" s="484" t="s">
        <v>1955</v>
      </c>
      <c r="D807" s="488" t="s">
        <v>116</v>
      </c>
      <c r="E807" s="488" t="str">
        <f t="shared" si="31"/>
        <v>Open</v>
      </c>
      <c r="F807" s="488">
        <v>35549</v>
      </c>
      <c r="G807" s="488"/>
      <c r="H807" s="484" t="s">
        <v>673</v>
      </c>
      <c r="I807" s="484" t="str">
        <f>VLOOKUP(TabListaLojas[[#This Row],[UF]],UF!A:E,3,0)</f>
        <v>Southest</v>
      </c>
      <c r="J807" s="484" t="s">
        <v>118</v>
      </c>
      <c r="K807" s="484" t="str">
        <f>VLOOKUP(TabListaLojas[[#This Row],[UF]],UF!A:B,2,0)</f>
        <v>São Paulo</v>
      </c>
      <c r="L807" s="484" t="s">
        <v>124</v>
      </c>
      <c r="M807" s="484" t="s">
        <v>1459</v>
      </c>
      <c r="N807" s="484" t="s">
        <v>676</v>
      </c>
      <c r="O807" s="487">
        <v>2428.73</v>
      </c>
    </row>
    <row r="808" spans="2:15" ht="15" customHeight="1">
      <c r="B808" s="483">
        <v>1</v>
      </c>
      <c r="C808" s="484" t="s">
        <v>1956</v>
      </c>
      <c r="D808" s="488" t="s">
        <v>116</v>
      </c>
      <c r="E808" s="488" t="str">
        <f t="shared" si="31"/>
        <v>Open</v>
      </c>
      <c r="F808" s="488">
        <v>35521</v>
      </c>
      <c r="G808" s="488"/>
      <c r="H808" s="484" t="s">
        <v>673</v>
      </c>
      <c r="I808" s="484" t="str">
        <f>VLOOKUP(TabListaLojas[[#This Row],[UF]],UF!A:E,3,0)</f>
        <v>Southest</v>
      </c>
      <c r="J808" s="484" t="s">
        <v>118</v>
      </c>
      <c r="K808" s="484" t="str">
        <f>VLOOKUP(TabListaLojas[[#This Row],[UF]],UF!A:B,2,0)</f>
        <v>São Paulo</v>
      </c>
      <c r="L808" s="484" t="s">
        <v>1126</v>
      </c>
      <c r="M808" s="484" t="s">
        <v>1127</v>
      </c>
      <c r="N808" s="484" t="s">
        <v>676</v>
      </c>
      <c r="O808" s="487">
        <v>3988.73</v>
      </c>
    </row>
    <row r="809" spans="2:15" ht="15" customHeight="1">
      <c r="B809" s="483">
        <v>1</v>
      </c>
      <c r="C809" s="484" t="s">
        <v>1957</v>
      </c>
      <c r="D809" s="488" t="s">
        <v>116</v>
      </c>
      <c r="E809" s="488" t="str">
        <f t="shared" si="31"/>
        <v>Open</v>
      </c>
      <c r="F809" s="488">
        <v>35388</v>
      </c>
      <c r="G809" s="488"/>
      <c r="H809" s="484" t="s">
        <v>673</v>
      </c>
      <c r="I809" s="484" t="str">
        <f>VLOOKUP(TabListaLojas[[#This Row],[UF]],UF!A:E,3,0)</f>
        <v>South</v>
      </c>
      <c r="J809" s="484" t="s">
        <v>117</v>
      </c>
      <c r="K809" s="484" t="str">
        <f>VLOOKUP(TabListaLojas[[#This Row],[UF]],UF!A:B,2,0)</f>
        <v>Rio Grande do Sul</v>
      </c>
      <c r="L809" s="484" t="s">
        <v>950</v>
      </c>
      <c r="M809" s="484" t="s">
        <v>1460</v>
      </c>
      <c r="N809" s="484" t="s">
        <v>676</v>
      </c>
      <c r="O809" s="487">
        <v>3078.81</v>
      </c>
    </row>
    <row r="810" spans="2:15" ht="15" customHeight="1">
      <c r="B810" s="483">
        <v>1</v>
      </c>
      <c r="C810" s="484" t="s">
        <v>1958</v>
      </c>
      <c r="D810" s="488" t="s">
        <v>116</v>
      </c>
      <c r="E810" s="488" t="str">
        <f t="shared" si="31"/>
        <v>Open</v>
      </c>
      <c r="F810" s="488">
        <v>35333</v>
      </c>
      <c r="G810" s="488"/>
      <c r="H810" s="484" t="s">
        <v>673</v>
      </c>
      <c r="I810" s="484" t="str">
        <f>VLOOKUP(TabListaLojas[[#This Row],[UF]],UF!A:E,3,0)</f>
        <v>South</v>
      </c>
      <c r="J810" s="484" t="s">
        <v>161</v>
      </c>
      <c r="K810" s="484" t="str">
        <f>VLOOKUP(TabListaLojas[[#This Row],[UF]],UF!A:B,2,0)</f>
        <v>Paraná</v>
      </c>
      <c r="L810" s="484" t="s">
        <v>146</v>
      </c>
      <c r="M810" s="484" t="s">
        <v>1461</v>
      </c>
      <c r="N810" s="484" t="s">
        <v>676</v>
      </c>
      <c r="O810" s="487">
        <v>3237.67</v>
      </c>
    </row>
    <row r="811" spans="2:15" ht="15" customHeight="1">
      <c r="B811" s="483">
        <v>1</v>
      </c>
      <c r="C811" s="484" t="s">
        <v>1986</v>
      </c>
      <c r="D811" s="488" t="s">
        <v>126</v>
      </c>
      <c r="E811" s="488" t="str">
        <f t="shared" si="31"/>
        <v>Open</v>
      </c>
      <c r="F811" s="488">
        <v>35172</v>
      </c>
      <c r="G811" s="488"/>
      <c r="H811" s="484" t="s">
        <v>673</v>
      </c>
      <c r="I811" s="484" t="str">
        <f>VLOOKUP(TabListaLojas[[#This Row],[UF]],UF!A:E,3,0)</f>
        <v>Southest</v>
      </c>
      <c r="J811" s="484" t="s">
        <v>118</v>
      </c>
      <c r="K811" s="484" t="str">
        <f>VLOOKUP(TabListaLojas[[#This Row],[UF]],UF!A:B,2,0)</f>
        <v>São Paulo</v>
      </c>
      <c r="L811" s="484" t="s">
        <v>124</v>
      </c>
      <c r="M811" s="484" t="s">
        <v>887</v>
      </c>
      <c r="N811" s="484" t="s">
        <v>676</v>
      </c>
      <c r="O811" s="487">
        <v>527.54</v>
      </c>
    </row>
    <row r="812" spans="2:15" ht="15" customHeight="1">
      <c r="B812" s="483">
        <v>1</v>
      </c>
      <c r="C812" s="484" t="s">
        <v>1959</v>
      </c>
      <c r="D812" s="488" t="s">
        <v>116</v>
      </c>
      <c r="E812" s="488" t="str">
        <f t="shared" si="31"/>
        <v>Open</v>
      </c>
      <c r="F812" s="488">
        <v>34971</v>
      </c>
      <c r="G812" s="488"/>
      <c r="H812" s="484" t="s">
        <v>673</v>
      </c>
      <c r="I812" s="484" t="str">
        <f>VLOOKUP(TabListaLojas[[#This Row],[UF]],UF!A:E,3,0)</f>
        <v>South</v>
      </c>
      <c r="J812" s="484" t="s">
        <v>147</v>
      </c>
      <c r="K812" s="484" t="str">
        <f>VLOOKUP(TabListaLojas[[#This Row],[UF]],UF!A:B,2,0)</f>
        <v>Santa Catarina</v>
      </c>
      <c r="L812" s="484" t="s">
        <v>1013</v>
      </c>
      <c r="M812" s="484" t="s">
        <v>1424</v>
      </c>
      <c r="N812" s="484" t="s">
        <v>676</v>
      </c>
      <c r="O812" s="487">
        <v>3188.53</v>
      </c>
    </row>
    <row r="813" spans="2:15" ht="15" customHeight="1">
      <c r="B813" s="483">
        <v>1</v>
      </c>
      <c r="C813" s="484" t="s">
        <v>1960</v>
      </c>
      <c r="D813" s="488" t="s">
        <v>116</v>
      </c>
      <c r="E813" s="488" t="str">
        <f t="shared" si="31"/>
        <v>Open</v>
      </c>
      <c r="F813" s="488">
        <v>34655</v>
      </c>
      <c r="G813" s="488"/>
      <c r="H813" s="484" t="s">
        <v>673</v>
      </c>
      <c r="I813" s="484" t="str">
        <f>VLOOKUP(TabListaLojas[[#This Row],[UF]],UF!A:E,3,0)</f>
        <v>South</v>
      </c>
      <c r="J813" s="484" t="s">
        <v>147</v>
      </c>
      <c r="K813" s="484" t="str">
        <f>VLOOKUP(TabListaLojas[[#This Row],[UF]],UF!A:B,2,0)</f>
        <v>Santa Catarina</v>
      </c>
      <c r="L813" s="484" t="s">
        <v>135</v>
      </c>
      <c r="M813" s="484" t="s">
        <v>1462</v>
      </c>
      <c r="N813" s="484" t="s">
        <v>676</v>
      </c>
      <c r="O813" s="487">
        <v>5111.21</v>
      </c>
    </row>
    <row r="814" spans="2:15" ht="15" customHeight="1">
      <c r="B814" s="483">
        <v>1</v>
      </c>
      <c r="C814" s="484" t="s">
        <v>1961</v>
      </c>
      <c r="D814" s="488" t="s">
        <v>116</v>
      </c>
      <c r="E814" s="488" t="str">
        <f t="shared" si="31"/>
        <v>Open</v>
      </c>
      <c r="F814" s="488">
        <v>34093</v>
      </c>
      <c r="G814" s="488"/>
      <c r="H814" s="484" t="s">
        <v>673</v>
      </c>
      <c r="I814" s="484" t="str">
        <f>VLOOKUP(TabListaLojas[[#This Row],[UF]],UF!A:E,3,0)</f>
        <v>South</v>
      </c>
      <c r="J814" s="484" t="s">
        <v>117</v>
      </c>
      <c r="K814" s="484" t="str">
        <f>VLOOKUP(TabListaLojas[[#This Row],[UF]],UF!A:B,2,0)</f>
        <v>Rio Grande do Sul</v>
      </c>
      <c r="L814" s="484" t="s">
        <v>129</v>
      </c>
      <c r="M814" s="484" t="s">
        <v>706</v>
      </c>
      <c r="N814" s="484" t="s">
        <v>676</v>
      </c>
      <c r="O814" s="487">
        <v>5462.66</v>
      </c>
    </row>
    <row r="815" spans="2:15" ht="15" customHeight="1">
      <c r="B815" s="483">
        <v>1</v>
      </c>
      <c r="C815" s="484" t="s">
        <v>1962</v>
      </c>
      <c r="D815" s="488" t="s">
        <v>116</v>
      </c>
      <c r="E815" s="488" t="str">
        <f t="shared" si="31"/>
        <v>Open</v>
      </c>
      <c r="F815" s="488">
        <v>33534</v>
      </c>
      <c r="G815" s="488"/>
      <c r="H815" s="484" t="s">
        <v>673</v>
      </c>
      <c r="I815" s="484" t="str">
        <f>VLOOKUP(TabListaLojas[[#This Row],[UF]],UF!A:E,3,0)</f>
        <v>South</v>
      </c>
      <c r="J815" s="484" t="s">
        <v>117</v>
      </c>
      <c r="K815" s="484" t="str">
        <f>VLOOKUP(TabListaLojas[[#This Row],[UF]],UF!A:B,2,0)</f>
        <v>Rio Grande do Sul</v>
      </c>
      <c r="L815" s="484" t="s">
        <v>1217</v>
      </c>
      <c r="M815" s="484" t="s">
        <v>1463</v>
      </c>
      <c r="N815" s="484" t="s">
        <v>676</v>
      </c>
      <c r="O815" s="487">
        <v>4369.83</v>
      </c>
    </row>
    <row r="816" spans="2:15" ht="15" customHeight="1">
      <c r="B816" s="483">
        <v>1</v>
      </c>
      <c r="C816" s="484" t="s">
        <v>1985</v>
      </c>
      <c r="D816" s="488" t="s">
        <v>126</v>
      </c>
      <c r="E816" s="488" t="str">
        <f t="shared" si="31"/>
        <v>Open</v>
      </c>
      <c r="F816" s="488">
        <v>31940</v>
      </c>
      <c r="G816" s="488"/>
      <c r="H816" s="484" t="s">
        <v>673</v>
      </c>
      <c r="I816" s="484" t="str">
        <f>VLOOKUP(TabListaLojas[[#This Row],[UF]],UF!A:E,3,0)</f>
        <v>Southest</v>
      </c>
      <c r="J816" s="484" t="s">
        <v>118</v>
      </c>
      <c r="K816" s="484" t="str">
        <f>VLOOKUP(TabListaLojas[[#This Row],[UF]],UF!A:B,2,0)</f>
        <v>São Paulo</v>
      </c>
      <c r="L816" s="484" t="s">
        <v>124</v>
      </c>
      <c r="M816" s="484" t="s">
        <v>2265</v>
      </c>
      <c r="N816" s="484" t="s">
        <v>676</v>
      </c>
      <c r="O816" s="487">
        <v>1341.26</v>
      </c>
    </row>
    <row r="817" spans="1:15" ht="15" customHeight="1">
      <c r="B817" s="483">
        <v>1</v>
      </c>
      <c r="C817" s="484" t="s">
        <v>1984</v>
      </c>
      <c r="D817" s="488" t="s">
        <v>126</v>
      </c>
      <c r="E817" s="488" t="str">
        <f t="shared" si="31"/>
        <v>Open</v>
      </c>
      <c r="F817" s="488">
        <v>31825</v>
      </c>
      <c r="G817" s="488"/>
      <c r="H817" s="484" t="s">
        <v>673</v>
      </c>
      <c r="I817" s="484" t="str">
        <f>VLOOKUP(TabListaLojas[[#This Row],[UF]],UF!A:E,3,0)</f>
        <v>Southest</v>
      </c>
      <c r="J817" s="484" t="s">
        <v>118</v>
      </c>
      <c r="K817" s="484" t="str">
        <f>VLOOKUP(TabListaLojas[[#This Row],[UF]],UF!A:B,2,0)</f>
        <v>São Paulo</v>
      </c>
      <c r="L817" s="484" t="s">
        <v>124</v>
      </c>
      <c r="M817" s="484" t="s">
        <v>1136</v>
      </c>
      <c r="N817" s="484" t="s">
        <v>676</v>
      </c>
      <c r="O817" s="487">
        <v>675.76</v>
      </c>
    </row>
    <row r="818" spans="1:15" ht="15" customHeight="1">
      <c r="B818" s="483">
        <v>1</v>
      </c>
      <c r="C818" s="484" t="s">
        <v>1963</v>
      </c>
      <c r="D818" s="488" t="s">
        <v>116</v>
      </c>
      <c r="E818" s="488" t="str">
        <f t="shared" si="31"/>
        <v>Open</v>
      </c>
      <c r="F818" s="488">
        <v>31297</v>
      </c>
      <c r="G818" s="488"/>
      <c r="H818" s="484" t="s">
        <v>673</v>
      </c>
      <c r="I818" s="484" t="str">
        <f>VLOOKUP(TabListaLojas[[#This Row],[UF]],UF!A:E,3,0)</f>
        <v>South</v>
      </c>
      <c r="J818" s="484" t="s">
        <v>117</v>
      </c>
      <c r="K818" s="484" t="str">
        <f>VLOOKUP(TabListaLojas[[#This Row],[UF]],UF!A:B,2,0)</f>
        <v>Rio Grande do Sul</v>
      </c>
      <c r="L818" s="484" t="s">
        <v>1206</v>
      </c>
      <c r="M818" s="484" t="s">
        <v>1464</v>
      </c>
      <c r="N818" s="484" t="s">
        <v>714</v>
      </c>
      <c r="O818" s="487">
        <v>2575.8000000000002</v>
      </c>
    </row>
    <row r="819" spans="1:15" ht="15" customHeight="1">
      <c r="A819" s="173"/>
      <c r="B819" s="483">
        <v>1</v>
      </c>
      <c r="C819" s="484" t="s">
        <v>1964</v>
      </c>
      <c r="D819" s="488" t="s">
        <v>116</v>
      </c>
      <c r="E819" s="488" t="str">
        <f t="shared" si="31"/>
        <v>Open</v>
      </c>
      <c r="F819" s="488">
        <v>30419</v>
      </c>
      <c r="G819" s="488"/>
      <c r="H819" s="484" t="s">
        <v>673</v>
      </c>
      <c r="I819" s="484" t="str">
        <f>VLOOKUP(TabListaLojas[[#This Row],[UF]],UF!A:E,3,0)</f>
        <v>South</v>
      </c>
      <c r="J819" s="484" t="s">
        <v>117</v>
      </c>
      <c r="K819" s="484" t="str">
        <f>VLOOKUP(TabListaLojas[[#This Row],[UF]],UF!A:B,2,0)</f>
        <v>Rio Grande do Sul</v>
      </c>
      <c r="L819" s="484" t="s">
        <v>129</v>
      </c>
      <c r="M819" s="484" t="s">
        <v>1465</v>
      </c>
      <c r="N819" s="484" t="s">
        <v>676</v>
      </c>
      <c r="O819" s="487">
        <v>6061.22</v>
      </c>
    </row>
    <row r="820" spans="1:15" ht="15" customHeight="1">
      <c r="A820" s="173"/>
      <c r="B820" s="483">
        <v>1</v>
      </c>
      <c r="C820" s="484" t="s">
        <v>1965</v>
      </c>
      <c r="D820" s="488" t="s">
        <v>116</v>
      </c>
      <c r="E820" s="488" t="str">
        <f t="shared" si="31"/>
        <v>Open</v>
      </c>
      <c r="F820" s="488">
        <v>29465</v>
      </c>
      <c r="G820" s="488"/>
      <c r="H820" s="484" t="s">
        <v>673</v>
      </c>
      <c r="I820" s="484" t="str">
        <f>VLOOKUP(TabListaLojas[[#This Row],[UF]],UF!A:E,3,0)</f>
        <v>South</v>
      </c>
      <c r="J820" s="484" t="s">
        <v>117</v>
      </c>
      <c r="K820" s="484" t="str">
        <f>VLOOKUP(TabListaLojas[[#This Row],[UF]],UF!A:B,2,0)</f>
        <v>Rio Grande do Sul</v>
      </c>
      <c r="L820" s="484" t="s">
        <v>1071</v>
      </c>
      <c r="M820" s="484" t="s">
        <v>1466</v>
      </c>
      <c r="N820" s="484" t="s">
        <v>714</v>
      </c>
      <c r="O820" s="487">
        <v>4733.41</v>
      </c>
    </row>
    <row r="821" spans="1:15" ht="15" customHeight="1">
      <c r="A821" s="173"/>
      <c r="B821" s="483">
        <v>1</v>
      </c>
      <c r="C821" s="484" t="s">
        <v>1966</v>
      </c>
      <c r="D821" s="488" t="s">
        <v>116</v>
      </c>
      <c r="E821" s="488" t="str">
        <f t="shared" si="31"/>
        <v>Open</v>
      </c>
      <c r="F821" s="488">
        <v>28430</v>
      </c>
      <c r="G821" s="488"/>
      <c r="H821" s="484" t="s">
        <v>673</v>
      </c>
      <c r="I821" s="484" t="str">
        <f>VLOOKUP(TabListaLojas[[#This Row],[UF]],UF!A:E,3,0)</f>
        <v>South</v>
      </c>
      <c r="J821" s="484" t="s">
        <v>117</v>
      </c>
      <c r="K821" s="484" t="str">
        <f>VLOOKUP(TabListaLojas[[#This Row],[UF]],UF!A:B,2,0)</f>
        <v>Rio Grande do Sul</v>
      </c>
      <c r="L821" s="484" t="s">
        <v>129</v>
      </c>
      <c r="M821" s="484" t="s">
        <v>1467</v>
      </c>
      <c r="N821" s="484" t="s">
        <v>714</v>
      </c>
      <c r="O821" s="487">
        <v>10815.45</v>
      </c>
    </row>
    <row r="822" spans="1:15" ht="15" customHeight="1">
      <c r="A822" s="352"/>
      <c r="B822" s="483">
        <v>1</v>
      </c>
      <c r="C822" s="484" t="s">
        <v>1967</v>
      </c>
      <c r="D822" s="488" t="s">
        <v>116</v>
      </c>
      <c r="E822" s="488" t="str">
        <f t="shared" si="31"/>
        <v>Open</v>
      </c>
      <c r="F822" s="488">
        <v>27860</v>
      </c>
      <c r="G822" s="488"/>
      <c r="H822" s="484" t="s">
        <v>673</v>
      </c>
      <c r="I822" s="484" t="str">
        <f>VLOOKUP(TabListaLojas[[#This Row],[UF]],UF!A:E,3,0)</f>
        <v>South</v>
      </c>
      <c r="J822" s="484" t="s">
        <v>117</v>
      </c>
      <c r="K822" s="484" t="str">
        <f>VLOOKUP(TabListaLojas[[#This Row],[UF]],UF!A:B,2,0)</f>
        <v>Rio Grande do Sul</v>
      </c>
      <c r="L822" s="484" t="s">
        <v>1050</v>
      </c>
      <c r="M822" s="484" t="s">
        <v>1468</v>
      </c>
      <c r="N822" s="484" t="s">
        <v>676</v>
      </c>
      <c r="O822" s="487">
        <v>2485.2199999999998</v>
      </c>
    </row>
    <row r="823" spans="1:15" ht="15" customHeight="1">
      <c r="A823" s="352"/>
      <c r="B823" s="483">
        <v>1</v>
      </c>
      <c r="C823" s="484" t="s">
        <v>1968</v>
      </c>
      <c r="D823" s="488" t="s">
        <v>116</v>
      </c>
      <c r="E823" s="488" t="str">
        <f t="shared" si="31"/>
        <v>Open</v>
      </c>
      <c r="F823" s="488">
        <v>25906</v>
      </c>
      <c r="G823" s="488"/>
      <c r="H823" s="484" t="s">
        <v>673</v>
      </c>
      <c r="I823" s="484" t="str">
        <f>VLOOKUP(TabListaLojas[[#This Row],[UF]],UF!A:E,3,0)</f>
        <v>South</v>
      </c>
      <c r="J823" s="484" t="s">
        <v>117</v>
      </c>
      <c r="K823" s="484" t="str">
        <f>VLOOKUP(TabListaLojas[[#This Row],[UF]],UF!A:B,2,0)</f>
        <v>Rio Grande do Sul</v>
      </c>
      <c r="L823" s="484" t="s">
        <v>129</v>
      </c>
      <c r="M823" s="484" t="s">
        <v>1469</v>
      </c>
      <c r="N823" s="484" t="s">
        <v>676</v>
      </c>
      <c r="O823" s="487">
        <v>2570.81</v>
      </c>
    </row>
    <row r="824" spans="1:15" ht="15" customHeight="1">
      <c r="A824" s="352"/>
      <c r="B824" s="500">
        <v>1</v>
      </c>
      <c r="C824" s="501" t="s">
        <v>1969</v>
      </c>
      <c r="D824" s="502" t="s">
        <v>116</v>
      </c>
      <c r="E824" s="502" t="str">
        <f t="shared" si="31"/>
        <v>Open</v>
      </c>
      <c r="F824" s="502">
        <v>24624</v>
      </c>
      <c r="G824" s="502"/>
      <c r="H824" s="501" t="s">
        <v>673</v>
      </c>
      <c r="I824" s="501" t="str">
        <f>VLOOKUP(TabListaLojas[[#This Row],[UF]],UF!A:E,3,0)</f>
        <v>South</v>
      </c>
      <c r="J824" s="501" t="s">
        <v>117</v>
      </c>
      <c r="K824" s="501" t="str">
        <f>VLOOKUP(TabListaLojas[[#This Row],[UF]],UF!A:B,2,0)</f>
        <v>Rio Grande do Sul</v>
      </c>
      <c r="L824" s="501" t="s">
        <v>850</v>
      </c>
      <c r="M824" s="501" t="s">
        <v>1470</v>
      </c>
      <c r="N824" s="501" t="s">
        <v>714</v>
      </c>
      <c r="O824" s="503">
        <v>3155.51</v>
      </c>
    </row>
    <row r="826" spans="1:15" ht="15" customHeight="1">
      <c r="C826" s="7"/>
      <c r="D826" s="172"/>
    </row>
    <row r="827" spans="1:15" ht="15" customHeight="1">
      <c r="D827" s="172"/>
      <c r="E827" s="7"/>
    </row>
  </sheetData>
  <sortState xmlns:xlrd2="http://schemas.microsoft.com/office/spreadsheetml/2017/richdata2" ref="B224:O678">
    <sortCondition ref="E224:E678"/>
    <sortCondition ref="F224:F678"/>
  </sortState>
  <pageMargins left="0.511811024" right="0.511811024" top="0.78740157499999996" bottom="0.78740157499999996" header="0.31496062000000002" footer="0.31496062000000002"/>
  <pageSetup paperSize="9" orientation="portrait" horizontalDpi="1200" verticalDpi="1200" r:id="rId1"/>
  <headerFooter>
    <oddFooter>&amp;L_x000D_&amp;1#&amp;"Calibri"&amp;10&amp;KA80000 Classificação: Confidencial</oddFooter>
  </headerFooter>
  <ignoredErrors>
    <ignoredError sqref="E119 E225 E290" calculatedColumn="1"/>
  </ignoredErrors>
  <drawing r:id="rId2"/>
  <tableParts count="1">
    <tablePart r:id="rId3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A4FCB-6867-4207-9170-C4D52D5ECF97}">
  <dimension ref="A2:G17"/>
  <sheetViews>
    <sheetView workbookViewId="0">
      <selection activeCell="N11" sqref="N11"/>
    </sheetView>
  </sheetViews>
  <sheetFormatPr defaultRowHeight="12.75"/>
  <cols>
    <col min="1" max="1" width="22.85546875" bestFit="1" customWidth="1"/>
    <col min="2" max="7" width="15.42578125" customWidth="1"/>
    <col min="8" max="43" width="5" bestFit="1" customWidth="1"/>
    <col min="44" max="44" width="11.140625" bestFit="1" customWidth="1"/>
  </cols>
  <sheetData>
    <row r="2" spans="1:7">
      <c r="A2" s="506" t="s">
        <v>2631</v>
      </c>
      <c r="B2" t="s">
        <v>2623</v>
      </c>
    </row>
    <row r="3" spans="1:7">
      <c r="A3" s="506" t="s">
        <v>2632</v>
      </c>
      <c r="B3" t="s">
        <v>2623</v>
      </c>
    </row>
    <row r="5" spans="1:7">
      <c r="A5" s="506" t="s">
        <v>2634</v>
      </c>
      <c r="B5" s="506" t="s">
        <v>2633</v>
      </c>
    </row>
    <row r="6" spans="1:7">
      <c r="A6" s="506" t="s">
        <v>2624</v>
      </c>
      <c r="B6" t="s">
        <v>2626</v>
      </c>
      <c r="C6" t="s">
        <v>2627</v>
      </c>
      <c r="D6" t="s">
        <v>2628</v>
      </c>
      <c r="E6" t="s">
        <v>2629</v>
      </c>
      <c r="F6" t="s">
        <v>2630</v>
      </c>
      <c r="G6" t="s">
        <v>2625</v>
      </c>
    </row>
    <row r="7" spans="1:7">
      <c r="A7" s="507" t="s">
        <v>701</v>
      </c>
      <c r="B7">
        <v>4</v>
      </c>
      <c r="C7">
        <v>5</v>
      </c>
      <c r="D7">
        <v>1</v>
      </c>
      <c r="G7">
        <v>10</v>
      </c>
    </row>
    <row r="8" spans="1:7">
      <c r="A8" s="508" t="s">
        <v>676</v>
      </c>
      <c r="B8">
        <v>4</v>
      </c>
      <c r="C8">
        <v>5</v>
      </c>
      <c r="D8">
        <v>1</v>
      </c>
      <c r="G8">
        <v>10</v>
      </c>
    </row>
    <row r="9" spans="1:7">
      <c r="A9" s="507" t="s">
        <v>126</v>
      </c>
      <c r="B9">
        <v>4</v>
      </c>
      <c r="E9">
        <v>3</v>
      </c>
      <c r="F9">
        <v>4</v>
      </c>
      <c r="G9">
        <v>11</v>
      </c>
    </row>
    <row r="10" spans="1:7">
      <c r="A10" s="508" t="s">
        <v>676</v>
      </c>
      <c r="B10">
        <v>4</v>
      </c>
      <c r="E10">
        <v>3</v>
      </c>
      <c r="F10">
        <v>4</v>
      </c>
      <c r="G10">
        <v>11</v>
      </c>
    </row>
    <row r="11" spans="1:7">
      <c r="A11" s="507" t="s">
        <v>116</v>
      </c>
      <c r="B11">
        <v>19</v>
      </c>
      <c r="C11">
        <v>17</v>
      </c>
      <c r="D11">
        <v>12</v>
      </c>
      <c r="E11">
        <v>14</v>
      </c>
      <c r="F11">
        <v>5</v>
      </c>
      <c r="G11">
        <v>67</v>
      </c>
    </row>
    <row r="12" spans="1:7">
      <c r="A12" s="508" t="s">
        <v>676</v>
      </c>
      <c r="B12">
        <v>8</v>
      </c>
      <c r="C12">
        <v>13</v>
      </c>
      <c r="D12">
        <v>8</v>
      </c>
      <c r="E12">
        <v>13</v>
      </c>
      <c r="F12">
        <v>4</v>
      </c>
      <c r="G12">
        <v>46</v>
      </c>
    </row>
    <row r="13" spans="1:7">
      <c r="A13" s="508" t="s">
        <v>714</v>
      </c>
      <c r="B13">
        <v>11</v>
      </c>
      <c r="C13">
        <v>4</v>
      </c>
      <c r="D13">
        <v>4</v>
      </c>
      <c r="E13">
        <v>1</v>
      </c>
      <c r="F13">
        <v>1</v>
      </c>
      <c r="G13">
        <v>21</v>
      </c>
    </row>
    <row r="14" spans="1:7">
      <c r="A14" s="507" t="s">
        <v>127</v>
      </c>
      <c r="B14">
        <v>11</v>
      </c>
      <c r="C14">
        <v>13</v>
      </c>
      <c r="D14">
        <v>11</v>
      </c>
      <c r="E14">
        <v>17</v>
      </c>
      <c r="F14">
        <v>10</v>
      </c>
      <c r="G14">
        <v>62</v>
      </c>
    </row>
    <row r="15" spans="1:7">
      <c r="A15" s="508" t="s">
        <v>676</v>
      </c>
      <c r="B15">
        <v>11</v>
      </c>
      <c r="C15">
        <v>13</v>
      </c>
      <c r="D15">
        <v>11</v>
      </c>
      <c r="E15">
        <v>16</v>
      </c>
      <c r="F15">
        <v>10</v>
      </c>
      <c r="G15">
        <v>61</v>
      </c>
    </row>
    <row r="16" spans="1:7">
      <c r="A16" s="508" t="s">
        <v>714</v>
      </c>
      <c r="E16">
        <v>1</v>
      </c>
      <c r="G16">
        <v>1</v>
      </c>
    </row>
    <row r="17" spans="1:7">
      <c r="A17" s="507" t="s">
        <v>2625</v>
      </c>
      <c r="B17">
        <v>38</v>
      </c>
      <c r="C17">
        <v>35</v>
      </c>
      <c r="D17">
        <v>24</v>
      </c>
      <c r="E17">
        <v>34</v>
      </c>
      <c r="F17">
        <v>19</v>
      </c>
      <c r="G17">
        <v>150</v>
      </c>
    </row>
  </sheetData>
  <pageMargins left="0.511811024" right="0.511811024" top="0.78740157499999996" bottom="0.78740157499999996" header="0.31496062000000002" footer="0.3149606200000000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C8E05-D70D-498A-ABFC-24A83B9C2B42}">
  <sheetPr>
    <outlinePr summaryBelow="0"/>
    <pageSetUpPr fitToPage="1"/>
  </sheetPr>
  <dimension ref="A4:K32"/>
  <sheetViews>
    <sheetView showGridLines="0" zoomScaleNormal="100" workbookViewId="0">
      <pane xSplit="3" ySplit="5" topLeftCell="F6" activePane="bottomRight" state="frozen"/>
      <selection pane="topRight"/>
      <selection pane="bottomLeft"/>
      <selection pane="bottomRight" activeCell="K6" sqref="K6"/>
    </sheetView>
  </sheetViews>
  <sheetFormatPr defaultColWidth="9.42578125" defaultRowHeight="16.350000000000001" customHeight="1"/>
  <cols>
    <col min="1" max="1" width="3.5703125" customWidth="1"/>
    <col min="2" max="2" width="38.42578125" customWidth="1"/>
    <col min="3" max="3" width="47.42578125" bestFit="1" customWidth="1"/>
    <col min="4" max="9" width="12.5703125" customWidth="1"/>
    <col min="10" max="11" width="10.7109375" customWidth="1"/>
  </cols>
  <sheetData>
    <row r="4" spans="1:11" ht="27">
      <c r="A4" s="250"/>
      <c r="B4" s="8"/>
      <c r="C4" s="175"/>
    </row>
    <row r="5" spans="1:11" ht="16.350000000000001" customHeight="1">
      <c r="A5" s="250"/>
      <c r="B5" s="175"/>
      <c r="C5" s="175"/>
    </row>
    <row r="6" spans="1:11" ht="16.350000000000001" customHeight="1">
      <c r="A6" s="398"/>
      <c r="B6" s="458" t="s">
        <v>2464</v>
      </c>
      <c r="C6" s="458" t="s">
        <v>2465</v>
      </c>
      <c r="D6" s="447" t="s">
        <v>2467</v>
      </c>
      <c r="E6" s="447" t="s">
        <v>2549</v>
      </c>
      <c r="F6" s="447" t="s">
        <v>2573</v>
      </c>
      <c r="G6" s="447" t="s">
        <v>2574</v>
      </c>
      <c r="H6" s="447" t="s">
        <v>2466</v>
      </c>
      <c r="I6" s="447" t="s">
        <v>2550</v>
      </c>
      <c r="J6" s="447" t="s">
        <v>2572</v>
      </c>
      <c r="K6" s="447" t="s">
        <v>2621</v>
      </c>
    </row>
    <row r="7" spans="1:11" ht="16.350000000000001" customHeight="1">
      <c r="B7" s="19" t="s">
        <v>2468</v>
      </c>
      <c r="C7" s="19" t="s">
        <v>2468</v>
      </c>
      <c r="D7" s="423">
        <v>0.12404318235338718</v>
      </c>
      <c r="E7" s="423">
        <v>0.12404318235338718</v>
      </c>
      <c r="F7" s="423">
        <v>0.13281907513157853</v>
      </c>
      <c r="G7" s="423">
        <v>0.14059998073715371</v>
      </c>
      <c r="H7" s="423">
        <v>0.14364312540403901</v>
      </c>
      <c r="I7" s="423">
        <v>0.14704199474598625</v>
      </c>
      <c r="J7" s="423">
        <v>0.15228314681721247</v>
      </c>
      <c r="K7" s="423">
        <v>0.15122474520398221</v>
      </c>
    </row>
    <row r="8" spans="1:11" ht="16.350000000000001" customHeight="1">
      <c r="B8" s="3"/>
      <c r="C8" s="3"/>
      <c r="D8" s="425"/>
      <c r="E8" s="346"/>
      <c r="F8" s="424"/>
      <c r="G8" s="424"/>
      <c r="H8" s="424"/>
      <c r="I8" s="426"/>
      <c r="J8" s="426"/>
      <c r="K8" s="426"/>
    </row>
    <row r="9" spans="1:11" ht="16.350000000000001" customHeight="1">
      <c r="B9" s="19" t="s">
        <v>2469</v>
      </c>
      <c r="C9" s="19" t="s">
        <v>2469</v>
      </c>
      <c r="D9" s="427">
        <v>1407350.1</v>
      </c>
      <c r="E9" s="427">
        <v>1383441.01</v>
      </c>
      <c r="F9" s="427">
        <v>1598870.22</v>
      </c>
      <c r="G9" s="427">
        <v>1598870.22</v>
      </c>
      <c r="H9" s="427">
        <v>1598870.22</v>
      </c>
      <c r="I9" s="427">
        <v>1598870.22</v>
      </c>
      <c r="J9" s="427">
        <v>1598870.22</v>
      </c>
      <c r="K9" s="427">
        <v>1591249.86</v>
      </c>
    </row>
    <row r="10" spans="1:11" ht="16.350000000000001" customHeight="1">
      <c r="B10" s="399"/>
      <c r="C10" s="399"/>
      <c r="D10" s="428"/>
      <c r="E10" s="428"/>
      <c r="F10" s="428"/>
      <c r="G10" s="428"/>
      <c r="H10" s="428"/>
      <c r="I10" s="428"/>
      <c r="J10" s="428"/>
      <c r="K10" s="428"/>
    </row>
    <row r="11" spans="1:11" ht="16.350000000000001" customHeight="1">
      <c r="B11" s="156" t="s">
        <v>2470</v>
      </c>
      <c r="C11" s="156" t="s">
        <v>2471</v>
      </c>
      <c r="D11" s="429">
        <v>11124660</v>
      </c>
      <c r="E11" s="429">
        <v>11152898.399999999</v>
      </c>
      <c r="F11" s="429">
        <v>10952585</v>
      </c>
      <c r="G11" s="429">
        <v>10891432.999999998</v>
      </c>
      <c r="H11" s="429">
        <v>10753912</v>
      </c>
      <c r="I11" s="429">
        <v>10678693</v>
      </c>
      <c r="J11" s="429">
        <v>10499324.800000001</v>
      </c>
      <c r="K11" s="429">
        <v>10522417.200000001</v>
      </c>
    </row>
    <row r="12" spans="1:11" ht="16.350000000000001" customHeight="1">
      <c r="B12" s="421" t="s">
        <v>204</v>
      </c>
      <c r="C12" s="421" t="s">
        <v>2472</v>
      </c>
      <c r="D12" s="430">
        <v>2758736</v>
      </c>
      <c r="E12" s="430">
        <v>2658235.6</v>
      </c>
      <c r="F12" s="430">
        <v>2363628.6</v>
      </c>
      <c r="G12" s="430">
        <v>2234878.4</v>
      </c>
      <c r="H12" s="430">
        <v>2081334.2</v>
      </c>
      <c r="I12" s="430">
        <v>1945976.2</v>
      </c>
      <c r="J12" s="430">
        <v>1762420.4</v>
      </c>
      <c r="K12" s="430">
        <v>1819656</v>
      </c>
    </row>
    <row r="13" spans="1:11" ht="16.350000000000001" customHeight="1">
      <c r="B13" s="421" t="s">
        <v>2473</v>
      </c>
      <c r="C13" s="421" t="s">
        <v>2474</v>
      </c>
      <c r="D13" s="430">
        <v>5950065.7999999998</v>
      </c>
      <c r="E13" s="430">
        <v>6192433.4000000004</v>
      </c>
      <c r="F13" s="430">
        <v>6060480.7999999998</v>
      </c>
      <c r="G13" s="430">
        <v>6235400.2000000002</v>
      </c>
      <c r="H13" s="430">
        <v>6251514.7999999998</v>
      </c>
      <c r="I13" s="430">
        <v>6522839.5999999996</v>
      </c>
      <c r="J13" s="430">
        <v>6373244.7999999998</v>
      </c>
      <c r="K13" s="430">
        <v>6478101.7999999998</v>
      </c>
    </row>
    <row r="14" spans="1:11" ht="16.350000000000001" customHeight="1">
      <c r="B14" s="421" t="s">
        <v>5</v>
      </c>
      <c r="C14" s="421" t="s">
        <v>6</v>
      </c>
      <c r="D14" s="430">
        <v>1926007.6</v>
      </c>
      <c r="E14" s="430">
        <v>1916058.4</v>
      </c>
      <c r="F14" s="430">
        <v>2006256.2</v>
      </c>
      <c r="G14" s="430">
        <v>2002595.8</v>
      </c>
      <c r="H14" s="430">
        <v>2051235.4</v>
      </c>
      <c r="I14" s="430">
        <v>2020385.8</v>
      </c>
      <c r="J14" s="430">
        <v>2073501.4</v>
      </c>
      <c r="K14" s="430">
        <v>2045376.2</v>
      </c>
    </row>
    <row r="15" spans="1:11" ht="16.350000000000001" customHeight="1">
      <c r="B15" s="421" t="s">
        <v>17</v>
      </c>
      <c r="C15" s="421" t="s">
        <v>18</v>
      </c>
      <c r="D15" s="430">
        <v>-1514646</v>
      </c>
      <c r="E15" s="430">
        <v>-1570168</v>
      </c>
      <c r="F15" s="430">
        <v>-1495199.6</v>
      </c>
      <c r="G15" s="430">
        <v>-1482774</v>
      </c>
      <c r="H15" s="430">
        <v>-1510146.2</v>
      </c>
      <c r="I15" s="430">
        <v>-1576707.4</v>
      </c>
      <c r="J15" s="430">
        <v>-1537371.4</v>
      </c>
      <c r="K15" s="430">
        <v>-1567132.4</v>
      </c>
    </row>
    <row r="16" spans="1:11" ht="16.350000000000001" customHeight="1">
      <c r="B16" s="421" t="s">
        <v>2475</v>
      </c>
      <c r="C16" s="421" t="s">
        <v>2476</v>
      </c>
      <c r="D16" s="430">
        <v>638585.4</v>
      </c>
      <c r="E16" s="430">
        <v>636743.19999999995</v>
      </c>
      <c r="F16" s="430">
        <v>643894.80000000005</v>
      </c>
      <c r="G16" s="430">
        <v>643796.6</v>
      </c>
      <c r="H16" s="430">
        <v>635899.4</v>
      </c>
      <c r="I16" s="430">
        <v>616399.4</v>
      </c>
      <c r="J16" s="430">
        <v>625532.4</v>
      </c>
      <c r="K16" s="430">
        <v>639138.80000000005</v>
      </c>
    </row>
    <row r="17" spans="2:11" ht="16.350000000000001" customHeight="1">
      <c r="B17" s="421" t="s">
        <v>2477</v>
      </c>
      <c r="C17" s="421" t="s">
        <v>2478</v>
      </c>
      <c r="D17" s="430">
        <v>1123036</v>
      </c>
      <c r="E17" s="430">
        <v>1140315.8</v>
      </c>
      <c r="F17" s="430">
        <v>1139150.2</v>
      </c>
      <c r="G17" s="430">
        <v>1128837.2</v>
      </c>
      <c r="H17" s="430">
        <v>1132061.2</v>
      </c>
      <c r="I17" s="430">
        <v>1144021.6000000001</v>
      </c>
      <c r="J17" s="430">
        <v>1147173.6000000001</v>
      </c>
      <c r="K17" s="430">
        <v>1121011.8</v>
      </c>
    </row>
    <row r="18" spans="2:11" ht="16.350000000000001" customHeight="1">
      <c r="B18" s="421" t="s">
        <v>2479</v>
      </c>
      <c r="C18" s="421" t="s">
        <v>2480</v>
      </c>
      <c r="D18" s="430">
        <v>147245.20000000001</v>
      </c>
      <c r="E18" s="430">
        <v>140126.6</v>
      </c>
      <c r="F18" s="430">
        <v>142286.20000000001</v>
      </c>
      <c r="G18" s="430">
        <v>133387.20000000001</v>
      </c>
      <c r="H18" s="430">
        <v>121706.8</v>
      </c>
      <c r="I18" s="430">
        <v>118171.8</v>
      </c>
      <c r="J18" s="430">
        <v>116747.4</v>
      </c>
      <c r="K18" s="430">
        <v>113179.4</v>
      </c>
    </row>
    <row r="19" spans="2:11" ht="16.350000000000001" customHeight="1">
      <c r="B19" s="421" t="s">
        <v>2481</v>
      </c>
      <c r="C19" s="421" t="s">
        <v>2482</v>
      </c>
      <c r="D19" s="430">
        <v>126202.8</v>
      </c>
      <c r="E19" s="430">
        <v>107203.6</v>
      </c>
      <c r="F19" s="430">
        <v>106783.4</v>
      </c>
      <c r="G19" s="430">
        <v>104261.6</v>
      </c>
      <c r="H19" s="430">
        <v>102413.2</v>
      </c>
      <c r="I19" s="430">
        <v>117555.4</v>
      </c>
      <c r="J19" s="430">
        <v>133975.4</v>
      </c>
      <c r="K19" s="430">
        <v>150079</v>
      </c>
    </row>
    <row r="20" spans="2:11" ht="16.350000000000001" customHeight="1">
      <c r="B20" s="421" t="s">
        <v>2483</v>
      </c>
      <c r="C20" s="421" t="s">
        <v>2484</v>
      </c>
      <c r="D20" s="430">
        <v>-3850769.2</v>
      </c>
      <c r="E20" s="430">
        <v>-4007280</v>
      </c>
      <c r="F20" s="430">
        <v>-3981447</v>
      </c>
      <c r="G20" s="430">
        <v>-4037015.8</v>
      </c>
      <c r="H20" s="430">
        <v>-3975180</v>
      </c>
      <c r="I20" s="430">
        <v>-3998808.6</v>
      </c>
      <c r="J20" s="430">
        <v>-3853556.8</v>
      </c>
      <c r="K20" s="430">
        <v>-3909376</v>
      </c>
    </row>
    <row r="21" spans="2:11" ht="16.350000000000001" customHeight="1">
      <c r="B21" s="421" t="s">
        <v>2485</v>
      </c>
      <c r="C21" s="421" t="s">
        <v>2486</v>
      </c>
      <c r="D21" s="430">
        <v>-418035.20000000001</v>
      </c>
      <c r="E21" s="430">
        <v>-281054.2</v>
      </c>
      <c r="F21" s="430">
        <v>-210695.6</v>
      </c>
      <c r="G21" s="430">
        <v>-202214.8</v>
      </c>
      <c r="H21" s="430">
        <v>-224195</v>
      </c>
      <c r="I21" s="430">
        <v>-310296.40000000002</v>
      </c>
      <c r="J21" s="430">
        <v>-403017.6</v>
      </c>
      <c r="K21" s="430">
        <v>-431554.8</v>
      </c>
    </row>
    <row r="22" spans="2:11" ht="16.350000000000001" customHeight="1">
      <c r="B22" s="422" t="s">
        <v>2487</v>
      </c>
      <c r="C22" s="422" t="s">
        <v>2488</v>
      </c>
      <c r="D22" s="431">
        <v>4238231.5999999996</v>
      </c>
      <c r="E22" s="431">
        <v>4220284</v>
      </c>
      <c r="F22" s="431">
        <v>4177447</v>
      </c>
      <c r="G22" s="431">
        <v>4130280.6</v>
      </c>
      <c r="H22" s="431">
        <v>4087268.2</v>
      </c>
      <c r="I22" s="431">
        <v>4079155.6</v>
      </c>
      <c r="J22" s="431">
        <v>4060675.2</v>
      </c>
      <c r="K22" s="431">
        <v>4063937.4</v>
      </c>
    </row>
    <row r="23" spans="2:11" ht="16.350000000000001" customHeight="1">
      <c r="B23" s="400"/>
      <c r="C23" s="400"/>
      <c r="D23" s="344"/>
      <c r="E23" s="432"/>
      <c r="F23" s="432"/>
      <c r="G23" s="432"/>
      <c r="H23" s="432"/>
      <c r="I23" s="344"/>
      <c r="J23" s="344"/>
      <c r="K23" s="344"/>
    </row>
    <row r="24" spans="2:11" ht="16.350000000000001" customHeight="1">
      <c r="B24" s="399" t="s">
        <v>2489</v>
      </c>
      <c r="C24" s="399" t="s">
        <v>2490</v>
      </c>
      <c r="D24" s="344"/>
      <c r="E24" s="344"/>
      <c r="F24" s="344"/>
      <c r="G24" s="344"/>
      <c r="H24" s="344"/>
      <c r="I24" s="344"/>
      <c r="J24" s="344"/>
      <c r="K24" s="344"/>
    </row>
    <row r="25" spans="2:11" ht="16.350000000000001" customHeight="1">
      <c r="B25" s="234"/>
      <c r="C25" s="234"/>
      <c r="D25" s="433"/>
      <c r="E25" s="346"/>
      <c r="F25" s="346"/>
      <c r="G25" s="346"/>
      <c r="H25" s="346"/>
      <c r="I25" s="433"/>
      <c r="J25" s="433"/>
      <c r="K25" s="433"/>
    </row>
    <row r="26" spans="2:11" ht="16.350000000000001" customHeight="1">
      <c r="B26" s="156" t="s">
        <v>2470</v>
      </c>
      <c r="C26" s="156" t="s">
        <v>2471</v>
      </c>
      <c r="D26" s="429">
        <v>11124660</v>
      </c>
      <c r="E26" s="429">
        <v>11152898.4</v>
      </c>
      <c r="F26" s="429">
        <v>10952585</v>
      </c>
      <c r="G26" s="429">
        <v>10891433.000000002</v>
      </c>
      <c r="H26" s="429">
        <v>10753912</v>
      </c>
      <c r="I26" s="429">
        <v>10678693</v>
      </c>
      <c r="J26" s="429">
        <v>10499324.800000001</v>
      </c>
      <c r="K26" s="429">
        <v>10522417.199999999</v>
      </c>
    </row>
    <row r="27" spans="2:11" ht="16.350000000000001" customHeight="1">
      <c r="B27" s="421" t="s">
        <v>2491</v>
      </c>
      <c r="C27" s="421" t="s">
        <v>2492</v>
      </c>
      <c r="D27" s="430">
        <v>10124794.800000001</v>
      </c>
      <c r="E27" s="430">
        <v>10326366.800000001</v>
      </c>
      <c r="F27" s="430">
        <v>10370075.6</v>
      </c>
      <c r="G27" s="430">
        <v>10410208.800000001</v>
      </c>
      <c r="H27" s="430">
        <v>10375397.199999999</v>
      </c>
      <c r="I27" s="430">
        <v>10387714.199999999</v>
      </c>
      <c r="J27" s="430">
        <v>10306340.4</v>
      </c>
      <c r="K27" s="430">
        <v>10326744.199999999</v>
      </c>
    </row>
    <row r="28" spans="2:11" ht="16.350000000000001" customHeight="1">
      <c r="B28" s="421" t="s">
        <v>2493</v>
      </c>
      <c r="C28" s="421" t="s">
        <v>2494</v>
      </c>
      <c r="D28" s="430">
        <v>768382.2</v>
      </c>
      <c r="E28" s="430">
        <v>652607</v>
      </c>
      <c r="F28" s="430">
        <v>432232</v>
      </c>
      <c r="G28" s="430">
        <v>320621.40000000002</v>
      </c>
      <c r="H28" s="430">
        <v>205831.4</v>
      </c>
      <c r="I28" s="430">
        <v>104488</v>
      </c>
      <c r="J28" s="430">
        <v>0</v>
      </c>
      <c r="K28" s="430">
        <v>0</v>
      </c>
    </row>
    <row r="29" spans="2:11" ht="16.350000000000001" customHeight="1">
      <c r="B29" s="422" t="s">
        <v>2495</v>
      </c>
      <c r="C29" s="422" t="s">
        <v>2496</v>
      </c>
      <c r="D29" s="431">
        <v>231483</v>
      </c>
      <c r="E29" s="431">
        <v>173924.6</v>
      </c>
      <c r="F29" s="431">
        <v>150277.4</v>
      </c>
      <c r="G29" s="431">
        <v>160602.79999999999</v>
      </c>
      <c r="H29" s="431">
        <v>172683.4</v>
      </c>
      <c r="I29" s="431">
        <v>186490.8</v>
      </c>
      <c r="J29" s="431">
        <v>192984.4</v>
      </c>
      <c r="K29" s="431">
        <v>195673</v>
      </c>
    </row>
    <row r="30" spans="2:11" ht="16.350000000000001" customHeight="1">
      <c r="C30" s="401"/>
    </row>
    <row r="31" spans="2:11" ht="16.350000000000001" customHeight="1">
      <c r="B31" s="7" t="s">
        <v>2497</v>
      </c>
      <c r="C31" s="401"/>
    </row>
    <row r="32" spans="2:11" ht="16.350000000000001" customHeight="1">
      <c r="B32" s="7" t="s">
        <v>2498</v>
      </c>
    </row>
  </sheetData>
  <printOptions horizontalCentered="1"/>
  <pageMargins left="0.25" right="0.25" top="0.75" bottom="0.75" header="0.3" footer="0.3"/>
  <pageSetup paperSize="9" scale="36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8F531-43B0-4D6A-9718-B73F5BF36A60}">
  <sheetPr codeName="Planilha8">
    <pageSetUpPr fitToPage="1"/>
  </sheetPr>
  <dimension ref="A4:EW15"/>
  <sheetViews>
    <sheetView showGridLines="0" zoomScaleNormal="100" workbookViewId="0">
      <pane xSplit="3" ySplit="6" topLeftCell="EF7" activePane="bottomRight" state="frozen"/>
      <selection pane="topRight"/>
      <selection pane="bottomLeft"/>
      <selection pane="bottomRight" activeCell="EW6" sqref="EW6"/>
    </sheetView>
  </sheetViews>
  <sheetFormatPr defaultColWidth="9.42578125" defaultRowHeight="16.350000000000001" customHeight="1" outlineLevelCol="1"/>
  <cols>
    <col min="1" max="1" width="3.5703125" style="7" customWidth="1"/>
    <col min="2" max="2" width="49.5703125" style="7" bestFit="1" customWidth="1"/>
    <col min="3" max="3" width="41.5703125" style="7" bestFit="1" customWidth="1"/>
    <col min="4" max="9" width="8.42578125" style="7" hidden="1" customWidth="1" outlineLevel="1"/>
    <col min="10" max="10" width="8.5703125" style="7" bestFit="1" customWidth="1" collapsed="1"/>
    <col min="11" max="11" width="8" style="7" hidden="1" customWidth="1" outlineLevel="1"/>
    <col min="12" max="16" width="8.42578125" style="7" hidden="1" customWidth="1" outlineLevel="1"/>
    <col min="17" max="17" width="8.42578125" style="7" bestFit="1" customWidth="1" collapsed="1"/>
    <col min="18" max="20" width="8.42578125" style="7" hidden="1" customWidth="1" outlineLevel="1"/>
    <col min="21" max="21" width="8" style="7" hidden="1" customWidth="1" outlineLevel="1"/>
    <col min="22" max="23" width="8.42578125" style="7" hidden="1" customWidth="1" outlineLevel="1"/>
    <col min="24" max="24" width="8.42578125" style="7" bestFit="1" customWidth="1" collapsed="1"/>
    <col min="25" max="25" width="7.5703125" style="7" hidden="1" customWidth="1" outlineLevel="1"/>
    <col min="26" max="28" width="8.42578125" style="7" hidden="1" customWidth="1" outlineLevel="1"/>
    <col min="29" max="29" width="8.5703125" style="7" hidden="1" customWidth="1" outlineLevel="1"/>
    <col min="30" max="30" width="8.42578125" style="7" hidden="1" customWidth="1" outlineLevel="1"/>
    <col min="31" max="31" width="9" style="7" bestFit="1" customWidth="1" collapsed="1"/>
    <col min="32" max="32" width="8.42578125" style="7" hidden="1" customWidth="1" outlineLevel="1"/>
    <col min="33" max="33" width="8.5703125" style="7" hidden="1" customWidth="1" outlineLevel="1"/>
    <col min="34" max="36" width="8.42578125" style="7" hidden="1" customWidth="1" outlineLevel="1"/>
    <col min="37" max="37" width="8.5703125" style="7" hidden="1" customWidth="1" outlineLevel="1"/>
    <col min="38" max="38" width="9" style="7" bestFit="1" customWidth="1" collapsed="1"/>
    <col min="39" max="42" width="8.42578125" style="7" hidden="1" customWidth="1" outlineLevel="1"/>
    <col min="43" max="44" width="8.5703125" style="7" hidden="1" customWidth="1" outlineLevel="1"/>
    <col min="45" max="45" width="9" style="7" bestFit="1" customWidth="1" collapsed="1"/>
    <col min="46" max="46" width="8.42578125" style="7" hidden="1" customWidth="1" outlineLevel="1"/>
    <col min="47" max="48" width="8.5703125" style="7" hidden="1" customWidth="1" outlineLevel="1"/>
    <col min="49" max="49" width="8.42578125" style="7" hidden="1" customWidth="1" outlineLevel="1"/>
    <col min="50" max="50" width="9.42578125" style="7" hidden="1" customWidth="1" outlineLevel="1"/>
    <col min="51" max="51" width="8.42578125" style="7" hidden="1" customWidth="1" outlineLevel="1"/>
    <col min="52" max="52" width="9.42578125" style="7" bestFit="1" customWidth="1" collapsed="1"/>
    <col min="53" max="53" width="8.42578125" style="7" hidden="1" customWidth="1" outlineLevel="1"/>
    <col min="54" max="55" width="8.5703125" style="7" hidden="1" customWidth="1" outlineLevel="1"/>
    <col min="56" max="56" width="8.42578125" style="7" hidden="1" customWidth="1" outlineLevel="1"/>
    <col min="57" max="58" width="8.5703125" style="7" hidden="1" customWidth="1" outlineLevel="1"/>
    <col min="59" max="59" width="8.5703125" style="7" bestFit="1" customWidth="1" collapsed="1"/>
    <col min="60" max="61" width="8.42578125" style="7" hidden="1" customWidth="1" outlineLevel="1"/>
    <col min="62" max="63" width="8.5703125" style="7" hidden="1" customWidth="1" outlineLevel="1"/>
    <col min="64" max="64" width="9" style="7" hidden="1" customWidth="1" outlineLevel="1"/>
    <col min="65" max="65" width="8.5703125" style="7" hidden="1" customWidth="1" outlineLevel="1"/>
    <col min="66" max="66" width="9.42578125" style="7" bestFit="1" customWidth="1" collapsed="1"/>
    <col min="67" max="67" width="8.5703125" style="7" hidden="1" customWidth="1" outlineLevel="1"/>
    <col min="68" max="68" width="8.42578125" style="7" hidden="1" customWidth="1" outlineLevel="1"/>
    <col min="69" max="69" width="9.42578125" style="7" hidden="1" customWidth="1" outlineLevel="1"/>
    <col min="70" max="70" width="8.5703125" style="7" hidden="1" customWidth="1" outlineLevel="1"/>
    <col min="71" max="71" width="9" style="7" hidden="1" customWidth="1" outlineLevel="1"/>
    <col min="72" max="72" width="8.42578125" style="7" hidden="1" customWidth="1" outlineLevel="1"/>
    <col min="73" max="73" width="9.42578125" style="7" bestFit="1" customWidth="1" collapsed="1"/>
    <col min="74" max="74" width="8.42578125" style="7" hidden="1" customWidth="1" outlineLevel="1"/>
    <col min="75" max="75" width="8.5703125" style="7" hidden="1" customWidth="1" outlineLevel="1"/>
    <col min="76" max="76" width="9.42578125" style="7" hidden="1" customWidth="1" outlineLevel="1"/>
    <col min="77" max="77" width="8.5703125" style="7" hidden="1" customWidth="1" outlineLevel="1"/>
    <col min="78" max="78" width="9.42578125" style="7" hidden="1" customWidth="1" outlineLevel="1"/>
    <col min="79" max="79" width="8.5703125" style="7" hidden="1" customWidth="1" outlineLevel="1"/>
    <col min="80" max="80" width="9.42578125" style="7" bestFit="1" customWidth="1" collapsed="1"/>
    <col min="81" max="81" width="8.42578125" style="7" hidden="1" customWidth="1" outlineLevel="1"/>
    <col min="82" max="84" width="8.5703125" style="7" hidden="1" customWidth="1" outlineLevel="1"/>
    <col min="85" max="85" width="9.42578125" style="7" hidden="1" customWidth="1" outlineLevel="1"/>
    <col min="86" max="86" width="8.5703125" style="7" hidden="1" customWidth="1" outlineLevel="1"/>
    <col min="87" max="87" width="9.5703125" style="7" bestFit="1" customWidth="1" collapsed="1"/>
    <col min="88" max="88" width="9" style="7" hidden="1" customWidth="1" outlineLevel="1"/>
    <col min="89" max="90" width="9.42578125" style="7" hidden="1" customWidth="1" outlineLevel="1"/>
    <col min="91" max="91" width="8.42578125" style="7" hidden="1" customWidth="1" outlineLevel="1"/>
    <col min="92" max="92" width="9.42578125" style="7" hidden="1" customWidth="1" outlineLevel="1"/>
    <col min="93" max="93" width="9" style="7" hidden="1" customWidth="1" outlineLevel="1"/>
    <col min="94" max="94" width="9.42578125" style="7" bestFit="1" customWidth="1" collapsed="1"/>
    <col min="95" max="96" width="8.42578125" style="7" hidden="1" customWidth="1" outlineLevel="1"/>
    <col min="97" max="97" width="9.42578125" style="7" hidden="1" customWidth="1" outlineLevel="1"/>
    <col min="98" max="98" width="8.5703125" style="7" hidden="1" customWidth="1" outlineLevel="1"/>
    <col min="99" max="99" width="9.42578125" style="7" hidden="1" customWidth="1" outlineLevel="1"/>
    <col min="100" max="100" width="9" style="7" hidden="1" customWidth="1" outlineLevel="1"/>
    <col min="101" max="101" width="9.5703125" style="7" bestFit="1" customWidth="1" collapsed="1"/>
    <col min="102" max="102" width="9" style="7" hidden="1" customWidth="1" outlineLevel="1"/>
    <col min="103" max="107" width="9.42578125" style="7" hidden="1" customWidth="1" outlineLevel="1"/>
    <col min="108" max="108" width="9.42578125" style="7" collapsed="1"/>
    <col min="109" max="114" width="9.42578125" style="7" hidden="1" customWidth="1" outlineLevel="1"/>
    <col min="115" max="115" width="9.42578125" style="7" collapsed="1"/>
    <col min="116" max="121" width="9.42578125" style="7" hidden="1" customWidth="1" outlineLevel="1"/>
    <col min="122" max="122" width="9.42578125" style="7" collapsed="1"/>
    <col min="123" max="128" width="9.42578125" style="7" hidden="1" customWidth="1" outlineLevel="1"/>
    <col min="129" max="129" width="9.42578125" style="7" collapsed="1"/>
    <col min="130" max="135" width="9.42578125" style="7" hidden="1" customWidth="1" outlineLevel="1"/>
    <col min="136" max="136" width="9.42578125" style="7" collapsed="1"/>
    <col min="137" max="142" width="9.42578125" style="7" hidden="1" customWidth="1" outlineLevel="1"/>
    <col min="143" max="143" width="10.42578125" style="7" bestFit="1" customWidth="1" collapsed="1"/>
    <col min="144" max="144" width="9.42578125" style="7" hidden="1" customWidth="1" outlineLevel="1"/>
    <col min="145" max="149" width="0" style="7" hidden="1" customWidth="1" outlineLevel="1"/>
    <col min="150" max="150" width="9.42578125" style="7" collapsed="1"/>
    <col min="151" max="16384" width="9.42578125" style="7"/>
  </cols>
  <sheetData>
    <row r="4" spans="1:153" ht="16.350000000000001" customHeight="1">
      <c r="B4" s="8"/>
    </row>
    <row r="6" spans="1:153" ht="16.350000000000001" customHeight="1">
      <c r="A6" s="172"/>
      <c r="B6" s="437" t="s">
        <v>435</v>
      </c>
      <c r="C6" s="437" t="s">
        <v>457</v>
      </c>
      <c r="D6" s="447" t="s">
        <v>228</v>
      </c>
      <c r="E6" s="447" t="s">
        <v>229</v>
      </c>
      <c r="F6" s="447" t="s">
        <v>321</v>
      </c>
      <c r="G6" s="447" t="s">
        <v>230</v>
      </c>
      <c r="H6" s="447" t="s">
        <v>31</v>
      </c>
      <c r="I6" s="447" t="s">
        <v>231</v>
      </c>
      <c r="J6" s="447">
        <v>2005</v>
      </c>
      <c r="K6" s="447" t="s">
        <v>232</v>
      </c>
      <c r="L6" s="447" t="s">
        <v>233</v>
      </c>
      <c r="M6" s="447" t="s">
        <v>322</v>
      </c>
      <c r="N6" s="447" t="s">
        <v>234</v>
      </c>
      <c r="O6" s="447" t="s">
        <v>32</v>
      </c>
      <c r="P6" s="447" t="s">
        <v>235</v>
      </c>
      <c r="Q6" s="447">
        <v>2006</v>
      </c>
      <c r="R6" s="447" t="s">
        <v>236</v>
      </c>
      <c r="S6" s="447" t="s">
        <v>237</v>
      </c>
      <c r="T6" s="447" t="s">
        <v>323</v>
      </c>
      <c r="U6" s="447" t="s">
        <v>238</v>
      </c>
      <c r="V6" s="447" t="s">
        <v>33</v>
      </c>
      <c r="W6" s="447" t="s">
        <v>239</v>
      </c>
      <c r="X6" s="447">
        <v>2007</v>
      </c>
      <c r="Y6" s="447" t="s">
        <v>240</v>
      </c>
      <c r="Z6" s="447" t="s">
        <v>241</v>
      </c>
      <c r="AA6" s="447" t="s">
        <v>324</v>
      </c>
      <c r="AB6" s="447" t="s">
        <v>242</v>
      </c>
      <c r="AC6" s="447" t="s">
        <v>34</v>
      </c>
      <c r="AD6" s="447" t="s">
        <v>243</v>
      </c>
      <c r="AE6" s="447">
        <v>2008</v>
      </c>
      <c r="AF6" s="447" t="s">
        <v>244</v>
      </c>
      <c r="AG6" s="447" t="s">
        <v>245</v>
      </c>
      <c r="AH6" s="447" t="s">
        <v>325</v>
      </c>
      <c r="AI6" s="447" t="s">
        <v>246</v>
      </c>
      <c r="AJ6" s="447" t="s">
        <v>35</v>
      </c>
      <c r="AK6" s="447" t="s">
        <v>247</v>
      </c>
      <c r="AL6" s="447">
        <v>2009</v>
      </c>
      <c r="AM6" s="447" t="s">
        <v>248</v>
      </c>
      <c r="AN6" s="447" t="s">
        <v>249</v>
      </c>
      <c r="AO6" s="447" t="s">
        <v>326</v>
      </c>
      <c r="AP6" s="447" t="s">
        <v>250</v>
      </c>
      <c r="AQ6" s="447" t="s">
        <v>36</v>
      </c>
      <c r="AR6" s="447" t="s">
        <v>251</v>
      </c>
      <c r="AS6" s="447">
        <v>2010</v>
      </c>
      <c r="AT6" s="447" t="s">
        <v>252</v>
      </c>
      <c r="AU6" s="447" t="s">
        <v>253</v>
      </c>
      <c r="AV6" s="447" t="s">
        <v>327</v>
      </c>
      <c r="AW6" s="447" t="s">
        <v>254</v>
      </c>
      <c r="AX6" s="447" t="s">
        <v>82</v>
      </c>
      <c r="AY6" s="447" t="s">
        <v>83</v>
      </c>
      <c r="AZ6" s="447">
        <v>2011</v>
      </c>
      <c r="BA6" s="447" t="s">
        <v>255</v>
      </c>
      <c r="BB6" s="447" t="s">
        <v>256</v>
      </c>
      <c r="BC6" s="447" t="s">
        <v>328</v>
      </c>
      <c r="BD6" s="447" t="s">
        <v>257</v>
      </c>
      <c r="BE6" s="447" t="s">
        <v>87</v>
      </c>
      <c r="BF6" s="447" t="s">
        <v>258</v>
      </c>
      <c r="BG6" s="447">
        <v>2012</v>
      </c>
      <c r="BH6" s="447" t="s">
        <v>259</v>
      </c>
      <c r="BI6" s="447" t="s">
        <v>260</v>
      </c>
      <c r="BJ6" s="447" t="s">
        <v>329</v>
      </c>
      <c r="BK6" s="447" t="s">
        <v>261</v>
      </c>
      <c r="BL6" s="447" t="s">
        <v>89</v>
      </c>
      <c r="BM6" s="447" t="s">
        <v>262</v>
      </c>
      <c r="BN6" s="447">
        <v>2013</v>
      </c>
      <c r="BO6" s="447" t="s">
        <v>263</v>
      </c>
      <c r="BP6" s="447" t="s">
        <v>264</v>
      </c>
      <c r="BQ6" s="447" t="s">
        <v>330</v>
      </c>
      <c r="BR6" s="447" t="s">
        <v>265</v>
      </c>
      <c r="BS6" s="447" t="s">
        <v>93</v>
      </c>
      <c r="BT6" s="447" t="s">
        <v>266</v>
      </c>
      <c r="BU6" s="447">
        <v>2014</v>
      </c>
      <c r="BV6" s="447" t="s">
        <v>267</v>
      </c>
      <c r="BW6" s="447" t="s">
        <v>268</v>
      </c>
      <c r="BX6" s="447" t="s">
        <v>331</v>
      </c>
      <c r="BY6" s="447" t="s">
        <v>269</v>
      </c>
      <c r="BZ6" s="447" t="s">
        <v>103</v>
      </c>
      <c r="CA6" s="447" t="s">
        <v>270</v>
      </c>
      <c r="CB6" s="447">
        <v>2015</v>
      </c>
      <c r="CC6" s="447" t="s">
        <v>271</v>
      </c>
      <c r="CD6" s="447" t="s">
        <v>272</v>
      </c>
      <c r="CE6" s="447" t="s">
        <v>332</v>
      </c>
      <c r="CF6" s="447" t="s">
        <v>273</v>
      </c>
      <c r="CG6" s="447" t="s">
        <v>189</v>
      </c>
      <c r="CH6" s="447" t="s">
        <v>274</v>
      </c>
      <c r="CI6" s="447">
        <v>2016</v>
      </c>
      <c r="CJ6" s="447" t="s">
        <v>275</v>
      </c>
      <c r="CK6" s="447" t="s">
        <v>276</v>
      </c>
      <c r="CL6" s="447" t="s">
        <v>333</v>
      </c>
      <c r="CM6" s="447" t="s">
        <v>227</v>
      </c>
      <c r="CN6" s="447" t="s">
        <v>203</v>
      </c>
      <c r="CO6" s="447" t="s">
        <v>277</v>
      </c>
      <c r="CP6" s="447">
        <v>2017</v>
      </c>
      <c r="CQ6" s="447" t="s">
        <v>278</v>
      </c>
      <c r="CR6" s="447" t="s">
        <v>279</v>
      </c>
      <c r="CS6" s="447" t="s">
        <v>334</v>
      </c>
      <c r="CT6" s="447" t="s">
        <v>207</v>
      </c>
      <c r="CU6" s="447" t="s">
        <v>213</v>
      </c>
      <c r="CV6" s="447" t="s">
        <v>212</v>
      </c>
      <c r="CW6" s="447">
        <v>2018</v>
      </c>
      <c r="CX6" s="447" t="s">
        <v>215</v>
      </c>
      <c r="CY6" s="447" t="s">
        <v>217</v>
      </c>
      <c r="CZ6" s="447" t="s">
        <v>335</v>
      </c>
      <c r="DA6" s="447" t="s">
        <v>220</v>
      </c>
      <c r="DB6" s="447" t="s">
        <v>219</v>
      </c>
      <c r="DC6" s="447" t="s">
        <v>221</v>
      </c>
      <c r="DD6" s="447">
        <v>2019</v>
      </c>
      <c r="DE6" s="447" t="s">
        <v>223</v>
      </c>
      <c r="DF6" s="447" t="s">
        <v>225</v>
      </c>
      <c r="DG6" s="447" t="s">
        <v>336</v>
      </c>
      <c r="DH6" s="447" t="s">
        <v>224</v>
      </c>
      <c r="DI6" s="447" t="s">
        <v>226</v>
      </c>
      <c r="DJ6" s="447" t="s">
        <v>280</v>
      </c>
      <c r="DK6" s="447">
        <v>2020</v>
      </c>
      <c r="DL6" s="447" t="s">
        <v>282</v>
      </c>
      <c r="DM6" s="447" t="s">
        <v>320</v>
      </c>
      <c r="DN6" s="447" t="s">
        <v>337</v>
      </c>
      <c r="DO6" s="447" t="s">
        <v>341</v>
      </c>
      <c r="DP6" s="447" t="s">
        <v>342</v>
      </c>
      <c r="DQ6" s="447" t="s">
        <v>345</v>
      </c>
      <c r="DR6" s="447">
        <v>2021</v>
      </c>
      <c r="DS6" s="447" t="str">
        <f>'Income Statement'!DS6</f>
        <v>1Q22</v>
      </c>
      <c r="DT6" s="447" t="str">
        <f>'Income Statement'!DT6</f>
        <v>2Q22</v>
      </c>
      <c r="DU6" s="447" t="str">
        <f>'Income Statement'!DU6</f>
        <v>1H22</v>
      </c>
      <c r="DV6" s="447" t="str">
        <f>'Income Statement'!DV6</f>
        <v>3Q22</v>
      </c>
      <c r="DW6" s="447" t="str">
        <f>'Income Statement'!DW6</f>
        <v>9M22</v>
      </c>
      <c r="DX6" s="447" t="str">
        <f>'Income Statement'!DX6</f>
        <v>4Q22</v>
      </c>
      <c r="DY6" s="447">
        <f>'Income Statement'!DY6</f>
        <v>2022</v>
      </c>
      <c r="DZ6" s="447" t="s">
        <v>535</v>
      </c>
      <c r="EA6" s="447" t="s">
        <v>614</v>
      </c>
      <c r="EB6" s="447" t="str">
        <f>'Income Statement'!EB6</f>
        <v>1H23</v>
      </c>
      <c r="EC6" s="447" t="s">
        <v>616</v>
      </c>
      <c r="ED6" s="447" t="s">
        <v>617</v>
      </c>
      <c r="EE6" s="447" t="s">
        <v>642</v>
      </c>
      <c r="EF6" s="447">
        <v>2023</v>
      </c>
      <c r="EG6" s="447" t="str">
        <f>'Income Statement'!EG6</f>
        <v>1Q24</v>
      </c>
      <c r="EH6" s="447" t="str">
        <f>'Income Statement'!EH6</f>
        <v>2Q24</v>
      </c>
      <c r="EI6" s="447" t="str">
        <f>'Income Statement'!EI6</f>
        <v>1H24</v>
      </c>
      <c r="EJ6" s="447" t="str">
        <f>'Income Statement'!EJ6</f>
        <v>3Q24</v>
      </c>
      <c r="EK6" s="447" t="str">
        <f>'Income Statement'!EK6</f>
        <v>9M24</v>
      </c>
      <c r="EL6" s="447" t="str">
        <f>'Income Statement'!EL6</f>
        <v>4Q24</v>
      </c>
      <c r="EM6" s="447">
        <f>'Income Statement'!EM6</f>
        <v>2024</v>
      </c>
      <c r="EN6" s="447" t="str">
        <f>'Income Statement'!EN6</f>
        <v>1Q25</v>
      </c>
      <c r="EO6" s="447" t="str">
        <f>'Income Statement'!EO6</f>
        <v>2Q25</v>
      </c>
      <c r="EP6" s="447" t="str">
        <f>'Income Statement'!EP6</f>
        <v>1H25</v>
      </c>
      <c r="EQ6" s="447" t="str">
        <f>'Income Statement'!EQ6</f>
        <v>3Q25</v>
      </c>
      <c r="ER6" s="447" t="str">
        <f>'Income Statement'!ER6</f>
        <v>9M25</v>
      </c>
      <c r="ES6" s="447" t="str">
        <f>'Income Statement'!ES6</f>
        <v>4Q25</v>
      </c>
      <c r="ET6" s="447">
        <f>'Income Statement'!ET6</f>
        <v>2025</v>
      </c>
      <c r="EU6" s="447" t="str">
        <f>'Income Statement'!EU6</f>
        <v>1Q26</v>
      </c>
      <c r="EV6" s="447" t="str">
        <f>'Income Statement'!EV6</f>
        <v>2Q26</v>
      </c>
      <c r="EW6" s="447" t="str">
        <f>'Income Statement'!EW6</f>
        <v>1H26</v>
      </c>
    </row>
    <row r="7" spans="1:153" ht="16.350000000000001" customHeight="1">
      <c r="A7" s="172"/>
      <c r="B7" s="156" t="s">
        <v>436</v>
      </c>
      <c r="C7" s="156" t="s">
        <v>437</v>
      </c>
      <c r="D7" s="157"/>
      <c r="E7" s="157"/>
      <c r="F7" s="157"/>
      <c r="G7" s="157"/>
      <c r="H7" s="157"/>
      <c r="I7" s="157"/>
      <c r="J7" s="157"/>
      <c r="K7" s="157"/>
      <c r="L7" s="157"/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157"/>
      <c r="AL7" s="157"/>
      <c r="AM7" s="157"/>
      <c r="AN7" s="157"/>
      <c r="AO7" s="157"/>
      <c r="AP7" s="157"/>
      <c r="AQ7" s="157"/>
      <c r="AR7" s="157"/>
      <c r="AS7" s="157"/>
      <c r="AT7" s="157"/>
      <c r="AU7" s="157"/>
      <c r="AV7" s="157"/>
      <c r="AW7" s="157"/>
      <c r="AX7" s="157"/>
      <c r="AY7" s="157"/>
      <c r="AZ7" s="157"/>
      <c r="BA7" s="157"/>
      <c r="BB7" s="157"/>
      <c r="BC7" s="157"/>
      <c r="BD7" s="157"/>
      <c r="BE7" s="157"/>
      <c r="BF7" s="157"/>
      <c r="BG7" s="157"/>
      <c r="BH7" s="157"/>
      <c r="BI7" s="157"/>
      <c r="BJ7" s="157"/>
      <c r="BK7" s="157"/>
      <c r="BL7" s="157"/>
      <c r="BM7" s="157"/>
      <c r="BN7" s="157"/>
      <c r="BO7" s="157"/>
      <c r="BP7" s="157"/>
      <c r="BQ7" s="157"/>
      <c r="BR7" s="157"/>
      <c r="BS7" s="157"/>
      <c r="BT7" s="157"/>
      <c r="BU7" s="157"/>
      <c r="BV7" s="157"/>
      <c r="BW7" s="157"/>
      <c r="BX7" s="157"/>
      <c r="BY7" s="157"/>
      <c r="BZ7" s="157"/>
      <c r="CA7" s="157"/>
      <c r="CB7" s="157"/>
      <c r="CC7" s="157"/>
      <c r="CD7" s="157"/>
      <c r="CE7" s="157"/>
      <c r="CF7" s="157"/>
      <c r="CG7" s="157"/>
      <c r="CH7" s="157"/>
      <c r="CI7" s="157"/>
      <c r="CJ7" s="157"/>
      <c r="CK7" s="157"/>
      <c r="CL7" s="157"/>
      <c r="CM7" s="157"/>
      <c r="CN7" s="157"/>
      <c r="CO7" s="157"/>
      <c r="CP7" s="157"/>
      <c r="CQ7" s="157"/>
      <c r="CR7" s="157"/>
      <c r="CS7" s="157"/>
      <c r="CT7" s="157"/>
      <c r="CU7" s="157"/>
      <c r="CV7" s="157"/>
      <c r="CW7" s="157"/>
      <c r="CX7" s="157"/>
      <c r="CY7" s="157"/>
      <c r="CZ7" s="157"/>
      <c r="DA7" s="157"/>
      <c r="DB7" s="157"/>
      <c r="DC7" s="157"/>
      <c r="DD7" s="157"/>
      <c r="DE7" s="157"/>
      <c r="DF7" s="157"/>
      <c r="DG7" s="157"/>
      <c r="DH7" s="157"/>
      <c r="DI7" s="157"/>
      <c r="DJ7" s="157"/>
      <c r="DK7" s="157"/>
      <c r="DL7" s="157"/>
      <c r="DM7" s="157"/>
      <c r="DN7" s="157"/>
      <c r="DO7" s="157"/>
      <c r="DP7" s="157"/>
      <c r="DQ7" s="157"/>
      <c r="DR7" s="157"/>
      <c r="DS7" s="157"/>
      <c r="DT7" s="157"/>
      <c r="DU7" s="157"/>
      <c r="DV7" s="157"/>
      <c r="DW7" s="157"/>
      <c r="DX7" s="157"/>
      <c r="DY7" s="157"/>
      <c r="DZ7" s="157"/>
      <c r="EA7" s="157"/>
      <c r="EB7" s="157"/>
      <c r="EC7" s="157"/>
      <c r="ED7" s="157"/>
      <c r="EE7" s="157"/>
      <c r="EF7" s="157"/>
      <c r="EG7" s="157"/>
      <c r="EH7" s="157"/>
      <c r="EI7" s="157"/>
      <c r="EJ7" s="157"/>
      <c r="EK7" s="157"/>
      <c r="EL7" s="157"/>
      <c r="EM7" s="157"/>
      <c r="EN7" s="157"/>
      <c r="EO7" s="157"/>
      <c r="EP7" s="157"/>
      <c r="EQ7" s="157"/>
      <c r="ER7" s="157"/>
      <c r="ES7" s="157"/>
      <c r="ET7" s="157"/>
      <c r="EU7" s="157"/>
      <c r="EV7" s="157"/>
      <c r="EW7" s="157"/>
    </row>
    <row r="8" spans="1:153" ht="16.350000000000001" customHeight="1">
      <c r="A8" s="172"/>
      <c r="B8" s="158" t="s">
        <v>108</v>
      </c>
      <c r="C8" s="158" t="s">
        <v>105</v>
      </c>
      <c r="D8" s="323">
        <v>3.4</v>
      </c>
      <c r="E8" s="323">
        <v>5.4</v>
      </c>
      <c r="F8" s="323">
        <f>SUM(D8:E8)</f>
        <v>8.8000000000000007</v>
      </c>
      <c r="G8" s="323">
        <v>2.1</v>
      </c>
      <c r="H8" s="323">
        <f>SUM(F8:G8)</f>
        <v>10.9</v>
      </c>
      <c r="I8" s="323">
        <v>12.5</v>
      </c>
      <c r="J8" s="323">
        <f>SUM(H8:I8)</f>
        <v>23.4</v>
      </c>
      <c r="K8" s="323">
        <v>9.9</v>
      </c>
      <c r="L8" s="323">
        <v>22.5</v>
      </c>
      <c r="M8" s="323">
        <f>SUM(K8:L8)</f>
        <v>32.4</v>
      </c>
      <c r="N8" s="323">
        <v>12.7</v>
      </c>
      <c r="O8" s="323">
        <f>SUM(M8:N8)</f>
        <v>45.099999999999994</v>
      </c>
      <c r="P8" s="323">
        <v>36.1</v>
      </c>
      <c r="Q8" s="323">
        <f>SUM(O8:P8)</f>
        <v>81.199999999999989</v>
      </c>
      <c r="R8" s="323">
        <v>8.4</v>
      </c>
      <c r="S8" s="323">
        <v>17</v>
      </c>
      <c r="T8" s="323">
        <f>SUM(R8:S8)</f>
        <v>25.4</v>
      </c>
      <c r="U8" s="323">
        <v>8.1</v>
      </c>
      <c r="V8" s="323">
        <f>SUM(T8:U8)</f>
        <v>33.5</v>
      </c>
      <c r="W8" s="323">
        <v>26.5</v>
      </c>
      <c r="X8" s="323">
        <f>SUM(V8:W8)</f>
        <v>60</v>
      </c>
      <c r="Y8" s="323">
        <v>10.3</v>
      </c>
      <c r="Z8" s="323">
        <v>20.399999999999999</v>
      </c>
      <c r="AA8" s="323">
        <f>SUM(Y8:Z8)</f>
        <v>30.7</v>
      </c>
      <c r="AB8" s="323">
        <v>21</v>
      </c>
      <c r="AC8" s="323">
        <f>SUM(AA8:AB8)</f>
        <v>51.7</v>
      </c>
      <c r="AD8" s="323">
        <v>32</v>
      </c>
      <c r="AE8" s="323">
        <f>SUM(AC8:AD8)</f>
        <v>83.7</v>
      </c>
      <c r="AF8" s="323">
        <v>5.8</v>
      </c>
      <c r="AG8" s="323">
        <v>14.8</v>
      </c>
      <c r="AH8" s="323">
        <f>SUM(AF8:AG8)</f>
        <v>20.6</v>
      </c>
      <c r="AI8" s="323">
        <v>9.4</v>
      </c>
      <c r="AJ8" s="323">
        <f>SUM(AH8:AI8)</f>
        <v>30</v>
      </c>
      <c r="AK8" s="323">
        <v>12.9</v>
      </c>
      <c r="AL8" s="323">
        <f>SUM(AJ8:AK8)</f>
        <v>42.9</v>
      </c>
      <c r="AM8" s="323">
        <v>7.7</v>
      </c>
      <c r="AN8" s="323">
        <v>15.4</v>
      </c>
      <c r="AO8" s="323">
        <f>SUM(AM8:AN8)</f>
        <v>23.1</v>
      </c>
      <c r="AP8" s="323">
        <v>16.899999999999999</v>
      </c>
      <c r="AQ8" s="323">
        <f>SUM(AO8:AP8)</f>
        <v>40</v>
      </c>
      <c r="AR8" s="323">
        <v>32.5</v>
      </c>
      <c r="AS8" s="323">
        <f>SUM(AQ8:AR8)</f>
        <v>72.5</v>
      </c>
      <c r="AT8" s="323">
        <v>17.8</v>
      </c>
      <c r="AU8" s="323">
        <v>42</v>
      </c>
      <c r="AV8" s="323">
        <f>SUM(AT8:AU8)</f>
        <v>59.8</v>
      </c>
      <c r="AW8" s="323">
        <v>29.6</v>
      </c>
      <c r="AX8" s="323">
        <f>SUM(AV8:AW8)</f>
        <v>89.4</v>
      </c>
      <c r="AY8" s="323">
        <v>98.9</v>
      </c>
      <c r="AZ8" s="323">
        <f>SUM(AX8:AY8)</f>
        <v>188.3</v>
      </c>
      <c r="BA8" s="323">
        <v>23.7</v>
      </c>
      <c r="BB8" s="323">
        <v>29.599999999999998</v>
      </c>
      <c r="BC8" s="323">
        <f>SUM(BA8:BB8)</f>
        <v>53.3</v>
      </c>
      <c r="BD8" s="323">
        <v>36.299999999999997</v>
      </c>
      <c r="BE8" s="323">
        <f>SUM(BC8:BD8)</f>
        <v>89.6</v>
      </c>
      <c r="BF8" s="323">
        <v>82</v>
      </c>
      <c r="BG8" s="323">
        <f>SUM(BE8:BF8)</f>
        <v>171.6</v>
      </c>
      <c r="BH8" s="323">
        <v>18.8</v>
      </c>
      <c r="BI8" s="323">
        <v>42.2445727627018</v>
      </c>
      <c r="BJ8" s="323">
        <f>SUM(BH8:BI8)</f>
        <v>61.044572762701804</v>
      </c>
      <c r="BK8" s="323">
        <v>48.89038605799999</v>
      </c>
      <c r="BL8" s="323">
        <f>SUM(BJ8:BK8)</f>
        <v>109.93495882070179</v>
      </c>
      <c r="BM8" s="323">
        <v>88.708920520000007</v>
      </c>
      <c r="BN8" s="323">
        <f>SUM(BL8:BM8)</f>
        <v>198.6438793407018</v>
      </c>
      <c r="BO8" s="323">
        <v>37.700000000000003</v>
      </c>
      <c r="BP8" s="323">
        <v>52.8</v>
      </c>
      <c r="BQ8" s="323">
        <f>SUM(BO8:BP8)</f>
        <v>90.5</v>
      </c>
      <c r="BR8" s="323">
        <v>57.456443599999943</v>
      </c>
      <c r="BS8" s="323">
        <f>SUM(BQ8:BR8)</f>
        <v>147.95644359999994</v>
      </c>
      <c r="BT8" s="323">
        <v>70.432682690000092</v>
      </c>
      <c r="BU8" s="323">
        <f>SUM(BS8:BT8)</f>
        <v>218.38912629000004</v>
      </c>
      <c r="BV8" s="323">
        <v>32.800000000000004</v>
      </c>
      <c r="BW8" s="323">
        <v>50</v>
      </c>
      <c r="BX8" s="323">
        <f>SUM(BV8:BW8)</f>
        <v>82.800000000000011</v>
      </c>
      <c r="BY8" s="323">
        <v>40.299999999999983</v>
      </c>
      <c r="BZ8" s="323">
        <f>SUM(BX8:BY8)</f>
        <v>123.1</v>
      </c>
      <c r="CA8" s="323">
        <v>53.904208160000024</v>
      </c>
      <c r="CB8" s="323">
        <f>SUM(BZ8:CA8)</f>
        <v>177.00420816000002</v>
      </c>
      <c r="CC8" s="323">
        <v>39.6</v>
      </c>
      <c r="CD8" s="323">
        <v>48.3</v>
      </c>
      <c r="CE8" s="323">
        <f>SUM(CC8:CD8)</f>
        <v>87.9</v>
      </c>
      <c r="CF8" s="323">
        <v>42.325262540000011</v>
      </c>
      <c r="CG8" s="323">
        <v>130.23591083000002</v>
      </c>
      <c r="CH8" s="323">
        <v>49.801775609999822</v>
      </c>
      <c r="CI8" s="323">
        <f>SUM(CG8:CH8)</f>
        <v>180.03768643999985</v>
      </c>
      <c r="CJ8" s="323">
        <v>22.5049428402255</v>
      </c>
      <c r="CK8" s="323">
        <v>52.469118694632101</v>
      </c>
      <c r="CL8" s="323">
        <f>SUM(CJ8:CK8)</f>
        <v>74.974061534857597</v>
      </c>
      <c r="CM8" s="323">
        <v>57.380989414139407</v>
      </c>
      <c r="CN8" s="323">
        <f>SUM(CL8:CM8)</f>
        <v>132.35505094899702</v>
      </c>
      <c r="CO8" s="323">
        <v>90.019496013700007</v>
      </c>
      <c r="CP8" s="323">
        <v>222.37454696269702</v>
      </c>
      <c r="CQ8" s="323">
        <v>30.308854593886196</v>
      </c>
      <c r="CR8" s="323">
        <v>45.814993739480833</v>
      </c>
      <c r="CS8" s="323">
        <f>SUM(CQ8:CR8)</f>
        <v>76.123848333367022</v>
      </c>
      <c r="CT8" s="323">
        <v>64.489992908891068</v>
      </c>
      <c r="CU8" s="323">
        <f t="shared" ref="CU8:CU12" si="0">CS8+CT8</f>
        <v>140.6138412422581</v>
      </c>
      <c r="CV8" s="323">
        <v>84.50968427083528</v>
      </c>
      <c r="CW8" s="323">
        <f t="shared" ref="CW8:CW12" si="1">CV8+CU8</f>
        <v>225.1235255130934</v>
      </c>
      <c r="CX8" s="323">
        <v>27.903026381317563</v>
      </c>
      <c r="CY8" s="323">
        <v>59.4</v>
      </c>
      <c r="CZ8" s="323">
        <f>SUM(CX8:CY8)</f>
        <v>87.303026381317565</v>
      </c>
      <c r="DA8" s="323">
        <v>71.898440274263791</v>
      </c>
      <c r="DB8" s="323">
        <f>SUM(CZ8:DA8)</f>
        <v>159.20146665558136</v>
      </c>
      <c r="DC8" s="323">
        <v>103.19421080829709</v>
      </c>
      <c r="DD8" s="323">
        <f>SUM(DB8:DC8)</f>
        <v>262.39567746387843</v>
      </c>
      <c r="DE8" s="323">
        <v>49.566672152324799</v>
      </c>
      <c r="DF8" s="323">
        <v>12.758632683572138</v>
      </c>
      <c r="DG8" s="323">
        <f>SUM(DE8:DF8)</f>
        <v>62.325304835896937</v>
      </c>
      <c r="DH8" s="323">
        <v>19.150549846900173</v>
      </c>
      <c r="DI8" s="323">
        <f>SUM(DG8:DH8)</f>
        <v>81.475854682797106</v>
      </c>
      <c r="DJ8" s="323">
        <v>14.777795798348611</v>
      </c>
      <c r="DK8" s="323">
        <f>SUM(DI8:DJ8)</f>
        <v>96.253650481145712</v>
      </c>
      <c r="DL8" s="323">
        <v>78.184094860000016</v>
      </c>
      <c r="DM8" s="323">
        <v>66.799561649999987</v>
      </c>
      <c r="DN8" s="323">
        <f>SUM(DL8:DM8)</f>
        <v>144.98365651</v>
      </c>
      <c r="DO8" s="323">
        <v>13.496119400000005</v>
      </c>
      <c r="DP8" s="323">
        <f>SUM(DN8:DO8)</f>
        <v>158.47977591</v>
      </c>
      <c r="DQ8" s="323">
        <v>14.671295469999997</v>
      </c>
      <c r="DR8" s="323">
        <f>SUM(DP8:DQ8)</f>
        <v>173.15107137999999</v>
      </c>
      <c r="DS8" s="323">
        <v>37.972279018000002</v>
      </c>
      <c r="DT8" s="323">
        <v>72.20064945384199</v>
      </c>
      <c r="DU8" s="323">
        <f>SUM(DS8:DT8)</f>
        <v>110.172928471842</v>
      </c>
      <c r="DV8" s="323">
        <v>58.974462914851003</v>
      </c>
      <c r="DW8" s="323">
        <f>SUM(DU8:DV8)</f>
        <v>169.14739138669302</v>
      </c>
      <c r="DX8" s="323">
        <v>53.151482019788688</v>
      </c>
      <c r="DY8" s="323">
        <f>SUM(DW8:DX8)</f>
        <v>222.2988734064817</v>
      </c>
      <c r="DZ8" s="323">
        <v>17.123429194956898</v>
      </c>
      <c r="EA8" s="323">
        <v>49.367888983088001</v>
      </c>
      <c r="EB8" s="323">
        <f>SUM(DZ8:EA8)</f>
        <v>66.491318178044907</v>
      </c>
      <c r="EC8" s="323">
        <v>52.823127100905673</v>
      </c>
      <c r="ED8" s="323">
        <f t="shared" ref="ED8:EF12" si="2">SUM(EB8:EC8)</f>
        <v>119.31444527895059</v>
      </c>
      <c r="EE8" s="323">
        <v>74.624218335269148</v>
      </c>
      <c r="EF8" s="323">
        <f t="shared" si="2"/>
        <v>193.93866361421973</v>
      </c>
      <c r="EG8" s="323">
        <v>11.490560987434</v>
      </c>
      <c r="EH8" s="323">
        <v>30.442295082076502</v>
      </c>
      <c r="EI8" s="323">
        <f>SUM(EG8:EH8)</f>
        <v>41.9328560695105</v>
      </c>
      <c r="EJ8" s="323">
        <v>44.809292325552498</v>
      </c>
      <c r="EK8" s="323">
        <f>SUM(EI8:EJ8)</f>
        <v>86.742148395062998</v>
      </c>
      <c r="EL8" s="323">
        <v>58.483855708499995</v>
      </c>
      <c r="EM8" s="323">
        <f>SUM(EK8:EL8)</f>
        <v>145.22600410356299</v>
      </c>
      <c r="EN8" s="323">
        <v>3.7474389267000001</v>
      </c>
      <c r="EO8" s="323">
        <v>14.2698085</v>
      </c>
      <c r="EP8" s="323">
        <f>SUM(EN8:EO8)</f>
        <v>18.017247426699999</v>
      </c>
      <c r="EQ8" s="323">
        <v>42.581724780000002</v>
      </c>
      <c r="ER8" s="323">
        <f>SUM(EP8:EQ8)</f>
        <v>60.598972206699997</v>
      </c>
      <c r="ES8" s="323">
        <v>97.763470189999992</v>
      </c>
      <c r="ET8" s="323">
        <f>SUM(ER8:ES8)</f>
        <v>158.36244239669998</v>
      </c>
      <c r="EU8" s="323">
        <v>21.238222100000002</v>
      </c>
      <c r="EV8" s="323">
        <v>50.392933803279981</v>
      </c>
      <c r="EW8" s="323">
        <f>SUM(EU8:EV8)</f>
        <v>71.631155903279989</v>
      </c>
    </row>
    <row r="9" spans="1:153" ht="16.350000000000001" customHeight="1">
      <c r="A9" s="172"/>
      <c r="B9" s="158" t="s">
        <v>109</v>
      </c>
      <c r="C9" s="158" t="s">
        <v>106</v>
      </c>
      <c r="D9" s="323">
        <v>0.9</v>
      </c>
      <c r="E9" s="323">
        <v>2.6</v>
      </c>
      <c r="F9" s="323">
        <f t="shared" ref="F9:J12" si="3">SUM(D9:E9)</f>
        <v>3.5</v>
      </c>
      <c r="G9" s="323">
        <v>3.2</v>
      </c>
      <c r="H9" s="323">
        <f t="shared" si="3"/>
        <v>6.7</v>
      </c>
      <c r="I9" s="323">
        <v>10.7</v>
      </c>
      <c r="J9" s="323">
        <f t="shared" si="3"/>
        <v>17.399999999999999</v>
      </c>
      <c r="K9" s="323">
        <v>3.1</v>
      </c>
      <c r="L9" s="323">
        <v>4.8</v>
      </c>
      <c r="M9" s="323">
        <f>SUM(K9:L9)</f>
        <v>7.9</v>
      </c>
      <c r="N9" s="323">
        <v>4.4000000000000004</v>
      </c>
      <c r="O9" s="323">
        <f>SUM(M9:N9)</f>
        <v>12.3</v>
      </c>
      <c r="P9" s="323">
        <v>5.0999999999999996</v>
      </c>
      <c r="Q9" s="323">
        <f>SUM(O9:P9)</f>
        <v>17.399999999999999</v>
      </c>
      <c r="R9" s="323">
        <v>0.7</v>
      </c>
      <c r="S9" s="323">
        <v>3.4</v>
      </c>
      <c r="T9" s="323">
        <f>SUM(R9:S9)</f>
        <v>4.0999999999999996</v>
      </c>
      <c r="U9" s="323">
        <v>1.5</v>
      </c>
      <c r="V9" s="323">
        <f>SUM(T9:U9)</f>
        <v>5.6</v>
      </c>
      <c r="W9" s="323">
        <v>5.7</v>
      </c>
      <c r="X9" s="323">
        <f>SUM(V9:W9)</f>
        <v>11.3</v>
      </c>
      <c r="Y9" s="323">
        <v>1.1000000000000001</v>
      </c>
      <c r="Z9" s="323">
        <v>6.5</v>
      </c>
      <c r="AA9" s="323">
        <f>SUM(Y9:Z9)</f>
        <v>7.6</v>
      </c>
      <c r="AB9" s="323">
        <v>9.6999999999999993</v>
      </c>
      <c r="AC9" s="323">
        <f>SUM(AA9:AB9)</f>
        <v>17.299999999999997</v>
      </c>
      <c r="AD9" s="323">
        <v>7.1</v>
      </c>
      <c r="AE9" s="323">
        <f>SUM(AC9:AD9)</f>
        <v>24.4</v>
      </c>
      <c r="AF9" s="323">
        <v>0.6</v>
      </c>
      <c r="AG9" s="323">
        <v>2.2999999999999998</v>
      </c>
      <c r="AH9" s="323">
        <f>SUM(AF9:AG9)</f>
        <v>2.9</v>
      </c>
      <c r="AI9" s="323">
        <v>2.2000000000000002</v>
      </c>
      <c r="AJ9" s="323">
        <f>SUM(AH9:AI9)</f>
        <v>5.0999999999999996</v>
      </c>
      <c r="AK9" s="323">
        <v>4.4000000000000004</v>
      </c>
      <c r="AL9" s="323">
        <f>SUM(AJ9:AK9)</f>
        <v>9.5</v>
      </c>
      <c r="AM9" s="323">
        <v>0.6</v>
      </c>
      <c r="AN9" s="323">
        <v>1.1000000000000001</v>
      </c>
      <c r="AO9" s="323">
        <f>SUM(AM9:AN9)</f>
        <v>1.7000000000000002</v>
      </c>
      <c r="AP9" s="323">
        <v>5.4</v>
      </c>
      <c r="AQ9" s="323">
        <f>SUM(AO9:AP9)</f>
        <v>7.1000000000000005</v>
      </c>
      <c r="AR9" s="323">
        <v>15.2</v>
      </c>
      <c r="AS9" s="323">
        <f>SUM(AQ9:AR9)</f>
        <v>22.3</v>
      </c>
      <c r="AT9" s="323">
        <v>2.9</v>
      </c>
      <c r="AU9" s="323">
        <v>7.3</v>
      </c>
      <c r="AV9" s="323">
        <f>SUM(AT9:AU9)</f>
        <v>10.199999999999999</v>
      </c>
      <c r="AW9" s="323">
        <v>7.4</v>
      </c>
      <c r="AX9" s="323">
        <f>SUM(AV9:AW9)</f>
        <v>17.600000000000001</v>
      </c>
      <c r="AY9" s="323">
        <v>21.4</v>
      </c>
      <c r="AZ9" s="323">
        <f>SUM(AX9:AY9)</f>
        <v>39</v>
      </c>
      <c r="BA9" s="323">
        <v>17.600000000000001</v>
      </c>
      <c r="BB9" s="323">
        <v>12.7</v>
      </c>
      <c r="BC9" s="323">
        <f>SUM(BA9:BB9)</f>
        <v>30.3</v>
      </c>
      <c r="BD9" s="323">
        <v>15.3</v>
      </c>
      <c r="BE9" s="323">
        <f>SUM(BC9:BD9)</f>
        <v>45.6</v>
      </c>
      <c r="BF9" s="323">
        <v>25.7</v>
      </c>
      <c r="BG9" s="323">
        <f>SUM(BE9:BF9)</f>
        <v>71.3</v>
      </c>
      <c r="BH9" s="323">
        <v>10.299999999999999</v>
      </c>
      <c r="BI9" s="323">
        <v>15.332931851</v>
      </c>
      <c r="BJ9" s="323">
        <f>SUM(BH9:BI9)</f>
        <v>25.632931850999999</v>
      </c>
      <c r="BK9" s="323">
        <v>35.114241899999968</v>
      </c>
      <c r="BL9" s="323">
        <f>SUM(BJ9:BK9)</f>
        <v>60.747173750999963</v>
      </c>
      <c r="BM9" s="323">
        <v>48.312347669958463</v>
      </c>
      <c r="BN9" s="323">
        <f>SUM(BL9:BM9)</f>
        <v>109.05952142095842</v>
      </c>
      <c r="BO9" s="323">
        <v>16.399999999999999</v>
      </c>
      <c r="BP9" s="323">
        <v>27.000000000000004</v>
      </c>
      <c r="BQ9" s="323">
        <f>SUM(BO9:BP9)</f>
        <v>43.400000000000006</v>
      </c>
      <c r="BR9" s="323">
        <v>32.506297192173761</v>
      </c>
      <c r="BS9" s="323">
        <f>SUM(BQ9:BR9)</f>
        <v>75.906297192173767</v>
      </c>
      <c r="BT9" s="323">
        <v>46.315192289999992</v>
      </c>
      <c r="BU9" s="323">
        <f>SUM(BS9:BT9)</f>
        <v>122.22148948217375</v>
      </c>
      <c r="BV9" s="323">
        <v>25.3</v>
      </c>
      <c r="BW9" s="323">
        <v>44.7</v>
      </c>
      <c r="BX9" s="323">
        <f>SUM(BV9:BW9)</f>
        <v>70</v>
      </c>
      <c r="BY9" s="323">
        <v>69.699999999999989</v>
      </c>
      <c r="BZ9" s="323">
        <f>SUM(BX9:BY9)</f>
        <v>139.69999999999999</v>
      </c>
      <c r="CA9" s="323">
        <v>62.427862250000118</v>
      </c>
      <c r="CB9" s="323">
        <f>SUM(BZ9:CA9)</f>
        <v>202.12786225000011</v>
      </c>
      <c r="CC9" s="323">
        <v>23.4</v>
      </c>
      <c r="CD9" s="323">
        <v>37.9</v>
      </c>
      <c r="CE9" s="323">
        <f>SUM(CC9:CD9)</f>
        <v>61.3</v>
      </c>
      <c r="CF9" s="323">
        <v>24.344572350000007</v>
      </c>
      <c r="CG9" s="323">
        <v>85.649247320000057</v>
      </c>
      <c r="CH9" s="323">
        <v>47.264287311999993</v>
      </c>
      <c r="CI9" s="323">
        <f>SUM(CG9:CH9)</f>
        <v>132.91353463200005</v>
      </c>
      <c r="CJ9" s="323">
        <v>21.426282372976203</v>
      </c>
      <c r="CK9" s="323">
        <v>27.674611707707154</v>
      </c>
      <c r="CL9" s="323">
        <f>SUM(CJ9:CK9)</f>
        <v>49.100894080683361</v>
      </c>
      <c r="CM9" s="323">
        <v>38.388020586304087</v>
      </c>
      <c r="CN9" s="323">
        <f t="shared" ref="CN9:CN12" si="4">SUM(CL9:CM9)</f>
        <v>87.488914666987455</v>
      </c>
      <c r="CO9" s="323">
        <v>54.481692329254543</v>
      </c>
      <c r="CP9" s="323">
        <v>141.970606996242</v>
      </c>
      <c r="CQ9" s="323">
        <v>26.306164835085948</v>
      </c>
      <c r="CR9" s="323">
        <v>47.523274228712737</v>
      </c>
      <c r="CS9" s="323">
        <f>SUM(CQ9:CR9)</f>
        <v>73.829439063798688</v>
      </c>
      <c r="CT9" s="323">
        <v>49.863319228280886</v>
      </c>
      <c r="CU9" s="323">
        <f t="shared" si="0"/>
        <v>123.69275829207957</v>
      </c>
      <c r="CV9" s="323">
        <v>44.216093576335723</v>
      </c>
      <c r="CW9" s="323">
        <f t="shared" si="1"/>
        <v>167.9088518684153</v>
      </c>
      <c r="CX9" s="323">
        <v>17.395862139190477</v>
      </c>
      <c r="CY9" s="323">
        <v>34.212610623934246</v>
      </c>
      <c r="CZ9" s="323">
        <f>SUM(CX9:CY9)</f>
        <v>51.608472763124723</v>
      </c>
      <c r="DA9" s="323">
        <v>21.827498432062072</v>
      </c>
      <c r="DB9" s="323">
        <f t="shared" ref="DB9:DB12" si="5">SUM(CZ9:DA9)</f>
        <v>73.435971195186795</v>
      </c>
      <c r="DC9" s="323">
        <v>21.219997435329578</v>
      </c>
      <c r="DD9" s="323">
        <f t="shared" ref="DD9:DD12" si="6">SUM(DB9:DC9)</f>
        <v>94.655968630516369</v>
      </c>
      <c r="DE9" s="323">
        <v>11.717672822538178</v>
      </c>
      <c r="DF9" s="323">
        <v>5.8689615433900313</v>
      </c>
      <c r="DG9" s="323">
        <f>SUM(DE9:DF9)</f>
        <v>17.586634365928209</v>
      </c>
      <c r="DH9" s="323">
        <v>10.487063131360413</v>
      </c>
      <c r="DI9" s="323">
        <f>SUM(DG9:DH9)</f>
        <v>28.07369749728862</v>
      </c>
      <c r="DJ9" s="323">
        <v>17.472761117992249</v>
      </c>
      <c r="DK9" s="323">
        <f>SUM(DI9:DJ9)</f>
        <v>45.546458615280869</v>
      </c>
      <c r="DL9" s="323">
        <v>6.4356016300000007</v>
      </c>
      <c r="DM9" s="323">
        <v>17.128804774199999</v>
      </c>
      <c r="DN9" s="323">
        <f>SUM(DL9:DM9)</f>
        <v>23.5644064042</v>
      </c>
      <c r="DO9" s="323">
        <v>31.291006379999999</v>
      </c>
      <c r="DP9" s="323">
        <f>SUM(DN9:DO9)</f>
        <v>54.855412784199999</v>
      </c>
      <c r="DQ9" s="323">
        <v>36.344887382799989</v>
      </c>
      <c r="DR9" s="323">
        <f>SUM(DP9:DQ9)</f>
        <v>91.200300166999995</v>
      </c>
      <c r="DS9" s="323">
        <v>9.0115116242200024</v>
      </c>
      <c r="DT9" s="323">
        <v>31.140779977944998</v>
      </c>
      <c r="DU9" s="323">
        <f>SUM(DS9:DT9)</f>
        <v>40.152291602165</v>
      </c>
      <c r="DV9" s="323">
        <v>52.079344575771593</v>
      </c>
      <c r="DW9" s="323">
        <f>SUM(DU9:DV9)</f>
        <v>92.231636177936593</v>
      </c>
      <c r="DX9" s="323">
        <v>86.523030239139331</v>
      </c>
      <c r="DY9" s="323">
        <f>SUM(DW9:DX9)</f>
        <v>178.75466641707592</v>
      </c>
      <c r="DZ9" s="323">
        <v>24.301625296413366</v>
      </c>
      <c r="EA9" s="323">
        <v>59.583570267764856</v>
      </c>
      <c r="EB9" s="323">
        <f>SUM(DZ9:EA9)</f>
        <v>83.885195564178218</v>
      </c>
      <c r="EC9" s="323">
        <v>85.507355201235427</v>
      </c>
      <c r="ED9" s="323">
        <f t="shared" si="2"/>
        <v>169.39255076541366</v>
      </c>
      <c r="EE9" s="323">
        <v>122.5901545229614</v>
      </c>
      <c r="EF9" s="323">
        <f t="shared" si="2"/>
        <v>291.98270528837509</v>
      </c>
      <c r="EG9" s="323">
        <v>19.767358943660057</v>
      </c>
      <c r="EH9" s="323">
        <v>47.297196273648716</v>
      </c>
      <c r="EI9" s="323">
        <f>SUM(EG9:EH9)</f>
        <v>67.064555217308765</v>
      </c>
      <c r="EJ9" s="323">
        <v>64.441073029323888</v>
      </c>
      <c r="EK9" s="323">
        <f>SUM(EI9:EJ9)</f>
        <v>131.50562824663265</v>
      </c>
      <c r="EL9" s="323">
        <v>106.29459750666987</v>
      </c>
      <c r="EM9" s="323">
        <f>SUM(EK9:EL9)</f>
        <v>237.80022575330253</v>
      </c>
      <c r="EN9" s="323">
        <v>29.7404549424005</v>
      </c>
      <c r="EO9" s="323">
        <v>70.09432070731232</v>
      </c>
      <c r="EP9" s="323">
        <f>SUM(EN9:EO9)</f>
        <v>99.834775649712824</v>
      </c>
      <c r="EQ9" s="323">
        <v>99.036677216868995</v>
      </c>
      <c r="ER9" s="323">
        <f>SUM(EP9:EQ9)</f>
        <v>198.87145286658182</v>
      </c>
      <c r="ES9" s="323">
        <v>122.13903031878105</v>
      </c>
      <c r="ET9" s="323">
        <f>SUM(ER9:ES9)</f>
        <v>321.01048318536289</v>
      </c>
      <c r="EU9" s="323">
        <v>33.349748765000996</v>
      </c>
      <c r="EV9" s="323">
        <v>57.077225967524001</v>
      </c>
      <c r="EW9" s="323">
        <f>SUM(EU9:EV9)</f>
        <v>90.426974732524997</v>
      </c>
    </row>
    <row r="10" spans="1:153" ht="16.350000000000001" customHeight="1">
      <c r="A10" s="172"/>
      <c r="B10" s="158" t="s">
        <v>110</v>
      </c>
      <c r="C10" s="158" t="s">
        <v>107</v>
      </c>
      <c r="D10" s="323">
        <v>2</v>
      </c>
      <c r="E10" s="323">
        <v>2</v>
      </c>
      <c r="F10" s="323">
        <f t="shared" si="3"/>
        <v>4</v>
      </c>
      <c r="G10" s="323">
        <v>0.7</v>
      </c>
      <c r="H10" s="323">
        <f t="shared" si="3"/>
        <v>4.7</v>
      </c>
      <c r="I10" s="323">
        <v>4.0999999999999996</v>
      </c>
      <c r="J10" s="323">
        <f t="shared" si="3"/>
        <v>8.8000000000000007</v>
      </c>
      <c r="K10" s="323">
        <v>3.6</v>
      </c>
      <c r="L10" s="323">
        <v>3.9</v>
      </c>
      <c r="M10" s="323">
        <f>SUM(K10:L10)</f>
        <v>7.5</v>
      </c>
      <c r="N10" s="323">
        <v>3.2</v>
      </c>
      <c r="O10" s="323">
        <f>SUM(M10:N10)</f>
        <v>10.7</v>
      </c>
      <c r="P10" s="323">
        <v>2.7</v>
      </c>
      <c r="Q10" s="323">
        <f>SUM(O10:P10)</f>
        <v>13.399999999999999</v>
      </c>
      <c r="R10" s="323">
        <v>1.3</v>
      </c>
      <c r="S10" s="323">
        <v>2.2000000000000002</v>
      </c>
      <c r="T10" s="323">
        <f>SUM(R10:S10)</f>
        <v>3.5</v>
      </c>
      <c r="U10" s="323">
        <v>3.4</v>
      </c>
      <c r="V10" s="323">
        <f>SUM(T10:U10)</f>
        <v>6.9</v>
      </c>
      <c r="W10" s="323">
        <v>16.399999999999999</v>
      </c>
      <c r="X10" s="323">
        <f>SUM(V10:W10)</f>
        <v>23.299999999999997</v>
      </c>
      <c r="Y10" s="323">
        <v>0.6</v>
      </c>
      <c r="Z10" s="323">
        <v>2</v>
      </c>
      <c r="AA10" s="323">
        <f>SUM(Y10:Z10)</f>
        <v>2.6</v>
      </c>
      <c r="AB10" s="323">
        <v>3.5</v>
      </c>
      <c r="AC10" s="323">
        <f>SUM(AA10:AB10)</f>
        <v>6.1</v>
      </c>
      <c r="AD10" s="323">
        <v>4.8</v>
      </c>
      <c r="AE10" s="323">
        <f>SUM(AC10:AD10)</f>
        <v>10.899999999999999</v>
      </c>
      <c r="AF10" s="323">
        <v>0</v>
      </c>
      <c r="AG10" s="323">
        <v>1.3</v>
      </c>
      <c r="AH10" s="323">
        <f>SUM(AF10:AG10)</f>
        <v>1.3</v>
      </c>
      <c r="AI10" s="323">
        <v>1.9</v>
      </c>
      <c r="AJ10" s="323">
        <f>SUM(AH10:AI10)</f>
        <v>3.2</v>
      </c>
      <c r="AK10" s="323">
        <v>9</v>
      </c>
      <c r="AL10" s="323">
        <f>SUM(AJ10:AK10)</f>
        <v>12.2</v>
      </c>
      <c r="AM10" s="323">
        <v>2.1</v>
      </c>
      <c r="AN10" s="323">
        <v>3.6</v>
      </c>
      <c r="AO10" s="323">
        <f>SUM(AM10:AN10)</f>
        <v>5.7</v>
      </c>
      <c r="AP10" s="323">
        <v>2.1</v>
      </c>
      <c r="AQ10" s="323">
        <f>SUM(AO10:AP10)</f>
        <v>7.8000000000000007</v>
      </c>
      <c r="AR10" s="323">
        <v>30</v>
      </c>
      <c r="AS10" s="323">
        <f>SUM(AQ10:AR10)</f>
        <v>37.799999999999997</v>
      </c>
      <c r="AT10" s="323">
        <v>1.1000000000000001</v>
      </c>
      <c r="AU10" s="323">
        <v>4.0999999999999996</v>
      </c>
      <c r="AV10" s="323">
        <f>SUM(AT10:AU10)</f>
        <v>5.1999999999999993</v>
      </c>
      <c r="AW10" s="323">
        <v>10.3</v>
      </c>
      <c r="AX10" s="323">
        <f>SUM(AV10:AW10)</f>
        <v>15.5</v>
      </c>
      <c r="AY10" s="323">
        <v>13.7</v>
      </c>
      <c r="AZ10" s="323">
        <f>SUM(AX10:AY10)</f>
        <v>29.2</v>
      </c>
      <c r="BA10" s="323">
        <v>8.3000000000000007</v>
      </c>
      <c r="BB10" s="323">
        <v>20.3</v>
      </c>
      <c r="BC10" s="323">
        <f>SUM(BA10:BB10)</f>
        <v>28.6</v>
      </c>
      <c r="BD10" s="323">
        <v>4.5999999999999996</v>
      </c>
      <c r="BE10" s="323">
        <f>SUM(BC10:BD10)</f>
        <v>33.200000000000003</v>
      </c>
      <c r="BF10" s="323">
        <v>14.399999999999999</v>
      </c>
      <c r="BG10" s="323">
        <f>SUM(BE10:BF10)</f>
        <v>47.6</v>
      </c>
      <c r="BH10" s="323">
        <v>2.2999999999999998</v>
      </c>
      <c r="BI10" s="323">
        <v>4.2113662184818796</v>
      </c>
      <c r="BJ10" s="323">
        <f>SUM(BH10:BI10)</f>
        <v>6.5113662184818795</v>
      </c>
      <c r="BK10" s="323">
        <v>15.446200940000011</v>
      </c>
      <c r="BL10" s="323">
        <f>SUM(BJ10:BK10)</f>
        <v>21.95756715848189</v>
      </c>
      <c r="BM10" s="323">
        <v>17.446272844147586</v>
      </c>
      <c r="BN10" s="323">
        <f>SUM(BL10:BM10)</f>
        <v>39.403840002629479</v>
      </c>
      <c r="BO10" s="323">
        <v>0.30000000000000004</v>
      </c>
      <c r="BP10" s="323">
        <v>37.1</v>
      </c>
      <c r="BQ10" s="323">
        <f>SUM(BO10:BP10)</f>
        <v>37.4</v>
      </c>
      <c r="BR10" s="323">
        <v>20.739266695026195</v>
      </c>
      <c r="BS10" s="323">
        <f>SUM(BQ10:BR10)</f>
        <v>58.139266695026194</v>
      </c>
      <c r="BT10" s="323">
        <v>24.88363191000003</v>
      </c>
      <c r="BU10" s="323">
        <f>SUM(BS10:BT10)</f>
        <v>83.022898605026228</v>
      </c>
      <c r="BV10" s="323">
        <v>8.5</v>
      </c>
      <c r="BW10" s="323">
        <v>35.200000000000003</v>
      </c>
      <c r="BX10" s="323">
        <f>SUM(BV10:BW10)</f>
        <v>43.7</v>
      </c>
      <c r="BY10" s="323">
        <v>33.799999999999997</v>
      </c>
      <c r="BZ10" s="323">
        <f>SUM(BX10:BY10)</f>
        <v>77.5</v>
      </c>
      <c r="CA10" s="323">
        <v>38.822888010000042</v>
      </c>
      <c r="CB10" s="323">
        <f>SUM(BZ10:CA10)</f>
        <v>116.32288801000004</v>
      </c>
      <c r="CC10" s="323">
        <v>17.61</v>
      </c>
      <c r="CD10" s="323">
        <v>65.599999999999994</v>
      </c>
      <c r="CE10" s="323">
        <f>SUM(CC10:CD10)</f>
        <v>83.21</v>
      </c>
      <c r="CF10" s="323">
        <v>31.271480089999983</v>
      </c>
      <c r="CG10" s="323">
        <v>114.53505349999998</v>
      </c>
      <c r="CH10" s="323">
        <v>48.44</v>
      </c>
      <c r="CI10" s="323">
        <f>SUM(CG10:CH10)</f>
        <v>162.97505349999997</v>
      </c>
      <c r="CJ10" s="323">
        <v>14.452516736493882</v>
      </c>
      <c r="CK10" s="323">
        <v>28.269203150016899</v>
      </c>
      <c r="CL10" s="323">
        <f>SUM(CJ10:CK10)</f>
        <v>42.721719886510783</v>
      </c>
      <c r="CM10" s="323">
        <v>26.656379601793429</v>
      </c>
      <c r="CN10" s="323">
        <f t="shared" si="4"/>
        <v>69.378099488304215</v>
      </c>
      <c r="CO10" s="323">
        <v>74.122910417710798</v>
      </c>
      <c r="CP10" s="323">
        <v>143.50100990601501</v>
      </c>
      <c r="CQ10" s="323">
        <v>34.960776890019389</v>
      </c>
      <c r="CR10" s="323">
        <v>32.463577269271077</v>
      </c>
      <c r="CS10" s="323">
        <f>SUM(CQ10:CR10)</f>
        <v>67.424354159290459</v>
      </c>
      <c r="CT10" s="323">
        <v>34.479918620181401</v>
      </c>
      <c r="CU10" s="323">
        <f t="shared" si="0"/>
        <v>101.90427277947185</v>
      </c>
      <c r="CV10" s="323">
        <v>82.116960186087766</v>
      </c>
      <c r="CW10" s="323">
        <f t="shared" si="1"/>
        <v>184.02123296555962</v>
      </c>
      <c r="CX10" s="323">
        <v>28.740068274750957</v>
      </c>
      <c r="CY10" s="323">
        <v>64</v>
      </c>
      <c r="CZ10" s="323">
        <f>SUM(CX10:CY10)</f>
        <v>92.740068274750953</v>
      </c>
      <c r="DA10" s="323">
        <f>53.9991881087297-0.1</f>
        <v>53.899188108729696</v>
      </c>
      <c r="DB10" s="323">
        <f t="shared" si="5"/>
        <v>146.63925638348064</v>
      </c>
      <c r="DC10" s="323">
        <v>100.3519846347922</v>
      </c>
      <c r="DD10" s="323">
        <f t="shared" si="6"/>
        <v>246.99124101827283</v>
      </c>
      <c r="DE10" s="323">
        <v>25.048918694539456</v>
      </c>
      <c r="DF10" s="323">
        <v>103.46262396313969</v>
      </c>
      <c r="DG10" s="323">
        <f>SUM(DE10:DF10)</f>
        <v>128.51154265767914</v>
      </c>
      <c r="DH10" s="323">
        <v>70.625939088966163</v>
      </c>
      <c r="DI10" s="323">
        <f>SUM(DG10:DH10)</f>
        <v>199.13748174664531</v>
      </c>
      <c r="DJ10" s="323">
        <v>66.534790237093532</v>
      </c>
      <c r="DK10" s="323">
        <f>SUM(DI10:DJ10)</f>
        <v>265.67227198373882</v>
      </c>
      <c r="DL10" s="323">
        <v>20.03811043424</v>
      </c>
      <c r="DM10" s="323">
        <v>86.366748625164007</v>
      </c>
      <c r="DN10" s="323">
        <f>SUM(DL10:DM10)</f>
        <v>106.404859059404</v>
      </c>
      <c r="DO10" s="323">
        <v>70.556456840500005</v>
      </c>
      <c r="DP10" s="323">
        <f>SUM(DN10:DO10)</f>
        <v>176.96131589990401</v>
      </c>
      <c r="DQ10" s="323">
        <v>157.76330329479998</v>
      </c>
      <c r="DR10" s="323">
        <f>SUM(DP10:DQ10)</f>
        <v>334.72461919470402</v>
      </c>
      <c r="DS10" s="323">
        <v>48.697504415031993</v>
      </c>
      <c r="DT10" s="323">
        <v>77.556326052155981</v>
      </c>
      <c r="DU10" s="323">
        <f>SUM(DS10:DT10)</f>
        <v>126.25383046718798</v>
      </c>
      <c r="DV10" s="323">
        <v>133.20542763117624</v>
      </c>
      <c r="DW10" s="323">
        <f>SUM(DU10:DV10)</f>
        <v>259.45925809836422</v>
      </c>
      <c r="DX10" s="323">
        <v>205.11307278451014</v>
      </c>
      <c r="DY10" s="323">
        <f>SUM(DW10:DX10)</f>
        <v>464.57233088287433</v>
      </c>
      <c r="DZ10" s="323">
        <v>36.845293970831996</v>
      </c>
      <c r="EA10" s="323">
        <v>121.9633236734869</v>
      </c>
      <c r="EB10" s="323">
        <f>SUM(DZ10:EA10)</f>
        <v>158.8086176443189</v>
      </c>
      <c r="EC10" s="323">
        <v>98.355716384229424</v>
      </c>
      <c r="ED10" s="323">
        <f t="shared" si="2"/>
        <v>257.1643340285483</v>
      </c>
      <c r="EE10" s="323">
        <v>107.83139299920012</v>
      </c>
      <c r="EF10" s="323">
        <f t="shared" si="2"/>
        <v>364.99572702774844</v>
      </c>
      <c r="EG10" s="323">
        <v>31.503124370000002</v>
      </c>
      <c r="EH10" s="323">
        <v>55.374612079625493</v>
      </c>
      <c r="EI10" s="323">
        <f>SUM(EG10:EH10)</f>
        <v>86.877736449625502</v>
      </c>
      <c r="EJ10" s="323">
        <v>57.357805762169441</v>
      </c>
      <c r="EK10" s="323">
        <f>SUM(EI10:EJ10)</f>
        <v>144.23554221179495</v>
      </c>
      <c r="EL10" s="323">
        <v>105.10125425665498</v>
      </c>
      <c r="EM10" s="323">
        <f>SUM(EK10:EL10)</f>
        <v>249.33679646844993</v>
      </c>
      <c r="EN10" s="323">
        <v>24.348422559999999</v>
      </c>
      <c r="EO10" s="323">
        <v>77.507284161249999</v>
      </c>
      <c r="EP10" s="323">
        <f>SUM(EN10:EO10)</f>
        <v>101.85570672125</v>
      </c>
      <c r="EQ10" s="323">
        <v>50.968967458745006</v>
      </c>
      <c r="ER10" s="323">
        <f>SUM(EP10:EQ10)</f>
        <v>152.82467417999501</v>
      </c>
      <c r="ES10" s="323">
        <v>199.04058938674802</v>
      </c>
      <c r="ET10" s="323">
        <f>SUM(ER10:ES10)</f>
        <v>351.86526356674301</v>
      </c>
      <c r="EU10" s="323">
        <v>48.451476601888004</v>
      </c>
      <c r="EV10" s="323">
        <v>54.280205293312001</v>
      </c>
      <c r="EW10" s="323">
        <f>SUM(EU10:EV10)</f>
        <v>102.73168189520001</v>
      </c>
    </row>
    <row r="11" spans="1:153" ht="16.350000000000001" customHeight="1">
      <c r="A11" s="172"/>
      <c r="B11" s="158" t="s">
        <v>2300</v>
      </c>
      <c r="C11" s="158" t="s">
        <v>2299</v>
      </c>
      <c r="D11" s="323">
        <v>0</v>
      </c>
      <c r="E11" s="323">
        <v>0</v>
      </c>
      <c r="F11" s="323">
        <f t="shared" si="3"/>
        <v>0</v>
      </c>
      <c r="G11" s="323">
        <v>0</v>
      </c>
      <c r="H11" s="323">
        <f t="shared" si="3"/>
        <v>0</v>
      </c>
      <c r="I11" s="323">
        <v>0</v>
      </c>
      <c r="J11" s="323">
        <f t="shared" si="3"/>
        <v>0</v>
      </c>
      <c r="K11" s="323">
        <v>0</v>
      </c>
      <c r="L11" s="323">
        <v>0</v>
      </c>
      <c r="M11" s="323">
        <f>SUM(K11:L11)</f>
        <v>0</v>
      </c>
      <c r="N11" s="323">
        <v>0</v>
      </c>
      <c r="O11" s="323">
        <f>SUM(M11:N11)</f>
        <v>0</v>
      </c>
      <c r="P11" s="323">
        <v>0</v>
      </c>
      <c r="Q11" s="323">
        <f>SUM(O11:P11)</f>
        <v>0</v>
      </c>
      <c r="R11" s="323">
        <v>0</v>
      </c>
      <c r="S11" s="323">
        <v>0</v>
      </c>
      <c r="T11" s="323">
        <f>SUM(R11:S11)</f>
        <v>0</v>
      </c>
      <c r="U11" s="323">
        <v>0</v>
      </c>
      <c r="V11" s="323">
        <f>SUM(T11:U11)</f>
        <v>0</v>
      </c>
      <c r="W11" s="323">
        <v>0</v>
      </c>
      <c r="X11" s="323">
        <f>SUM(V11:W11)</f>
        <v>0</v>
      </c>
      <c r="Y11" s="323">
        <v>0</v>
      </c>
      <c r="Z11" s="323">
        <v>0</v>
      </c>
      <c r="AA11" s="323">
        <f>SUM(Y11:Z11)</f>
        <v>0</v>
      </c>
      <c r="AB11" s="323">
        <v>0</v>
      </c>
      <c r="AC11" s="323">
        <f>SUM(AA11:AB11)</f>
        <v>0</v>
      </c>
      <c r="AD11" s="323">
        <v>0</v>
      </c>
      <c r="AE11" s="323">
        <f>SUM(AC11:AD11)</f>
        <v>0</v>
      </c>
      <c r="AF11" s="323">
        <v>0</v>
      </c>
      <c r="AG11" s="323">
        <v>0</v>
      </c>
      <c r="AH11" s="323">
        <f>SUM(AF11:AG11)</f>
        <v>0</v>
      </c>
      <c r="AI11" s="323">
        <v>0</v>
      </c>
      <c r="AJ11" s="323">
        <f>SUM(AH11:AI11)</f>
        <v>0</v>
      </c>
      <c r="AK11" s="323">
        <v>0</v>
      </c>
      <c r="AL11" s="323">
        <f>SUM(AJ11:AK11)</f>
        <v>0</v>
      </c>
      <c r="AM11" s="323">
        <v>0</v>
      </c>
      <c r="AN11" s="323">
        <v>0</v>
      </c>
      <c r="AO11" s="323">
        <f>SUM(AM11:AN11)</f>
        <v>0</v>
      </c>
      <c r="AP11" s="323">
        <v>0.5</v>
      </c>
      <c r="AQ11" s="323">
        <f>SUM(AO11:AP11)</f>
        <v>0.5</v>
      </c>
      <c r="AR11" s="323">
        <v>11.8</v>
      </c>
      <c r="AS11" s="323">
        <f>SUM(AQ11:AR11)</f>
        <v>12.3</v>
      </c>
      <c r="AT11" s="323">
        <v>2.1</v>
      </c>
      <c r="AU11" s="323">
        <v>10</v>
      </c>
      <c r="AV11" s="323">
        <f>SUM(AT11:AU11)</f>
        <v>12.1</v>
      </c>
      <c r="AW11" s="323">
        <v>4.5</v>
      </c>
      <c r="AX11" s="323">
        <f>SUM(AV11:AW11)</f>
        <v>16.600000000000001</v>
      </c>
      <c r="AY11" s="323">
        <v>11.7</v>
      </c>
      <c r="AZ11" s="323">
        <f>SUM(AX11:AY11)</f>
        <v>28.3</v>
      </c>
      <c r="BA11" s="323">
        <v>13.7</v>
      </c>
      <c r="BB11" s="323">
        <v>19.399999999999999</v>
      </c>
      <c r="BC11" s="323">
        <f>SUM(BA11:BB11)</f>
        <v>33.099999999999994</v>
      </c>
      <c r="BD11" s="323">
        <v>19.2</v>
      </c>
      <c r="BE11" s="323">
        <f>SUM(BC11:BD11)</f>
        <v>52.3</v>
      </c>
      <c r="BF11" s="323">
        <v>23.8</v>
      </c>
      <c r="BG11" s="323">
        <f>SUM(BE11:BF11)</f>
        <v>76.099999999999994</v>
      </c>
      <c r="BH11" s="323">
        <v>0.4</v>
      </c>
      <c r="BI11" s="323">
        <v>0.50732718704799995</v>
      </c>
      <c r="BJ11" s="323">
        <f>SUM(BH11:BI11)</f>
        <v>0.90732718704799997</v>
      </c>
      <c r="BK11" s="323">
        <v>15.540452299999995</v>
      </c>
      <c r="BL11" s="323">
        <f>SUM(BJ11:BK11)</f>
        <v>16.447779487047995</v>
      </c>
      <c r="BM11" s="323">
        <v>29.855840089990313</v>
      </c>
      <c r="BN11" s="323">
        <f>SUM(BL11:BM11)</f>
        <v>46.303619577038305</v>
      </c>
      <c r="BO11" s="323">
        <v>21.5</v>
      </c>
      <c r="BP11" s="323">
        <v>-5.8</v>
      </c>
      <c r="BQ11" s="323">
        <f>SUM(BO11:BP11)</f>
        <v>15.7</v>
      </c>
      <c r="BR11" s="323">
        <v>14.540014166009733</v>
      </c>
      <c r="BS11" s="323">
        <f>SUM(BQ11:BR11)</f>
        <v>30.240014166009733</v>
      </c>
      <c r="BT11" s="323">
        <v>27.433463250000017</v>
      </c>
      <c r="BU11" s="323">
        <f>SUM(BS11:BT11)</f>
        <v>57.673477416009746</v>
      </c>
      <c r="BV11" s="323">
        <v>4.2699999999999996</v>
      </c>
      <c r="BW11" s="323">
        <v>15.8</v>
      </c>
      <c r="BX11" s="323">
        <f>SUM(BV11:BW11)</f>
        <v>20.07</v>
      </c>
      <c r="BY11" s="323">
        <v>21.229999999999997</v>
      </c>
      <c r="BZ11" s="323">
        <f>SUM(BX11:BY11)</f>
        <v>41.3</v>
      </c>
      <c r="CA11" s="323">
        <v>9.0949221299999863</v>
      </c>
      <c r="CB11" s="323">
        <f>SUM(BZ11:CA11)</f>
        <v>50.394922129999983</v>
      </c>
      <c r="CC11" s="323">
        <v>3.7</v>
      </c>
      <c r="CD11" s="323">
        <v>2.9</v>
      </c>
      <c r="CE11" s="323">
        <f>SUM(CC11:CD11)</f>
        <v>6.6</v>
      </c>
      <c r="CF11" s="323">
        <v>1.2222412299999998</v>
      </c>
      <c r="CG11" s="323">
        <v>7.8196579899999996</v>
      </c>
      <c r="CH11" s="323">
        <v>4.5083212800000005</v>
      </c>
      <c r="CI11" s="323">
        <f>SUM(CG11:CH11)</f>
        <v>12.32797927</v>
      </c>
      <c r="CJ11" s="323">
        <v>2.3593007192755193</v>
      </c>
      <c r="CK11" s="323">
        <v>5.2954000248896156</v>
      </c>
      <c r="CL11" s="323">
        <f>SUM(CJ11:CK11)</f>
        <v>7.6547007441651349</v>
      </c>
      <c r="CM11" s="323">
        <v>7.0776777561015223</v>
      </c>
      <c r="CN11" s="323">
        <f t="shared" si="4"/>
        <v>14.732378500266657</v>
      </c>
      <c r="CO11" s="323">
        <v>7.5141364187423445</v>
      </c>
      <c r="CP11" s="323">
        <v>22.246514919009002</v>
      </c>
      <c r="CQ11" s="323">
        <v>1.4648497049412021</v>
      </c>
      <c r="CR11" s="323">
        <v>4.8498563688961687</v>
      </c>
      <c r="CS11" s="323">
        <f>SUM(CQ11:CR11)</f>
        <v>6.314706073837371</v>
      </c>
      <c r="CT11" s="323">
        <v>5.107730829724602</v>
      </c>
      <c r="CU11" s="323">
        <f t="shared" si="0"/>
        <v>11.422436903561973</v>
      </c>
      <c r="CV11" s="323">
        <v>6.0422713005860009</v>
      </c>
      <c r="CW11" s="323">
        <f t="shared" si="1"/>
        <v>17.464708204147975</v>
      </c>
      <c r="CX11" s="323">
        <v>3.4762513712199654</v>
      </c>
      <c r="CY11" s="323">
        <v>8.5477695599533892</v>
      </c>
      <c r="CZ11" s="323">
        <f>SUM(CX11:CY11)</f>
        <v>12.024020931173354</v>
      </c>
      <c r="DA11" s="323">
        <v>109.24614380352445</v>
      </c>
      <c r="DB11" s="323">
        <f t="shared" si="5"/>
        <v>121.2701647346978</v>
      </c>
      <c r="DC11" s="323">
        <v>23.76401903648442</v>
      </c>
      <c r="DD11" s="323">
        <f t="shared" si="6"/>
        <v>145.03418377118223</v>
      </c>
      <c r="DE11" s="323">
        <v>2.8485857183513836</v>
      </c>
      <c r="DF11" s="323">
        <v>18.881743813656829</v>
      </c>
      <c r="DG11" s="323">
        <f>SUM(DE11:DF11)</f>
        <v>21.730329532008213</v>
      </c>
      <c r="DH11" s="323">
        <v>88.150946952507951</v>
      </c>
      <c r="DI11" s="323">
        <f>SUM(DG11:DH11)</f>
        <v>109.88127648451616</v>
      </c>
      <c r="DJ11" s="323">
        <v>25.051674350299201</v>
      </c>
      <c r="DK11" s="323">
        <f>SUM(DI11:DJ11)</f>
        <v>134.93295083481536</v>
      </c>
      <c r="DL11" s="323">
        <v>159.28750834367997</v>
      </c>
      <c r="DM11" s="323">
        <v>83.754213946999997</v>
      </c>
      <c r="DN11" s="323">
        <f>SUM(DL11:DM11)</f>
        <v>243.04172229067996</v>
      </c>
      <c r="DO11" s="323">
        <v>70.636558140000005</v>
      </c>
      <c r="DP11" s="323">
        <f>SUM(DN11:DO11)</f>
        <v>313.67828043067993</v>
      </c>
      <c r="DQ11" s="323">
        <v>174.83364681999998</v>
      </c>
      <c r="DR11" s="323">
        <f>SUM(DP11:DQ11)</f>
        <v>488.51192725067995</v>
      </c>
      <c r="DS11" s="323">
        <v>18.724762130000002</v>
      </c>
      <c r="DT11" s="323">
        <v>27.105086750000002</v>
      </c>
      <c r="DU11" s="323">
        <f>SUM(DS11:DT11)</f>
        <v>45.82984888</v>
      </c>
      <c r="DV11" s="323">
        <v>19.414622569999999</v>
      </c>
      <c r="DW11" s="323">
        <f>SUM(DU11:DV11)</f>
        <v>65.244471449999992</v>
      </c>
      <c r="DX11" s="323">
        <v>63.67050674</v>
      </c>
      <c r="DY11" s="323">
        <f>SUM(DW11:DX11)</f>
        <v>128.91497819</v>
      </c>
      <c r="DZ11" s="323">
        <v>3.0868298799999998</v>
      </c>
      <c r="EA11" s="323">
        <v>4.7995942500000002</v>
      </c>
      <c r="EB11" s="323">
        <f>SUM(DZ11:EA11)</f>
        <v>7.88642413</v>
      </c>
      <c r="EC11" s="323">
        <v>7.2994478400000009</v>
      </c>
      <c r="ED11" s="323">
        <f t="shared" si="2"/>
        <v>15.185871970000001</v>
      </c>
      <c r="EE11" s="323">
        <v>21.954773469999999</v>
      </c>
      <c r="EF11" s="323">
        <f t="shared" si="2"/>
        <v>37.14064544</v>
      </c>
      <c r="EG11" s="323">
        <v>6.19358612</v>
      </c>
      <c r="EH11" s="323">
        <v>3.8927649653245071</v>
      </c>
      <c r="EI11" s="323">
        <f>SUM(EG11:EH11)</f>
        <v>10.086351085324507</v>
      </c>
      <c r="EJ11" s="323">
        <v>6.1154170299999997</v>
      </c>
      <c r="EK11" s="323">
        <f>SUM(EI11:EJ11)</f>
        <v>16.201768115324505</v>
      </c>
      <c r="EL11" s="323">
        <v>13.247639636199999</v>
      </c>
      <c r="EM11" s="323">
        <f>SUM(EK11:EL11)</f>
        <v>29.449407751524504</v>
      </c>
      <c r="EN11" s="323">
        <v>3.6494745638000001</v>
      </c>
      <c r="EO11" s="323">
        <v>3.8117008299999999</v>
      </c>
      <c r="EP11" s="323">
        <f>SUM(EN11:EO11)</f>
        <v>7.4611753937999996</v>
      </c>
      <c r="EQ11" s="323">
        <v>6.74881961</v>
      </c>
      <c r="ER11" s="323">
        <f>SUM(EP11:EQ11)</f>
        <v>14.2099950038</v>
      </c>
      <c r="ES11" s="323">
        <v>11.751865929999999</v>
      </c>
      <c r="ET11" s="323">
        <f>SUM(ER11:ES11)</f>
        <v>25.961860933799997</v>
      </c>
      <c r="EU11" s="323">
        <v>2.9203420699999998</v>
      </c>
      <c r="EV11" s="323">
        <v>4.9417470699999999</v>
      </c>
      <c r="EW11" s="323">
        <f>SUM(EU11:EV11)</f>
        <v>7.8620891400000001</v>
      </c>
    </row>
    <row r="12" spans="1:153" ht="16.350000000000001" customHeight="1">
      <c r="A12" s="172"/>
      <c r="B12" s="158" t="s">
        <v>111</v>
      </c>
      <c r="C12" s="158" t="s">
        <v>112</v>
      </c>
      <c r="D12" s="323">
        <v>0.3</v>
      </c>
      <c r="E12" s="323">
        <v>0.2</v>
      </c>
      <c r="F12" s="323">
        <f t="shared" si="3"/>
        <v>0.5</v>
      </c>
      <c r="G12" s="323">
        <v>0.7</v>
      </c>
      <c r="H12" s="323">
        <f t="shared" si="3"/>
        <v>1.2</v>
      </c>
      <c r="I12" s="323">
        <v>5.0999999999999996</v>
      </c>
      <c r="J12" s="323">
        <f t="shared" si="3"/>
        <v>6.3</v>
      </c>
      <c r="K12" s="323">
        <v>0.2</v>
      </c>
      <c r="L12" s="323">
        <v>1.6</v>
      </c>
      <c r="M12" s="323">
        <f>SUM(K12:L12)</f>
        <v>1.8</v>
      </c>
      <c r="N12" s="323">
        <v>1.6</v>
      </c>
      <c r="O12" s="323">
        <f>SUM(M12:N12)</f>
        <v>3.4000000000000004</v>
      </c>
      <c r="P12" s="323">
        <v>3.6</v>
      </c>
      <c r="Q12" s="323">
        <v>6.9</v>
      </c>
      <c r="R12" s="323">
        <v>1.2</v>
      </c>
      <c r="S12" s="323">
        <v>1.6</v>
      </c>
      <c r="T12" s="323">
        <f>SUM(R12:S12)</f>
        <v>2.8</v>
      </c>
      <c r="U12" s="323">
        <v>3.8</v>
      </c>
      <c r="V12" s="323">
        <f>SUM(T12:U12)</f>
        <v>6.6</v>
      </c>
      <c r="W12" s="323">
        <v>7.3</v>
      </c>
      <c r="X12" s="323">
        <f>SUM(V12:W12)</f>
        <v>13.899999999999999</v>
      </c>
      <c r="Y12" s="323">
        <v>6.1</v>
      </c>
      <c r="Z12" s="323">
        <v>1.5</v>
      </c>
      <c r="AA12" s="323">
        <f>SUM(Y12:Z12)</f>
        <v>7.6</v>
      </c>
      <c r="AB12" s="323">
        <v>2.5</v>
      </c>
      <c r="AC12" s="323">
        <f>SUM(AA12:AB12)</f>
        <v>10.1</v>
      </c>
      <c r="AD12" s="323">
        <v>7.7</v>
      </c>
      <c r="AE12" s="323">
        <f>SUM(AC12:AD12)</f>
        <v>17.8</v>
      </c>
      <c r="AF12" s="323">
        <v>0</v>
      </c>
      <c r="AG12" s="323">
        <v>3.1</v>
      </c>
      <c r="AH12" s="323">
        <f>SUM(AF12:AG12)</f>
        <v>3.1</v>
      </c>
      <c r="AI12" s="323">
        <v>0.7</v>
      </c>
      <c r="AJ12" s="323">
        <f>SUM(AH12:AI12)</f>
        <v>3.8</v>
      </c>
      <c r="AK12" s="323">
        <v>0.7</v>
      </c>
      <c r="AL12" s="323">
        <f>SUM(AJ12:AK12)</f>
        <v>4.5</v>
      </c>
      <c r="AM12" s="323">
        <v>5.4</v>
      </c>
      <c r="AN12" s="323">
        <v>0.5</v>
      </c>
      <c r="AO12" s="323">
        <f>SUM(AM12:AN12)</f>
        <v>5.9</v>
      </c>
      <c r="AP12" s="323">
        <v>2.2000000000000002</v>
      </c>
      <c r="AQ12" s="323">
        <f>SUM(AO12:AP12)</f>
        <v>8.1000000000000014</v>
      </c>
      <c r="AR12" s="323">
        <v>7.1999999999999993</v>
      </c>
      <c r="AS12" s="323">
        <f>SUM(AQ12:AR12)</f>
        <v>15.3</v>
      </c>
      <c r="AT12" s="323">
        <v>0.10000000000000009</v>
      </c>
      <c r="AU12" s="323">
        <v>0.89499899999999855</v>
      </c>
      <c r="AV12" s="323">
        <f>SUM(AT12:AU12)</f>
        <v>0.99499899999999863</v>
      </c>
      <c r="AW12" s="323">
        <v>3.911999999999999</v>
      </c>
      <c r="AX12" s="323">
        <f>SUM(AV12:AW12)</f>
        <v>4.9069989999999972</v>
      </c>
      <c r="AY12" s="323">
        <v>6.9000000000000021</v>
      </c>
      <c r="AZ12" s="323">
        <f>SUM(AX12:AY12)</f>
        <v>11.806998999999999</v>
      </c>
      <c r="BA12" s="323">
        <v>6.5</v>
      </c>
      <c r="BB12" s="323">
        <v>4.5</v>
      </c>
      <c r="BC12" s="323">
        <f>SUM(BA12:BB12)</f>
        <v>11</v>
      </c>
      <c r="BD12" s="323">
        <v>0.39999999999999997</v>
      </c>
      <c r="BE12" s="323">
        <f>SUM(BC12:BD12)</f>
        <v>11.4</v>
      </c>
      <c r="BF12" s="323">
        <v>4.3</v>
      </c>
      <c r="BG12" s="323">
        <f>SUM(BE12:BF12)</f>
        <v>15.7</v>
      </c>
      <c r="BH12" s="323">
        <v>5</v>
      </c>
      <c r="BI12" s="323">
        <v>3.5011840312000002</v>
      </c>
      <c r="BJ12" s="323">
        <f>SUM(BH12:BI12)</f>
        <v>8.5011840312000011</v>
      </c>
      <c r="BK12" s="323">
        <v>8.36</v>
      </c>
      <c r="BL12" s="323">
        <f>SUM(BJ12:BK12)</f>
        <v>16.861184031200001</v>
      </c>
      <c r="BM12" s="323">
        <v>1.8698932034722207</v>
      </c>
      <c r="BN12" s="323">
        <f>SUM(BL12:BM12)</f>
        <v>18.73107723467222</v>
      </c>
      <c r="BO12" s="323">
        <v>1.5000000000000002</v>
      </c>
      <c r="BP12" s="323">
        <v>4.9000000000000004</v>
      </c>
      <c r="BQ12" s="323">
        <f>SUM(BO12:BP12)</f>
        <v>6.4</v>
      </c>
      <c r="BR12" s="323">
        <v>6.3607388995111203</v>
      </c>
      <c r="BS12" s="323">
        <f>SUM(BQ12:BR12)</f>
        <v>12.760738899511122</v>
      </c>
      <c r="BT12" s="323">
        <v>7.9818537900000006</v>
      </c>
      <c r="BU12" s="323">
        <f>SUM(BS12:BT12)</f>
        <v>20.74259268951112</v>
      </c>
      <c r="BV12" s="323">
        <v>0.5</v>
      </c>
      <c r="BW12" s="323">
        <v>0.9</v>
      </c>
      <c r="BX12" s="323">
        <f>SUM(BV12:BW12)</f>
        <v>1.4</v>
      </c>
      <c r="BY12" s="323">
        <v>1.8000000000000003</v>
      </c>
      <c r="BZ12" s="323">
        <f>SUM(BX12:BY12)</f>
        <v>3.2</v>
      </c>
      <c r="CA12" s="323">
        <v>22.3</v>
      </c>
      <c r="CB12" s="323">
        <f>SUM(BZ12:CA12)</f>
        <v>25.5</v>
      </c>
      <c r="CC12" s="323">
        <v>3.33</v>
      </c>
      <c r="CD12" s="323">
        <v>3.16</v>
      </c>
      <c r="CE12" s="323">
        <f>SUM(CC12:CD12)</f>
        <v>6.49</v>
      </c>
      <c r="CF12" s="323">
        <v>7.6847071699999958</v>
      </c>
      <c r="CG12" s="323">
        <v>14.140887759999996</v>
      </c>
      <c r="CH12" s="323">
        <v>10.16</v>
      </c>
      <c r="CI12" s="323">
        <f>SUM(CG12:CH12)</f>
        <v>24.300887759999995</v>
      </c>
      <c r="CJ12" s="323">
        <v>5.72902224102888</v>
      </c>
      <c r="CK12" s="323">
        <v>4.6926664227542902</v>
      </c>
      <c r="CL12" s="323">
        <f>SUM(CJ12:CK12)</f>
        <v>10.42168866378317</v>
      </c>
      <c r="CM12" s="323">
        <v>5.4289326416616088</v>
      </c>
      <c r="CN12" s="323">
        <f t="shared" si="4"/>
        <v>15.850621305444779</v>
      </c>
      <c r="CO12" s="323">
        <v>4.1055421983686227</v>
      </c>
      <c r="CP12" s="323">
        <v>20.306163503813401</v>
      </c>
      <c r="CQ12" s="323">
        <v>1.0593539760672699</v>
      </c>
      <c r="CR12" s="323">
        <v>3.5213693956385415</v>
      </c>
      <c r="CS12" s="323">
        <f>SUM(CQ12:CR12)</f>
        <v>4.5807233717058118</v>
      </c>
      <c r="CT12" s="323">
        <v>4.3688052629220406</v>
      </c>
      <c r="CU12" s="323">
        <f t="shared" si="0"/>
        <v>8.9495286346278533</v>
      </c>
      <c r="CV12" s="323">
        <v>6.8931512361552194</v>
      </c>
      <c r="CW12" s="323">
        <f t="shared" si="1"/>
        <v>15.842679870783073</v>
      </c>
      <c r="CX12" s="323">
        <v>1.3667918335210489</v>
      </c>
      <c r="CY12" s="323">
        <v>0.3</v>
      </c>
      <c r="CZ12" s="323">
        <f>SUM(CX12:CY12)</f>
        <v>1.666791833521049</v>
      </c>
      <c r="DA12" s="323">
        <f>0.360278084627942-0.1</f>
        <v>0.260278084627942</v>
      </c>
      <c r="DB12" s="323">
        <f t="shared" si="5"/>
        <v>1.927069918148991</v>
      </c>
      <c r="DC12" s="323">
        <v>0.32731793352272792</v>
      </c>
      <c r="DD12" s="323">
        <f t="shared" si="6"/>
        <v>2.2543878516717188</v>
      </c>
      <c r="DE12" s="323">
        <v>0.25789858411220745</v>
      </c>
      <c r="DF12" s="323">
        <v>0.42502874004130714</v>
      </c>
      <c r="DG12" s="323">
        <f>SUM(DE12:DF12)</f>
        <v>0.68292732415351454</v>
      </c>
      <c r="DH12" s="323">
        <v>1.950098026528406E-2</v>
      </c>
      <c r="DI12" s="323">
        <f>SUM(DG12:DH12)</f>
        <v>0.70242830441879855</v>
      </c>
      <c r="DJ12" s="323">
        <v>0.86897849626640966</v>
      </c>
      <c r="DK12" s="323">
        <f>SUM(DI12:DJ12)</f>
        <v>1.5714068006852082</v>
      </c>
      <c r="DL12" s="323">
        <v>1.376518000000506E-2</v>
      </c>
      <c r="DM12" s="323">
        <v>6.4651829998810306E-2</v>
      </c>
      <c r="DN12" s="323">
        <f>SUM(DL12:DM12)</f>
        <v>7.8417009998815373E-2</v>
      </c>
      <c r="DO12" s="323">
        <v>0.39688787999999997</v>
      </c>
      <c r="DP12" s="323">
        <f>SUM(DN12:DO12)</f>
        <v>0.47530488999881537</v>
      </c>
      <c r="DQ12" s="323">
        <v>8.6003400000000101E-3</v>
      </c>
      <c r="DR12" s="323">
        <f>SUM(DP12:DQ12)</f>
        <v>0.48390522999881536</v>
      </c>
      <c r="DS12" s="323">
        <v>0.30807337000000001</v>
      </c>
      <c r="DT12" s="323">
        <v>7.0317350000000001E-2</v>
      </c>
      <c r="DU12" s="323">
        <f>SUM(DS12:DT12)</f>
        <v>0.37839072000000001</v>
      </c>
      <c r="DV12" s="323">
        <v>6.1698999999999997E-2</v>
      </c>
      <c r="DW12" s="323">
        <f>SUM(DU12:DV12)</f>
        <v>0.44008972000000002</v>
      </c>
      <c r="DX12" s="323">
        <v>8.2895499999999997E-2</v>
      </c>
      <c r="DY12" s="323">
        <f>SUM(DW12:DX12)</f>
        <v>0.52298522000000003</v>
      </c>
      <c r="DZ12" s="323">
        <v>7.732673000000001E-2</v>
      </c>
      <c r="EA12" s="323">
        <v>0.15641569</v>
      </c>
      <c r="EB12" s="323">
        <f>SUM(DZ12:EA12)</f>
        <v>0.23374242000000001</v>
      </c>
      <c r="EC12" s="323">
        <v>8.0110149999999991E-2</v>
      </c>
      <c r="ED12" s="323">
        <f t="shared" si="2"/>
        <v>0.31385257</v>
      </c>
      <c r="EE12" s="323">
        <v>0.44603199999999998</v>
      </c>
      <c r="EF12" s="323">
        <f t="shared" si="2"/>
        <v>0.75988456999999998</v>
      </c>
      <c r="EG12" s="323">
        <v>1.9183540000000002E-2</v>
      </c>
      <c r="EH12" s="323">
        <v>0.12096198999999999</v>
      </c>
      <c r="EI12" s="323">
        <f>SUM(EG12:EH12)</f>
        <v>0.14014552999999999</v>
      </c>
      <c r="EJ12" s="323">
        <v>0.18881042000000001</v>
      </c>
      <c r="EK12" s="323">
        <f>SUM(EI12:EJ12)</f>
        <v>0.32895595</v>
      </c>
      <c r="EL12" s="323">
        <v>0.16576835999999998</v>
      </c>
      <c r="EM12" s="323">
        <f>SUM(EK12:EL12)</f>
        <v>0.49472430999999994</v>
      </c>
      <c r="EN12" s="323">
        <v>0.10246053999999999</v>
      </c>
      <c r="EO12" s="323">
        <v>0.18143353000000001</v>
      </c>
      <c r="EP12" s="323">
        <f>SUM(EN12:EO12)</f>
        <v>0.28389407</v>
      </c>
      <c r="EQ12" s="323">
        <v>0.58591574999999996</v>
      </c>
      <c r="ER12" s="323">
        <f>SUM(EP12:EQ12)</f>
        <v>0.86980981999999996</v>
      </c>
      <c r="ES12" s="323">
        <v>0.37308030999999997</v>
      </c>
      <c r="ET12" s="323">
        <f>SUM(ER12:ES12)</f>
        <v>1.2428901299999999</v>
      </c>
      <c r="EU12" s="323">
        <v>0.11798689000000001</v>
      </c>
      <c r="EV12" s="323">
        <v>0.30173582999999998</v>
      </c>
      <c r="EW12" s="323">
        <f>SUM(EU12:EV12)</f>
        <v>0.41972271999999999</v>
      </c>
    </row>
    <row r="13" spans="1:153" ht="16.350000000000001" customHeight="1">
      <c r="A13" s="172"/>
      <c r="B13" s="187" t="s">
        <v>52</v>
      </c>
      <c r="C13" s="187" t="s">
        <v>52</v>
      </c>
      <c r="D13" s="339">
        <f>SUM(D8:D12)</f>
        <v>6.6</v>
      </c>
      <c r="E13" s="339">
        <f t="shared" ref="E13:BP13" si="7">SUM(E8:E12)</f>
        <v>10.199999999999999</v>
      </c>
      <c r="F13" s="339">
        <f t="shared" si="7"/>
        <v>16.8</v>
      </c>
      <c r="G13" s="339">
        <f t="shared" si="7"/>
        <v>6.7000000000000011</v>
      </c>
      <c r="H13" s="339">
        <f t="shared" si="7"/>
        <v>23.5</v>
      </c>
      <c r="I13" s="339">
        <f t="shared" si="7"/>
        <v>32.4</v>
      </c>
      <c r="J13" s="339">
        <f t="shared" si="7"/>
        <v>55.899999999999991</v>
      </c>
      <c r="K13" s="339">
        <f t="shared" si="7"/>
        <v>16.8</v>
      </c>
      <c r="L13" s="339">
        <f t="shared" si="7"/>
        <v>32.799999999999997</v>
      </c>
      <c r="M13" s="339">
        <f t="shared" si="7"/>
        <v>49.599999999999994</v>
      </c>
      <c r="N13" s="339">
        <f t="shared" si="7"/>
        <v>21.900000000000002</v>
      </c>
      <c r="O13" s="339">
        <f t="shared" si="7"/>
        <v>71.5</v>
      </c>
      <c r="P13" s="339">
        <f t="shared" si="7"/>
        <v>47.500000000000007</v>
      </c>
      <c r="Q13" s="339">
        <f t="shared" si="7"/>
        <v>118.9</v>
      </c>
      <c r="R13" s="339">
        <f t="shared" si="7"/>
        <v>11.6</v>
      </c>
      <c r="S13" s="339">
        <f t="shared" si="7"/>
        <v>24.2</v>
      </c>
      <c r="T13" s="339">
        <f t="shared" si="7"/>
        <v>35.799999999999997</v>
      </c>
      <c r="U13" s="339">
        <f t="shared" si="7"/>
        <v>16.8</v>
      </c>
      <c r="V13" s="339">
        <f t="shared" si="7"/>
        <v>52.6</v>
      </c>
      <c r="W13" s="339">
        <f t="shared" si="7"/>
        <v>55.9</v>
      </c>
      <c r="X13" s="339">
        <f t="shared" si="7"/>
        <v>108.5</v>
      </c>
      <c r="Y13" s="339">
        <f t="shared" si="7"/>
        <v>18.100000000000001</v>
      </c>
      <c r="Z13" s="339">
        <f t="shared" si="7"/>
        <v>30.4</v>
      </c>
      <c r="AA13" s="339">
        <f t="shared" si="7"/>
        <v>48.5</v>
      </c>
      <c r="AB13" s="339">
        <f t="shared" si="7"/>
        <v>36.700000000000003</v>
      </c>
      <c r="AC13" s="339">
        <f t="shared" si="7"/>
        <v>85.199999999999989</v>
      </c>
      <c r="AD13" s="339">
        <f t="shared" si="7"/>
        <v>51.6</v>
      </c>
      <c r="AE13" s="339">
        <f t="shared" si="7"/>
        <v>136.80000000000001</v>
      </c>
      <c r="AF13" s="339">
        <f t="shared" si="7"/>
        <v>6.3999999999999995</v>
      </c>
      <c r="AG13" s="339">
        <f t="shared" si="7"/>
        <v>21.500000000000004</v>
      </c>
      <c r="AH13" s="339">
        <f t="shared" si="7"/>
        <v>27.900000000000002</v>
      </c>
      <c r="AI13" s="339">
        <f t="shared" si="7"/>
        <v>14.200000000000001</v>
      </c>
      <c r="AJ13" s="339">
        <f t="shared" si="7"/>
        <v>42.1</v>
      </c>
      <c r="AK13" s="339">
        <f t="shared" si="7"/>
        <v>27</v>
      </c>
      <c r="AL13" s="339">
        <f t="shared" si="7"/>
        <v>69.099999999999994</v>
      </c>
      <c r="AM13" s="339">
        <f t="shared" si="7"/>
        <v>15.8</v>
      </c>
      <c r="AN13" s="339">
        <f t="shared" si="7"/>
        <v>20.6</v>
      </c>
      <c r="AO13" s="339">
        <f t="shared" si="7"/>
        <v>36.4</v>
      </c>
      <c r="AP13" s="339">
        <f t="shared" si="7"/>
        <v>27.099999999999998</v>
      </c>
      <c r="AQ13" s="339">
        <f t="shared" si="7"/>
        <v>63.500000000000007</v>
      </c>
      <c r="AR13" s="339">
        <f t="shared" si="7"/>
        <v>96.7</v>
      </c>
      <c r="AS13" s="339">
        <f t="shared" si="7"/>
        <v>160.20000000000002</v>
      </c>
      <c r="AT13" s="339">
        <f t="shared" si="7"/>
        <v>24.000000000000004</v>
      </c>
      <c r="AU13" s="339">
        <f t="shared" si="7"/>
        <v>64.29499899999999</v>
      </c>
      <c r="AV13" s="339">
        <f t="shared" si="7"/>
        <v>88.29499899999999</v>
      </c>
      <c r="AW13" s="339">
        <f t="shared" si="7"/>
        <v>55.711999999999996</v>
      </c>
      <c r="AX13" s="339">
        <f t="shared" si="7"/>
        <v>144.00699899999998</v>
      </c>
      <c r="AY13" s="339">
        <f t="shared" si="7"/>
        <v>152.6</v>
      </c>
      <c r="AZ13" s="339">
        <f t="shared" si="7"/>
        <v>296.60699900000003</v>
      </c>
      <c r="BA13" s="339">
        <f t="shared" si="7"/>
        <v>69.8</v>
      </c>
      <c r="BB13" s="339">
        <f t="shared" si="7"/>
        <v>86.5</v>
      </c>
      <c r="BC13" s="339">
        <f t="shared" si="7"/>
        <v>156.29999999999998</v>
      </c>
      <c r="BD13" s="339">
        <f t="shared" si="7"/>
        <v>75.8</v>
      </c>
      <c r="BE13" s="339">
        <f t="shared" si="7"/>
        <v>232.1</v>
      </c>
      <c r="BF13" s="339">
        <f t="shared" si="7"/>
        <v>150.20000000000002</v>
      </c>
      <c r="BG13" s="339">
        <f t="shared" si="7"/>
        <v>382.3</v>
      </c>
      <c r="BH13" s="339">
        <f t="shared" si="7"/>
        <v>36.799999999999997</v>
      </c>
      <c r="BI13" s="339">
        <f t="shared" si="7"/>
        <v>65.797382050431679</v>
      </c>
      <c r="BJ13" s="339">
        <f t="shared" si="7"/>
        <v>102.59738205043168</v>
      </c>
      <c r="BK13" s="339">
        <f t="shared" si="7"/>
        <v>123.35128119799997</v>
      </c>
      <c r="BL13" s="339">
        <f t="shared" si="7"/>
        <v>225.94866324843161</v>
      </c>
      <c r="BM13" s="339">
        <f t="shared" si="7"/>
        <v>186.19327432756862</v>
      </c>
      <c r="BN13" s="339">
        <f t="shared" si="7"/>
        <v>412.1419375760002</v>
      </c>
      <c r="BO13" s="339">
        <f t="shared" si="7"/>
        <v>77.400000000000006</v>
      </c>
      <c r="BP13" s="339">
        <f t="shared" si="7"/>
        <v>116.00000000000001</v>
      </c>
      <c r="BQ13" s="339">
        <f t="shared" ref="BQ13:DS13" si="8">SUM(BQ8:BQ12)</f>
        <v>193.4</v>
      </c>
      <c r="BR13" s="339">
        <f t="shared" si="8"/>
        <v>131.60276055272075</v>
      </c>
      <c r="BS13" s="339">
        <f t="shared" si="8"/>
        <v>325.00276055272082</v>
      </c>
      <c r="BT13" s="339">
        <f t="shared" si="8"/>
        <v>177.04682393000013</v>
      </c>
      <c r="BU13" s="339">
        <f t="shared" si="8"/>
        <v>502.04958448272089</v>
      </c>
      <c r="BV13" s="339">
        <f t="shared" si="8"/>
        <v>71.37</v>
      </c>
      <c r="BW13" s="339">
        <f t="shared" si="8"/>
        <v>146.60000000000002</v>
      </c>
      <c r="BX13" s="339">
        <f t="shared" si="8"/>
        <v>217.97</v>
      </c>
      <c r="BY13" s="339">
        <f t="shared" si="8"/>
        <v>166.82999999999996</v>
      </c>
      <c r="BZ13" s="339">
        <f t="shared" si="8"/>
        <v>384.79999999999995</v>
      </c>
      <c r="CA13" s="339">
        <f t="shared" si="8"/>
        <v>186.54988055000018</v>
      </c>
      <c r="CB13" s="339">
        <f t="shared" si="8"/>
        <v>571.34988055000008</v>
      </c>
      <c r="CC13" s="339">
        <f t="shared" si="8"/>
        <v>87.64</v>
      </c>
      <c r="CD13" s="339">
        <f t="shared" si="8"/>
        <v>157.85999999999999</v>
      </c>
      <c r="CE13" s="339">
        <f t="shared" si="8"/>
        <v>245.49999999999997</v>
      </c>
      <c r="CF13" s="339">
        <f t="shared" si="8"/>
        <v>106.84826337999999</v>
      </c>
      <c r="CG13" s="339">
        <f t="shared" si="8"/>
        <v>352.38075740000005</v>
      </c>
      <c r="CH13" s="339">
        <f t="shared" si="8"/>
        <v>160.1743842019998</v>
      </c>
      <c r="CI13" s="339">
        <f t="shared" si="8"/>
        <v>512.55514160199994</v>
      </c>
      <c r="CJ13" s="339">
        <f t="shared" si="8"/>
        <v>66.472064909999986</v>
      </c>
      <c r="CK13" s="339">
        <f t="shared" si="8"/>
        <v>118.40100000000005</v>
      </c>
      <c r="CL13" s="339">
        <f t="shared" si="8"/>
        <v>184.87306491000004</v>
      </c>
      <c r="CM13" s="339">
        <f t="shared" si="8"/>
        <v>134.93200000000007</v>
      </c>
      <c r="CN13" s="339">
        <f t="shared" si="8"/>
        <v>319.80506491000011</v>
      </c>
      <c r="CO13" s="339">
        <f t="shared" si="8"/>
        <v>230.2437773777763</v>
      </c>
      <c r="CP13" s="339">
        <f t="shared" si="8"/>
        <v>550.39884228777646</v>
      </c>
      <c r="CQ13" s="339">
        <f t="shared" si="8"/>
        <v>94.100000000000009</v>
      </c>
      <c r="CR13" s="339">
        <f t="shared" si="8"/>
        <v>134.17307100199935</v>
      </c>
      <c r="CS13" s="339">
        <f t="shared" si="8"/>
        <v>228.27307100199931</v>
      </c>
      <c r="CT13" s="339">
        <f t="shared" si="8"/>
        <v>158.30976685000002</v>
      </c>
      <c r="CU13" s="339">
        <f t="shared" si="8"/>
        <v>386.58283785199933</v>
      </c>
      <c r="CV13" s="339">
        <f t="shared" si="8"/>
        <v>223.77816057000001</v>
      </c>
      <c r="CW13" s="339">
        <f t="shared" si="8"/>
        <v>610.3609984219994</v>
      </c>
      <c r="CX13" s="339">
        <f t="shared" si="8"/>
        <v>78.882000000000005</v>
      </c>
      <c r="CY13" s="339">
        <f t="shared" si="8"/>
        <v>166.46038018388765</v>
      </c>
      <c r="CZ13" s="339">
        <f t="shared" si="8"/>
        <v>245.34238018388768</v>
      </c>
      <c r="DA13" s="339">
        <f t="shared" si="8"/>
        <v>257.13154870320795</v>
      </c>
      <c r="DB13" s="339">
        <f t="shared" si="8"/>
        <v>502.47392888709561</v>
      </c>
      <c r="DC13" s="339">
        <f t="shared" si="8"/>
        <v>248.857529848426</v>
      </c>
      <c r="DD13" s="339">
        <f t="shared" si="8"/>
        <v>751.33145873552155</v>
      </c>
      <c r="DE13" s="339">
        <f t="shared" si="8"/>
        <v>89.439747971866026</v>
      </c>
      <c r="DF13" s="339">
        <f t="shared" si="8"/>
        <v>141.39699074380002</v>
      </c>
      <c r="DG13" s="339">
        <f t="shared" si="8"/>
        <v>230.83673871566606</v>
      </c>
      <c r="DH13" s="339">
        <f t="shared" si="8"/>
        <v>188.434</v>
      </c>
      <c r="DI13" s="339">
        <f t="shared" si="8"/>
        <v>419.27073871566597</v>
      </c>
      <c r="DJ13" s="339">
        <f t="shared" si="8"/>
        <v>124.70600000000002</v>
      </c>
      <c r="DK13" s="339">
        <f t="shared" si="8"/>
        <v>543.97673871566587</v>
      </c>
      <c r="DL13" s="339">
        <f t="shared" si="8"/>
        <v>263.95908044792003</v>
      </c>
      <c r="DM13" s="339">
        <f t="shared" si="8"/>
        <v>254.11398082636282</v>
      </c>
      <c r="DN13" s="339">
        <f t="shared" si="8"/>
        <v>518.07306127428285</v>
      </c>
      <c r="DO13" s="339">
        <f t="shared" si="8"/>
        <v>186.37702864050001</v>
      </c>
      <c r="DP13" s="339">
        <f t="shared" si="8"/>
        <v>704.45008991478278</v>
      </c>
      <c r="DQ13" s="339">
        <f t="shared" si="8"/>
        <v>383.62173330759998</v>
      </c>
      <c r="DR13" s="339">
        <f t="shared" si="8"/>
        <v>1088.0718232223828</v>
      </c>
      <c r="DS13" s="339">
        <f t="shared" si="8"/>
        <v>114.71413055725199</v>
      </c>
      <c r="DT13" s="339">
        <f t="shared" ref="DT13:DU13" si="9">SUM(DT8:DT12)</f>
        <v>208.07315958394298</v>
      </c>
      <c r="DU13" s="339">
        <f t="shared" si="9"/>
        <v>322.787290141195</v>
      </c>
      <c r="DV13" s="339">
        <f t="shared" ref="DV13:DW13" si="10">SUM(DV8:DV12)</f>
        <v>263.73555669179882</v>
      </c>
      <c r="DW13" s="339">
        <f t="shared" si="10"/>
        <v>586.52284683299376</v>
      </c>
      <c r="DX13" s="339">
        <f t="shared" ref="DX13:DY13" si="11">SUM(DX8:DX12)</f>
        <v>408.5409872834382</v>
      </c>
      <c r="DY13" s="339">
        <f t="shared" si="11"/>
        <v>995.06383411643196</v>
      </c>
      <c r="DZ13" s="339">
        <f>SUM(DZ8:DZ12)</f>
        <v>81.434505072202256</v>
      </c>
      <c r="EA13" s="339">
        <f>SUM(EA8:EA12)</f>
        <v>235.87079286433976</v>
      </c>
      <c r="EB13" s="339">
        <f t="shared" ref="EB13:ED13" si="12">SUM(EB8:EB12)</f>
        <v>317.30529793654205</v>
      </c>
      <c r="EC13" s="339">
        <f t="shared" si="12"/>
        <v>244.06575667637051</v>
      </c>
      <c r="ED13" s="339">
        <f t="shared" si="12"/>
        <v>561.37105461291253</v>
      </c>
      <c r="EE13" s="339">
        <f t="shared" ref="EE13:EF13" si="13">SUM(EE8:EE12)</f>
        <v>327.44657132743066</v>
      </c>
      <c r="EF13" s="339">
        <f t="shared" si="13"/>
        <v>888.81762594034331</v>
      </c>
      <c r="EG13" s="339">
        <f t="shared" ref="EG13:EH13" si="14">SUM(EG8:EG12)</f>
        <v>68.973813961094066</v>
      </c>
      <c r="EH13" s="339">
        <f t="shared" si="14"/>
        <v>137.12783039067526</v>
      </c>
      <c r="EI13" s="339">
        <f t="shared" ref="EI13:EJ13" si="15">SUM(EI8:EI12)</f>
        <v>206.10164435176929</v>
      </c>
      <c r="EJ13" s="339">
        <f t="shared" si="15"/>
        <v>172.91239856704584</v>
      </c>
      <c r="EK13" s="339">
        <f t="shared" ref="EK13:EL13" si="16">SUM(EK8:EK12)</f>
        <v>379.01404291881511</v>
      </c>
      <c r="EL13" s="339">
        <f t="shared" si="16"/>
        <v>283.29311546802489</v>
      </c>
      <c r="EM13" s="339">
        <f t="shared" ref="EM13:EP13" si="17">SUM(EM8:EM12)</f>
        <v>662.30715838684</v>
      </c>
      <c r="EN13" s="339">
        <f t="shared" si="17"/>
        <v>61.588251532900507</v>
      </c>
      <c r="EO13" s="339">
        <f t="shared" si="17"/>
        <v>165.86454772856231</v>
      </c>
      <c r="EP13" s="339">
        <f t="shared" si="17"/>
        <v>227.45279926146281</v>
      </c>
      <c r="EQ13" s="339">
        <f t="shared" ref="EQ13:ER13" si="18">SUM(EQ8:EQ12)</f>
        <v>199.92210481561401</v>
      </c>
      <c r="ER13" s="339">
        <f t="shared" si="18"/>
        <v>427.37490407707679</v>
      </c>
      <c r="ES13" s="339">
        <f t="shared" ref="ES13:ET13" si="19">SUM(ES8:ES12)</f>
        <v>431.06803613552904</v>
      </c>
      <c r="ET13" s="339">
        <f t="shared" si="19"/>
        <v>858.44294021260589</v>
      </c>
      <c r="EU13" s="339">
        <v>106.077776426889</v>
      </c>
      <c r="EV13" s="339">
        <f>SUM(EV8:EV12)</f>
        <v>166.99384796411599</v>
      </c>
      <c r="EW13" s="339">
        <f>SUM(EW8:EW12)</f>
        <v>273.071624391005</v>
      </c>
    </row>
    <row r="14" spans="1:153" ht="16.350000000000001" customHeight="1">
      <c r="A14" s="172"/>
      <c r="B14" s="173"/>
      <c r="C14" s="172"/>
      <c r="D14" s="172"/>
      <c r="E14" s="172"/>
      <c r="F14" s="172"/>
      <c r="G14" s="172"/>
      <c r="H14" s="172"/>
      <c r="I14" s="172"/>
      <c r="J14" s="340"/>
      <c r="K14" s="172"/>
      <c r="L14" s="172"/>
      <c r="M14" s="172"/>
      <c r="N14" s="172"/>
      <c r="O14" s="172"/>
      <c r="P14" s="172"/>
      <c r="Q14" s="340"/>
      <c r="R14" s="172"/>
      <c r="S14" s="172"/>
      <c r="T14" s="172"/>
      <c r="U14" s="172"/>
      <c r="V14" s="172"/>
      <c r="W14" s="172"/>
      <c r="X14" s="172"/>
      <c r="Y14" s="172"/>
      <c r="Z14" s="172"/>
      <c r="AA14" s="172"/>
      <c r="AB14" s="172"/>
      <c r="AC14" s="172"/>
      <c r="AD14" s="172"/>
      <c r="AE14" s="172"/>
      <c r="AF14" s="172"/>
      <c r="AG14" s="172"/>
      <c r="AH14" s="172"/>
      <c r="AI14" s="172"/>
      <c r="AJ14" s="172"/>
      <c r="AK14" s="172"/>
      <c r="AL14" s="172"/>
      <c r="AM14" s="172"/>
      <c r="AN14" s="172"/>
      <c r="AO14" s="172"/>
      <c r="AP14" s="172"/>
      <c r="AQ14" s="172"/>
      <c r="AR14" s="172"/>
      <c r="AS14" s="172"/>
      <c r="AT14" s="172"/>
      <c r="AU14" s="172"/>
      <c r="AV14" s="172"/>
      <c r="AW14" s="172"/>
      <c r="AX14" s="172"/>
      <c r="AY14" s="172"/>
      <c r="AZ14" s="172"/>
      <c r="BA14" s="172"/>
      <c r="BB14" s="172"/>
      <c r="BC14" s="172"/>
      <c r="BD14" s="172"/>
      <c r="BE14" s="172"/>
      <c r="BF14" s="172"/>
      <c r="BG14" s="172"/>
      <c r="BH14" s="172"/>
      <c r="BI14" s="172"/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</row>
    <row r="15" spans="1:153" ht="16.350000000000001" customHeight="1">
      <c r="CW15" s="142"/>
      <c r="DD15" s="142"/>
      <c r="DK15" s="142"/>
      <c r="DR15" s="142"/>
      <c r="DY15" s="142"/>
      <c r="EF15" s="142"/>
      <c r="EM15" s="142"/>
    </row>
  </sheetData>
  <printOptions horizontalCentered="1"/>
  <pageMargins left="0.25" right="0.25" top="0.75" bottom="0.75" header="0.3" footer="0.3"/>
  <pageSetup paperSize="9" scale="56" orientation="landscape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ignoredErrors>
    <ignoredError sqref="CI8:CI12" formulaRange="1"/>
  </ignoredError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Plan7">
    <pageSetUpPr fitToPage="1"/>
  </sheetPr>
  <dimension ref="A4:L115"/>
  <sheetViews>
    <sheetView showGridLines="0" zoomScaleNormal="100" workbookViewId="0">
      <pane ySplit="8" topLeftCell="A24" activePane="bottomLeft" state="frozen"/>
      <selection pane="bottomLeft" activeCell="G26" sqref="G26"/>
    </sheetView>
  </sheetViews>
  <sheetFormatPr defaultColWidth="9.42578125" defaultRowHeight="16.350000000000001" customHeight="1"/>
  <cols>
    <col min="1" max="1" width="3.5703125" style="174" customWidth="1"/>
    <col min="2" max="2" width="53.42578125" style="174" customWidth="1"/>
    <col min="3" max="6" width="23.5703125" style="174" customWidth="1"/>
    <col min="7" max="8" width="10" style="174" customWidth="1"/>
    <col min="9" max="9" width="18.42578125" style="174" bestFit="1" customWidth="1"/>
    <col min="10" max="10" width="15.5703125" style="174" bestFit="1" customWidth="1"/>
    <col min="11" max="11" width="9.42578125" style="174"/>
    <col min="12" max="12" width="16.42578125" style="174" bestFit="1" customWidth="1"/>
    <col min="13" max="16384" width="9.42578125" style="174"/>
  </cols>
  <sheetData>
    <row r="4" spans="1:12" ht="16.350000000000001" customHeight="1">
      <c r="B4" s="223"/>
    </row>
    <row r="6" spans="1:12" ht="16.350000000000001" customHeight="1">
      <c r="B6" s="437" t="s">
        <v>538</v>
      </c>
      <c r="C6" s="459"/>
      <c r="D6" s="179"/>
      <c r="E6" s="179"/>
      <c r="F6" s="179"/>
      <c r="G6" s="179"/>
      <c r="H6" s="179"/>
    </row>
    <row r="7" spans="1:12" ht="16.350000000000001" customHeight="1">
      <c r="B7" s="224" t="s">
        <v>38</v>
      </c>
      <c r="C7" s="225" t="s">
        <v>39</v>
      </c>
      <c r="D7" s="225" t="s">
        <v>40</v>
      </c>
      <c r="E7" s="225" t="s">
        <v>194</v>
      </c>
      <c r="F7" s="509" t="s">
        <v>41</v>
      </c>
      <c r="G7" s="509" t="s">
        <v>42</v>
      </c>
      <c r="H7" s="509" t="s">
        <v>176</v>
      </c>
    </row>
    <row r="8" spans="1:12" ht="16.350000000000001" customHeight="1">
      <c r="B8" s="224" t="s">
        <v>43</v>
      </c>
      <c r="C8" s="225" t="s">
        <v>44</v>
      </c>
      <c r="D8" s="225" t="s">
        <v>45</v>
      </c>
      <c r="E8" s="225" t="s">
        <v>79</v>
      </c>
      <c r="F8" s="510"/>
      <c r="G8" s="510"/>
      <c r="H8" s="510"/>
    </row>
    <row r="9" spans="1:12" ht="16.350000000000001" customHeight="1">
      <c r="B9" s="231" t="s">
        <v>192</v>
      </c>
      <c r="C9" s="232">
        <v>46191</v>
      </c>
      <c r="D9" s="233">
        <v>46217</v>
      </c>
      <c r="E9" s="239">
        <v>0.229299</v>
      </c>
      <c r="F9" s="235">
        <v>220421280.83000001</v>
      </c>
      <c r="G9" s="434"/>
      <c r="H9" s="434"/>
    </row>
    <row r="10" spans="1:12" ht="16.350000000000001" customHeight="1">
      <c r="B10" s="231" t="s">
        <v>192</v>
      </c>
      <c r="C10" s="232">
        <v>46100</v>
      </c>
      <c r="D10" s="233">
        <v>46126</v>
      </c>
      <c r="E10" s="239">
        <v>0.22269800000000001</v>
      </c>
      <c r="F10" s="235">
        <v>217426238.53</v>
      </c>
      <c r="G10" s="434"/>
      <c r="H10" s="434"/>
    </row>
    <row r="11" spans="1:12" ht="16.350000000000001" customHeight="1">
      <c r="B11" s="226" t="s">
        <v>2371</v>
      </c>
      <c r="C11" s="227"/>
      <c r="D11" s="227"/>
      <c r="E11" s="228">
        <f>SUM(E12:E15)</f>
        <v>0.83829000000000009</v>
      </c>
      <c r="F11" s="229">
        <f>SUM(F12:F15)</f>
        <v>834310523.16000009</v>
      </c>
      <c r="G11" s="230">
        <f>E16/13.45</f>
        <v>4.799925650557621E-2</v>
      </c>
      <c r="H11" s="230">
        <f>F11/1000/'Income Statement'!ET60</f>
        <v>0.57239982488614582</v>
      </c>
    </row>
    <row r="12" spans="1:12" s="234" customFormat="1" ht="16.350000000000001" customHeight="1">
      <c r="A12" s="174"/>
      <c r="B12" s="231" t="s">
        <v>192</v>
      </c>
      <c r="C12" s="232">
        <v>45999</v>
      </c>
      <c r="D12" s="233">
        <v>46035</v>
      </c>
      <c r="E12" s="239">
        <v>0.22778399999999999</v>
      </c>
      <c r="F12" s="235">
        <v>223729275.33000001</v>
      </c>
      <c r="G12" s="236"/>
      <c r="H12" s="237"/>
    </row>
    <row r="13" spans="1:12" s="234" customFormat="1" ht="16.350000000000001" customHeight="1">
      <c r="A13" s="174"/>
      <c r="B13" s="231" t="s">
        <v>192</v>
      </c>
      <c r="C13" s="232">
        <v>45918</v>
      </c>
      <c r="D13" s="233">
        <v>45937</v>
      </c>
      <c r="E13" s="239">
        <v>0.21972700000000001</v>
      </c>
      <c r="F13" s="235">
        <v>217869571.86000001</v>
      </c>
      <c r="G13" s="236"/>
      <c r="H13" s="237"/>
    </row>
    <row r="14" spans="1:12" ht="16.350000000000001" customHeight="1">
      <c r="B14" s="231" t="s">
        <v>192</v>
      </c>
      <c r="C14" s="232">
        <v>45835</v>
      </c>
      <c r="D14" s="233">
        <v>45853</v>
      </c>
      <c r="E14" s="239">
        <v>0.20302700000000001</v>
      </c>
      <c r="F14" s="235">
        <v>203131950.53</v>
      </c>
      <c r="G14" s="236"/>
      <c r="H14" s="237"/>
      <c r="L14" s="238"/>
    </row>
    <row r="15" spans="1:12" ht="16.350000000000001" customHeight="1">
      <c r="B15" s="231" t="s">
        <v>192</v>
      </c>
      <c r="C15" s="232">
        <v>45736</v>
      </c>
      <c r="D15" s="233">
        <v>45756</v>
      </c>
      <c r="E15" s="239">
        <v>0.187752</v>
      </c>
      <c r="F15" s="235">
        <v>189579725.44</v>
      </c>
      <c r="G15" s="236"/>
      <c r="H15" s="237"/>
      <c r="L15" s="240"/>
    </row>
    <row r="16" spans="1:12" ht="16.350000000000001" customHeight="1">
      <c r="B16" s="226" t="s">
        <v>646</v>
      </c>
      <c r="C16" s="227"/>
      <c r="D16" s="227"/>
      <c r="E16" s="228">
        <f>SUM(E17:E20)</f>
        <v>0.64559</v>
      </c>
      <c r="F16" s="229">
        <f>SUM(F17:F20)</f>
        <v>633574468.24000001</v>
      </c>
      <c r="G16" s="230">
        <f>E16/12.12</f>
        <v>5.326650165016502E-2</v>
      </c>
      <c r="H16" s="230">
        <f>F16/1000/'Income Statement'!EM60</f>
        <v>0.529448826441419</v>
      </c>
    </row>
    <row r="17" spans="2:12" ht="16.350000000000001" customHeight="1">
      <c r="B17" s="231" t="s">
        <v>192</v>
      </c>
      <c r="C17" s="232">
        <v>45645</v>
      </c>
      <c r="D17" s="233">
        <v>45665</v>
      </c>
      <c r="E17" s="239">
        <v>0.17062099999999999</v>
      </c>
      <c r="F17" s="235">
        <v>179447059.03999999</v>
      </c>
      <c r="G17" s="236"/>
      <c r="H17" s="237"/>
      <c r="J17" s="238"/>
    </row>
    <row r="18" spans="2:12" ht="16.350000000000001" customHeight="1">
      <c r="B18" s="231" t="s">
        <v>192</v>
      </c>
      <c r="C18" s="232">
        <v>45554</v>
      </c>
      <c r="D18" s="233">
        <v>45573</v>
      </c>
      <c r="E18" s="239">
        <v>0.16875999999999999</v>
      </c>
      <c r="F18" s="235">
        <v>161354828.58000001</v>
      </c>
      <c r="G18" s="236"/>
      <c r="H18" s="237"/>
      <c r="J18" s="238"/>
      <c r="L18" s="241"/>
    </row>
    <row r="19" spans="2:12" ht="16.350000000000001" customHeight="1">
      <c r="B19" s="231" t="s">
        <v>192</v>
      </c>
      <c r="C19" s="232">
        <v>45463</v>
      </c>
      <c r="D19" s="233">
        <v>45482</v>
      </c>
      <c r="E19" s="239">
        <v>0.155919</v>
      </c>
      <c r="F19" s="235">
        <v>149077290.34</v>
      </c>
      <c r="G19" s="236"/>
      <c r="H19" s="237"/>
      <c r="L19" s="238"/>
    </row>
    <row r="20" spans="2:12" ht="16.350000000000001" customHeight="1">
      <c r="B20" s="231" t="s">
        <v>192</v>
      </c>
      <c r="C20" s="232">
        <v>45365</v>
      </c>
      <c r="D20" s="233">
        <v>45384</v>
      </c>
      <c r="E20" s="239">
        <v>0.15029000000000001</v>
      </c>
      <c r="F20" s="235">
        <v>143695290.28</v>
      </c>
      <c r="G20" s="236"/>
      <c r="H20" s="237"/>
      <c r="L20" s="240"/>
    </row>
    <row r="21" spans="2:12" ht="16.350000000000001" customHeight="1">
      <c r="B21" s="226" t="s">
        <v>537</v>
      </c>
      <c r="C21" s="227"/>
      <c r="D21" s="227"/>
      <c r="E21" s="228">
        <f>SUM(E22:E25)</f>
        <v>0.71373799999999998</v>
      </c>
      <c r="F21" s="229">
        <f>SUM(F22:F25)</f>
        <v>682046174.11000001</v>
      </c>
      <c r="G21" s="230">
        <f>E21/17.42</f>
        <v>4.09723306544202E-2</v>
      </c>
      <c r="H21" s="230">
        <f>F21/1000/'Income Statement'!EF60</f>
        <v>0.69863240606232568</v>
      </c>
    </row>
    <row r="22" spans="2:12" ht="16.350000000000001" customHeight="1">
      <c r="B22" s="231" t="s">
        <v>192</v>
      </c>
      <c r="C22" s="232">
        <v>45275</v>
      </c>
      <c r="D22" s="233">
        <v>45296</v>
      </c>
      <c r="E22" s="239">
        <v>0.171544</v>
      </c>
      <c r="F22" s="235">
        <v>163927628.91999999</v>
      </c>
      <c r="G22" s="236"/>
      <c r="H22" s="237"/>
      <c r="J22" s="242"/>
    </row>
    <row r="23" spans="2:12" ht="16.350000000000001" customHeight="1">
      <c r="B23" s="231" t="s">
        <v>192</v>
      </c>
      <c r="C23" s="232">
        <v>45190</v>
      </c>
      <c r="D23" s="233">
        <v>45296</v>
      </c>
      <c r="E23" s="239">
        <v>0.17968999999999999</v>
      </c>
      <c r="F23" s="235">
        <v>171712614.02000001</v>
      </c>
      <c r="G23" s="236"/>
      <c r="H23" s="237"/>
    </row>
    <row r="24" spans="2:12" ht="16.350000000000001" customHeight="1">
      <c r="B24" s="231" t="s">
        <v>192</v>
      </c>
      <c r="C24" s="232">
        <v>45099</v>
      </c>
      <c r="D24" s="233">
        <v>45204</v>
      </c>
      <c r="E24" s="239">
        <v>0.180177</v>
      </c>
      <c r="F24" s="235">
        <v>172175476.53999999</v>
      </c>
      <c r="G24" s="236"/>
      <c r="H24" s="237"/>
    </row>
    <row r="25" spans="2:12" ht="16.350000000000001" customHeight="1">
      <c r="B25" s="231" t="s">
        <v>192</v>
      </c>
      <c r="C25" s="232">
        <v>44637</v>
      </c>
      <c r="D25" s="233">
        <v>45204</v>
      </c>
      <c r="E25" s="239">
        <v>0.18232699999999999</v>
      </c>
      <c r="F25" s="235">
        <v>174230454.63</v>
      </c>
      <c r="G25" s="236"/>
      <c r="H25" s="237"/>
    </row>
    <row r="26" spans="2:12" ht="16.350000000000001" customHeight="1">
      <c r="B26" s="226" t="s">
        <v>351</v>
      </c>
      <c r="C26" s="227"/>
      <c r="D26" s="227"/>
      <c r="E26" s="228">
        <f>SUM(E27:E30)</f>
        <v>0.66706700000000008</v>
      </c>
      <c r="F26" s="229">
        <f>SUM(F27:F30)</f>
        <v>648325034.52999997</v>
      </c>
      <c r="G26" s="230">
        <f>E26/20.48</f>
        <v>3.2571630859375006E-2</v>
      </c>
      <c r="H26" s="230">
        <f>F26/1000/'Income Statement'!DY60</f>
        <v>0.50191455204133451</v>
      </c>
    </row>
    <row r="27" spans="2:12" ht="16.350000000000001" customHeight="1">
      <c r="B27" s="231" t="s">
        <v>192</v>
      </c>
      <c r="C27" s="232">
        <v>44911</v>
      </c>
      <c r="D27" s="243">
        <v>44932</v>
      </c>
      <c r="E27" s="239">
        <v>0.18404899999999999</v>
      </c>
      <c r="F27" s="235">
        <v>178598359.59999999</v>
      </c>
      <c r="G27" s="236"/>
      <c r="H27" s="237"/>
      <c r="J27" s="242"/>
    </row>
    <row r="28" spans="2:12" ht="16.350000000000001" customHeight="1">
      <c r="B28" s="231" t="s">
        <v>192</v>
      </c>
      <c r="C28" s="232">
        <v>44826</v>
      </c>
      <c r="D28" s="243">
        <v>44840</v>
      </c>
      <c r="E28" s="239">
        <v>0.17465600000000001</v>
      </c>
      <c r="F28" s="235">
        <v>169280288.65000001</v>
      </c>
      <c r="G28" s="236"/>
      <c r="H28" s="237"/>
    </row>
    <row r="29" spans="2:12" ht="16.350000000000001" customHeight="1">
      <c r="B29" s="231" t="s">
        <v>192</v>
      </c>
      <c r="C29" s="232">
        <v>44735</v>
      </c>
      <c r="D29" s="243">
        <v>44753</v>
      </c>
      <c r="E29" s="239">
        <v>0.164187</v>
      </c>
      <c r="F29" s="235">
        <v>159008856.93000001</v>
      </c>
      <c r="G29" s="236"/>
      <c r="H29" s="237"/>
    </row>
    <row r="30" spans="2:12" ht="16.350000000000001" customHeight="1">
      <c r="B30" s="231" t="s">
        <v>192</v>
      </c>
      <c r="C30" s="232">
        <v>44637</v>
      </c>
      <c r="D30" s="243">
        <v>44753</v>
      </c>
      <c r="E30" s="239">
        <v>0.144175</v>
      </c>
      <c r="F30" s="235">
        <v>141437529.34999999</v>
      </c>
      <c r="G30" s="236"/>
      <c r="H30" s="237"/>
    </row>
    <row r="31" spans="2:12" ht="16.350000000000001" customHeight="1">
      <c r="B31" s="226" t="s">
        <v>340</v>
      </c>
      <c r="C31" s="227"/>
      <c r="D31" s="227"/>
      <c r="E31" s="228">
        <f>SUM(E32:E35)</f>
        <v>0.42851299999999998</v>
      </c>
      <c r="F31" s="229">
        <f>SUM(F32:F35)</f>
        <v>387875283.51999998</v>
      </c>
      <c r="G31" s="244">
        <f>E31/23.84</f>
        <v>1.7974538590604026E-2</v>
      </c>
      <c r="H31" s="244">
        <f>F31/1000/'Income Statement'!DR60</f>
        <v>0.61263908617928298</v>
      </c>
      <c r="I31" s="245"/>
      <c r="J31" s="245"/>
    </row>
    <row r="32" spans="2:12" ht="16.350000000000001" customHeight="1">
      <c r="B32" s="231" t="s">
        <v>192</v>
      </c>
      <c r="C32" s="232">
        <v>44546</v>
      </c>
      <c r="D32" s="246">
        <v>44685</v>
      </c>
      <c r="E32" s="239">
        <v>0.12890099999999999</v>
      </c>
      <c r="F32" s="235">
        <v>127047474.64</v>
      </c>
      <c r="G32" s="247"/>
      <c r="H32" s="248"/>
      <c r="I32" s="249"/>
    </row>
    <row r="33" spans="2:9" ht="16.350000000000001" customHeight="1">
      <c r="B33" s="231" t="s">
        <v>192</v>
      </c>
      <c r="C33" s="232">
        <v>44455</v>
      </c>
      <c r="D33" s="246">
        <v>44685</v>
      </c>
      <c r="E33" s="239">
        <v>0.1278</v>
      </c>
      <c r="F33" s="235">
        <v>114471993.22</v>
      </c>
      <c r="G33" s="247"/>
      <c r="H33" s="248"/>
    </row>
    <row r="34" spans="2:9" ht="16.350000000000001" customHeight="1">
      <c r="B34" s="231" t="s">
        <v>192</v>
      </c>
      <c r="C34" s="232">
        <v>44364</v>
      </c>
      <c r="D34" s="246">
        <v>44685</v>
      </c>
      <c r="E34" s="239">
        <v>9.8313999999999999E-2</v>
      </c>
      <c r="F34" s="235">
        <v>88053542.959999993</v>
      </c>
      <c r="G34" s="247"/>
      <c r="H34" s="248"/>
      <c r="I34" s="238"/>
    </row>
    <row r="35" spans="2:9" s="250" customFormat="1" ht="16.350000000000001" customHeight="1">
      <c r="B35" s="231" t="s">
        <v>192</v>
      </c>
      <c r="C35" s="232">
        <v>44270</v>
      </c>
      <c r="D35" s="246">
        <v>44685</v>
      </c>
      <c r="E35" s="239">
        <v>7.3497999999999994E-2</v>
      </c>
      <c r="F35" s="235">
        <v>58302272.700000003</v>
      </c>
      <c r="G35" s="248"/>
      <c r="H35" s="248"/>
    </row>
    <row r="36" spans="2:9" ht="16.350000000000001" customHeight="1">
      <c r="B36" s="226" t="s">
        <v>283</v>
      </c>
      <c r="C36" s="251"/>
      <c r="D36" s="227"/>
      <c r="E36" s="228">
        <f>SUM(E37:E41)</f>
        <v>0.342779</v>
      </c>
      <c r="F36" s="229">
        <f>SUM(F37:F41)</f>
        <v>271707673.24000001</v>
      </c>
      <c r="G36" s="244">
        <v>8.0000000000000002E-3</v>
      </c>
      <c r="H36" s="244">
        <v>0.27800000000000002</v>
      </c>
    </row>
    <row r="37" spans="2:9" s="7" customFormat="1" ht="16.350000000000001" customHeight="1">
      <c r="B37" s="231" t="s">
        <v>193</v>
      </c>
      <c r="C37" s="232">
        <v>44315</v>
      </c>
      <c r="D37" s="246">
        <v>44323</v>
      </c>
      <c r="E37" s="239">
        <v>3.8940000000000002E-2</v>
      </c>
      <c r="F37" s="235">
        <v>30889473.220000029</v>
      </c>
      <c r="G37" s="252"/>
      <c r="H37" s="252"/>
    </row>
    <row r="38" spans="2:9" s="250" customFormat="1" ht="16.350000000000001" customHeight="1">
      <c r="B38" s="231" t="s">
        <v>192</v>
      </c>
      <c r="C38" s="232">
        <v>44180</v>
      </c>
      <c r="D38" s="246">
        <v>44323</v>
      </c>
      <c r="E38" s="239">
        <v>7.6260999999999995E-2</v>
      </c>
      <c r="F38" s="235">
        <v>60475851.909999996</v>
      </c>
      <c r="G38" s="248"/>
      <c r="H38" s="248"/>
    </row>
    <row r="39" spans="2:9" s="250" customFormat="1" ht="16.350000000000001" customHeight="1">
      <c r="B39" s="231" t="s">
        <v>192</v>
      </c>
      <c r="C39" s="232">
        <v>44091</v>
      </c>
      <c r="D39" s="246">
        <v>44323</v>
      </c>
      <c r="E39" s="239">
        <v>8.3344000000000001E-2</v>
      </c>
      <c r="F39" s="235">
        <v>66049229.049999997</v>
      </c>
      <c r="G39" s="248"/>
      <c r="H39" s="248"/>
    </row>
    <row r="40" spans="2:9" s="250" customFormat="1" ht="16.350000000000001" customHeight="1">
      <c r="B40" s="231" t="s">
        <v>192</v>
      </c>
      <c r="C40" s="232">
        <v>44000</v>
      </c>
      <c r="D40" s="246">
        <v>44323</v>
      </c>
      <c r="E40" s="239">
        <v>7.0596000000000006E-2</v>
      </c>
      <c r="F40" s="235">
        <v>55942450.189999998</v>
      </c>
      <c r="G40" s="248"/>
      <c r="H40" s="248"/>
    </row>
    <row r="41" spans="2:9" s="250" customFormat="1" ht="16.350000000000001" customHeight="1">
      <c r="B41" s="231" t="s">
        <v>192</v>
      </c>
      <c r="C41" s="232">
        <v>43906</v>
      </c>
      <c r="D41" s="246">
        <v>44323</v>
      </c>
      <c r="E41" s="239">
        <v>7.3637999999999995E-2</v>
      </c>
      <c r="F41" s="235">
        <v>58350668.869999997</v>
      </c>
      <c r="G41" s="248"/>
      <c r="H41" s="248"/>
    </row>
    <row r="42" spans="2:9" ht="16.350000000000001" customHeight="1">
      <c r="B42" s="226" t="s">
        <v>218</v>
      </c>
      <c r="C42" s="251"/>
      <c r="D42" s="227"/>
      <c r="E42" s="228">
        <f>SUM(E43:E47)</f>
        <v>0.34627000000000002</v>
      </c>
      <c r="F42" s="229">
        <f>SUM(F43:F47)</f>
        <v>267652894.46000001</v>
      </c>
      <c r="G42" s="244">
        <v>1.2E-2</v>
      </c>
      <c r="H42" s="244">
        <v>0.25</v>
      </c>
    </row>
    <row r="43" spans="2:9" s="7" customFormat="1" ht="16.350000000000001" customHeight="1">
      <c r="B43" s="231" t="s">
        <v>193</v>
      </c>
      <c r="C43" s="232">
        <v>43950</v>
      </c>
      <c r="D43" s="246">
        <v>43959</v>
      </c>
      <c r="E43" s="239">
        <v>1.9809E-2</v>
      </c>
      <c r="F43" s="235">
        <v>15697008.640000001</v>
      </c>
      <c r="G43" s="253"/>
      <c r="H43" s="253"/>
    </row>
    <row r="44" spans="2:9" s="250" customFormat="1" ht="16.350000000000001" customHeight="1">
      <c r="B44" s="231" t="s">
        <v>192</v>
      </c>
      <c r="C44" s="232">
        <v>43817</v>
      </c>
      <c r="D44" s="246">
        <v>43959</v>
      </c>
      <c r="E44" s="239">
        <v>7.7277999999999999E-2</v>
      </c>
      <c r="F44" s="235">
        <v>61337592.759999998</v>
      </c>
      <c r="G44" s="237"/>
      <c r="H44" s="237"/>
    </row>
    <row r="45" spans="2:9" ht="16.350000000000001" customHeight="1">
      <c r="B45" s="231" t="s">
        <v>192</v>
      </c>
      <c r="C45" s="232">
        <v>43727</v>
      </c>
      <c r="D45" s="246">
        <v>43959</v>
      </c>
      <c r="E45" s="239">
        <v>7.8588000000000005E-2</v>
      </c>
      <c r="F45" s="235">
        <v>62352997.280000001</v>
      </c>
      <c r="G45" s="253"/>
      <c r="H45" s="253"/>
    </row>
    <row r="46" spans="2:9" ht="16.350000000000001" customHeight="1">
      <c r="B46" s="231" t="s">
        <v>192</v>
      </c>
      <c r="C46" s="232">
        <v>43635</v>
      </c>
      <c r="D46" s="246">
        <v>43959</v>
      </c>
      <c r="E46" s="239">
        <v>7.7649999999999997E-2</v>
      </c>
      <c r="F46" s="235">
        <v>61497339.710000001</v>
      </c>
      <c r="G46" s="253"/>
      <c r="H46" s="253"/>
    </row>
    <row r="47" spans="2:9" s="7" customFormat="1" ht="16.350000000000001" customHeight="1">
      <c r="B47" s="231" t="s">
        <v>192</v>
      </c>
      <c r="C47" s="232">
        <v>43542</v>
      </c>
      <c r="D47" s="246">
        <v>43959</v>
      </c>
      <c r="E47" s="239">
        <v>9.2945E-2</v>
      </c>
      <c r="F47" s="235">
        <v>66767956.07</v>
      </c>
      <c r="G47" s="253"/>
      <c r="H47" s="253"/>
    </row>
    <row r="48" spans="2:9" ht="16.350000000000001" customHeight="1">
      <c r="B48" s="226" t="s">
        <v>208</v>
      </c>
      <c r="C48" s="251"/>
      <c r="D48" s="227"/>
      <c r="E48" s="228">
        <f>SUM(E49:E53)</f>
        <v>0.56953600000000004</v>
      </c>
      <c r="F48" s="229">
        <f>SUM(F49:F53)</f>
        <v>408053892.08000004</v>
      </c>
      <c r="G48" s="244">
        <f>+F48/(713235181*35.49)</f>
        <v>1.6120509661303229E-2</v>
      </c>
      <c r="H48" s="244">
        <v>0.4</v>
      </c>
    </row>
    <row r="49" spans="2:8" s="7" customFormat="1" ht="16.350000000000001" customHeight="1">
      <c r="B49" s="231" t="s">
        <v>193</v>
      </c>
      <c r="C49" s="232">
        <v>43573</v>
      </c>
      <c r="D49" s="246">
        <v>43584</v>
      </c>
      <c r="E49" s="239">
        <v>0.254</v>
      </c>
      <c r="F49" s="235">
        <v>182381338.40000001</v>
      </c>
      <c r="G49" s="253"/>
      <c r="H49" s="253"/>
    </row>
    <row r="50" spans="2:8" s="7" customFormat="1" ht="16.350000000000001" customHeight="1">
      <c r="B50" s="231" t="s">
        <v>192</v>
      </c>
      <c r="C50" s="232">
        <v>43453</v>
      </c>
      <c r="D50" s="246">
        <v>43584</v>
      </c>
      <c r="E50" s="239">
        <v>8.9644000000000001E-2</v>
      </c>
      <c r="F50" s="235">
        <v>64358932.5</v>
      </c>
      <c r="G50" s="253"/>
      <c r="H50" s="253"/>
    </row>
    <row r="51" spans="2:8" s="7" customFormat="1" ht="16.350000000000001" customHeight="1">
      <c r="B51" s="231" t="s">
        <v>192</v>
      </c>
      <c r="C51" s="232">
        <v>43362</v>
      </c>
      <c r="D51" s="246">
        <v>43584</v>
      </c>
      <c r="E51" s="239">
        <v>7.9685000000000006E-2</v>
      </c>
      <c r="F51" s="235">
        <v>57044940.509999998</v>
      </c>
      <c r="G51" s="253"/>
      <c r="H51" s="253"/>
    </row>
    <row r="52" spans="2:8" s="7" customFormat="1" ht="16.350000000000001" customHeight="1">
      <c r="B52" s="231" t="s">
        <v>192</v>
      </c>
      <c r="C52" s="232">
        <v>43270</v>
      </c>
      <c r="D52" s="246">
        <v>43584</v>
      </c>
      <c r="E52" s="239">
        <v>7.3243000000000003E-2</v>
      </c>
      <c r="F52" s="235">
        <v>52337623.979999997</v>
      </c>
      <c r="G52" s="253"/>
      <c r="H52" s="253"/>
    </row>
    <row r="53" spans="2:8" s="7" customFormat="1" ht="16.350000000000001" customHeight="1">
      <c r="B53" s="231" t="s">
        <v>192</v>
      </c>
      <c r="C53" s="232">
        <v>43174</v>
      </c>
      <c r="D53" s="246">
        <v>43584</v>
      </c>
      <c r="E53" s="239">
        <v>7.2964000000000001E-2</v>
      </c>
      <c r="F53" s="235">
        <v>51931056.689999998</v>
      </c>
      <c r="G53" s="253"/>
      <c r="H53" s="253"/>
    </row>
    <row r="54" spans="2:8" ht="16.350000000000001" customHeight="1">
      <c r="B54" s="226" t="s">
        <v>201</v>
      </c>
      <c r="C54" s="251"/>
      <c r="D54" s="227"/>
      <c r="E54" s="228">
        <f>SUM(E55:E59)</f>
        <v>0.41944100000000001</v>
      </c>
      <c r="F54" s="229">
        <f>SUM(F55:F59)</f>
        <v>293177565.31</v>
      </c>
      <c r="G54" s="244">
        <f>+F54/(713235181*35.49)</f>
        <v>1.1582224470317355E-2</v>
      </c>
      <c r="H54" s="244">
        <v>0.4</v>
      </c>
    </row>
    <row r="55" spans="2:8" s="7" customFormat="1" ht="16.350000000000001" customHeight="1">
      <c r="B55" s="231" t="s">
        <v>193</v>
      </c>
      <c r="C55" s="232">
        <v>43209</v>
      </c>
      <c r="D55" s="246">
        <v>43217</v>
      </c>
      <c r="E55" s="239">
        <v>0.13522999999999999</v>
      </c>
      <c r="F55" s="235">
        <v>96246807.959999993</v>
      </c>
      <c r="G55" s="253"/>
      <c r="H55" s="253"/>
    </row>
    <row r="56" spans="2:8" s="7" customFormat="1" ht="16.350000000000001" customHeight="1">
      <c r="B56" s="231" t="s">
        <v>192</v>
      </c>
      <c r="C56" s="232">
        <v>43083</v>
      </c>
      <c r="D56" s="246">
        <v>43217</v>
      </c>
      <c r="E56" s="239">
        <v>7.4300000000000005E-2</v>
      </c>
      <c r="F56" s="235">
        <v>52881935.090000004</v>
      </c>
      <c r="G56" s="253"/>
      <c r="H56" s="253"/>
    </row>
    <row r="57" spans="2:8" s="7" customFormat="1" ht="16.350000000000001" customHeight="1">
      <c r="B57" s="231" t="s">
        <v>192</v>
      </c>
      <c r="C57" s="232">
        <v>42997</v>
      </c>
      <c r="D57" s="246">
        <v>43217</v>
      </c>
      <c r="E57" s="239">
        <v>7.0407999999999998E-2</v>
      </c>
      <c r="F57" s="235">
        <v>50094316.43</v>
      </c>
      <c r="G57" s="253"/>
      <c r="H57" s="253"/>
    </row>
    <row r="58" spans="2:8" s="7" customFormat="1" ht="16.350000000000001" customHeight="1">
      <c r="B58" s="231" t="s">
        <v>192</v>
      </c>
      <c r="C58" s="232">
        <v>42906</v>
      </c>
      <c r="D58" s="246">
        <v>43217</v>
      </c>
      <c r="E58" s="239">
        <v>6.4742999999999995E-2</v>
      </c>
      <c r="F58" s="235">
        <v>45944600.100000001</v>
      </c>
      <c r="G58" s="253"/>
      <c r="H58" s="253"/>
    </row>
    <row r="59" spans="2:8" s="7" customFormat="1" ht="16.350000000000001" customHeight="1">
      <c r="B59" s="231" t="s">
        <v>192</v>
      </c>
      <c r="C59" s="232">
        <v>42810</v>
      </c>
      <c r="D59" s="246">
        <v>43217</v>
      </c>
      <c r="E59" s="239">
        <v>7.4759999999999993E-2</v>
      </c>
      <c r="F59" s="235">
        <v>48009905.729999997</v>
      </c>
      <c r="G59" s="253"/>
      <c r="H59" s="253"/>
    </row>
    <row r="60" spans="2:8" ht="16.350000000000001" customHeight="1">
      <c r="B60" s="226" t="s">
        <v>115</v>
      </c>
      <c r="C60" s="251"/>
      <c r="D60" s="227"/>
      <c r="E60" s="228">
        <f>SUM(E61:E65)</f>
        <v>0.38985599999999998</v>
      </c>
      <c r="F60" s="229">
        <f>SUM(F61:F65)</f>
        <v>250171713.79999998</v>
      </c>
      <c r="G60" s="244">
        <v>1.7000000000000001E-2</v>
      </c>
      <c r="H60" s="244">
        <v>0.4</v>
      </c>
    </row>
    <row r="61" spans="2:8" ht="16.350000000000001" customHeight="1">
      <c r="B61" s="231" t="s">
        <v>193</v>
      </c>
      <c r="C61" s="232">
        <v>42844</v>
      </c>
      <c r="D61" s="246">
        <v>42853</v>
      </c>
      <c r="E61" s="239">
        <v>0.119616</v>
      </c>
      <c r="F61" s="235">
        <v>76815852.889999986</v>
      </c>
      <c r="G61" s="253"/>
      <c r="H61" s="253"/>
    </row>
    <row r="62" spans="2:8" ht="16.350000000000001" customHeight="1">
      <c r="B62" s="231" t="s">
        <v>192</v>
      </c>
      <c r="C62" s="232">
        <v>42625</v>
      </c>
      <c r="D62" s="246">
        <v>42853</v>
      </c>
      <c r="E62" s="239">
        <v>7.2599999999999998E-2</v>
      </c>
      <c r="F62" s="235">
        <v>46649171.75</v>
      </c>
      <c r="G62" s="254"/>
      <c r="H62" s="254"/>
    </row>
    <row r="63" spans="2:8" ht="16.350000000000001" customHeight="1">
      <c r="B63" s="231" t="s">
        <v>192</v>
      </c>
      <c r="C63" s="232">
        <v>42634</v>
      </c>
      <c r="D63" s="246">
        <v>42853</v>
      </c>
      <c r="E63" s="239">
        <v>6.9809999999999997E-2</v>
      </c>
      <c r="F63" s="235">
        <v>44835704.619999997</v>
      </c>
      <c r="G63" s="254"/>
      <c r="H63" s="254"/>
    </row>
    <row r="64" spans="2:8" ht="16.350000000000001" customHeight="1">
      <c r="B64" s="231" t="s">
        <v>192</v>
      </c>
      <c r="C64" s="232">
        <v>42543</v>
      </c>
      <c r="D64" s="246">
        <v>42853</v>
      </c>
      <c r="E64" s="239">
        <v>6.4180000000000001E-2</v>
      </c>
      <c r="F64" s="235">
        <v>41170544.200000003</v>
      </c>
      <c r="G64" s="254"/>
      <c r="H64" s="254"/>
    </row>
    <row r="65" spans="2:8" s="7" customFormat="1" ht="16.350000000000001" customHeight="1">
      <c r="B65" s="231" t="s">
        <v>192</v>
      </c>
      <c r="C65" s="232">
        <v>42444</v>
      </c>
      <c r="D65" s="246">
        <v>42853</v>
      </c>
      <c r="E65" s="239">
        <v>6.3649999999999998E-2</v>
      </c>
      <c r="F65" s="235">
        <v>40700440.340000004</v>
      </c>
      <c r="G65" s="253"/>
      <c r="H65" s="253"/>
    </row>
    <row r="66" spans="2:8" ht="16.350000000000001" customHeight="1">
      <c r="B66" s="226" t="s">
        <v>104</v>
      </c>
      <c r="C66" s="251"/>
      <c r="D66" s="227"/>
      <c r="E66" s="228" t="s">
        <v>175</v>
      </c>
      <c r="F66" s="229">
        <f>SUM(F67:F71)</f>
        <v>231906846.10999998</v>
      </c>
      <c r="G66" s="244">
        <v>2.1000000000000001E-2</v>
      </c>
      <c r="H66" s="244">
        <v>0.4</v>
      </c>
    </row>
    <row r="67" spans="2:8" ht="16.350000000000001" customHeight="1">
      <c r="B67" s="231" t="s">
        <v>193</v>
      </c>
      <c r="C67" s="232">
        <v>42480</v>
      </c>
      <c r="D67" s="246">
        <v>42489</v>
      </c>
      <c r="E67" s="239">
        <v>0.18601257910567479</v>
      </c>
      <c r="F67" s="235">
        <f>118944129.98</f>
        <v>118944129.98</v>
      </c>
      <c r="G67" s="253"/>
      <c r="H67" s="253"/>
    </row>
    <row r="68" spans="2:8" ht="16.350000000000001" customHeight="1">
      <c r="B68" s="231" t="s">
        <v>192</v>
      </c>
      <c r="C68" s="232">
        <v>42355</v>
      </c>
      <c r="D68" s="246">
        <v>42489</v>
      </c>
      <c r="E68" s="239">
        <v>5.0999999999999997E-2</v>
      </c>
      <c r="F68" s="235">
        <v>32664825.469999999</v>
      </c>
      <c r="G68" s="254"/>
      <c r="H68" s="254"/>
    </row>
    <row r="69" spans="2:8" ht="16.350000000000001" customHeight="1">
      <c r="B69" s="231" t="s">
        <v>192</v>
      </c>
      <c r="C69" s="232">
        <v>42270</v>
      </c>
      <c r="D69" s="246">
        <v>42489</v>
      </c>
      <c r="E69" s="239">
        <v>0.23330000000000001</v>
      </c>
      <c r="F69" s="235">
        <v>29833252.66</v>
      </c>
      <c r="G69" s="254"/>
      <c r="H69" s="254"/>
    </row>
    <row r="70" spans="2:8" ht="16.350000000000001" customHeight="1">
      <c r="B70" s="231" t="s">
        <v>192</v>
      </c>
      <c r="C70" s="232">
        <v>42173</v>
      </c>
      <c r="D70" s="246">
        <v>42489</v>
      </c>
      <c r="E70" s="239">
        <v>0.20860000000000001</v>
      </c>
      <c r="F70" s="235">
        <v>26667333.260000002</v>
      </c>
      <c r="G70" s="254"/>
      <c r="H70" s="254"/>
    </row>
    <row r="71" spans="2:8" ht="16.350000000000001" customHeight="1">
      <c r="B71" s="231" t="s">
        <v>192</v>
      </c>
      <c r="C71" s="232">
        <v>42081</v>
      </c>
      <c r="D71" s="246">
        <v>42489</v>
      </c>
      <c r="E71" s="239">
        <v>0.18679999999999999</v>
      </c>
      <c r="F71" s="235">
        <v>23797304.739999998</v>
      </c>
      <c r="G71" s="253"/>
      <c r="H71" s="253"/>
    </row>
    <row r="72" spans="2:8" ht="16.350000000000001" customHeight="1">
      <c r="B72" s="226" t="s">
        <v>90</v>
      </c>
      <c r="C72" s="251"/>
      <c r="D72" s="227"/>
      <c r="E72" s="228">
        <f>SUM(E73:E77)</f>
        <v>1.48594</v>
      </c>
      <c r="F72" s="229">
        <f>SUM(F73:F77)</f>
        <v>188721268.97999999</v>
      </c>
      <c r="G72" s="244">
        <v>1.9E-2</v>
      </c>
      <c r="H72" s="244">
        <v>0.4</v>
      </c>
    </row>
    <row r="73" spans="2:8" ht="16.350000000000001" customHeight="1">
      <c r="B73" s="231" t="s">
        <v>193</v>
      </c>
      <c r="C73" s="232">
        <v>42110</v>
      </c>
      <c r="D73" s="246">
        <v>42118</v>
      </c>
      <c r="E73" s="239">
        <v>0.91574</v>
      </c>
      <c r="F73" s="235">
        <v>116660456.45</v>
      </c>
      <c r="G73" s="253"/>
      <c r="H73" s="253"/>
    </row>
    <row r="74" spans="2:8" ht="16.350000000000001" customHeight="1">
      <c r="B74" s="231" t="s">
        <v>192</v>
      </c>
      <c r="C74" s="232">
        <v>41990</v>
      </c>
      <c r="D74" s="246">
        <v>42118</v>
      </c>
      <c r="E74" s="239">
        <v>0.14630000000000001</v>
      </c>
      <c r="F74" s="235">
        <v>18637824.859999999</v>
      </c>
      <c r="G74" s="253"/>
      <c r="H74" s="253"/>
    </row>
    <row r="75" spans="2:8" ht="16.350000000000001" customHeight="1">
      <c r="B75" s="231" t="s">
        <v>192</v>
      </c>
      <c r="C75" s="232">
        <v>41899</v>
      </c>
      <c r="D75" s="246">
        <v>42118</v>
      </c>
      <c r="E75" s="239">
        <v>0.14480000000000001</v>
      </c>
      <c r="F75" s="235">
        <v>18267452.510000002</v>
      </c>
      <c r="G75" s="253"/>
      <c r="H75" s="253"/>
    </row>
    <row r="76" spans="2:8" ht="16.350000000000001" customHeight="1">
      <c r="B76" s="231" t="s">
        <v>192</v>
      </c>
      <c r="C76" s="232">
        <v>41807</v>
      </c>
      <c r="D76" s="246">
        <v>42118</v>
      </c>
      <c r="E76" s="239">
        <v>0.14119999999999999</v>
      </c>
      <c r="F76" s="235">
        <v>17794633.280000001</v>
      </c>
      <c r="G76" s="253"/>
      <c r="H76" s="253"/>
    </row>
    <row r="77" spans="2:8" ht="16.350000000000001" customHeight="1">
      <c r="B77" s="231" t="s">
        <v>192</v>
      </c>
      <c r="C77" s="232">
        <v>41716</v>
      </c>
      <c r="D77" s="246">
        <v>42118</v>
      </c>
      <c r="E77" s="239">
        <v>0.13789999999999999</v>
      </c>
      <c r="F77" s="235">
        <v>17360901.879999999</v>
      </c>
      <c r="G77" s="253"/>
      <c r="H77" s="253"/>
    </row>
    <row r="78" spans="2:8" ht="16.350000000000001" customHeight="1">
      <c r="B78" s="226" t="s">
        <v>88</v>
      </c>
      <c r="C78" s="251"/>
      <c r="D78" s="227"/>
      <c r="E78" s="228">
        <f>SUM(E79:E83)</f>
        <v>1.2993700000000001</v>
      </c>
      <c r="F78" s="229">
        <f>SUM(F79:F83)</f>
        <v>163181155.51000002</v>
      </c>
      <c r="G78" s="244">
        <v>2.1000000000000001E-2</v>
      </c>
      <c r="H78" s="244">
        <v>0.4</v>
      </c>
    </row>
    <row r="79" spans="2:8" ht="16.350000000000001" customHeight="1">
      <c r="B79" s="231" t="s">
        <v>193</v>
      </c>
      <c r="C79" s="232">
        <v>41746</v>
      </c>
      <c r="D79" s="246">
        <v>41757</v>
      </c>
      <c r="E79" s="239">
        <v>0.83628000000000002</v>
      </c>
      <c r="F79" s="235">
        <v>105283357.7</v>
      </c>
      <c r="G79" s="253"/>
      <c r="H79" s="253"/>
    </row>
    <row r="80" spans="2:8" ht="16.350000000000001" customHeight="1">
      <c r="B80" s="231" t="s">
        <v>192</v>
      </c>
      <c r="C80" s="232">
        <v>41626</v>
      </c>
      <c r="D80" s="246">
        <v>41757</v>
      </c>
      <c r="E80" s="239">
        <v>0.11949</v>
      </c>
      <c r="F80" s="235">
        <v>15043177.42</v>
      </c>
      <c r="G80" s="253"/>
      <c r="H80" s="253"/>
    </row>
    <row r="81" spans="2:8" ht="16.350000000000001" customHeight="1">
      <c r="B81" s="231" t="s">
        <v>192</v>
      </c>
      <c r="C81" s="232">
        <v>41535</v>
      </c>
      <c r="D81" s="246">
        <v>41757</v>
      </c>
      <c r="E81" s="239">
        <v>0.1181</v>
      </c>
      <c r="F81" s="235">
        <v>14759537.460000001</v>
      </c>
      <c r="G81" s="253"/>
      <c r="H81" s="253"/>
    </row>
    <row r="82" spans="2:8" ht="16.350000000000001" customHeight="1">
      <c r="B82" s="231" t="s">
        <v>192</v>
      </c>
      <c r="C82" s="232">
        <v>41444</v>
      </c>
      <c r="D82" s="246">
        <v>41757</v>
      </c>
      <c r="E82" s="239">
        <v>0.1143</v>
      </c>
      <c r="F82" s="235">
        <v>14284632.779999999</v>
      </c>
      <c r="G82" s="253"/>
      <c r="H82" s="253"/>
    </row>
    <row r="83" spans="2:8" ht="16.350000000000001" customHeight="1">
      <c r="B83" s="231" t="s">
        <v>192</v>
      </c>
      <c r="C83" s="232">
        <v>41348</v>
      </c>
      <c r="D83" s="246">
        <v>41757</v>
      </c>
      <c r="E83" s="239">
        <v>0.11119999999999999</v>
      </c>
      <c r="F83" s="235">
        <v>13810450.15</v>
      </c>
      <c r="G83" s="253"/>
      <c r="H83" s="253"/>
    </row>
    <row r="84" spans="2:8" ht="16.350000000000001" customHeight="1">
      <c r="B84" s="226" t="s">
        <v>86</v>
      </c>
      <c r="C84" s="251"/>
      <c r="D84" s="227"/>
      <c r="E84" s="228">
        <f>SUM(E85:E89)</f>
        <v>2.1503000000000001</v>
      </c>
      <c r="F84" s="229">
        <f>SUM(F85:F89)</f>
        <v>266550548.16999999</v>
      </c>
      <c r="G84" s="244">
        <v>2.7E-2</v>
      </c>
      <c r="H84" s="244">
        <v>0.75</v>
      </c>
    </row>
    <row r="85" spans="2:8" ht="16.350000000000001" customHeight="1">
      <c r="B85" s="231" t="s">
        <v>193</v>
      </c>
      <c r="C85" s="232">
        <v>41382</v>
      </c>
      <c r="D85" s="246">
        <v>41390</v>
      </c>
      <c r="E85" s="239">
        <v>1.4911000000000001</v>
      </c>
      <c r="F85" s="235">
        <v>185150283.69999999</v>
      </c>
      <c r="G85" s="253"/>
      <c r="H85" s="253"/>
    </row>
    <row r="86" spans="2:8" ht="16.350000000000001" customHeight="1">
      <c r="B86" s="231" t="s">
        <v>192</v>
      </c>
      <c r="C86" s="232">
        <v>41262</v>
      </c>
      <c r="D86" s="246">
        <v>41390</v>
      </c>
      <c r="E86" s="239">
        <v>0.1643</v>
      </c>
      <c r="F86" s="235">
        <v>20401141.68</v>
      </c>
      <c r="G86" s="253"/>
      <c r="H86" s="253"/>
    </row>
    <row r="87" spans="2:8" ht="16.350000000000001" customHeight="1">
      <c r="B87" s="231" t="s">
        <v>192</v>
      </c>
      <c r="C87" s="232">
        <v>41171</v>
      </c>
      <c r="D87" s="246">
        <v>41390</v>
      </c>
      <c r="E87" s="239">
        <v>0.16209999999999999</v>
      </c>
      <c r="F87" s="235">
        <v>20023939.859999999</v>
      </c>
      <c r="G87" s="253"/>
      <c r="H87" s="253"/>
    </row>
    <row r="88" spans="2:8" ht="16.350000000000001" customHeight="1">
      <c r="B88" s="231" t="s">
        <v>192</v>
      </c>
      <c r="C88" s="232">
        <v>41079</v>
      </c>
      <c r="D88" s="246">
        <v>41390</v>
      </c>
      <c r="E88" s="239">
        <v>0.16750000000000001</v>
      </c>
      <c r="F88" s="235">
        <v>20672860.890000001</v>
      </c>
      <c r="G88" s="253"/>
      <c r="H88" s="253"/>
    </row>
    <row r="89" spans="2:8" ht="16.350000000000001" customHeight="1">
      <c r="B89" s="231" t="s">
        <v>192</v>
      </c>
      <c r="C89" s="232">
        <v>40982</v>
      </c>
      <c r="D89" s="246">
        <v>41390</v>
      </c>
      <c r="E89" s="239">
        <v>0.1653</v>
      </c>
      <c r="F89" s="235">
        <v>20302322.039999999</v>
      </c>
      <c r="G89" s="253"/>
      <c r="H89" s="253"/>
    </row>
    <row r="90" spans="2:8" ht="16.350000000000001" customHeight="1">
      <c r="B90" s="226" t="s">
        <v>78</v>
      </c>
      <c r="C90" s="251"/>
      <c r="D90" s="227"/>
      <c r="E90" s="228">
        <f>SUM(E91:E95)</f>
        <v>2.058589</v>
      </c>
      <c r="F90" s="229">
        <f>SUM(F91:F95)</f>
        <v>252680365.07500002</v>
      </c>
      <c r="G90" s="244">
        <v>4.2999999999999997E-2</v>
      </c>
      <c r="H90" s="244">
        <v>0.75</v>
      </c>
    </row>
    <row r="91" spans="2:8" ht="16.350000000000001" customHeight="1">
      <c r="B91" s="231" t="s">
        <v>193</v>
      </c>
      <c r="C91" s="232">
        <v>41019</v>
      </c>
      <c r="D91" s="246">
        <v>41026</v>
      </c>
      <c r="E91" s="239">
        <v>1.4348890000000001</v>
      </c>
      <c r="F91" s="235">
        <v>176234597.31</v>
      </c>
      <c r="G91" s="253"/>
      <c r="H91" s="253"/>
    </row>
    <row r="92" spans="2:8" s="255" customFormat="1" ht="16.350000000000001" customHeight="1">
      <c r="B92" s="231" t="s">
        <v>192</v>
      </c>
      <c r="C92" s="232">
        <v>40896</v>
      </c>
      <c r="D92" s="246">
        <v>41026</v>
      </c>
      <c r="E92" s="239">
        <v>0.16020000000000001</v>
      </c>
      <c r="F92" s="235">
        <v>19675934.609999999</v>
      </c>
      <c r="G92" s="253"/>
      <c r="H92" s="253"/>
    </row>
    <row r="93" spans="2:8" s="255" customFormat="1" ht="16.350000000000001" customHeight="1">
      <c r="B93" s="231" t="s">
        <v>192</v>
      </c>
      <c r="C93" s="232">
        <v>40809</v>
      </c>
      <c r="D93" s="246">
        <v>41026</v>
      </c>
      <c r="E93" s="239">
        <v>0.15809999999999999</v>
      </c>
      <c r="F93" s="235">
        <v>19375362.899999999</v>
      </c>
      <c r="G93" s="253"/>
      <c r="H93" s="253"/>
    </row>
    <row r="94" spans="2:8" s="256" customFormat="1" ht="16.350000000000001" customHeight="1">
      <c r="B94" s="231" t="s">
        <v>192</v>
      </c>
      <c r="C94" s="232">
        <v>40720</v>
      </c>
      <c r="D94" s="246">
        <v>41026</v>
      </c>
      <c r="E94" s="239">
        <v>0.15440000000000001</v>
      </c>
      <c r="F94" s="235">
        <v>18919761.440000001</v>
      </c>
      <c r="G94" s="253" t="s">
        <v>53</v>
      </c>
      <c r="H94" s="253" t="s">
        <v>53</v>
      </c>
    </row>
    <row r="95" spans="2:8" s="179" customFormat="1" ht="16.350000000000001" customHeight="1">
      <c r="B95" s="231" t="s">
        <v>192</v>
      </c>
      <c r="C95" s="232">
        <v>40616</v>
      </c>
      <c r="D95" s="246">
        <v>41026</v>
      </c>
      <c r="E95" s="239">
        <v>0.151</v>
      </c>
      <c r="F95" s="235">
        <f>E95*122349065</f>
        <v>18474708.814999998</v>
      </c>
      <c r="G95" s="253"/>
      <c r="H95" s="253"/>
    </row>
    <row r="96" spans="2:8" ht="16.350000000000001" customHeight="1">
      <c r="B96" s="226" t="s">
        <v>46</v>
      </c>
      <c r="C96" s="251"/>
      <c r="D96" s="227"/>
      <c r="E96" s="228">
        <f>SUM(E97:E98)</f>
        <v>1.8881999999999999</v>
      </c>
      <c r="F96" s="229">
        <f>SUM(F97:F98)</f>
        <v>231019504.53299999</v>
      </c>
      <c r="G96" s="244">
        <v>3.3000000000000002E-2</v>
      </c>
      <c r="H96" s="244">
        <v>0.75</v>
      </c>
    </row>
    <row r="97" spans="2:10" ht="16.350000000000001" customHeight="1">
      <c r="B97" s="231" t="s">
        <v>193</v>
      </c>
      <c r="C97" s="232">
        <v>40644</v>
      </c>
      <c r="D97" s="246">
        <v>40653</v>
      </c>
      <c r="E97" s="239">
        <v>1.3142</v>
      </c>
      <c r="F97" s="235">
        <f>E97*122349065</f>
        <v>160791141.22299999</v>
      </c>
      <c r="G97" s="253"/>
      <c r="H97" s="253"/>
    </row>
    <row r="98" spans="2:10" s="179" customFormat="1" ht="16.350000000000001" customHeight="1">
      <c r="B98" s="231" t="s">
        <v>192</v>
      </c>
      <c r="C98" s="232">
        <v>40528</v>
      </c>
      <c r="D98" s="246">
        <v>40653</v>
      </c>
      <c r="E98" s="239">
        <v>0.57399999999999995</v>
      </c>
      <c r="F98" s="235">
        <v>70228363.310000002</v>
      </c>
      <c r="G98" s="253"/>
      <c r="H98" s="253"/>
    </row>
    <row r="99" spans="2:10" ht="16.350000000000001" customHeight="1">
      <c r="B99" s="226" t="s">
        <v>47</v>
      </c>
      <c r="C99" s="251"/>
      <c r="D99" s="227"/>
      <c r="E99" s="228">
        <f>SUM(E100:E101)</f>
        <v>1.1668000000000001</v>
      </c>
      <c r="F99" s="229">
        <f>SUM(F100:F101)</f>
        <v>142191419.30000001</v>
      </c>
      <c r="G99" s="244">
        <v>0.03</v>
      </c>
      <c r="H99" s="244">
        <v>0.75</v>
      </c>
    </row>
    <row r="100" spans="2:10" ht="16.350000000000001" customHeight="1">
      <c r="B100" s="231" t="s">
        <v>193</v>
      </c>
      <c r="C100" s="232">
        <v>40290</v>
      </c>
      <c r="D100" s="246">
        <v>40298</v>
      </c>
      <c r="E100" s="239">
        <v>0.80010000000000003</v>
      </c>
      <c r="F100" s="235">
        <v>97504783.409999996</v>
      </c>
      <c r="G100" s="253"/>
      <c r="H100" s="253"/>
    </row>
    <row r="101" spans="2:10" ht="16.350000000000001" customHeight="1">
      <c r="B101" s="231" t="s">
        <v>192</v>
      </c>
      <c r="C101" s="232">
        <v>40164</v>
      </c>
      <c r="D101" s="246">
        <v>40298</v>
      </c>
      <c r="E101" s="239">
        <v>0.36670000000000003</v>
      </c>
      <c r="F101" s="235">
        <v>44686635.890000001</v>
      </c>
      <c r="G101" s="253"/>
      <c r="H101" s="253"/>
    </row>
    <row r="102" spans="2:10" ht="16.350000000000001" customHeight="1">
      <c r="B102" s="226" t="s">
        <v>48</v>
      </c>
      <c r="C102" s="251"/>
      <c r="D102" s="227"/>
      <c r="E102" s="228">
        <f>SUM(E103:E104)</f>
        <v>0.3705</v>
      </c>
      <c r="F102" s="229">
        <f>SUM(F103:F104)</f>
        <v>45051434.700000003</v>
      </c>
      <c r="G102" s="244">
        <v>2.4E-2</v>
      </c>
      <c r="H102" s="244">
        <v>0.25</v>
      </c>
    </row>
    <row r="103" spans="2:10" ht="16.350000000000001" customHeight="1">
      <c r="B103" s="231" t="s">
        <v>193</v>
      </c>
      <c r="C103" s="232">
        <v>39918</v>
      </c>
      <c r="D103" s="246">
        <v>39927</v>
      </c>
      <c r="E103" s="239">
        <v>7.0900000000000005E-2</v>
      </c>
      <c r="F103" s="235">
        <v>8621178.7300000004</v>
      </c>
      <c r="G103" s="253"/>
      <c r="H103" s="253"/>
    </row>
    <row r="104" spans="2:10" ht="16.350000000000001" customHeight="1">
      <c r="B104" s="231" t="s">
        <v>192</v>
      </c>
      <c r="C104" s="232">
        <v>39798</v>
      </c>
      <c r="D104" s="246">
        <v>39927</v>
      </c>
      <c r="E104" s="239">
        <v>0.29959999999999998</v>
      </c>
      <c r="F104" s="235">
        <v>36430255.969999999</v>
      </c>
      <c r="G104" s="253"/>
      <c r="H104" s="253"/>
    </row>
    <row r="105" spans="2:10" ht="16.350000000000001" customHeight="1">
      <c r="B105" s="226" t="s">
        <v>49</v>
      </c>
      <c r="C105" s="251"/>
      <c r="D105" s="227"/>
      <c r="E105" s="228">
        <f>SUM(E106:E107)</f>
        <v>0.96150000000000002</v>
      </c>
      <c r="F105" s="229">
        <f>SUM(F106:F107)</f>
        <v>116900915.12</v>
      </c>
      <c r="G105" s="244">
        <v>2.6708333333333334E-2</v>
      </c>
      <c r="H105" s="244">
        <v>0.75</v>
      </c>
    </row>
    <row r="106" spans="2:10" ht="16.350000000000001" customHeight="1">
      <c r="B106" s="231" t="s">
        <v>193</v>
      </c>
      <c r="C106" s="232">
        <v>39538</v>
      </c>
      <c r="D106" s="246">
        <v>39548</v>
      </c>
      <c r="E106" s="239">
        <v>0.67630000000000001</v>
      </c>
      <c r="F106" s="235">
        <v>82225781.480000004</v>
      </c>
      <c r="G106" s="253"/>
      <c r="H106" s="253"/>
    </row>
    <row r="107" spans="2:10" ht="16.350000000000001" customHeight="1">
      <c r="B107" s="231" t="s">
        <v>192</v>
      </c>
      <c r="C107" s="232">
        <v>39443</v>
      </c>
      <c r="D107" s="246">
        <v>39455</v>
      </c>
      <c r="E107" s="239">
        <v>0.28520000000000001</v>
      </c>
      <c r="F107" s="235">
        <v>34675133.640000001</v>
      </c>
      <c r="G107" s="253"/>
      <c r="H107" s="253"/>
    </row>
    <row r="108" spans="2:10" ht="16.350000000000001" customHeight="1">
      <c r="B108" s="226" t="s">
        <v>50</v>
      </c>
      <c r="C108" s="251"/>
      <c r="D108" s="227"/>
      <c r="E108" s="228">
        <f>SUM(E109:E111)</f>
        <v>1.3254569999999999</v>
      </c>
      <c r="F108" s="229">
        <f>SUM(F109:F111)</f>
        <v>74116353.530000001</v>
      </c>
      <c r="G108" s="244">
        <v>0.02</v>
      </c>
      <c r="H108" s="244">
        <v>0.75</v>
      </c>
    </row>
    <row r="109" spans="2:10" ht="16.350000000000001" customHeight="1">
      <c r="B109" s="231" t="s">
        <v>193</v>
      </c>
      <c r="C109" s="232">
        <v>39174</v>
      </c>
      <c r="D109" s="246">
        <v>39185</v>
      </c>
      <c r="E109" s="239">
        <v>0.274557</v>
      </c>
      <c r="F109" s="235">
        <v>33381167.91</v>
      </c>
      <c r="G109" s="253"/>
      <c r="H109" s="253"/>
    </row>
    <row r="110" spans="2:10" ht="16.350000000000001" customHeight="1">
      <c r="B110" s="231" t="s">
        <v>192</v>
      </c>
      <c r="C110" s="232">
        <v>39078</v>
      </c>
      <c r="D110" s="246">
        <v>39090</v>
      </c>
      <c r="E110" s="239">
        <v>0.15629999999999999</v>
      </c>
      <c r="F110" s="235">
        <v>19003237.68</v>
      </c>
      <c r="G110" s="253"/>
      <c r="H110" s="253"/>
    </row>
    <row r="111" spans="2:10" ht="16.350000000000001" customHeight="1">
      <c r="B111" s="231" t="s">
        <v>192</v>
      </c>
      <c r="C111" s="232">
        <v>38925</v>
      </c>
      <c r="D111" s="246">
        <v>39302</v>
      </c>
      <c r="E111" s="239">
        <v>0.89459999999999995</v>
      </c>
      <c r="F111" s="235">
        <v>21731947.940000001</v>
      </c>
      <c r="G111" s="253"/>
      <c r="H111" s="253"/>
    </row>
    <row r="112" spans="2:10" ht="16.350000000000001" customHeight="1">
      <c r="B112" s="226" t="s">
        <v>51</v>
      </c>
      <c r="C112" s="251"/>
      <c r="D112" s="227"/>
      <c r="E112" s="228">
        <f>SUM(E113:E115)</f>
        <v>1.5408303999999999</v>
      </c>
      <c r="F112" s="229">
        <f>SUM(F113:F115)</f>
        <v>65690241.991175994</v>
      </c>
      <c r="G112" s="244">
        <v>3.5999999999999997E-2</v>
      </c>
      <c r="H112" s="244">
        <v>0.82</v>
      </c>
      <c r="I112" s="176"/>
      <c r="J112" s="83"/>
    </row>
    <row r="113" spans="2:8" ht="16.350000000000001" customHeight="1">
      <c r="B113" s="231" t="s">
        <v>193</v>
      </c>
      <c r="C113" s="232">
        <v>38797</v>
      </c>
      <c r="D113" s="246">
        <v>38898</v>
      </c>
      <c r="E113" s="239">
        <f>1.454152/5</f>
        <v>0.29083039999999999</v>
      </c>
      <c r="F113" s="235">
        <v>35324788.241175994</v>
      </c>
      <c r="G113" s="253"/>
      <c r="H113" s="253"/>
    </row>
    <row r="114" spans="2:8" ht="16.350000000000001" customHeight="1">
      <c r="B114" s="231" t="s">
        <v>192</v>
      </c>
      <c r="C114" s="232">
        <v>38714</v>
      </c>
      <c r="D114" s="246">
        <v>38726</v>
      </c>
      <c r="E114" s="239">
        <v>0.33</v>
      </c>
      <c r="F114" s="235">
        <v>8016479.79</v>
      </c>
      <c r="G114" s="252"/>
      <c r="H114" s="252"/>
    </row>
    <row r="115" spans="2:8" ht="16.350000000000001" customHeight="1">
      <c r="B115" s="257" t="s">
        <v>192</v>
      </c>
      <c r="C115" s="258">
        <v>38672</v>
      </c>
      <c r="D115" s="259">
        <v>38684</v>
      </c>
      <c r="E115" s="260">
        <v>0.92</v>
      </c>
      <c r="F115" s="261">
        <v>22348973.960000001</v>
      </c>
      <c r="G115" s="262"/>
      <c r="H115" s="262"/>
    </row>
  </sheetData>
  <customSheetViews>
    <customSheetView guid="{E88E1926-5DA8-417A-8DB1-2CA24C2C419E}" scale="80" fitToPage="1">
      <pane ySplit="7" topLeftCell="A77" activePane="bottomLeft" state="frozen"/>
      <selection pane="bottomLeft" sqref="A1:B1"/>
      <rowBreaks count="1" manualBreakCount="1">
        <brk id="68" min="1" max="7" man="1"/>
      </rowBreaks>
      <pageMargins left="0.25" right="0.25" top="0.75" bottom="0.75" header="0.3" footer="0.3"/>
      <printOptions horizontalCentered="1"/>
      <pageSetup paperSize="9" scale="10" orientation="portrait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80" fitToPage="1">
      <pane ySplit="7" topLeftCell="A8" activePane="bottomLeft" state="frozen"/>
      <selection pane="bottomLeft" activeCell="B8" sqref="B8"/>
      <rowBreaks count="1" manualBreakCount="1">
        <brk id="71" min="1" max="7" man="1"/>
      </rowBreaks>
      <pageMargins left="0.25" right="0.25" top="0.75" bottom="0.75" header="0.3" footer="0.3"/>
      <printOptions horizontalCentered="1"/>
      <pageSetup paperSize="9" scale="10" orientation="portrait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cale="80" fitToPage="1">
      <pane ySplit="7" topLeftCell="A8" activePane="bottomLeft" state="frozen"/>
      <selection pane="bottomLeft" activeCell="K11" sqref="K11"/>
      <rowBreaks count="1" manualBreakCount="1">
        <brk id="70" min="1" max="7" man="1"/>
      </rowBreaks>
      <pageMargins left="0.25" right="0.25" top="0.75" bottom="0.75" header="0.3" footer="0.3"/>
      <printOptions horizontalCentered="1"/>
      <pageSetup paperSize="9" scale="10" orientation="portrait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mergeCells count="3">
    <mergeCell ref="F7:F8"/>
    <mergeCell ref="G7:G8"/>
    <mergeCell ref="H7:H8"/>
  </mergeCells>
  <phoneticPr fontId="29" type="noConversion"/>
  <printOptions horizontalCentered="1"/>
  <pageMargins left="0.25" right="0.25" top="0.75" bottom="0.75" header="0.3" footer="0.3"/>
  <pageSetup paperSize="9" scale="50" orientation="portrait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rowBreaks count="1" manualBreakCount="1">
    <brk id="92" min="1" max="7" man="1"/>
  </rowBreaks>
  <drawing r:id="rId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ilha5">
    <tabColor theme="2" tint="-9.9978637043366805E-2"/>
    <outlinePr summaryBelow="0"/>
    <pageSetUpPr fitToPage="1"/>
  </sheetPr>
  <dimension ref="A3:CD71"/>
  <sheetViews>
    <sheetView showGridLines="0" zoomScaleNormal="100" workbookViewId="0">
      <pane xSplit="3" ySplit="5" topLeftCell="BP6" activePane="bottomRight" state="frozen"/>
      <selection activeCell="CI6" sqref="CI6"/>
      <selection pane="topRight" activeCell="CI6" sqref="CI6"/>
      <selection pane="bottomLeft" activeCell="CI6" sqref="CI6"/>
      <selection pane="bottomRight" activeCell="A6" sqref="A6"/>
    </sheetView>
  </sheetViews>
  <sheetFormatPr defaultColWidth="9.42578125" defaultRowHeight="16.350000000000001" customHeight="1" outlineLevelCol="1"/>
  <cols>
    <col min="1" max="1" width="3.5703125" customWidth="1"/>
    <col min="2" max="2" width="37.5703125" customWidth="1"/>
    <col min="3" max="3" width="47.42578125" bestFit="1" customWidth="1"/>
    <col min="4" max="4" width="12.5703125" customWidth="1" collapsed="1"/>
    <col min="5" max="7" width="12.5703125" hidden="1" customWidth="1" outlineLevel="1"/>
    <col min="8" max="8" width="12.5703125" customWidth="1" collapsed="1"/>
    <col min="9" max="11" width="12.5703125" hidden="1" customWidth="1" outlineLevel="1"/>
    <col min="12" max="12" width="12.5703125" customWidth="1" collapsed="1"/>
    <col min="13" max="15" width="12.5703125" hidden="1" customWidth="1" outlineLevel="1"/>
    <col min="16" max="16" width="12.5703125" customWidth="1" collapsed="1"/>
    <col min="17" max="19" width="12.5703125" hidden="1" customWidth="1" outlineLevel="1"/>
    <col min="20" max="20" width="12.5703125" customWidth="1" collapsed="1"/>
    <col min="21" max="23" width="12.5703125" hidden="1" customWidth="1" outlineLevel="1"/>
    <col min="24" max="24" width="12.5703125" customWidth="1" collapsed="1"/>
    <col min="25" max="27" width="12.5703125" hidden="1" customWidth="1" outlineLevel="1"/>
    <col min="28" max="28" width="12.5703125" customWidth="1" collapsed="1"/>
    <col min="29" max="31" width="12.5703125" hidden="1" customWidth="1" outlineLevel="1"/>
    <col min="32" max="32" width="12.5703125" customWidth="1" collapsed="1"/>
    <col min="33" max="35" width="12.5703125" hidden="1" customWidth="1" outlineLevel="1"/>
    <col min="36" max="36" width="12.5703125" customWidth="1" collapsed="1"/>
    <col min="37" max="39" width="12.5703125" hidden="1" customWidth="1" outlineLevel="1"/>
    <col min="40" max="40" width="12.5703125" customWidth="1" collapsed="1"/>
    <col min="41" max="43" width="12.5703125" hidden="1" customWidth="1" outlineLevel="1"/>
    <col min="44" max="44" width="12.5703125" customWidth="1" collapsed="1"/>
    <col min="45" max="47" width="12.5703125" hidden="1" customWidth="1" outlineLevel="1"/>
    <col min="48" max="48" width="12.5703125" customWidth="1" collapsed="1"/>
    <col min="49" max="51" width="12.5703125" hidden="1" customWidth="1" outlineLevel="1"/>
    <col min="52" max="52" width="12.5703125" customWidth="1" collapsed="1"/>
    <col min="53" max="55" width="12.5703125" hidden="1" customWidth="1" outlineLevel="1"/>
    <col min="56" max="56" width="12.5703125" customWidth="1" collapsed="1"/>
    <col min="57" max="59" width="12.5703125" hidden="1" customWidth="1" outlineLevel="1"/>
    <col min="60" max="60" width="12.5703125" customWidth="1" collapsed="1"/>
    <col min="61" max="63" width="12.5703125" hidden="1" customWidth="1" outlineLevel="1"/>
    <col min="64" max="64" width="12.5703125" customWidth="1" collapsed="1"/>
    <col min="65" max="67" width="12.5703125" hidden="1" customWidth="1" outlineLevel="1"/>
    <col min="68" max="68" width="12.5703125" customWidth="1" collapsed="1"/>
    <col min="69" max="71" width="12.5703125" hidden="1" customWidth="1" outlineLevel="1"/>
    <col min="72" max="72" width="12.5703125" customWidth="1" collapsed="1"/>
    <col min="73" max="75" width="12.5703125" hidden="1" customWidth="1" outlineLevel="1"/>
    <col min="76" max="76" width="12.5703125" customWidth="1" collapsed="1"/>
    <col min="77" max="79" width="12.5703125" hidden="1" customWidth="1" outlineLevel="1"/>
    <col min="80" max="80" width="12.5703125" customWidth="1" collapsed="1"/>
    <col min="81" max="82" width="10.42578125" bestFit="1" customWidth="1"/>
  </cols>
  <sheetData>
    <row r="3" spans="1:82" ht="16.350000000000001" customHeight="1"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L3" s="67"/>
      <c r="AM3" s="67"/>
      <c r="AN3" s="67"/>
      <c r="AO3" s="67"/>
      <c r="AP3" s="67"/>
      <c r="AQ3" s="67"/>
      <c r="AR3" s="67"/>
      <c r="AS3" s="67"/>
      <c r="AT3" s="67"/>
      <c r="AU3" s="67"/>
      <c r="AV3" s="67"/>
      <c r="AW3" s="67"/>
      <c r="AX3" s="67"/>
      <c r="AY3" s="67"/>
      <c r="AZ3" s="67"/>
      <c r="BA3" s="67"/>
      <c r="BB3" s="67"/>
      <c r="BC3" s="67"/>
      <c r="BD3" s="67"/>
      <c r="BE3" s="67"/>
      <c r="BF3" s="67"/>
      <c r="BG3" s="67"/>
      <c r="BH3" s="67"/>
      <c r="BI3" s="67"/>
      <c r="BJ3" s="67"/>
      <c r="BK3" s="67"/>
      <c r="BL3" s="67"/>
      <c r="BM3" s="67"/>
      <c r="BN3" s="67"/>
      <c r="BO3" s="67"/>
      <c r="BP3" s="67"/>
      <c r="BQ3" s="67"/>
      <c r="BR3" s="67"/>
      <c r="BS3" s="67"/>
      <c r="BT3" s="67"/>
      <c r="BU3" s="67"/>
    </row>
    <row r="4" spans="1:82" ht="27">
      <c r="A4" s="174"/>
      <c r="B4" s="8"/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  <c r="S4" s="176"/>
      <c r="T4" s="176"/>
      <c r="U4" s="177"/>
      <c r="V4" s="177"/>
      <c r="W4" s="177"/>
      <c r="X4" s="177"/>
      <c r="Y4" s="177"/>
      <c r="Z4" s="177"/>
      <c r="AA4" s="177"/>
      <c r="AB4" s="177"/>
      <c r="AC4" s="177"/>
      <c r="AD4" s="177"/>
      <c r="AE4" s="177"/>
      <c r="AF4" s="177"/>
      <c r="AG4" s="177"/>
      <c r="AH4" s="177"/>
      <c r="AI4" s="177"/>
      <c r="AJ4" s="177"/>
      <c r="AK4" s="177"/>
      <c r="AL4" s="177"/>
      <c r="AM4" s="177"/>
      <c r="AN4" s="177"/>
      <c r="AO4" s="177"/>
      <c r="AP4" s="177"/>
      <c r="AQ4" s="177"/>
      <c r="AR4" s="177"/>
      <c r="AS4" s="177"/>
      <c r="AT4" s="177"/>
      <c r="AU4" s="177"/>
      <c r="AV4" s="177"/>
      <c r="AW4" s="177"/>
      <c r="AX4" s="177"/>
      <c r="AY4" s="177"/>
      <c r="AZ4" s="177"/>
      <c r="BA4" s="177"/>
      <c r="BB4" s="177"/>
      <c r="BC4" s="177"/>
      <c r="BD4" s="177"/>
      <c r="BE4" s="177"/>
      <c r="BF4" s="177"/>
      <c r="BG4" s="177"/>
      <c r="BH4" s="177"/>
      <c r="BI4" s="177"/>
      <c r="BJ4" s="177"/>
      <c r="BK4" s="177"/>
      <c r="BL4" s="177"/>
      <c r="BM4" s="177"/>
      <c r="BN4" s="177"/>
      <c r="BO4" s="177"/>
      <c r="BP4" s="177"/>
      <c r="BQ4" s="177"/>
      <c r="BR4" s="177"/>
      <c r="BS4" s="177"/>
      <c r="BT4" s="177"/>
      <c r="BU4" s="177"/>
      <c r="BV4" s="177"/>
    </row>
    <row r="5" spans="1:82" ht="16.350000000000001" customHeight="1">
      <c r="A5" s="174"/>
      <c r="B5" s="175"/>
      <c r="C5" s="175"/>
      <c r="D5" s="174"/>
      <c r="E5" s="174"/>
      <c r="F5" s="174"/>
      <c r="G5" s="174"/>
      <c r="H5" s="174"/>
      <c r="I5" s="174"/>
      <c r="J5" s="174"/>
      <c r="K5" s="174"/>
      <c r="L5" s="174"/>
      <c r="M5" s="174"/>
      <c r="N5" s="174"/>
      <c r="O5" s="174"/>
      <c r="P5" s="174"/>
      <c r="Q5" s="174"/>
      <c r="R5" s="174"/>
      <c r="S5" s="174"/>
      <c r="T5" s="174"/>
      <c r="U5" s="177"/>
      <c r="V5" s="177"/>
      <c r="W5" s="177"/>
      <c r="X5" s="177"/>
      <c r="Y5" s="177"/>
      <c r="Z5" s="177"/>
      <c r="AA5" s="177"/>
      <c r="AB5" s="177"/>
      <c r="AC5" s="177"/>
      <c r="AD5" s="177"/>
      <c r="AE5" s="177"/>
      <c r="AF5" s="177"/>
      <c r="AG5" s="177"/>
      <c r="AH5" s="177"/>
      <c r="AI5" s="177"/>
      <c r="AJ5" s="177"/>
      <c r="AK5" s="177"/>
      <c r="AL5" s="177"/>
      <c r="AM5" s="177"/>
      <c r="AN5" s="177"/>
      <c r="AO5" s="177"/>
      <c r="AP5" s="177"/>
      <c r="AQ5" s="177"/>
      <c r="AR5" s="177"/>
      <c r="AS5" s="177"/>
      <c r="AT5" s="177"/>
      <c r="AU5" s="177"/>
      <c r="AV5" s="177"/>
      <c r="AW5" s="177"/>
      <c r="AX5" s="177"/>
      <c r="AY5" s="177"/>
      <c r="AZ5" s="177"/>
      <c r="BA5" s="177"/>
      <c r="BB5" s="177"/>
      <c r="BC5" s="177"/>
      <c r="BD5" s="177"/>
      <c r="BE5" s="177"/>
      <c r="BF5" s="177"/>
      <c r="BG5" s="177"/>
      <c r="BH5" s="177"/>
      <c r="BI5" s="177"/>
      <c r="BJ5" s="177"/>
      <c r="BK5" s="177"/>
      <c r="BL5" s="177"/>
      <c r="BM5" s="177"/>
      <c r="BN5" s="177"/>
      <c r="BO5" s="177"/>
      <c r="BP5" s="177"/>
      <c r="BQ5" s="177"/>
      <c r="BR5" s="177"/>
      <c r="BS5" s="177"/>
      <c r="BT5" s="177"/>
      <c r="BU5" s="177"/>
    </row>
    <row r="6" spans="1:82" ht="16.350000000000001" customHeight="1">
      <c r="A6" s="178"/>
      <c r="B6" s="437" t="s">
        <v>412</v>
      </c>
      <c r="C6" s="437" t="s">
        <v>413</v>
      </c>
      <c r="D6" s="438">
        <v>38717</v>
      </c>
      <c r="E6" s="438">
        <f>EOMONTH(D6,3)</f>
        <v>38807</v>
      </c>
      <c r="F6" s="438">
        <f t="shared" ref="F6:CB6" si="0">EOMONTH(E6,3)</f>
        <v>38898</v>
      </c>
      <c r="G6" s="438">
        <f t="shared" si="0"/>
        <v>38990</v>
      </c>
      <c r="H6" s="438">
        <f t="shared" si="0"/>
        <v>39082</v>
      </c>
      <c r="I6" s="438">
        <f t="shared" si="0"/>
        <v>39172</v>
      </c>
      <c r="J6" s="438">
        <f t="shared" si="0"/>
        <v>39263</v>
      </c>
      <c r="K6" s="438">
        <f t="shared" si="0"/>
        <v>39355</v>
      </c>
      <c r="L6" s="438">
        <f t="shared" si="0"/>
        <v>39447</v>
      </c>
      <c r="M6" s="438">
        <f t="shared" si="0"/>
        <v>39538</v>
      </c>
      <c r="N6" s="438">
        <f t="shared" si="0"/>
        <v>39629</v>
      </c>
      <c r="O6" s="438">
        <f t="shared" si="0"/>
        <v>39721</v>
      </c>
      <c r="P6" s="438">
        <f t="shared" si="0"/>
        <v>39813</v>
      </c>
      <c r="Q6" s="438">
        <f t="shared" si="0"/>
        <v>39903</v>
      </c>
      <c r="R6" s="438">
        <f t="shared" si="0"/>
        <v>39994</v>
      </c>
      <c r="S6" s="438">
        <f t="shared" si="0"/>
        <v>40086</v>
      </c>
      <c r="T6" s="438">
        <f t="shared" si="0"/>
        <v>40178</v>
      </c>
      <c r="U6" s="438">
        <f t="shared" si="0"/>
        <v>40268</v>
      </c>
      <c r="V6" s="438">
        <f t="shared" si="0"/>
        <v>40359</v>
      </c>
      <c r="W6" s="438">
        <f t="shared" si="0"/>
        <v>40451</v>
      </c>
      <c r="X6" s="438">
        <f t="shared" si="0"/>
        <v>40543</v>
      </c>
      <c r="Y6" s="438">
        <f t="shared" si="0"/>
        <v>40633</v>
      </c>
      <c r="Z6" s="438">
        <f t="shared" si="0"/>
        <v>40724</v>
      </c>
      <c r="AA6" s="438">
        <f t="shared" si="0"/>
        <v>40816</v>
      </c>
      <c r="AB6" s="438">
        <f t="shared" si="0"/>
        <v>40908</v>
      </c>
      <c r="AC6" s="438">
        <f t="shared" si="0"/>
        <v>40999</v>
      </c>
      <c r="AD6" s="438">
        <f t="shared" si="0"/>
        <v>41090</v>
      </c>
      <c r="AE6" s="438">
        <f t="shared" si="0"/>
        <v>41182</v>
      </c>
      <c r="AF6" s="438">
        <f t="shared" si="0"/>
        <v>41274</v>
      </c>
      <c r="AG6" s="438">
        <f t="shared" si="0"/>
        <v>41364</v>
      </c>
      <c r="AH6" s="438">
        <f t="shared" si="0"/>
        <v>41455</v>
      </c>
      <c r="AI6" s="438">
        <f t="shared" si="0"/>
        <v>41547</v>
      </c>
      <c r="AJ6" s="438">
        <f t="shared" si="0"/>
        <v>41639</v>
      </c>
      <c r="AK6" s="438">
        <f t="shared" si="0"/>
        <v>41729</v>
      </c>
      <c r="AL6" s="438">
        <f t="shared" si="0"/>
        <v>41820</v>
      </c>
      <c r="AM6" s="438">
        <f t="shared" si="0"/>
        <v>41912</v>
      </c>
      <c r="AN6" s="438">
        <f t="shared" si="0"/>
        <v>42004</v>
      </c>
      <c r="AO6" s="438">
        <f t="shared" si="0"/>
        <v>42094</v>
      </c>
      <c r="AP6" s="438">
        <f t="shared" si="0"/>
        <v>42185</v>
      </c>
      <c r="AQ6" s="438">
        <f t="shared" si="0"/>
        <v>42277</v>
      </c>
      <c r="AR6" s="438">
        <f t="shared" si="0"/>
        <v>42369</v>
      </c>
      <c r="AS6" s="438">
        <f t="shared" si="0"/>
        <v>42460</v>
      </c>
      <c r="AT6" s="438">
        <f t="shared" si="0"/>
        <v>42551</v>
      </c>
      <c r="AU6" s="438">
        <f t="shared" si="0"/>
        <v>42643</v>
      </c>
      <c r="AV6" s="438">
        <f t="shared" si="0"/>
        <v>42735</v>
      </c>
      <c r="AW6" s="438">
        <f t="shared" si="0"/>
        <v>42825</v>
      </c>
      <c r="AX6" s="438">
        <f t="shared" si="0"/>
        <v>42916</v>
      </c>
      <c r="AY6" s="438">
        <f t="shared" si="0"/>
        <v>43008</v>
      </c>
      <c r="AZ6" s="438">
        <f t="shared" si="0"/>
        <v>43100</v>
      </c>
      <c r="BA6" s="438">
        <f t="shared" si="0"/>
        <v>43190</v>
      </c>
      <c r="BB6" s="438">
        <f t="shared" si="0"/>
        <v>43281</v>
      </c>
      <c r="BC6" s="438">
        <f t="shared" si="0"/>
        <v>43373</v>
      </c>
      <c r="BD6" s="438">
        <f t="shared" si="0"/>
        <v>43465</v>
      </c>
      <c r="BE6" s="438">
        <f t="shared" si="0"/>
        <v>43555</v>
      </c>
      <c r="BF6" s="438">
        <f t="shared" si="0"/>
        <v>43646</v>
      </c>
      <c r="BG6" s="438">
        <f t="shared" si="0"/>
        <v>43738</v>
      </c>
      <c r="BH6" s="438">
        <f t="shared" si="0"/>
        <v>43830</v>
      </c>
      <c r="BI6" s="438">
        <f t="shared" si="0"/>
        <v>43921</v>
      </c>
      <c r="BJ6" s="438">
        <f t="shared" si="0"/>
        <v>44012</v>
      </c>
      <c r="BK6" s="438">
        <f t="shared" si="0"/>
        <v>44104</v>
      </c>
      <c r="BL6" s="438">
        <f t="shared" si="0"/>
        <v>44196</v>
      </c>
      <c r="BM6" s="438">
        <f t="shared" si="0"/>
        <v>44286</v>
      </c>
      <c r="BN6" s="438">
        <f t="shared" si="0"/>
        <v>44377</v>
      </c>
      <c r="BO6" s="438">
        <f t="shared" si="0"/>
        <v>44469</v>
      </c>
      <c r="BP6" s="438">
        <f t="shared" si="0"/>
        <v>44561</v>
      </c>
      <c r="BQ6" s="438">
        <f t="shared" si="0"/>
        <v>44651</v>
      </c>
      <c r="BR6" s="438">
        <f t="shared" si="0"/>
        <v>44742</v>
      </c>
      <c r="BS6" s="438">
        <f t="shared" si="0"/>
        <v>44834</v>
      </c>
      <c r="BT6" s="438">
        <f t="shared" si="0"/>
        <v>44926</v>
      </c>
      <c r="BU6" s="438">
        <f t="shared" si="0"/>
        <v>45016</v>
      </c>
      <c r="BV6" s="438">
        <f t="shared" si="0"/>
        <v>45107</v>
      </c>
      <c r="BW6" s="438">
        <f t="shared" si="0"/>
        <v>45199</v>
      </c>
      <c r="BX6" s="438">
        <f t="shared" si="0"/>
        <v>45291</v>
      </c>
      <c r="BY6" s="438">
        <f t="shared" si="0"/>
        <v>45382</v>
      </c>
      <c r="BZ6" s="438">
        <f t="shared" si="0"/>
        <v>45473</v>
      </c>
      <c r="CA6" s="438">
        <f t="shared" si="0"/>
        <v>45565</v>
      </c>
      <c r="CB6" s="438">
        <f t="shared" si="0"/>
        <v>45657</v>
      </c>
    </row>
    <row r="7" spans="1:82" ht="16.350000000000001" customHeight="1">
      <c r="A7" s="179"/>
      <c r="B7" s="76" t="s">
        <v>415</v>
      </c>
      <c r="C7" s="76" t="s">
        <v>416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  <c r="Z7" s="119"/>
      <c r="AA7" s="119"/>
      <c r="AB7" s="119"/>
      <c r="AC7" s="119"/>
      <c r="AD7" s="119"/>
      <c r="AE7" s="119"/>
      <c r="AF7" s="119"/>
      <c r="AG7" s="119"/>
      <c r="AH7" s="119"/>
      <c r="AI7" s="119"/>
      <c r="AJ7" s="119"/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19"/>
      <c r="AW7" s="119"/>
      <c r="AX7" s="119"/>
      <c r="AY7" s="119"/>
      <c r="AZ7" s="119"/>
      <c r="BA7" s="119"/>
      <c r="BB7" s="119"/>
      <c r="BC7" s="119"/>
      <c r="BD7" s="119"/>
      <c r="BE7" s="119"/>
      <c r="BF7" s="119"/>
      <c r="BG7" s="119"/>
      <c r="BH7" s="119"/>
      <c r="BI7" s="119"/>
      <c r="BJ7" s="119"/>
      <c r="BK7" s="119"/>
      <c r="BL7" s="119"/>
      <c r="BM7" s="119"/>
      <c r="BN7" s="119"/>
      <c r="BO7" s="119"/>
      <c r="BP7" s="119"/>
      <c r="BQ7" s="119"/>
      <c r="BR7" s="119"/>
      <c r="BS7" s="119"/>
      <c r="BT7" s="119"/>
      <c r="BU7" s="119"/>
      <c r="BV7" s="119"/>
      <c r="BW7" s="119"/>
      <c r="BX7" s="119"/>
      <c r="BY7" s="119"/>
      <c r="BZ7" s="119"/>
      <c r="CA7" s="119"/>
      <c r="CB7" s="209"/>
      <c r="CC7" s="511" t="s">
        <v>2365</v>
      </c>
    </row>
    <row r="8" spans="1:82" ht="16.350000000000001" customHeight="1">
      <c r="A8" s="180"/>
      <c r="B8" s="158" t="s">
        <v>619</v>
      </c>
      <c r="C8" s="158" t="s">
        <v>100</v>
      </c>
      <c r="D8" s="159">
        <v>400149</v>
      </c>
      <c r="E8" s="159">
        <v>303242</v>
      </c>
      <c r="F8" s="159">
        <v>330999</v>
      </c>
      <c r="G8" s="159">
        <v>322507</v>
      </c>
      <c r="H8" s="159">
        <v>526961</v>
      </c>
      <c r="I8" s="159">
        <v>391654</v>
      </c>
      <c r="J8" s="159">
        <v>422183</v>
      </c>
      <c r="K8" s="159">
        <v>382243</v>
      </c>
      <c r="L8" s="159">
        <v>586019</v>
      </c>
      <c r="M8" s="159">
        <v>452495</v>
      </c>
      <c r="N8" s="159">
        <v>467379</v>
      </c>
      <c r="O8" s="159">
        <v>408670</v>
      </c>
      <c r="P8" s="159">
        <v>563390</v>
      </c>
      <c r="Q8" s="159">
        <v>409653</v>
      </c>
      <c r="R8" s="159">
        <v>452210</v>
      </c>
      <c r="S8" s="159">
        <v>411474</v>
      </c>
      <c r="T8" s="159">
        <v>617742</v>
      </c>
      <c r="U8" s="159">
        <v>466022</v>
      </c>
      <c r="V8" s="159">
        <v>501286</v>
      </c>
      <c r="W8" s="159">
        <v>459199</v>
      </c>
      <c r="X8" s="159">
        <v>668844</v>
      </c>
      <c r="Y8" s="159">
        <v>527709</v>
      </c>
      <c r="Z8" s="159">
        <v>564831</v>
      </c>
      <c r="AA8" s="159">
        <v>492888</v>
      </c>
      <c r="AB8" s="159">
        <v>730301</v>
      </c>
      <c r="AC8" s="159">
        <v>573185</v>
      </c>
      <c r="AD8" s="159">
        <v>609367</v>
      </c>
      <c r="AE8" s="159">
        <v>573034</v>
      </c>
      <c r="AF8" s="159">
        <v>846003</v>
      </c>
      <c r="AG8" s="159">
        <v>682134</v>
      </c>
      <c r="AH8" s="159">
        <v>685508</v>
      </c>
      <c r="AI8" s="159">
        <v>649297</v>
      </c>
      <c r="AJ8" s="159">
        <v>962205</v>
      </c>
      <c r="AK8" s="159">
        <v>751806</v>
      </c>
      <c r="AL8" s="159">
        <v>754344</v>
      </c>
      <c r="AM8" s="159">
        <v>712816</v>
      </c>
      <c r="AN8" s="159">
        <v>1093959</v>
      </c>
      <c r="AO8" s="159">
        <v>843665</v>
      </c>
      <c r="AP8" s="159">
        <v>865661</v>
      </c>
      <c r="AQ8" s="159">
        <v>803961</v>
      </c>
      <c r="AR8" s="159">
        <v>1145202</v>
      </c>
      <c r="AS8" s="159">
        <v>844712</v>
      </c>
      <c r="AT8" s="159">
        <v>882444</v>
      </c>
      <c r="AU8" s="159">
        <v>781502</v>
      </c>
      <c r="AV8" s="159">
        <v>1148901</v>
      </c>
      <c r="AW8" s="159">
        <v>876059</v>
      </c>
      <c r="AX8" s="159">
        <v>827329</v>
      </c>
      <c r="AY8" s="159">
        <v>746257</v>
      </c>
      <c r="AZ8" s="159">
        <v>1068644.8819900001</v>
      </c>
      <c r="BA8" s="159">
        <v>815639.35074000002</v>
      </c>
      <c r="BB8" s="159">
        <v>831342.23376999993</v>
      </c>
      <c r="BC8" s="159">
        <v>793044</v>
      </c>
      <c r="BD8" s="159">
        <v>1159662</v>
      </c>
      <c r="BE8" s="159">
        <v>909106.39190579031</v>
      </c>
      <c r="BF8" s="159">
        <v>859195.34141754499</v>
      </c>
      <c r="BG8" s="159">
        <v>844577.55452049104</v>
      </c>
      <c r="BH8" s="159">
        <v>1191363.3265114273</v>
      </c>
      <c r="BI8" s="159">
        <v>827531.09335561388</v>
      </c>
      <c r="BJ8" s="159">
        <v>419006.3373721487</v>
      </c>
      <c r="BK8" s="159">
        <v>586101.60315305926</v>
      </c>
      <c r="BL8" s="159">
        <v>947498.55889773357</v>
      </c>
      <c r="BM8" s="159">
        <v>597657.27634624485</v>
      </c>
      <c r="BN8" s="159">
        <v>676839.69340999995</v>
      </c>
      <c r="BO8" s="159">
        <v>652229</v>
      </c>
      <c r="BP8" s="159">
        <v>890619.4702499999</v>
      </c>
      <c r="BQ8" s="159">
        <v>698144.74671999994</v>
      </c>
      <c r="BR8" s="159">
        <v>722299.41112000006</v>
      </c>
      <c r="BS8" s="159">
        <v>594576.3926100001</v>
      </c>
      <c r="BT8" s="159">
        <v>705519.17946000013</v>
      </c>
      <c r="BU8" s="159">
        <v>547374</v>
      </c>
      <c r="BV8" s="159">
        <v>541020.89394000033</v>
      </c>
      <c r="BW8" s="159">
        <v>491227</v>
      </c>
      <c r="BX8" s="159">
        <v>620795.00150000036</v>
      </c>
      <c r="BY8" s="159">
        <v>496709.73715000012</v>
      </c>
      <c r="BZ8" s="159">
        <v>504011.14458000008</v>
      </c>
      <c r="CA8" s="159">
        <v>498997</v>
      </c>
      <c r="CB8" s="210">
        <v>645634.26192999992</v>
      </c>
      <c r="CC8" s="512"/>
      <c r="CD8" s="181"/>
    </row>
    <row r="9" spans="1:82" ht="16.350000000000001" customHeight="1">
      <c r="A9" s="174"/>
      <c r="B9" s="158" t="s">
        <v>504</v>
      </c>
      <c r="C9" s="158" t="s">
        <v>182</v>
      </c>
      <c r="D9" s="159">
        <v>44405</v>
      </c>
      <c r="E9" s="159">
        <v>74613</v>
      </c>
      <c r="F9" s="159">
        <v>83972</v>
      </c>
      <c r="G9" s="159">
        <v>77015</v>
      </c>
      <c r="H9" s="159">
        <v>56432</v>
      </c>
      <c r="I9" s="159">
        <v>88508</v>
      </c>
      <c r="J9" s="159">
        <v>98408</v>
      </c>
      <c r="K9" s="159">
        <v>98172</v>
      </c>
      <c r="L9" s="159">
        <v>74472</v>
      </c>
      <c r="M9" s="159">
        <v>103084</v>
      </c>
      <c r="N9" s="159">
        <v>110212</v>
      </c>
      <c r="O9" s="159">
        <v>112886</v>
      </c>
      <c r="P9" s="159">
        <v>84431</v>
      </c>
      <c r="Q9" s="159">
        <v>106692</v>
      </c>
      <c r="R9" s="159">
        <v>107472</v>
      </c>
      <c r="S9" s="159">
        <v>100551</v>
      </c>
      <c r="T9" s="159">
        <f>SUM(T10:T12)</f>
        <v>68503</v>
      </c>
      <c r="U9" s="159">
        <f t="shared" ref="U9:BQ9" si="1">SUM(U10:U12)</f>
        <v>99602</v>
      </c>
      <c r="V9" s="159">
        <f t="shared" si="1"/>
        <v>105782</v>
      </c>
      <c r="W9" s="159">
        <f t="shared" si="1"/>
        <v>104039</v>
      </c>
      <c r="X9" s="159">
        <f t="shared" si="1"/>
        <v>77442</v>
      </c>
      <c r="Y9" s="159">
        <f t="shared" si="1"/>
        <v>113995</v>
      </c>
      <c r="Z9" s="159">
        <f t="shared" si="1"/>
        <v>124144</v>
      </c>
      <c r="AA9" s="159">
        <f t="shared" si="1"/>
        <v>130559</v>
      </c>
      <c r="AB9" s="159">
        <f t="shared" si="1"/>
        <v>98076</v>
      </c>
      <c r="AC9" s="159">
        <f t="shared" si="1"/>
        <v>126715</v>
      </c>
      <c r="AD9" s="159">
        <f t="shared" si="1"/>
        <v>134847</v>
      </c>
      <c r="AE9" s="159">
        <f t="shared" si="1"/>
        <v>141705</v>
      </c>
      <c r="AF9" s="159">
        <f t="shared" si="1"/>
        <v>111185</v>
      </c>
      <c r="AG9" s="159">
        <f t="shared" si="1"/>
        <v>147506</v>
      </c>
      <c r="AH9" s="159">
        <f t="shared" si="1"/>
        <v>156029</v>
      </c>
      <c r="AI9" s="159">
        <f t="shared" si="1"/>
        <v>161133</v>
      </c>
      <c r="AJ9" s="159">
        <f t="shared" si="1"/>
        <v>126741</v>
      </c>
      <c r="AK9" s="159">
        <f t="shared" si="1"/>
        <v>170065</v>
      </c>
      <c r="AL9" s="159">
        <f t="shared" si="1"/>
        <v>195408</v>
      </c>
      <c r="AM9" s="159">
        <f t="shared" si="1"/>
        <v>185433</v>
      </c>
      <c r="AN9" s="159">
        <f t="shared" si="1"/>
        <v>144408</v>
      </c>
      <c r="AO9" s="159">
        <f t="shared" si="1"/>
        <v>200366</v>
      </c>
      <c r="AP9" s="159">
        <f t="shared" si="1"/>
        <v>216985.42827999988</v>
      </c>
      <c r="AQ9" s="159">
        <f t="shared" si="1"/>
        <v>210900</v>
      </c>
      <c r="AR9" s="159">
        <f t="shared" si="1"/>
        <v>162231</v>
      </c>
      <c r="AS9" s="159">
        <f t="shared" si="1"/>
        <v>199965</v>
      </c>
      <c r="AT9" s="159">
        <f t="shared" si="1"/>
        <v>209007</v>
      </c>
      <c r="AU9" s="159">
        <f t="shared" si="1"/>
        <v>205413</v>
      </c>
      <c r="AV9" s="159">
        <f t="shared" si="1"/>
        <v>147040</v>
      </c>
      <c r="AW9" s="159">
        <f t="shared" si="1"/>
        <v>185775</v>
      </c>
      <c r="AX9" s="159">
        <f t="shared" si="1"/>
        <v>192181</v>
      </c>
      <c r="AY9" s="159">
        <f t="shared" si="1"/>
        <v>185159.75777000003</v>
      </c>
      <c r="AZ9" s="159">
        <f t="shared" si="1"/>
        <v>146874.14247000002</v>
      </c>
      <c r="BA9" s="159">
        <f t="shared" si="1"/>
        <v>195292.56005999999</v>
      </c>
      <c r="BB9" s="159">
        <f t="shared" si="1"/>
        <v>199042.62208999999</v>
      </c>
      <c r="BC9" s="159">
        <f t="shared" si="1"/>
        <v>179845.19798</v>
      </c>
      <c r="BD9" s="159">
        <f t="shared" si="1"/>
        <v>144122.77977000002</v>
      </c>
      <c r="BE9" s="159">
        <f t="shared" si="1"/>
        <v>195355.91183</v>
      </c>
      <c r="BF9" s="159">
        <f t="shared" si="1"/>
        <v>216834.4011916513</v>
      </c>
      <c r="BG9" s="159">
        <f t="shared" si="1"/>
        <v>229668.89427003701</v>
      </c>
      <c r="BH9" s="159">
        <f t="shared" si="1"/>
        <v>203450.94803351763</v>
      </c>
      <c r="BI9" s="159">
        <f t="shared" si="1"/>
        <v>341385.30487438617</v>
      </c>
      <c r="BJ9" s="159">
        <f t="shared" si="1"/>
        <v>370594.31555785157</v>
      </c>
      <c r="BK9" s="159">
        <f t="shared" si="1"/>
        <v>272604.66257694061</v>
      </c>
      <c r="BL9" s="159">
        <f t="shared" si="1"/>
        <v>232421.44110226637</v>
      </c>
      <c r="BM9" s="159">
        <f t="shared" si="1"/>
        <v>248070.72365375503</v>
      </c>
      <c r="BN9" s="159">
        <f t="shared" si="1"/>
        <v>214565.48980000007</v>
      </c>
      <c r="BO9" s="159">
        <f t="shared" si="1"/>
        <v>232259</v>
      </c>
      <c r="BP9" s="159">
        <f t="shared" si="1"/>
        <v>227302.10295000003</v>
      </c>
      <c r="BQ9" s="159">
        <f t="shared" si="1"/>
        <v>258064.25328</v>
      </c>
      <c r="BR9" s="159">
        <f t="shared" ref="BR9:BS9" si="2">SUM(BR10:BR12)</f>
        <v>285567.32111000002</v>
      </c>
      <c r="BS9" s="159">
        <f t="shared" si="2"/>
        <v>297714.81804000004</v>
      </c>
      <c r="BT9" s="159">
        <f t="shared" ref="BT9:BU9" si="3">SUM(BT10:BT12)</f>
        <v>277073.3823</v>
      </c>
      <c r="BU9" s="159">
        <f t="shared" si="3"/>
        <v>275763</v>
      </c>
      <c r="BV9" s="159">
        <f t="shared" ref="BV9:BW9" si="4">SUM(BV10:BV12)</f>
        <v>249509.90341999999</v>
      </c>
      <c r="BW9" s="159">
        <f t="shared" si="4"/>
        <v>211018</v>
      </c>
      <c r="BX9" s="159">
        <f t="shared" ref="BX9:BY9" si="5">SUM(BX10:BX12)</f>
        <v>178216.09386000005</v>
      </c>
      <c r="BY9" s="159">
        <f t="shared" si="5"/>
        <v>171461.73682999998</v>
      </c>
      <c r="BZ9" s="159">
        <f t="shared" ref="BZ9:CA9" si="6">SUM(BZ10:BZ12)</f>
        <v>151561.45168999999</v>
      </c>
      <c r="CA9" s="159">
        <f t="shared" si="6"/>
        <v>142031</v>
      </c>
      <c r="CB9" s="210">
        <v>126231.60146999999</v>
      </c>
      <c r="CC9" s="512"/>
    </row>
    <row r="10" spans="1:82" ht="16.350000000000001" customHeight="1">
      <c r="A10" s="174"/>
      <c r="B10" s="169" t="s">
        <v>505</v>
      </c>
      <c r="C10" s="169" t="s">
        <v>414</v>
      </c>
      <c r="D10" s="182">
        <v>0</v>
      </c>
      <c r="E10" s="182">
        <v>0</v>
      </c>
      <c r="F10" s="182">
        <v>0</v>
      </c>
      <c r="G10" s="182">
        <v>0</v>
      </c>
      <c r="H10" s="182">
        <v>0</v>
      </c>
      <c r="I10" s="182">
        <v>0</v>
      </c>
      <c r="J10" s="182">
        <v>0</v>
      </c>
      <c r="K10" s="182">
        <v>0</v>
      </c>
      <c r="L10" s="182">
        <v>0</v>
      </c>
      <c r="M10" s="182">
        <v>0</v>
      </c>
      <c r="N10" s="182">
        <v>0</v>
      </c>
      <c r="O10" s="182">
        <v>0</v>
      </c>
      <c r="P10" s="182">
        <v>0</v>
      </c>
      <c r="Q10" s="182">
        <v>0</v>
      </c>
      <c r="R10" s="182">
        <v>0</v>
      </c>
      <c r="S10" s="182">
        <v>0</v>
      </c>
      <c r="T10" s="182">
        <v>43830</v>
      </c>
      <c r="U10" s="182">
        <v>80847</v>
      </c>
      <c r="V10" s="182">
        <v>76875</v>
      </c>
      <c r="W10" s="182">
        <v>74230</v>
      </c>
      <c r="X10" s="182">
        <v>50900</v>
      </c>
      <c r="Y10" s="182">
        <v>90968</v>
      </c>
      <c r="Z10" s="182">
        <v>89201</v>
      </c>
      <c r="AA10" s="182">
        <v>91800</v>
      </c>
      <c r="AB10" s="182">
        <v>60470</v>
      </c>
      <c r="AC10" s="182">
        <v>95996</v>
      </c>
      <c r="AD10" s="182">
        <v>95697</v>
      </c>
      <c r="AE10" s="182">
        <v>100742</v>
      </c>
      <c r="AF10" s="182">
        <v>71933</v>
      </c>
      <c r="AG10" s="182">
        <v>113363</v>
      </c>
      <c r="AH10" s="182">
        <v>113833</v>
      </c>
      <c r="AI10" s="182">
        <v>117078</v>
      </c>
      <c r="AJ10" s="182">
        <v>81826</v>
      </c>
      <c r="AK10" s="182">
        <v>131596</v>
      </c>
      <c r="AL10" s="182">
        <v>141665</v>
      </c>
      <c r="AM10" s="182">
        <v>126283</v>
      </c>
      <c r="AN10" s="182">
        <v>92590</v>
      </c>
      <c r="AO10" s="182">
        <v>155564</v>
      </c>
      <c r="AP10" s="182">
        <v>149682</v>
      </c>
      <c r="AQ10" s="182">
        <v>141762</v>
      </c>
      <c r="AR10" s="182">
        <v>99159</v>
      </c>
      <c r="AS10" s="182">
        <v>147294</v>
      </c>
      <c r="AT10" s="182">
        <v>143797</v>
      </c>
      <c r="AU10" s="182">
        <v>139376</v>
      </c>
      <c r="AV10" s="182">
        <v>92205</v>
      </c>
      <c r="AW10" s="182">
        <v>144213</v>
      </c>
      <c r="AX10" s="182">
        <v>153944</v>
      </c>
      <c r="AY10" s="182">
        <v>125524</v>
      </c>
      <c r="AZ10" s="182">
        <v>93867.926680000004</v>
      </c>
      <c r="BA10" s="182">
        <v>148240.33773</v>
      </c>
      <c r="BB10" s="182">
        <v>133592</v>
      </c>
      <c r="BC10" s="182">
        <v>116900.65892</v>
      </c>
      <c r="BD10" s="182">
        <v>92172.762830000021</v>
      </c>
      <c r="BE10" s="182">
        <v>149915.60245999999</v>
      </c>
      <c r="BF10" s="182">
        <v>150910.031121651</v>
      </c>
      <c r="BG10" s="182">
        <v>128835.47719003698</v>
      </c>
      <c r="BH10" s="182">
        <v>77116.184033499318</v>
      </c>
      <c r="BI10" s="182">
        <v>185973.53201000011</v>
      </c>
      <c r="BJ10" s="182">
        <v>73211.656763192354</v>
      </c>
      <c r="BK10" s="182">
        <v>37926.660813959286</v>
      </c>
      <c r="BL10" s="182">
        <v>49324.477860855535</v>
      </c>
      <c r="BM10" s="182">
        <v>123371.24454999981</v>
      </c>
      <c r="BN10" s="182">
        <v>55895.404689999996</v>
      </c>
      <c r="BO10" s="182">
        <v>69432</v>
      </c>
      <c r="BP10" s="182">
        <v>54026.837079999998</v>
      </c>
      <c r="BQ10" s="182">
        <v>98786.376040000003</v>
      </c>
      <c r="BR10" s="182">
        <v>80185.641409999997</v>
      </c>
      <c r="BS10" s="182">
        <v>70005.495670000004</v>
      </c>
      <c r="BT10" s="182">
        <v>43874.226920000001</v>
      </c>
      <c r="BU10" s="182">
        <v>75936</v>
      </c>
      <c r="BV10" s="182">
        <v>56433.247340000002</v>
      </c>
      <c r="BW10" s="182">
        <v>45287</v>
      </c>
      <c r="BX10" s="182">
        <v>31360.393680000001</v>
      </c>
      <c r="BY10" s="182">
        <v>51701.700160000008</v>
      </c>
      <c r="BZ10" s="182">
        <v>38948.232560000004</v>
      </c>
      <c r="CA10" s="182">
        <v>41529</v>
      </c>
      <c r="CB10" s="211">
        <v>32014.118559999995</v>
      </c>
      <c r="CC10" s="512"/>
      <c r="CD10" s="181"/>
    </row>
    <row r="11" spans="1:82" ht="16.350000000000001" customHeight="1">
      <c r="A11" s="174"/>
      <c r="B11" s="169" t="s">
        <v>507</v>
      </c>
      <c r="C11" s="169" t="s">
        <v>421</v>
      </c>
      <c r="D11" s="182">
        <v>0</v>
      </c>
      <c r="E11" s="182">
        <v>0</v>
      </c>
      <c r="F11" s="182">
        <v>0</v>
      </c>
      <c r="G11" s="182">
        <v>0</v>
      </c>
      <c r="H11" s="182">
        <v>0</v>
      </c>
      <c r="I11" s="182">
        <v>0</v>
      </c>
      <c r="J11" s="182">
        <v>0</v>
      </c>
      <c r="K11" s="182">
        <v>0</v>
      </c>
      <c r="L11" s="182">
        <v>0</v>
      </c>
      <c r="M11" s="182">
        <v>0</v>
      </c>
      <c r="N11" s="182">
        <v>0</v>
      </c>
      <c r="O11" s="182">
        <v>0</v>
      </c>
      <c r="P11" s="182">
        <v>0</v>
      </c>
      <c r="Q11" s="182">
        <v>0</v>
      </c>
      <c r="R11" s="182">
        <v>0</v>
      </c>
      <c r="S11" s="182">
        <v>0</v>
      </c>
      <c r="T11" s="182">
        <v>0</v>
      </c>
      <c r="U11" s="182">
        <v>0</v>
      </c>
      <c r="V11" s="182">
        <v>0</v>
      </c>
      <c r="W11" s="182">
        <v>0</v>
      </c>
      <c r="X11" s="182">
        <v>0</v>
      </c>
      <c r="Y11" s="182">
        <v>0</v>
      </c>
      <c r="Z11" s="182">
        <v>0</v>
      </c>
      <c r="AA11" s="182">
        <v>0</v>
      </c>
      <c r="AB11" s="182">
        <v>0</v>
      </c>
      <c r="AC11" s="182">
        <v>0</v>
      </c>
      <c r="AD11" s="182">
        <v>0</v>
      </c>
      <c r="AE11" s="182">
        <v>0</v>
      </c>
      <c r="AF11" s="182">
        <v>0</v>
      </c>
      <c r="AG11" s="182">
        <v>0</v>
      </c>
      <c r="AH11" s="182">
        <v>0</v>
      </c>
      <c r="AI11" s="182">
        <v>0</v>
      </c>
      <c r="AJ11" s="182">
        <v>0</v>
      </c>
      <c r="AK11" s="182">
        <v>0</v>
      </c>
      <c r="AL11" s="182">
        <v>0</v>
      </c>
      <c r="AM11" s="182">
        <v>0</v>
      </c>
      <c r="AN11" s="182">
        <v>0</v>
      </c>
      <c r="AO11" s="182">
        <v>0</v>
      </c>
      <c r="AP11" s="182">
        <v>0</v>
      </c>
      <c r="AQ11" s="182">
        <v>0</v>
      </c>
      <c r="AR11" s="182">
        <v>0</v>
      </c>
      <c r="AS11" s="182">
        <v>0</v>
      </c>
      <c r="AT11" s="182">
        <v>0</v>
      </c>
      <c r="AU11" s="182">
        <v>0</v>
      </c>
      <c r="AV11" s="182">
        <v>0</v>
      </c>
      <c r="AW11" s="182">
        <v>0</v>
      </c>
      <c r="AX11" s="182">
        <v>0</v>
      </c>
      <c r="AY11" s="182">
        <v>0</v>
      </c>
      <c r="AZ11" s="182">
        <v>0</v>
      </c>
      <c r="BA11" s="182">
        <v>0</v>
      </c>
      <c r="BB11" s="182">
        <v>0</v>
      </c>
      <c r="BC11" s="182">
        <v>0</v>
      </c>
      <c r="BD11" s="182">
        <v>0</v>
      </c>
      <c r="BE11" s="182">
        <v>0</v>
      </c>
      <c r="BF11" s="182">
        <v>0</v>
      </c>
      <c r="BG11" s="182">
        <v>0</v>
      </c>
      <c r="BH11" s="182">
        <v>0</v>
      </c>
      <c r="BI11" s="182">
        <v>61095.289054367575</v>
      </c>
      <c r="BJ11" s="182">
        <v>172084.59352999995</v>
      </c>
      <c r="BK11" s="182">
        <v>33878.46026997648</v>
      </c>
      <c r="BL11" s="182">
        <v>26008.345273571584</v>
      </c>
      <c r="BM11" s="182">
        <v>38011.859583755271</v>
      </c>
      <c r="BN11" s="182">
        <v>85231.633430000016</v>
      </c>
      <c r="BO11" s="182">
        <v>35788</v>
      </c>
      <c r="BP11" s="182">
        <v>51097.502549999772</v>
      </c>
      <c r="BQ11" s="182">
        <v>49822.286130000197</v>
      </c>
      <c r="BR11" s="182">
        <v>88699.413540000009</v>
      </c>
      <c r="BS11" s="182">
        <v>68619.767619999999</v>
      </c>
      <c r="BT11" s="182">
        <v>56670.422380000004</v>
      </c>
      <c r="BU11" s="182">
        <v>40132</v>
      </c>
      <c r="BV11" s="182">
        <v>64807.705220000003</v>
      </c>
      <c r="BW11" s="182">
        <v>38798</v>
      </c>
      <c r="BX11" s="182">
        <v>33892.53674000001</v>
      </c>
      <c r="BY11" s="182">
        <v>25334.316630000005</v>
      </c>
      <c r="BZ11" s="182">
        <v>38755.82531</v>
      </c>
      <c r="CA11" s="182">
        <v>24971</v>
      </c>
      <c r="CB11" s="211">
        <v>26123.07459</v>
      </c>
      <c r="CC11" s="512"/>
      <c r="CD11" s="181"/>
    </row>
    <row r="12" spans="1:82" ht="16.350000000000001" customHeight="1" collapsed="1">
      <c r="A12" s="174"/>
      <c r="B12" s="169" t="s">
        <v>508</v>
      </c>
      <c r="C12" s="169" t="s">
        <v>422</v>
      </c>
      <c r="D12" s="183">
        <v>0</v>
      </c>
      <c r="E12" s="183">
        <v>0</v>
      </c>
      <c r="F12" s="183">
        <v>0</v>
      </c>
      <c r="G12" s="183">
        <v>0</v>
      </c>
      <c r="H12" s="183">
        <v>0</v>
      </c>
      <c r="I12" s="183">
        <v>0</v>
      </c>
      <c r="J12" s="183">
        <v>0</v>
      </c>
      <c r="K12" s="183">
        <v>0</v>
      </c>
      <c r="L12" s="183">
        <v>0</v>
      </c>
      <c r="M12" s="183">
        <v>0</v>
      </c>
      <c r="N12" s="183">
        <v>0</v>
      </c>
      <c r="O12" s="183">
        <v>0</v>
      </c>
      <c r="P12" s="182">
        <v>0</v>
      </c>
      <c r="Q12" s="183">
        <v>0</v>
      </c>
      <c r="R12" s="183">
        <v>0</v>
      </c>
      <c r="S12" s="183">
        <v>0</v>
      </c>
      <c r="T12" s="182">
        <v>24673</v>
      </c>
      <c r="U12" s="183">
        <v>18755</v>
      </c>
      <c r="V12" s="183">
        <v>28907</v>
      </c>
      <c r="W12" s="183">
        <v>29809</v>
      </c>
      <c r="X12" s="182">
        <v>26542</v>
      </c>
      <c r="Y12" s="183">
        <v>23027</v>
      </c>
      <c r="Z12" s="183">
        <v>34943</v>
      </c>
      <c r="AA12" s="183">
        <v>38759</v>
      </c>
      <c r="AB12" s="183">
        <v>37606</v>
      </c>
      <c r="AC12" s="183">
        <v>30719</v>
      </c>
      <c r="AD12" s="183">
        <v>39150</v>
      </c>
      <c r="AE12" s="183">
        <v>40963</v>
      </c>
      <c r="AF12" s="183">
        <v>39252</v>
      </c>
      <c r="AG12" s="183">
        <v>34143</v>
      </c>
      <c r="AH12" s="183">
        <v>42196</v>
      </c>
      <c r="AI12" s="183">
        <v>44055</v>
      </c>
      <c r="AJ12" s="183">
        <v>44915</v>
      </c>
      <c r="AK12" s="183">
        <v>38469</v>
      </c>
      <c r="AL12" s="183">
        <v>53743</v>
      </c>
      <c r="AM12" s="183">
        <v>59150</v>
      </c>
      <c r="AN12" s="183">
        <v>51818</v>
      </c>
      <c r="AO12" s="183">
        <v>44802</v>
      </c>
      <c r="AP12" s="183">
        <v>67303.428279999876</v>
      </c>
      <c r="AQ12" s="183">
        <v>69138</v>
      </c>
      <c r="AR12" s="183">
        <v>63072</v>
      </c>
      <c r="AS12" s="183">
        <v>52671</v>
      </c>
      <c r="AT12" s="183">
        <v>65210</v>
      </c>
      <c r="AU12" s="183">
        <v>66037</v>
      </c>
      <c r="AV12" s="183">
        <v>54835</v>
      </c>
      <c r="AW12" s="183">
        <v>41562</v>
      </c>
      <c r="AX12" s="183">
        <v>38237</v>
      </c>
      <c r="AY12" s="183">
        <v>59635.757770000033</v>
      </c>
      <c r="AZ12" s="183">
        <v>53006.215790000017</v>
      </c>
      <c r="BA12" s="183">
        <v>47052.222329999997</v>
      </c>
      <c r="BB12" s="182">
        <v>65450.622089999997</v>
      </c>
      <c r="BC12" s="182">
        <v>62944.539059999996</v>
      </c>
      <c r="BD12" s="182">
        <v>51950.016940000001</v>
      </c>
      <c r="BE12" s="182">
        <v>45440.309369999995</v>
      </c>
      <c r="BF12" s="182">
        <v>65924.370070000296</v>
      </c>
      <c r="BG12" s="182">
        <v>100833.41708000001</v>
      </c>
      <c r="BH12" s="182">
        <v>126334.76400001833</v>
      </c>
      <c r="BI12" s="182">
        <v>94316.483810018515</v>
      </c>
      <c r="BJ12" s="182">
        <v>125298.06526465924</v>
      </c>
      <c r="BK12" s="182">
        <v>200799.54149300483</v>
      </c>
      <c r="BL12" s="182">
        <v>157088.61796783924</v>
      </c>
      <c r="BM12" s="182">
        <v>86687.619519999949</v>
      </c>
      <c r="BN12" s="182">
        <v>73438.451680000057</v>
      </c>
      <c r="BO12" s="182">
        <v>127039</v>
      </c>
      <c r="BP12" s="182">
        <v>122177.76332000026</v>
      </c>
      <c r="BQ12" s="182">
        <v>109455.5911099998</v>
      </c>
      <c r="BR12" s="182">
        <v>116682.26616</v>
      </c>
      <c r="BS12" s="182">
        <v>159089.55475000001</v>
      </c>
      <c r="BT12" s="182">
        <v>176528.73300000001</v>
      </c>
      <c r="BU12" s="182">
        <v>159695</v>
      </c>
      <c r="BV12" s="182">
        <v>128268.95085999997</v>
      </c>
      <c r="BW12" s="182">
        <v>126933</v>
      </c>
      <c r="BX12" s="182">
        <v>112963.16344000003</v>
      </c>
      <c r="BY12" s="182">
        <v>94425.720039999971</v>
      </c>
      <c r="BZ12" s="182">
        <v>73857.393819999983</v>
      </c>
      <c r="CA12" s="182">
        <v>75531</v>
      </c>
      <c r="CB12" s="211">
        <v>68094.408320000002</v>
      </c>
      <c r="CC12" s="512"/>
      <c r="CD12" s="181"/>
    </row>
    <row r="13" spans="1:82" ht="16.350000000000001" customHeight="1">
      <c r="A13" s="174"/>
      <c r="B13" s="158" t="s">
        <v>180</v>
      </c>
      <c r="C13" s="158" t="s">
        <v>181</v>
      </c>
      <c r="D13" s="159">
        <v>0</v>
      </c>
      <c r="E13" s="159">
        <v>0</v>
      </c>
      <c r="F13" s="159">
        <v>0</v>
      </c>
      <c r="G13" s="159">
        <v>0</v>
      </c>
      <c r="H13" s="159">
        <v>0</v>
      </c>
      <c r="I13" s="159">
        <v>0</v>
      </c>
      <c r="J13" s="159">
        <v>0</v>
      </c>
      <c r="K13" s="159">
        <v>0</v>
      </c>
      <c r="L13" s="159">
        <v>0</v>
      </c>
      <c r="M13" s="159">
        <v>0</v>
      </c>
      <c r="N13" s="159">
        <v>0</v>
      </c>
      <c r="O13" s="159">
        <v>0</v>
      </c>
      <c r="P13" s="159">
        <v>0</v>
      </c>
      <c r="Q13" s="159">
        <v>0</v>
      </c>
      <c r="R13" s="159">
        <v>0</v>
      </c>
      <c r="S13" s="159">
        <v>0</v>
      </c>
      <c r="T13" s="159">
        <v>0</v>
      </c>
      <c r="U13" s="159">
        <v>0</v>
      </c>
      <c r="V13" s="159">
        <v>0</v>
      </c>
      <c r="W13" s="159">
        <v>0</v>
      </c>
      <c r="X13" s="159">
        <v>-19660</v>
      </c>
      <c r="Y13" s="159">
        <v>-29082</v>
      </c>
      <c r="Z13" s="159">
        <v>-30973</v>
      </c>
      <c r="AA13" s="159">
        <v>-27442</v>
      </c>
      <c r="AB13" s="159">
        <v>-42108</v>
      </c>
      <c r="AC13" s="159">
        <v>-32523</v>
      </c>
      <c r="AD13" s="159">
        <v>-34420</v>
      </c>
      <c r="AE13" s="159">
        <v>-28020</v>
      </c>
      <c r="AF13" s="159">
        <v>-37097</v>
      </c>
      <c r="AG13" s="159">
        <v>-42115</v>
      </c>
      <c r="AH13" s="159">
        <v>-30682</v>
      </c>
      <c r="AI13" s="159">
        <v>-6752</v>
      </c>
      <c r="AJ13" s="159">
        <v>-933</v>
      </c>
      <c r="AK13" s="159">
        <v>-1369</v>
      </c>
      <c r="AL13" s="159">
        <v>-43234</v>
      </c>
      <c r="AM13" s="159">
        <v>-41750</v>
      </c>
      <c r="AN13" s="159">
        <v>-58206</v>
      </c>
      <c r="AO13" s="159">
        <v>-45124</v>
      </c>
      <c r="AP13" s="159">
        <v>-45602</v>
      </c>
      <c r="AQ13" s="159">
        <v>-43753</v>
      </c>
      <c r="AR13" s="159">
        <v>-60403</v>
      </c>
      <c r="AS13" s="159">
        <v>-41947</v>
      </c>
      <c r="AT13" s="159">
        <v>-48026</v>
      </c>
      <c r="AU13" s="159">
        <v>-45484</v>
      </c>
      <c r="AV13" s="159">
        <v>-60246</v>
      </c>
      <c r="AW13" s="159">
        <v>-48409</v>
      </c>
      <c r="AX13" s="159">
        <v>-41767</v>
      </c>
      <c r="AY13" s="159">
        <v>-39143</v>
      </c>
      <c r="AZ13" s="159">
        <v>-49266</v>
      </c>
      <c r="BA13" s="159">
        <v>-38238</v>
      </c>
      <c r="BB13" s="159">
        <v>-38008</v>
      </c>
      <c r="BC13" s="159">
        <v>-33511</v>
      </c>
      <c r="BD13" s="159">
        <v>-22542</v>
      </c>
      <c r="BE13" s="159">
        <v>-2419</v>
      </c>
      <c r="BF13" s="159">
        <v>0</v>
      </c>
      <c r="BG13" s="159">
        <v>0</v>
      </c>
      <c r="BH13" s="159">
        <v>0</v>
      </c>
      <c r="BI13" s="159">
        <v>0</v>
      </c>
      <c r="BJ13" s="159">
        <v>0</v>
      </c>
      <c r="BK13" s="159">
        <v>0</v>
      </c>
      <c r="BL13" s="159">
        <v>0</v>
      </c>
      <c r="BM13" s="159">
        <v>0</v>
      </c>
      <c r="BN13" s="159">
        <v>0</v>
      </c>
      <c r="BO13" s="159">
        <v>0</v>
      </c>
      <c r="BP13" s="159">
        <v>0</v>
      </c>
      <c r="BQ13" s="159">
        <v>0</v>
      </c>
      <c r="BR13" s="159">
        <v>0</v>
      </c>
      <c r="BS13" s="159">
        <v>0</v>
      </c>
      <c r="BT13" s="159">
        <v>0</v>
      </c>
      <c r="BU13" s="159">
        <v>0</v>
      </c>
      <c r="BV13" s="159">
        <v>0</v>
      </c>
      <c r="BW13" s="159">
        <v>0</v>
      </c>
      <c r="BX13" s="159">
        <v>0</v>
      </c>
      <c r="BY13" s="159">
        <v>0</v>
      </c>
      <c r="BZ13" s="159">
        <v>0</v>
      </c>
      <c r="CA13" s="159">
        <v>0</v>
      </c>
      <c r="CB13" s="210">
        <v>0</v>
      </c>
      <c r="CC13" s="512"/>
      <c r="CD13" s="5"/>
    </row>
    <row r="14" spans="1:82" ht="16.350000000000001" customHeight="1" collapsed="1">
      <c r="A14" s="174"/>
      <c r="B14" s="167" t="s">
        <v>417</v>
      </c>
      <c r="C14" s="167" t="s">
        <v>418</v>
      </c>
      <c r="D14" s="184">
        <f t="shared" ref="D14:AI14" si="7">SUM(D8:D9,D13:D13)</f>
        <v>444554</v>
      </c>
      <c r="E14" s="184">
        <f t="shared" si="7"/>
        <v>377855</v>
      </c>
      <c r="F14" s="184">
        <f t="shared" si="7"/>
        <v>414971</v>
      </c>
      <c r="G14" s="184">
        <f t="shared" si="7"/>
        <v>399522</v>
      </c>
      <c r="H14" s="184">
        <f t="shared" si="7"/>
        <v>583393</v>
      </c>
      <c r="I14" s="184">
        <f t="shared" si="7"/>
        <v>480162</v>
      </c>
      <c r="J14" s="184">
        <f t="shared" si="7"/>
        <v>520591</v>
      </c>
      <c r="K14" s="184">
        <f t="shared" si="7"/>
        <v>480415</v>
      </c>
      <c r="L14" s="184">
        <f t="shared" si="7"/>
        <v>660491</v>
      </c>
      <c r="M14" s="184">
        <f t="shared" si="7"/>
        <v>555579</v>
      </c>
      <c r="N14" s="184">
        <f t="shared" si="7"/>
        <v>577591</v>
      </c>
      <c r="O14" s="184">
        <f t="shared" si="7"/>
        <v>521556</v>
      </c>
      <c r="P14" s="184">
        <f t="shared" si="7"/>
        <v>647821</v>
      </c>
      <c r="Q14" s="184">
        <f t="shared" si="7"/>
        <v>516345</v>
      </c>
      <c r="R14" s="184">
        <f t="shared" si="7"/>
        <v>559682</v>
      </c>
      <c r="S14" s="184">
        <f t="shared" si="7"/>
        <v>512025</v>
      </c>
      <c r="T14" s="184">
        <f t="shared" si="7"/>
        <v>686245</v>
      </c>
      <c r="U14" s="184">
        <f t="shared" si="7"/>
        <v>565624</v>
      </c>
      <c r="V14" s="184">
        <f t="shared" si="7"/>
        <v>607068</v>
      </c>
      <c r="W14" s="184">
        <f t="shared" si="7"/>
        <v>563238</v>
      </c>
      <c r="X14" s="184">
        <f t="shared" si="7"/>
        <v>726626</v>
      </c>
      <c r="Y14" s="184">
        <f t="shared" si="7"/>
        <v>612622</v>
      </c>
      <c r="Z14" s="184">
        <f t="shared" si="7"/>
        <v>658002</v>
      </c>
      <c r="AA14" s="184">
        <f t="shared" si="7"/>
        <v>596005</v>
      </c>
      <c r="AB14" s="184">
        <f t="shared" si="7"/>
        <v>786269</v>
      </c>
      <c r="AC14" s="184">
        <f t="shared" si="7"/>
        <v>667377</v>
      </c>
      <c r="AD14" s="184">
        <f t="shared" si="7"/>
        <v>709794</v>
      </c>
      <c r="AE14" s="184">
        <f t="shared" si="7"/>
        <v>686719</v>
      </c>
      <c r="AF14" s="184">
        <f t="shared" si="7"/>
        <v>920091</v>
      </c>
      <c r="AG14" s="184">
        <f t="shared" si="7"/>
        <v>787525</v>
      </c>
      <c r="AH14" s="184">
        <f t="shared" si="7"/>
        <v>810855</v>
      </c>
      <c r="AI14" s="184">
        <f t="shared" si="7"/>
        <v>803678</v>
      </c>
      <c r="AJ14" s="184">
        <f t="shared" ref="AJ14:BO14" si="8">SUM(AJ8:AJ9,AJ13:AJ13)</f>
        <v>1088013</v>
      </c>
      <c r="AK14" s="184">
        <f t="shared" si="8"/>
        <v>920502</v>
      </c>
      <c r="AL14" s="184">
        <f t="shared" si="8"/>
        <v>906518</v>
      </c>
      <c r="AM14" s="184">
        <f t="shared" si="8"/>
        <v>856499</v>
      </c>
      <c r="AN14" s="184">
        <f t="shared" si="8"/>
        <v>1180161</v>
      </c>
      <c r="AO14" s="184">
        <f t="shared" si="8"/>
        <v>998907</v>
      </c>
      <c r="AP14" s="184">
        <f t="shared" si="8"/>
        <v>1037044.4282799999</v>
      </c>
      <c r="AQ14" s="184">
        <f t="shared" si="8"/>
        <v>971108</v>
      </c>
      <c r="AR14" s="184">
        <f t="shared" si="8"/>
        <v>1247030</v>
      </c>
      <c r="AS14" s="184">
        <f t="shared" si="8"/>
        <v>1002730</v>
      </c>
      <c r="AT14" s="184">
        <f t="shared" si="8"/>
        <v>1043425</v>
      </c>
      <c r="AU14" s="184">
        <f t="shared" si="8"/>
        <v>941431</v>
      </c>
      <c r="AV14" s="184">
        <f t="shared" si="8"/>
        <v>1235695</v>
      </c>
      <c r="AW14" s="184">
        <f t="shared" si="8"/>
        <v>1013425</v>
      </c>
      <c r="AX14" s="184">
        <f t="shared" si="8"/>
        <v>977743</v>
      </c>
      <c r="AY14" s="184">
        <f t="shared" si="8"/>
        <v>892273.75777000003</v>
      </c>
      <c r="AZ14" s="184">
        <f t="shared" si="8"/>
        <v>1166253.0244600002</v>
      </c>
      <c r="BA14" s="184">
        <f t="shared" si="8"/>
        <v>972693.91079999995</v>
      </c>
      <c r="BB14" s="184">
        <f t="shared" si="8"/>
        <v>992376.85585999989</v>
      </c>
      <c r="BC14" s="184">
        <f t="shared" si="8"/>
        <v>939378.19797999994</v>
      </c>
      <c r="BD14" s="184">
        <f t="shared" si="8"/>
        <v>1281242.7797699999</v>
      </c>
      <c r="BE14" s="184">
        <f t="shared" si="8"/>
        <v>1102043.3037357903</v>
      </c>
      <c r="BF14" s="184">
        <f t="shared" si="8"/>
        <v>1076029.7426091963</v>
      </c>
      <c r="BG14" s="184">
        <f t="shared" si="8"/>
        <v>1074246.4487905281</v>
      </c>
      <c r="BH14" s="184">
        <f t="shared" si="8"/>
        <v>1394814.274544945</v>
      </c>
      <c r="BI14" s="184">
        <f t="shared" si="8"/>
        <v>1168916.3982299999</v>
      </c>
      <c r="BJ14" s="184">
        <f t="shared" si="8"/>
        <v>789600.65293000033</v>
      </c>
      <c r="BK14" s="184">
        <f t="shared" si="8"/>
        <v>858706.26572999987</v>
      </c>
      <c r="BL14" s="184">
        <f t="shared" si="8"/>
        <v>1179920</v>
      </c>
      <c r="BM14" s="184">
        <f t="shared" si="8"/>
        <v>845727.99999999988</v>
      </c>
      <c r="BN14" s="184">
        <f t="shared" si="8"/>
        <v>891405.18321000005</v>
      </c>
      <c r="BO14" s="185">
        <f t="shared" si="8"/>
        <v>884488</v>
      </c>
      <c r="BP14" s="184">
        <f t="shared" ref="BP14:BY14" si="9">SUM(BP8:BP9,BP13:BP13)</f>
        <v>1117921.5732</v>
      </c>
      <c r="BQ14" s="184">
        <f t="shared" si="9"/>
        <v>956209</v>
      </c>
      <c r="BR14" s="184">
        <f t="shared" si="9"/>
        <v>1007866.7322300001</v>
      </c>
      <c r="BS14" s="184">
        <f t="shared" si="9"/>
        <v>892291.21065000014</v>
      </c>
      <c r="BT14" s="184">
        <f t="shared" si="9"/>
        <v>982592.56176000019</v>
      </c>
      <c r="BU14" s="184">
        <f t="shared" si="9"/>
        <v>823137</v>
      </c>
      <c r="BV14" s="184">
        <f t="shared" si="9"/>
        <v>790530.79736000032</v>
      </c>
      <c r="BW14" s="185">
        <f t="shared" si="9"/>
        <v>702245</v>
      </c>
      <c r="BX14" s="184">
        <f t="shared" si="9"/>
        <v>799011.09536000038</v>
      </c>
      <c r="BY14" s="184">
        <f t="shared" si="9"/>
        <v>668171.47398000013</v>
      </c>
      <c r="BZ14" s="184">
        <f t="shared" ref="BZ14:CA14" si="10">SUM(BZ8:BZ9,BZ13:BZ13)</f>
        <v>655572.5962700001</v>
      </c>
      <c r="CA14" s="184">
        <f t="shared" si="10"/>
        <v>641028</v>
      </c>
      <c r="CB14" s="212">
        <f t="shared" ref="CB14" si="11">SUM(CB8:CB9,CB13:CB13)</f>
        <v>771865.86339999991</v>
      </c>
      <c r="CC14" s="512"/>
    </row>
    <row r="15" spans="1:82" ht="16.350000000000001" customHeight="1">
      <c r="A15" s="186"/>
      <c r="B15" s="158" t="s">
        <v>513</v>
      </c>
      <c r="C15" s="158" t="s">
        <v>512</v>
      </c>
      <c r="D15" s="159">
        <v>0</v>
      </c>
      <c r="E15" s="159">
        <v>0</v>
      </c>
      <c r="F15" s="159">
        <v>0</v>
      </c>
      <c r="G15" s="159">
        <v>0</v>
      </c>
      <c r="H15" s="159">
        <v>0</v>
      </c>
      <c r="I15" s="159">
        <v>-30818</v>
      </c>
      <c r="J15" s="159">
        <v>-39166</v>
      </c>
      <c r="K15" s="159">
        <v>-35243</v>
      </c>
      <c r="L15" s="159">
        <v>-63108</v>
      </c>
      <c r="M15" s="159">
        <v>-38096.471140000001</v>
      </c>
      <c r="N15" s="159">
        <v>-45841.013149999999</v>
      </c>
      <c r="O15" s="159">
        <v>-31614.187699999999</v>
      </c>
      <c r="P15" s="159">
        <v>-54955.870880000002</v>
      </c>
      <c r="Q15" s="159">
        <v>-38298.768657422399</v>
      </c>
      <c r="R15" s="159">
        <v>-44106.120557264061</v>
      </c>
      <c r="S15" s="159">
        <v>-38567.57287470861</v>
      </c>
      <c r="T15" s="159">
        <v>-61329.201747295854</v>
      </c>
      <c r="U15" s="159">
        <v>-41799.932597448118</v>
      </c>
      <c r="V15" s="159">
        <v>-47715.013535506092</v>
      </c>
      <c r="W15" s="159">
        <v>-42482.445350684997</v>
      </c>
      <c r="X15" s="159">
        <v>-55647.317718422986</v>
      </c>
      <c r="Y15" s="159">
        <v>-37284.526301430524</v>
      </c>
      <c r="Z15" s="159">
        <v>-43255.4330914315</v>
      </c>
      <c r="AA15" s="159">
        <v>-36249.122169808499</v>
      </c>
      <c r="AB15" s="159">
        <v>-32010</v>
      </c>
      <c r="AC15" s="159">
        <v>-23221</v>
      </c>
      <c r="AD15" s="159">
        <v>-23658</v>
      </c>
      <c r="AE15" s="159">
        <v>-16712.759999999998</v>
      </c>
      <c r="AF15" s="159">
        <v>-24608</v>
      </c>
      <c r="AG15" s="159">
        <v>-18245.048637716682</v>
      </c>
      <c r="AH15" s="159">
        <v>-17401.057228106576</v>
      </c>
      <c r="AI15" s="159">
        <v>-17257.685964981421</v>
      </c>
      <c r="AJ15" s="159">
        <v>-27165.665890662003</v>
      </c>
      <c r="AK15" s="159">
        <v>-20626.570671578153</v>
      </c>
      <c r="AL15" s="159">
        <v>-20512</v>
      </c>
      <c r="AM15" s="159">
        <v>-20112</v>
      </c>
      <c r="AN15" s="159">
        <v>-33055</v>
      </c>
      <c r="AO15" s="159">
        <v>-24323</v>
      </c>
      <c r="AP15" s="159">
        <v>-25217</v>
      </c>
      <c r="AQ15" s="159">
        <v>-24159</v>
      </c>
      <c r="AR15" s="159">
        <v>-36917</v>
      </c>
      <c r="AS15" s="159">
        <v>-27551</v>
      </c>
      <c r="AT15" s="159">
        <v>-29119</v>
      </c>
      <c r="AU15" s="159">
        <v>-25462</v>
      </c>
      <c r="AV15" s="159">
        <v>-39177</v>
      </c>
      <c r="AW15" s="159">
        <v>-28391</v>
      </c>
      <c r="AX15" s="159">
        <v>-26140</v>
      </c>
      <c r="AY15" s="159">
        <v>-23057</v>
      </c>
      <c r="AZ15" s="159">
        <v>-34281</v>
      </c>
      <c r="BA15" s="159">
        <v>-18516</v>
      </c>
      <c r="BB15" s="159">
        <v>-14445</v>
      </c>
      <c r="BC15" s="159">
        <v>-13732.095960000001</v>
      </c>
      <c r="BD15" s="159">
        <v>-20985</v>
      </c>
      <c r="BE15" s="159">
        <v>-15999</v>
      </c>
      <c r="BF15" s="159">
        <v>-16160</v>
      </c>
      <c r="BG15" s="159">
        <v>-14640.366090000001</v>
      </c>
      <c r="BH15" s="159">
        <v>-21587.54623</v>
      </c>
      <c r="BI15" s="159">
        <v>-13379.635699999999</v>
      </c>
      <c r="BJ15" s="159">
        <v>-6033.93534</v>
      </c>
      <c r="BK15" s="159">
        <v>-7597</v>
      </c>
      <c r="BL15" s="159">
        <v>-12265</v>
      </c>
      <c r="BM15" s="159">
        <v>-5742</v>
      </c>
      <c r="BN15" s="159">
        <v>-7100</v>
      </c>
      <c r="BO15" s="159">
        <v>-7717</v>
      </c>
      <c r="BP15" s="159">
        <v>-13572</v>
      </c>
      <c r="BQ15" s="159">
        <v>-11340</v>
      </c>
      <c r="BR15" s="159">
        <v>-15146</v>
      </c>
      <c r="BS15" s="159">
        <v>-13655</v>
      </c>
      <c r="BT15" s="159">
        <v>-19383</v>
      </c>
      <c r="BU15" s="159">
        <v>-13212</v>
      </c>
      <c r="BV15" s="159">
        <v>-14273.392330000008</v>
      </c>
      <c r="BW15" s="159">
        <v>-11750</v>
      </c>
      <c r="BX15" s="159">
        <v>-12700.151090000007</v>
      </c>
      <c r="BY15" s="159">
        <v>-8647</v>
      </c>
      <c r="BZ15" s="159">
        <v>-9075</v>
      </c>
      <c r="CA15" s="159">
        <v>-8541</v>
      </c>
      <c r="CB15" s="210">
        <v>-11993</v>
      </c>
      <c r="CC15" s="512"/>
      <c r="CD15" s="181"/>
    </row>
    <row r="16" spans="1:82" ht="16.350000000000001" customHeight="1" collapsed="1">
      <c r="A16" s="174"/>
      <c r="B16" s="158" t="s">
        <v>210</v>
      </c>
      <c r="C16" s="158" t="s">
        <v>423</v>
      </c>
      <c r="D16" s="159">
        <v>-22996</v>
      </c>
      <c r="E16" s="159">
        <v>-22115</v>
      </c>
      <c r="F16" s="159">
        <v>-27534</v>
      </c>
      <c r="G16" s="159">
        <v>-25247</v>
      </c>
      <c r="H16" s="159">
        <v>-33628</v>
      </c>
      <c r="I16" s="159">
        <v>-32238</v>
      </c>
      <c r="J16" s="159">
        <v>-45724</v>
      </c>
      <c r="K16" s="159">
        <v>-43111</v>
      </c>
      <c r="L16" s="159">
        <v>-53043</v>
      </c>
      <c r="M16" s="159">
        <v>-46037</v>
      </c>
      <c r="N16" s="159">
        <v>-56514</v>
      </c>
      <c r="O16" s="159">
        <v>-53443</v>
      </c>
      <c r="P16" s="159">
        <v>-56530</v>
      </c>
      <c r="Q16" s="159">
        <v>-30030</v>
      </c>
      <c r="R16" s="159">
        <v>-41214</v>
      </c>
      <c r="S16" s="159">
        <v>-40375</v>
      </c>
      <c r="T16" s="159">
        <v>-47882</v>
      </c>
      <c r="U16" s="159">
        <v>-46347</v>
      </c>
      <c r="V16" s="159">
        <v>-57916</v>
      </c>
      <c r="W16" s="159">
        <v>-50853</v>
      </c>
      <c r="X16" s="159">
        <v>-42200</v>
      </c>
      <c r="Y16" s="159">
        <v>-37763</v>
      </c>
      <c r="Z16" s="159">
        <v>-45721</v>
      </c>
      <c r="AA16" s="159">
        <v>-39233</v>
      </c>
      <c r="AB16" s="159">
        <v>-47283</v>
      </c>
      <c r="AC16" s="159">
        <v>-37491</v>
      </c>
      <c r="AD16" s="159">
        <v>-47480</v>
      </c>
      <c r="AE16" s="159">
        <v>-43211</v>
      </c>
      <c r="AF16" s="159">
        <v>-52071</v>
      </c>
      <c r="AG16" s="159">
        <v>-43029</v>
      </c>
      <c r="AH16" s="159">
        <v>-51094</v>
      </c>
      <c r="AI16" s="159">
        <v>-49356</v>
      </c>
      <c r="AJ16" s="159">
        <v>-55832</v>
      </c>
      <c r="AK16" s="159">
        <v>-43882</v>
      </c>
      <c r="AL16" s="159">
        <v>-59504</v>
      </c>
      <c r="AM16" s="159">
        <v>-57373</v>
      </c>
      <c r="AN16" s="159">
        <v>-58878</v>
      </c>
      <c r="AO16" s="159">
        <v>-49619</v>
      </c>
      <c r="AP16" s="159">
        <v>-67586</v>
      </c>
      <c r="AQ16" s="159">
        <v>-63902</v>
      </c>
      <c r="AR16" s="159">
        <v>-74969</v>
      </c>
      <c r="AS16" s="159">
        <v>-56027</v>
      </c>
      <c r="AT16" s="159">
        <v>-68200</v>
      </c>
      <c r="AU16" s="159">
        <v>-62010</v>
      </c>
      <c r="AV16" s="159">
        <v>-57860</v>
      </c>
      <c r="AW16" s="159">
        <v>-47511</v>
      </c>
      <c r="AX16" s="159">
        <v>-57079</v>
      </c>
      <c r="AY16" s="159">
        <v>-48776</v>
      </c>
      <c r="AZ16" s="159">
        <v>-53064.3</v>
      </c>
      <c r="BA16" s="159">
        <v>-66562</v>
      </c>
      <c r="BB16" s="159">
        <v>-82188</v>
      </c>
      <c r="BC16" s="159">
        <v>-65197.561172857386</v>
      </c>
      <c r="BD16" s="159">
        <v>-63993</v>
      </c>
      <c r="BE16" s="159">
        <v>-69546</v>
      </c>
      <c r="BF16" s="159">
        <v>-89023</v>
      </c>
      <c r="BG16" s="159">
        <v>-96182.288379999984</v>
      </c>
      <c r="BH16" s="159">
        <v>-132813.24235000001</v>
      </c>
      <c r="BI16" s="159">
        <v>-197469.97429251063</v>
      </c>
      <c r="BJ16" s="159">
        <v>-250867.06356000001</v>
      </c>
      <c r="BK16" s="159">
        <v>-250443</v>
      </c>
      <c r="BL16" s="159">
        <v>-206724.01314000002</v>
      </c>
      <c r="BM16" s="159">
        <v>-141637</v>
      </c>
      <c r="BN16" s="159">
        <v>-154297.63933000001</v>
      </c>
      <c r="BO16" s="159">
        <v>-168317</v>
      </c>
      <c r="BP16" s="159">
        <v>-177888.47336</v>
      </c>
      <c r="BQ16" s="159">
        <v>-157573</v>
      </c>
      <c r="BR16" s="159">
        <v>-184365.63114000001</v>
      </c>
      <c r="BS16" s="159">
        <v>-203111</v>
      </c>
      <c r="BT16" s="159">
        <v>-210923</v>
      </c>
      <c r="BU16" s="159">
        <v>-185822</v>
      </c>
      <c r="BV16" s="159">
        <v>-170949.69116999995</v>
      </c>
      <c r="BW16" s="159">
        <v>-155455</v>
      </c>
      <c r="BX16" s="159">
        <v>-141413.44217999998</v>
      </c>
      <c r="BY16" s="159">
        <v>-119930</v>
      </c>
      <c r="BZ16" s="159">
        <v>-101419</v>
      </c>
      <c r="CA16" s="159">
        <v>-94920</v>
      </c>
      <c r="CB16" s="210">
        <v>-94214</v>
      </c>
      <c r="CC16" s="512"/>
      <c r="CD16" s="181"/>
    </row>
    <row r="17" spans="1:82" ht="16.350000000000001" customHeight="1">
      <c r="A17" s="186"/>
      <c r="B17" s="187" t="s">
        <v>419</v>
      </c>
      <c r="C17" s="187" t="s">
        <v>420</v>
      </c>
      <c r="D17" s="188">
        <f t="shared" ref="D17:AI17" si="12">SUM(D14:D16)</f>
        <v>421558</v>
      </c>
      <c r="E17" s="188">
        <f t="shared" si="12"/>
        <v>355740</v>
      </c>
      <c r="F17" s="188">
        <f t="shared" si="12"/>
        <v>387437</v>
      </c>
      <c r="G17" s="188">
        <f t="shared" si="12"/>
        <v>374275</v>
      </c>
      <c r="H17" s="188">
        <f t="shared" si="12"/>
        <v>549765</v>
      </c>
      <c r="I17" s="188">
        <f t="shared" si="12"/>
        <v>417106</v>
      </c>
      <c r="J17" s="188">
        <f t="shared" si="12"/>
        <v>435701</v>
      </c>
      <c r="K17" s="188">
        <f t="shared" si="12"/>
        <v>402061</v>
      </c>
      <c r="L17" s="188">
        <f t="shared" si="12"/>
        <v>544340</v>
      </c>
      <c r="M17" s="188">
        <f t="shared" si="12"/>
        <v>471445.52886000002</v>
      </c>
      <c r="N17" s="188">
        <f t="shared" si="12"/>
        <v>475235.98684999999</v>
      </c>
      <c r="O17" s="188">
        <f t="shared" si="12"/>
        <v>436498.81229999999</v>
      </c>
      <c r="P17" s="188">
        <f t="shared" si="12"/>
        <v>536335.12911999994</v>
      </c>
      <c r="Q17" s="188">
        <f t="shared" si="12"/>
        <v>448016.23134257761</v>
      </c>
      <c r="R17" s="188">
        <f t="shared" si="12"/>
        <v>474361.87944273592</v>
      </c>
      <c r="S17" s="188">
        <f t="shared" si="12"/>
        <v>433082.42712529137</v>
      </c>
      <c r="T17" s="188">
        <f t="shared" si="12"/>
        <v>577033.79825270409</v>
      </c>
      <c r="U17" s="188">
        <f t="shared" si="12"/>
        <v>477477.06740255188</v>
      </c>
      <c r="V17" s="188">
        <f t="shared" si="12"/>
        <v>501436.98646449391</v>
      </c>
      <c r="W17" s="188">
        <f t="shared" si="12"/>
        <v>469902.55464931502</v>
      </c>
      <c r="X17" s="188">
        <f t="shared" si="12"/>
        <v>628778.68228157703</v>
      </c>
      <c r="Y17" s="188">
        <f t="shared" si="12"/>
        <v>537574.47369856946</v>
      </c>
      <c r="Z17" s="188">
        <f t="shared" si="12"/>
        <v>569025.56690856849</v>
      </c>
      <c r="AA17" s="188">
        <f t="shared" si="12"/>
        <v>520522.87783019152</v>
      </c>
      <c r="AB17" s="188">
        <f t="shared" si="12"/>
        <v>706976</v>
      </c>
      <c r="AC17" s="188">
        <f t="shared" si="12"/>
        <v>606665</v>
      </c>
      <c r="AD17" s="188">
        <f t="shared" si="12"/>
        <v>638656</v>
      </c>
      <c r="AE17" s="188">
        <f t="shared" si="12"/>
        <v>626795.24</v>
      </c>
      <c r="AF17" s="188">
        <f t="shared" si="12"/>
        <v>843412</v>
      </c>
      <c r="AG17" s="188">
        <f t="shared" si="12"/>
        <v>726250.95136228332</v>
      </c>
      <c r="AH17" s="188">
        <f t="shared" si="12"/>
        <v>742359.94277189346</v>
      </c>
      <c r="AI17" s="188">
        <f t="shared" si="12"/>
        <v>737064.31403501856</v>
      </c>
      <c r="AJ17" s="188">
        <f t="shared" ref="AJ17:BO17" si="13">SUM(AJ14:AJ16)</f>
        <v>1005015.334109338</v>
      </c>
      <c r="AK17" s="188">
        <f t="shared" si="13"/>
        <v>855993.42932842183</v>
      </c>
      <c r="AL17" s="188">
        <f t="shared" si="13"/>
        <v>826502</v>
      </c>
      <c r="AM17" s="188">
        <f t="shared" si="13"/>
        <v>779014</v>
      </c>
      <c r="AN17" s="188">
        <f t="shared" si="13"/>
        <v>1088228</v>
      </c>
      <c r="AO17" s="188">
        <f t="shared" si="13"/>
        <v>924965</v>
      </c>
      <c r="AP17" s="188">
        <f t="shared" si="13"/>
        <v>944241.42827999988</v>
      </c>
      <c r="AQ17" s="188">
        <f t="shared" si="13"/>
        <v>883047</v>
      </c>
      <c r="AR17" s="188">
        <f t="shared" si="13"/>
        <v>1135144</v>
      </c>
      <c r="AS17" s="188">
        <f t="shared" si="13"/>
        <v>919152</v>
      </c>
      <c r="AT17" s="188">
        <f t="shared" si="13"/>
        <v>946106</v>
      </c>
      <c r="AU17" s="188">
        <f t="shared" si="13"/>
        <v>853959</v>
      </c>
      <c r="AV17" s="188">
        <f t="shared" si="13"/>
        <v>1138658</v>
      </c>
      <c r="AW17" s="188">
        <f t="shared" si="13"/>
        <v>937523</v>
      </c>
      <c r="AX17" s="188">
        <f t="shared" si="13"/>
        <v>894524</v>
      </c>
      <c r="AY17" s="188">
        <f t="shared" si="13"/>
        <v>820440.75777000003</v>
      </c>
      <c r="AZ17" s="188">
        <f t="shared" si="13"/>
        <v>1078907.7244600002</v>
      </c>
      <c r="BA17" s="188">
        <f t="shared" si="13"/>
        <v>887615.91079999995</v>
      </c>
      <c r="BB17" s="188">
        <f t="shared" si="13"/>
        <v>895743.85585999989</v>
      </c>
      <c r="BC17" s="188">
        <f t="shared" si="13"/>
        <v>860448.54084714258</v>
      </c>
      <c r="BD17" s="188">
        <f t="shared" si="13"/>
        <v>1196264.7797699999</v>
      </c>
      <c r="BE17" s="188">
        <f t="shared" si="13"/>
        <v>1016498.3037357903</v>
      </c>
      <c r="BF17" s="188">
        <f t="shared" si="13"/>
        <v>970846.74260919634</v>
      </c>
      <c r="BG17" s="188">
        <f t="shared" si="13"/>
        <v>963423.79432052816</v>
      </c>
      <c r="BH17" s="188">
        <f t="shared" si="13"/>
        <v>1240413.4859649451</v>
      </c>
      <c r="BI17" s="188">
        <f t="shared" si="13"/>
        <v>958066.78823748929</v>
      </c>
      <c r="BJ17" s="188">
        <f t="shared" si="13"/>
        <v>532699.65403000033</v>
      </c>
      <c r="BK17" s="188">
        <f t="shared" si="13"/>
        <v>600666.26572999987</v>
      </c>
      <c r="BL17" s="188">
        <f t="shared" si="13"/>
        <v>960930.98685999995</v>
      </c>
      <c r="BM17" s="188">
        <f t="shared" si="13"/>
        <v>698348.99999999988</v>
      </c>
      <c r="BN17" s="188">
        <f t="shared" si="13"/>
        <v>730007.54388000001</v>
      </c>
      <c r="BO17" s="189">
        <f t="shared" si="13"/>
        <v>708454</v>
      </c>
      <c r="BP17" s="188">
        <f t="shared" ref="BP17:BZ17" si="14">SUM(BP14:BP16)</f>
        <v>926461.09984000004</v>
      </c>
      <c r="BQ17" s="188">
        <f t="shared" si="14"/>
        <v>787296</v>
      </c>
      <c r="BR17" s="188">
        <f t="shared" si="14"/>
        <v>808355.10109000001</v>
      </c>
      <c r="BS17" s="188">
        <f t="shared" si="14"/>
        <v>675525.21065000014</v>
      </c>
      <c r="BT17" s="188">
        <f t="shared" si="14"/>
        <v>752286.56176000019</v>
      </c>
      <c r="BU17" s="188">
        <f t="shared" si="14"/>
        <v>624103</v>
      </c>
      <c r="BV17" s="188">
        <f t="shared" si="14"/>
        <v>605307.71386000025</v>
      </c>
      <c r="BW17" s="189">
        <f t="shared" si="14"/>
        <v>535040</v>
      </c>
      <c r="BX17" s="188">
        <f t="shared" si="14"/>
        <v>644897.50209000031</v>
      </c>
      <c r="BY17" s="188">
        <f t="shared" si="14"/>
        <v>539594.47398000013</v>
      </c>
      <c r="BZ17" s="188">
        <f t="shared" si="14"/>
        <v>545078.5962700001</v>
      </c>
      <c r="CA17" s="188">
        <f t="shared" ref="CA17:CB17" si="15">SUM(CA14:CA16)</f>
        <v>537567</v>
      </c>
      <c r="CB17" s="213">
        <f t="shared" si="15"/>
        <v>665658.86339999991</v>
      </c>
      <c r="CC17" s="512"/>
    </row>
    <row r="18" spans="1:82" ht="16.350000000000001" customHeight="1" collapsed="1">
      <c r="A18" s="174"/>
      <c r="B18" s="190"/>
      <c r="C18" s="190"/>
      <c r="D18" s="176"/>
      <c r="E18" s="176"/>
      <c r="F18" s="176"/>
      <c r="G18" s="176"/>
      <c r="H18" s="176"/>
      <c r="I18" s="176"/>
      <c r="J18" s="176"/>
      <c r="K18" s="176"/>
      <c r="L18" s="176"/>
      <c r="M18" s="176"/>
      <c r="N18" s="176"/>
      <c r="O18" s="176"/>
      <c r="P18" s="176"/>
      <c r="Q18" s="176"/>
      <c r="R18" s="176"/>
      <c r="S18" s="176"/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  <c r="AT18" s="176"/>
      <c r="AU18" s="176"/>
      <c r="AV18" s="176"/>
      <c r="AW18" s="176"/>
      <c r="AX18" s="176"/>
      <c r="AY18" s="176"/>
      <c r="AZ18" s="176"/>
      <c r="BA18" s="176"/>
      <c r="BB18" s="176"/>
      <c r="BC18" s="176"/>
      <c r="BD18" s="176"/>
      <c r="BE18" s="176"/>
      <c r="BF18" s="176"/>
      <c r="BG18" s="176"/>
      <c r="BH18" s="176"/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176"/>
      <c r="BT18" s="176"/>
      <c r="BU18" s="176"/>
      <c r="BV18" s="176"/>
      <c r="BY18" s="191"/>
      <c r="BZ18" s="191"/>
      <c r="CA18" s="191"/>
      <c r="CB18" s="181"/>
      <c r="CC18" s="512"/>
    </row>
    <row r="19" spans="1:82" ht="16.350000000000001" customHeight="1">
      <c r="A19" s="179"/>
      <c r="B19" s="76" t="s">
        <v>424</v>
      </c>
      <c r="C19" s="76" t="s">
        <v>424</v>
      </c>
      <c r="D19" s="119"/>
      <c r="E19" s="119"/>
      <c r="F19" s="119"/>
      <c r="G19" s="119"/>
      <c r="H19" s="119"/>
      <c r="I19" s="119"/>
      <c r="J19" s="119"/>
      <c r="K19" s="119"/>
      <c r="L19" s="119"/>
      <c r="M19" s="119"/>
      <c r="N19" s="119"/>
      <c r="O19" s="119"/>
      <c r="P19" s="119"/>
      <c r="Q19" s="119"/>
      <c r="R19" s="119"/>
      <c r="S19" s="119"/>
      <c r="T19" s="119"/>
      <c r="U19" s="119"/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214"/>
      <c r="CC19" s="512"/>
    </row>
    <row r="20" spans="1:82" ht="16.350000000000001" customHeight="1">
      <c r="A20" s="180"/>
      <c r="B20" s="158" t="s">
        <v>619</v>
      </c>
      <c r="C20" s="158" t="s">
        <v>100</v>
      </c>
      <c r="D20" s="159">
        <v>0</v>
      </c>
      <c r="E20" s="159">
        <v>0</v>
      </c>
      <c r="F20" s="159">
        <v>0</v>
      </c>
      <c r="G20" s="159">
        <v>0</v>
      </c>
      <c r="H20" s="159">
        <v>0</v>
      </c>
      <c r="I20" s="159">
        <v>0</v>
      </c>
      <c r="J20" s="159">
        <v>0</v>
      </c>
      <c r="K20" s="159">
        <v>0</v>
      </c>
      <c r="L20" s="159">
        <v>0</v>
      </c>
      <c r="M20" s="159">
        <v>0</v>
      </c>
      <c r="N20" s="159">
        <v>0</v>
      </c>
      <c r="O20" s="159">
        <v>0</v>
      </c>
      <c r="P20" s="159">
        <v>0</v>
      </c>
      <c r="Q20" s="159">
        <v>0</v>
      </c>
      <c r="R20" s="159">
        <v>0</v>
      </c>
      <c r="S20" s="159">
        <v>0</v>
      </c>
      <c r="T20" s="159">
        <v>0</v>
      </c>
      <c r="U20" s="159">
        <v>0</v>
      </c>
      <c r="V20" s="159">
        <v>0</v>
      </c>
      <c r="W20" s="159">
        <v>0</v>
      </c>
      <c r="X20" s="159">
        <v>0</v>
      </c>
      <c r="Y20" s="159">
        <v>0</v>
      </c>
      <c r="Z20" s="159">
        <v>0</v>
      </c>
      <c r="AA20" s="159">
        <v>0</v>
      </c>
      <c r="AB20" s="159">
        <v>0</v>
      </c>
      <c r="AC20" s="159">
        <v>0</v>
      </c>
      <c r="AD20" s="159">
        <v>50259</v>
      </c>
      <c r="AE20" s="159">
        <v>61153</v>
      </c>
      <c r="AF20" s="159">
        <v>70405</v>
      </c>
      <c r="AG20" s="159">
        <v>64322</v>
      </c>
      <c r="AH20" s="159">
        <v>75643</v>
      </c>
      <c r="AI20" s="159">
        <v>106558</v>
      </c>
      <c r="AJ20" s="159">
        <v>146326</v>
      </c>
      <c r="AK20" s="159">
        <v>169032</v>
      </c>
      <c r="AL20" s="159">
        <v>193617</v>
      </c>
      <c r="AM20" s="159">
        <v>223460</v>
      </c>
      <c r="AN20" s="159">
        <v>281017</v>
      </c>
      <c r="AO20" s="159">
        <v>267839</v>
      </c>
      <c r="AP20" s="159">
        <v>296882.33</v>
      </c>
      <c r="AQ20" s="159">
        <v>315548</v>
      </c>
      <c r="AR20" s="159">
        <v>374417.30826820002</v>
      </c>
      <c r="AS20" s="159">
        <v>342352</v>
      </c>
      <c r="AT20" s="159">
        <v>363072</v>
      </c>
      <c r="AU20" s="159">
        <v>378020</v>
      </c>
      <c r="AV20" s="159">
        <v>433712</v>
      </c>
      <c r="AW20" s="159">
        <v>458730</v>
      </c>
      <c r="AX20" s="159">
        <v>613136</v>
      </c>
      <c r="AY20" s="159">
        <v>706579</v>
      </c>
      <c r="AZ20" s="159">
        <v>841339.56510000024</v>
      </c>
      <c r="BA20" s="159">
        <v>822166.2420919094</v>
      </c>
      <c r="BB20" s="159">
        <v>889002.05926000001</v>
      </c>
      <c r="BC20" s="159">
        <v>933964.12396</v>
      </c>
      <c r="BD20" s="159">
        <v>1187581.8284199999</v>
      </c>
      <c r="BE20" s="159">
        <v>1158429.5316440314</v>
      </c>
      <c r="BF20" s="159">
        <v>1262353.9195399999</v>
      </c>
      <c r="BG20" s="159">
        <v>1422994.6815599997</v>
      </c>
      <c r="BH20" s="159">
        <v>1713197.3375818464</v>
      </c>
      <c r="BI20" s="159">
        <v>1647974.9540099993</v>
      </c>
      <c r="BJ20" s="159">
        <v>1384345.7757899999</v>
      </c>
      <c r="BK20" s="159">
        <v>1627036.1244099999</v>
      </c>
      <c r="BL20" s="159">
        <v>2030498.7735400007</v>
      </c>
      <c r="BM20" s="159">
        <v>1870036.8525200004</v>
      </c>
      <c r="BN20" s="159">
        <v>2146634.5665099998</v>
      </c>
      <c r="BO20" s="159">
        <v>2348127</v>
      </c>
      <c r="BP20" s="159">
        <v>3103515.8323999997</v>
      </c>
      <c r="BQ20" s="159">
        <v>3148970.78926</v>
      </c>
      <c r="BR20" s="159">
        <v>3447147.8239199994</v>
      </c>
      <c r="BS20" s="159">
        <v>3523791.4066199996</v>
      </c>
      <c r="BT20" s="159">
        <v>4032634.1418699995</v>
      </c>
      <c r="BU20" s="159">
        <v>3887350</v>
      </c>
      <c r="BV20" s="159">
        <v>3900225.6298300005</v>
      </c>
      <c r="BW20" s="159">
        <v>3648753</v>
      </c>
      <c r="BX20" s="159">
        <v>4026247.3371000006</v>
      </c>
      <c r="BY20" s="159">
        <v>3783880.2374800001</v>
      </c>
      <c r="BZ20" s="159">
        <v>3939508.6784699997</v>
      </c>
      <c r="CA20" s="159">
        <v>3970936</v>
      </c>
      <c r="CB20" s="210">
        <v>4352964.9425400002</v>
      </c>
      <c r="CC20" s="512"/>
      <c r="CD20" s="181"/>
    </row>
    <row r="21" spans="1:82" ht="16.350000000000001" customHeight="1">
      <c r="A21" s="180"/>
      <c r="B21" s="158" t="s">
        <v>504</v>
      </c>
      <c r="C21" s="158" t="s">
        <v>182</v>
      </c>
      <c r="D21" s="159">
        <f t="shared" ref="D21:BO21" si="16">SUM(D22:D24)</f>
        <v>0</v>
      </c>
      <c r="E21" s="159">
        <f t="shared" si="16"/>
        <v>0</v>
      </c>
      <c r="F21" s="159">
        <f t="shared" si="16"/>
        <v>0</v>
      </c>
      <c r="G21" s="159">
        <f t="shared" si="16"/>
        <v>0</v>
      </c>
      <c r="H21" s="159">
        <f t="shared" si="16"/>
        <v>0</v>
      </c>
      <c r="I21" s="159">
        <f t="shared" si="16"/>
        <v>0</v>
      </c>
      <c r="J21" s="159">
        <f t="shared" si="16"/>
        <v>0</v>
      </c>
      <c r="K21" s="159">
        <f t="shared" si="16"/>
        <v>0</v>
      </c>
      <c r="L21" s="159">
        <f t="shared" si="16"/>
        <v>0</v>
      </c>
      <c r="M21" s="159">
        <f t="shared" si="16"/>
        <v>0</v>
      </c>
      <c r="N21" s="159">
        <f t="shared" si="16"/>
        <v>0</v>
      </c>
      <c r="O21" s="159">
        <f t="shared" si="16"/>
        <v>0</v>
      </c>
      <c r="P21" s="159">
        <f t="shared" si="16"/>
        <v>0</v>
      </c>
      <c r="Q21" s="159">
        <f t="shared" si="16"/>
        <v>0</v>
      </c>
      <c r="R21" s="159">
        <f t="shared" si="16"/>
        <v>0</v>
      </c>
      <c r="S21" s="159">
        <f t="shared" si="16"/>
        <v>0</v>
      </c>
      <c r="T21" s="159">
        <f t="shared" si="16"/>
        <v>0</v>
      </c>
      <c r="U21" s="159">
        <f t="shared" si="16"/>
        <v>0</v>
      </c>
      <c r="V21" s="159">
        <f t="shared" si="16"/>
        <v>0</v>
      </c>
      <c r="W21" s="159">
        <f t="shared" si="16"/>
        <v>0</v>
      </c>
      <c r="X21" s="159">
        <f t="shared" si="16"/>
        <v>0</v>
      </c>
      <c r="Y21" s="159">
        <f t="shared" si="16"/>
        <v>0</v>
      </c>
      <c r="Z21" s="159">
        <f t="shared" si="16"/>
        <v>0</v>
      </c>
      <c r="AA21" s="159">
        <f t="shared" si="16"/>
        <v>0</v>
      </c>
      <c r="AB21" s="159">
        <f t="shared" si="16"/>
        <v>0</v>
      </c>
      <c r="AC21" s="159">
        <f t="shared" si="16"/>
        <v>0</v>
      </c>
      <c r="AD21" s="159">
        <v>12335</v>
      </c>
      <c r="AE21" s="159">
        <v>19260</v>
      </c>
      <c r="AF21" s="159">
        <v>20308</v>
      </c>
      <c r="AG21" s="159">
        <v>19833</v>
      </c>
      <c r="AH21" s="159">
        <v>18196</v>
      </c>
      <c r="AI21" s="159">
        <v>22109</v>
      </c>
      <c r="AJ21" s="159">
        <v>28981</v>
      </c>
      <c r="AK21" s="159">
        <v>38910</v>
      </c>
      <c r="AL21" s="159">
        <v>54076</v>
      </c>
      <c r="AM21" s="159">
        <v>61490</v>
      </c>
      <c r="AN21" s="159">
        <v>56988</v>
      </c>
      <c r="AO21" s="159">
        <f t="shared" si="16"/>
        <v>80354.719125599993</v>
      </c>
      <c r="AP21" s="159">
        <f t="shared" si="16"/>
        <v>92721.46924830004</v>
      </c>
      <c r="AQ21" s="159">
        <f t="shared" si="16"/>
        <v>92727.485709999994</v>
      </c>
      <c r="AR21" s="159">
        <f t="shared" si="16"/>
        <v>80807.691731799976</v>
      </c>
      <c r="AS21" s="159">
        <f t="shared" si="16"/>
        <v>105141.17010150007</v>
      </c>
      <c r="AT21" s="159">
        <f t="shared" si="16"/>
        <v>115647.08144600011</v>
      </c>
      <c r="AU21" s="159">
        <f t="shared" si="16"/>
        <v>114063.46272440003</v>
      </c>
      <c r="AV21" s="159">
        <f t="shared" si="16"/>
        <v>95752.019859299922</v>
      </c>
      <c r="AW21" s="159">
        <f t="shared" si="16"/>
        <v>115090.81422010003</v>
      </c>
      <c r="AX21" s="159">
        <f t="shared" si="16"/>
        <v>219443.04233610004</v>
      </c>
      <c r="AY21" s="159">
        <f t="shared" si="16"/>
        <v>181551.08537999995</v>
      </c>
      <c r="AZ21" s="159">
        <f t="shared" si="16"/>
        <v>241150</v>
      </c>
      <c r="BA21" s="159">
        <f t="shared" si="16"/>
        <v>249188.59114999999</v>
      </c>
      <c r="BB21" s="159">
        <f t="shared" si="16"/>
        <v>266341.12306000007</v>
      </c>
      <c r="BC21" s="159">
        <f t="shared" si="16"/>
        <v>275948.49036</v>
      </c>
      <c r="BD21" s="159">
        <f t="shared" si="16"/>
        <v>269842.92554999993</v>
      </c>
      <c r="BE21" s="159">
        <f t="shared" si="16"/>
        <v>297665.38063999999</v>
      </c>
      <c r="BF21" s="159">
        <f t="shared" si="16"/>
        <v>334910.58155</v>
      </c>
      <c r="BG21" s="159">
        <f t="shared" si="16"/>
        <v>355019.70194</v>
      </c>
      <c r="BH21" s="159">
        <f t="shared" si="16"/>
        <v>365180.27952999994</v>
      </c>
      <c r="BI21" s="159">
        <f t="shared" si="16"/>
        <v>432296.19919000013</v>
      </c>
      <c r="BJ21" s="159">
        <f t="shared" si="16"/>
        <v>482065.04661000019</v>
      </c>
      <c r="BK21" s="159">
        <f t="shared" si="16"/>
        <v>381558.77735000046</v>
      </c>
      <c r="BL21" s="159">
        <f t="shared" si="16"/>
        <v>325417.65184999979</v>
      </c>
      <c r="BM21" s="159">
        <f t="shared" si="16"/>
        <v>330638.76536999986</v>
      </c>
      <c r="BN21" s="159">
        <f t="shared" si="16"/>
        <v>380232.52760999999</v>
      </c>
      <c r="BO21" s="159">
        <f t="shared" si="16"/>
        <v>484926</v>
      </c>
      <c r="BP21" s="159">
        <f t="shared" ref="BP21" si="17">SUM(BP22:BP24)</f>
        <v>590228.35837000003</v>
      </c>
      <c r="BQ21" s="159">
        <f t="shared" ref="BQ21:BV21" si="18">SUM(BQ22:BQ24)</f>
        <v>830406.21074000001</v>
      </c>
      <c r="BR21" s="159">
        <f t="shared" si="18"/>
        <v>1044885.1555300001</v>
      </c>
      <c r="BS21" s="159">
        <f t="shared" si="18"/>
        <v>1235245.3700900001</v>
      </c>
      <c r="BT21" s="159">
        <f t="shared" si="18"/>
        <v>1353299.0417700002</v>
      </c>
      <c r="BU21" s="159">
        <f t="shared" si="18"/>
        <v>1464743</v>
      </c>
      <c r="BV21" s="159">
        <f t="shared" si="18"/>
        <v>1518265.4734099996</v>
      </c>
      <c r="BW21" s="159">
        <f t="shared" ref="BW21:BX21" si="19">SUM(BW22:BW24)</f>
        <v>1470046</v>
      </c>
      <c r="BX21" s="159">
        <f t="shared" si="19"/>
        <v>1361600.4903299999</v>
      </c>
      <c r="BY21" s="159">
        <f t="shared" ref="BY21:BZ21" si="20">SUM(BY22:BY24)</f>
        <v>1297881.0837400001</v>
      </c>
      <c r="BZ21" s="159">
        <f t="shared" si="20"/>
        <v>1206101.59308</v>
      </c>
      <c r="CA21" s="159">
        <f t="shared" ref="CA21:CB21" si="21">SUM(CA22:CA24)</f>
        <v>1122582</v>
      </c>
      <c r="CB21" s="210">
        <f t="shared" si="21"/>
        <v>1057357.5966099999</v>
      </c>
      <c r="CC21" s="512"/>
      <c r="CD21" s="181"/>
    </row>
    <row r="22" spans="1:82" ht="16.350000000000001" customHeight="1">
      <c r="A22" s="174"/>
      <c r="B22" s="169" t="s">
        <v>505</v>
      </c>
      <c r="C22" s="169" t="s">
        <v>414</v>
      </c>
      <c r="D22" s="182">
        <v>0</v>
      </c>
      <c r="E22" s="182">
        <v>0</v>
      </c>
      <c r="F22" s="182">
        <v>0</v>
      </c>
      <c r="G22" s="182">
        <v>0</v>
      </c>
      <c r="H22" s="182">
        <v>0</v>
      </c>
      <c r="I22" s="182">
        <v>0</v>
      </c>
      <c r="J22" s="182">
        <v>0</v>
      </c>
      <c r="K22" s="182">
        <v>0</v>
      </c>
      <c r="L22" s="182">
        <v>0</v>
      </c>
      <c r="M22" s="182">
        <v>0</v>
      </c>
      <c r="N22" s="182">
        <v>0</v>
      </c>
      <c r="O22" s="182">
        <v>0</v>
      </c>
      <c r="P22" s="182">
        <v>0</v>
      </c>
      <c r="Q22" s="182">
        <v>0</v>
      </c>
      <c r="R22" s="182">
        <v>0</v>
      </c>
      <c r="S22" s="182">
        <v>0</v>
      </c>
      <c r="T22" s="182">
        <v>0</v>
      </c>
      <c r="U22" s="182">
        <v>0</v>
      </c>
      <c r="V22" s="182">
        <v>0</v>
      </c>
      <c r="W22" s="182">
        <v>0</v>
      </c>
      <c r="X22" s="182">
        <v>0</v>
      </c>
      <c r="Y22" s="182">
        <v>0</v>
      </c>
      <c r="Z22" s="182">
        <v>0</v>
      </c>
      <c r="AA22" s="182">
        <v>0</v>
      </c>
      <c r="AB22" s="182">
        <v>0</v>
      </c>
      <c r="AC22" s="182">
        <v>0</v>
      </c>
      <c r="AD22" s="182">
        <v>0</v>
      </c>
      <c r="AE22" s="182">
        <v>0</v>
      </c>
      <c r="AF22" s="182">
        <v>0</v>
      </c>
      <c r="AG22" s="182">
        <v>0</v>
      </c>
      <c r="AH22" s="182">
        <v>0</v>
      </c>
      <c r="AI22" s="182">
        <v>0</v>
      </c>
      <c r="AJ22" s="182">
        <v>0</v>
      </c>
      <c r="AK22" s="182">
        <v>0</v>
      </c>
      <c r="AL22" s="182">
        <v>0</v>
      </c>
      <c r="AM22" s="182">
        <v>0</v>
      </c>
      <c r="AN22" s="182">
        <v>0</v>
      </c>
      <c r="AO22" s="182">
        <v>63564.429465599998</v>
      </c>
      <c r="AP22" s="182">
        <v>66758.732398300053</v>
      </c>
      <c r="AQ22" s="182">
        <v>67162.772229999988</v>
      </c>
      <c r="AR22" s="182">
        <v>54252.254781799988</v>
      </c>
      <c r="AS22" s="182">
        <v>79886.16372390007</v>
      </c>
      <c r="AT22" s="182">
        <v>80770.059136000142</v>
      </c>
      <c r="AU22" s="182">
        <v>81010.722194400034</v>
      </c>
      <c r="AV22" s="182">
        <v>63229.284709299929</v>
      </c>
      <c r="AW22" s="182">
        <v>89037.018169600036</v>
      </c>
      <c r="AX22" s="182">
        <v>186962.45896000005</v>
      </c>
      <c r="AY22" s="182">
        <v>86544.897899999996</v>
      </c>
      <c r="AZ22" s="182">
        <v>84010</v>
      </c>
      <c r="BA22" s="182">
        <v>100742.94423000001</v>
      </c>
      <c r="BB22" s="182">
        <v>105863.26884</v>
      </c>
      <c r="BC22" s="182">
        <v>107497.31062</v>
      </c>
      <c r="BD22" s="182">
        <v>93041.759049999993</v>
      </c>
      <c r="BE22" s="182">
        <v>129846.68956000001</v>
      </c>
      <c r="BF22" s="182">
        <v>147182.79808000001</v>
      </c>
      <c r="BG22" s="182">
        <v>144752.36992</v>
      </c>
      <c r="BH22" s="182">
        <v>133154.67878999998</v>
      </c>
      <c r="BI22" s="182">
        <v>181356.23506000009</v>
      </c>
      <c r="BJ22" s="182">
        <v>144763.82067000004</v>
      </c>
      <c r="BK22" s="182">
        <v>79670.279550000298</v>
      </c>
      <c r="BL22" s="182">
        <v>84689.074249999772</v>
      </c>
      <c r="BM22" s="182">
        <v>160017.84468999988</v>
      </c>
      <c r="BN22" s="182">
        <v>150870.6225</v>
      </c>
      <c r="BO22" s="182">
        <v>205987</v>
      </c>
      <c r="BP22" s="182">
        <v>233378.57809999998</v>
      </c>
      <c r="BQ22" s="182">
        <v>370884.72581000003</v>
      </c>
      <c r="BR22" s="182">
        <v>394885.35392000002</v>
      </c>
      <c r="BS22" s="182">
        <v>415026.92258000001</v>
      </c>
      <c r="BT22" s="182">
        <v>390964.40756999998</v>
      </c>
      <c r="BU22" s="182">
        <v>455454</v>
      </c>
      <c r="BV22" s="182">
        <v>419725.01841999998</v>
      </c>
      <c r="BW22" s="182">
        <v>366813</v>
      </c>
      <c r="BX22" s="182">
        <v>303297.36576999997</v>
      </c>
      <c r="BY22" s="182">
        <v>356337.49148999999</v>
      </c>
      <c r="BZ22" s="182">
        <v>300599.87894999998</v>
      </c>
      <c r="CA22" s="182">
        <v>287865</v>
      </c>
      <c r="CB22" s="211">
        <v>271060.81768999994</v>
      </c>
      <c r="CC22" s="512"/>
      <c r="CD22" s="181"/>
    </row>
    <row r="23" spans="1:82" ht="16.350000000000001" customHeight="1">
      <c r="A23" s="174"/>
      <c r="B23" s="169" t="s">
        <v>507</v>
      </c>
      <c r="C23" s="169" t="s">
        <v>421</v>
      </c>
      <c r="D23" s="182">
        <v>0</v>
      </c>
      <c r="E23" s="182">
        <v>0</v>
      </c>
      <c r="F23" s="182">
        <v>0</v>
      </c>
      <c r="G23" s="182">
        <v>0</v>
      </c>
      <c r="H23" s="182">
        <v>0</v>
      </c>
      <c r="I23" s="182">
        <v>0</v>
      </c>
      <c r="J23" s="182">
        <v>0</v>
      </c>
      <c r="K23" s="182">
        <v>0</v>
      </c>
      <c r="L23" s="182">
        <v>0</v>
      </c>
      <c r="M23" s="182">
        <v>0</v>
      </c>
      <c r="N23" s="182">
        <v>0</v>
      </c>
      <c r="O23" s="182">
        <v>0</v>
      </c>
      <c r="P23" s="182">
        <v>0</v>
      </c>
      <c r="Q23" s="182">
        <v>0</v>
      </c>
      <c r="R23" s="182">
        <v>0</v>
      </c>
      <c r="S23" s="182">
        <v>0</v>
      </c>
      <c r="T23" s="182">
        <v>0</v>
      </c>
      <c r="U23" s="182">
        <v>0</v>
      </c>
      <c r="V23" s="182">
        <v>0</v>
      </c>
      <c r="W23" s="182">
        <v>0</v>
      </c>
      <c r="X23" s="182">
        <v>0</v>
      </c>
      <c r="Y23" s="182">
        <v>0</v>
      </c>
      <c r="Z23" s="182">
        <v>0</v>
      </c>
      <c r="AA23" s="182">
        <v>0</v>
      </c>
      <c r="AB23" s="182">
        <v>0</v>
      </c>
      <c r="AC23" s="182">
        <v>0</v>
      </c>
      <c r="AD23" s="182">
        <v>0</v>
      </c>
      <c r="AE23" s="182">
        <v>0</v>
      </c>
      <c r="AF23" s="182">
        <v>0</v>
      </c>
      <c r="AG23" s="182">
        <v>0</v>
      </c>
      <c r="AH23" s="182">
        <v>0</v>
      </c>
      <c r="AI23" s="182">
        <v>0</v>
      </c>
      <c r="AJ23" s="182">
        <v>0</v>
      </c>
      <c r="AK23" s="182">
        <v>0</v>
      </c>
      <c r="AL23" s="182">
        <v>0</v>
      </c>
      <c r="AM23" s="182">
        <v>0</v>
      </c>
      <c r="AN23" s="182">
        <v>0</v>
      </c>
      <c r="AO23" s="182">
        <v>16790.289659999991</v>
      </c>
      <c r="AP23" s="182">
        <v>25962.736849999983</v>
      </c>
      <c r="AQ23" s="182">
        <v>25564.713480000009</v>
      </c>
      <c r="AR23" s="182">
        <v>26555.436949999985</v>
      </c>
      <c r="AS23" s="182">
        <v>25255.006377599999</v>
      </c>
      <c r="AT23" s="182">
        <v>34877.022309999971</v>
      </c>
      <c r="AU23" s="182">
        <v>33052.740529999995</v>
      </c>
      <c r="AV23" s="182">
        <v>32522.73514999999</v>
      </c>
      <c r="AW23" s="182">
        <v>26053.796050499997</v>
      </c>
      <c r="AX23" s="182">
        <v>32480.583376099985</v>
      </c>
      <c r="AY23" s="182">
        <v>59048.203659999985</v>
      </c>
      <c r="AZ23" s="182">
        <v>68938</v>
      </c>
      <c r="BA23" s="182">
        <v>55402.446780000006</v>
      </c>
      <c r="BB23" s="182">
        <v>73911.730990000025</v>
      </c>
      <c r="BC23" s="182">
        <v>66625.124349999998</v>
      </c>
      <c r="BD23" s="182">
        <v>64471.191619999969</v>
      </c>
      <c r="BE23" s="182">
        <v>60934.985709999994</v>
      </c>
      <c r="BF23" s="182">
        <v>82737.180959999998</v>
      </c>
      <c r="BG23" s="182">
        <v>89365.847509999992</v>
      </c>
      <c r="BH23" s="182">
        <v>89914.89923000001</v>
      </c>
      <c r="BI23" s="182">
        <v>99072.257310000001</v>
      </c>
      <c r="BJ23" s="182">
        <v>171035.98360000001</v>
      </c>
      <c r="BK23" s="182">
        <v>88914.177370000034</v>
      </c>
      <c r="BL23" s="182">
        <v>47633.082909999997</v>
      </c>
      <c r="BM23" s="182">
        <v>56812.979630000016</v>
      </c>
      <c r="BN23" s="182">
        <v>116847.83814999998</v>
      </c>
      <c r="BO23" s="182">
        <v>113650</v>
      </c>
      <c r="BP23" s="182">
        <v>153885.09109</v>
      </c>
      <c r="BQ23" s="182">
        <v>214774.69590999998</v>
      </c>
      <c r="BR23" s="182">
        <v>316027.47348000004</v>
      </c>
      <c r="BS23" s="182">
        <v>345883.27372000006</v>
      </c>
      <c r="BT23" s="182">
        <v>374885.64369</v>
      </c>
      <c r="BU23" s="182">
        <v>372428</v>
      </c>
      <c r="BV23" s="182">
        <v>424772.72131999995</v>
      </c>
      <c r="BW23" s="182">
        <v>378456</v>
      </c>
      <c r="BX23" s="182">
        <v>336038.13163000002</v>
      </c>
      <c r="BY23" s="182">
        <v>291954.85449000006</v>
      </c>
      <c r="BZ23" s="182">
        <v>320117.35223000002</v>
      </c>
      <c r="CA23" s="182">
        <v>270467</v>
      </c>
      <c r="CB23" s="211">
        <v>258066.12926000002</v>
      </c>
      <c r="CC23" s="512"/>
      <c r="CD23" s="181"/>
    </row>
    <row r="24" spans="1:82" ht="16.350000000000001" customHeight="1">
      <c r="A24" s="174"/>
      <c r="B24" s="169" t="s">
        <v>508</v>
      </c>
      <c r="C24" s="169" t="s">
        <v>422</v>
      </c>
      <c r="D24" s="182">
        <v>0</v>
      </c>
      <c r="E24" s="182">
        <v>0</v>
      </c>
      <c r="F24" s="182">
        <v>0</v>
      </c>
      <c r="G24" s="182">
        <v>0</v>
      </c>
      <c r="H24" s="182">
        <v>0</v>
      </c>
      <c r="I24" s="182">
        <v>0</v>
      </c>
      <c r="J24" s="182">
        <v>0</v>
      </c>
      <c r="K24" s="182">
        <v>0</v>
      </c>
      <c r="L24" s="182">
        <v>0</v>
      </c>
      <c r="M24" s="182">
        <v>0</v>
      </c>
      <c r="N24" s="182">
        <v>0</v>
      </c>
      <c r="O24" s="182">
        <v>0</v>
      </c>
      <c r="P24" s="182">
        <v>0</v>
      </c>
      <c r="Q24" s="182">
        <v>0</v>
      </c>
      <c r="R24" s="182">
        <v>0</v>
      </c>
      <c r="S24" s="182">
        <v>0</v>
      </c>
      <c r="T24" s="182">
        <v>0</v>
      </c>
      <c r="U24" s="182">
        <v>0</v>
      </c>
      <c r="V24" s="182">
        <v>0</v>
      </c>
      <c r="W24" s="182">
        <v>0</v>
      </c>
      <c r="X24" s="182">
        <v>0</v>
      </c>
      <c r="Y24" s="182">
        <v>0</v>
      </c>
      <c r="Z24" s="182">
        <v>0</v>
      </c>
      <c r="AA24" s="182">
        <v>0</v>
      </c>
      <c r="AB24" s="182">
        <v>0</v>
      </c>
      <c r="AC24" s="182">
        <v>0</v>
      </c>
      <c r="AD24" s="182">
        <v>0</v>
      </c>
      <c r="AE24" s="182">
        <v>0</v>
      </c>
      <c r="AF24" s="182">
        <v>0</v>
      </c>
      <c r="AG24" s="182">
        <v>0</v>
      </c>
      <c r="AH24" s="182">
        <v>0</v>
      </c>
      <c r="AI24" s="182">
        <v>0</v>
      </c>
      <c r="AJ24" s="182">
        <v>0</v>
      </c>
      <c r="AK24" s="182">
        <v>0</v>
      </c>
      <c r="AL24" s="182">
        <v>0</v>
      </c>
      <c r="AM24" s="182">
        <v>0</v>
      </c>
      <c r="AN24" s="182">
        <v>0</v>
      </c>
      <c r="AO24" s="182">
        <v>0</v>
      </c>
      <c r="AP24" s="182">
        <v>0</v>
      </c>
      <c r="AQ24" s="182">
        <v>0</v>
      </c>
      <c r="AR24" s="182">
        <v>0</v>
      </c>
      <c r="AS24" s="182">
        <v>0</v>
      </c>
      <c r="AT24" s="182">
        <v>0</v>
      </c>
      <c r="AU24" s="182">
        <v>0</v>
      </c>
      <c r="AV24" s="182">
        <v>0</v>
      </c>
      <c r="AW24" s="182">
        <v>0</v>
      </c>
      <c r="AX24" s="182">
        <v>0</v>
      </c>
      <c r="AY24" s="182">
        <v>35957.983819999979</v>
      </c>
      <c r="AZ24" s="182">
        <v>88202</v>
      </c>
      <c r="BA24" s="182">
        <v>93043.200139999972</v>
      </c>
      <c r="BB24" s="182">
        <v>86566.123230000012</v>
      </c>
      <c r="BC24" s="182">
        <v>101826.05538999999</v>
      </c>
      <c r="BD24" s="182">
        <v>112329.97487999999</v>
      </c>
      <c r="BE24" s="182">
        <v>106883.70536999995</v>
      </c>
      <c r="BF24" s="182">
        <v>104990.60251</v>
      </c>
      <c r="BG24" s="182">
        <v>120901.48451000001</v>
      </c>
      <c r="BH24" s="182">
        <v>142110.70150999998</v>
      </c>
      <c r="BI24" s="182">
        <v>151867.70682000002</v>
      </c>
      <c r="BJ24" s="182">
        <v>166265.24234000008</v>
      </c>
      <c r="BK24" s="182">
        <v>212974.32043000011</v>
      </c>
      <c r="BL24" s="182">
        <v>193095.49469000002</v>
      </c>
      <c r="BM24" s="182">
        <v>113807.94104999996</v>
      </c>
      <c r="BN24" s="182">
        <v>112514.06696000005</v>
      </c>
      <c r="BO24" s="182">
        <v>165289</v>
      </c>
      <c r="BP24" s="182">
        <v>202964.68918000004</v>
      </c>
      <c r="BQ24" s="182">
        <v>244746.78902</v>
      </c>
      <c r="BR24" s="182">
        <v>333972.32813000004</v>
      </c>
      <c r="BS24" s="182">
        <v>474335.17378999997</v>
      </c>
      <c r="BT24" s="182">
        <v>587448.99051000027</v>
      </c>
      <c r="BU24" s="182">
        <v>636861</v>
      </c>
      <c r="BV24" s="182">
        <v>673767.73366999987</v>
      </c>
      <c r="BW24" s="182">
        <v>724777</v>
      </c>
      <c r="BX24" s="182">
        <v>722264.99293000007</v>
      </c>
      <c r="BY24" s="182">
        <v>649588.73776000028</v>
      </c>
      <c r="BZ24" s="182">
        <v>585384.36190000013</v>
      </c>
      <c r="CA24" s="182">
        <v>564250</v>
      </c>
      <c r="CB24" s="211">
        <v>528230.64966</v>
      </c>
      <c r="CC24" s="512"/>
      <c r="CD24" s="181"/>
    </row>
    <row r="25" spans="1:82" ht="16.350000000000001" customHeight="1">
      <c r="A25" s="174"/>
      <c r="B25" s="167" t="s">
        <v>417</v>
      </c>
      <c r="C25" s="167" t="s">
        <v>418</v>
      </c>
      <c r="D25" s="192">
        <f>SUM(D20:D21)</f>
        <v>0</v>
      </c>
      <c r="E25" s="192">
        <f>SUM(E20:E21)+E26</f>
        <v>0</v>
      </c>
      <c r="F25" s="192">
        <f>SUM(F20:F21)+F26</f>
        <v>0</v>
      </c>
      <c r="G25" s="192">
        <f>SUM(G20:G21)+G26</f>
        <v>0</v>
      </c>
      <c r="H25" s="192">
        <f t="shared" ref="H25:BS25" si="22">SUM(H20:H21)</f>
        <v>0</v>
      </c>
      <c r="I25" s="192">
        <f t="shared" si="22"/>
        <v>0</v>
      </c>
      <c r="J25" s="192">
        <f t="shared" si="22"/>
        <v>0</v>
      </c>
      <c r="K25" s="192">
        <f t="shared" si="22"/>
        <v>0</v>
      </c>
      <c r="L25" s="192">
        <f t="shared" si="22"/>
        <v>0</v>
      </c>
      <c r="M25" s="192">
        <f t="shared" si="22"/>
        <v>0</v>
      </c>
      <c r="N25" s="192">
        <f t="shared" si="22"/>
        <v>0</v>
      </c>
      <c r="O25" s="192">
        <f t="shared" si="22"/>
        <v>0</v>
      </c>
      <c r="P25" s="192">
        <f t="shared" si="22"/>
        <v>0</v>
      </c>
      <c r="Q25" s="192">
        <f t="shared" si="22"/>
        <v>0</v>
      </c>
      <c r="R25" s="192">
        <f t="shared" si="22"/>
        <v>0</v>
      </c>
      <c r="S25" s="192">
        <f t="shared" si="22"/>
        <v>0</v>
      </c>
      <c r="T25" s="192">
        <f t="shared" si="22"/>
        <v>0</v>
      </c>
      <c r="U25" s="192">
        <f t="shared" si="22"/>
        <v>0</v>
      </c>
      <c r="V25" s="192">
        <f t="shared" si="22"/>
        <v>0</v>
      </c>
      <c r="W25" s="192">
        <f t="shared" si="22"/>
        <v>0</v>
      </c>
      <c r="X25" s="192">
        <f t="shared" si="22"/>
        <v>0</v>
      </c>
      <c r="Y25" s="192">
        <f t="shared" si="22"/>
        <v>0</v>
      </c>
      <c r="Z25" s="192">
        <f t="shared" si="22"/>
        <v>0</v>
      </c>
      <c r="AA25" s="192">
        <f t="shared" si="22"/>
        <v>0</v>
      </c>
      <c r="AB25" s="192">
        <f t="shared" si="22"/>
        <v>0</v>
      </c>
      <c r="AC25" s="192">
        <f t="shared" si="22"/>
        <v>0</v>
      </c>
      <c r="AD25" s="192">
        <f t="shared" si="22"/>
        <v>62594</v>
      </c>
      <c r="AE25" s="192">
        <f t="shared" si="22"/>
        <v>80413</v>
      </c>
      <c r="AF25" s="192">
        <f t="shared" si="22"/>
        <v>90713</v>
      </c>
      <c r="AG25" s="192">
        <f t="shared" si="22"/>
        <v>84155</v>
      </c>
      <c r="AH25" s="192">
        <f t="shared" si="22"/>
        <v>93839</v>
      </c>
      <c r="AI25" s="192">
        <f t="shared" si="22"/>
        <v>128667</v>
      </c>
      <c r="AJ25" s="192">
        <f t="shared" si="22"/>
        <v>175307</v>
      </c>
      <c r="AK25" s="192">
        <f t="shared" si="22"/>
        <v>207942</v>
      </c>
      <c r="AL25" s="192">
        <f t="shared" si="22"/>
        <v>247693</v>
      </c>
      <c r="AM25" s="192">
        <f t="shared" si="22"/>
        <v>284950</v>
      </c>
      <c r="AN25" s="192">
        <f t="shared" si="22"/>
        <v>338005</v>
      </c>
      <c r="AO25" s="192">
        <f t="shared" si="22"/>
        <v>348193.71912560001</v>
      </c>
      <c r="AP25" s="192">
        <f t="shared" si="22"/>
        <v>389603.79924830003</v>
      </c>
      <c r="AQ25" s="192">
        <f t="shared" si="22"/>
        <v>408275.48570999998</v>
      </c>
      <c r="AR25" s="192">
        <f t="shared" si="22"/>
        <v>455225</v>
      </c>
      <c r="AS25" s="192">
        <f t="shared" si="22"/>
        <v>447493.17010150006</v>
      </c>
      <c r="AT25" s="192">
        <f t="shared" si="22"/>
        <v>478719.08144600014</v>
      </c>
      <c r="AU25" s="192">
        <f t="shared" si="22"/>
        <v>492083.46272440004</v>
      </c>
      <c r="AV25" s="192">
        <f t="shared" si="22"/>
        <v>529464.01985929988</v>
      </c>
      <c r="AW25" s="192">
        <f t="shared" si="22"/>
        <v>573820.81422010006</v>
      </c>
      <c r="AX25" s="192">
        <f t="shared" si="22"/>
        <v>832579.04233610001</v>
      </c>
      <c r="AY25" s="192">
        <f t="shared" si="22"/>
        <v>888130.08537999995</v>
      </c>
      <c r="AZ25" s="192">
        <f t="shared" si="22"/>
        <v>1082489.5651000002</v>
      </c>
      <c r="BA25" s="192">
        <f t="shared" si="22"/>
        <v>1071354.8332419093</v>
      </c>
      <c r="BB25" s="192">
        <f t="shared" si="22"/>
        <v>1155343.1823200001</v>
      </c>
      <c r="BC25" s="192">
        <f t="shared" si="22"/>
        <v>1209912.6143199999</v>
      </c>
      <c r="BD25" s="192">
        <f t="shared" si="22"/>
        <v>1457424.75397</v>
      </c>
      <c r="BE25" s="192">
        <f t="shared" si="22"/>
        <v>1456094.9122840315</v>
      </c>
      <c r="BF25" s="192">
        <f t="shared" si="22"/>
        <v>1597264.5010899999</v>
      </c>
      <c r="BG25" s="192">
        <f t="shared" si="22"/>
        <v>1778014.3834999998</v>
      </c>
      <c r="BH25" s="192">
        <f t="shared" si="22"/>
        <v>2078377.6171118463</v>
      </c>
      <c r="BI25" s="192">
        <f t="shared" si="22"/>
        <v>2080271.1531999994</v>
      </c>
      <c r="BJ25" s="192">
        <f t="shared" si="22"/>
        <v>1866410.8223999999</v>
      </c>
      <c r="BK25" s="192">
        <f t="shared" si="22"/>
        <v>2008594.9017600003</v>
      </c>
      <c r="BL25" s="192">
        <f t="shared" si="22"/>
        <v>2355916.4253900005</v>
      </c>
      <c r="BM25" s="192">
        <f t="shared" si="22"/>
        <v>2200675.6178900003</v>
      </c>
      <c r="BN25" s="192">
        <f t="shared" si="22"/>
        <v>2526867.0941199996</v>
      </c>
      <c r="BO25" s="192">
        <f t="shared" si="22"/>
        <v>2833053</v>
      </c>
      <c r="BP25" s="192">
        <f t="shared" si="22"/>
        <v>3693744.1907699998</v>
      </c>
      <c r="BQ25" s="192">
        <f t="shared" si="22"/>
        <v>3979377</v>
      </c>
      <c r="BR25" s="192">
        <f t="shared" si="22"/>
        <v>4492032.9794499995</v>
      </c>
      <c r="BS25" s="192">
        <f t="shared" si="22"/>
        <v>4759036.7767099999</v>
      </c>
      <c r="BT25" s="192">
        <f t="shared" ref="BT25:BY25" si="23">SUM(BT20:BT21)</f>
        <v>5385933.1836399995</v>
      </c>
      <c r="BU25" s="192">
        <f t="shared" si="23"/>
        <v>5352093</v>
      </c>
      <c r="BV25" s="192">
        <f t="shared" si="23"/>
        <v>5418491.1032400001</v>
      </c>
      <c r="BW25" s="192">
        <f t="shared" si="23"/>
        <v>5118799</v>
      </c>
      <c r="BX25" s="192">
        <f t="shared" si="23"/>
        <v>5387847.8274300005</v>
      </c>
      <c r="BY25" s="192">
        <f t="shared" si="23"/>
        <v>5081761.3212200003</v>
      </c>
      <c r="BZ25" s="192">
        <f t="shared" ref="BZ25:CA25" si="24">SUM(BZ20:BZ21)</f>
        <v>5145610.2715499997</v>
      </c>
      <c r="CA25" s="192">
        <f t="shared" si="24"/>
        <v>5093518</v>
      </c>
      <c r="CB25" s="215">
        <f t="shared" ref="CB25" si="25">SUM(CB20:CB21)</f>
        <v>5410322.5391499996</v>
      </c>
      <c r="CC25" s="512"/>
      <c r="CD25" s="181"/>
    </row>
    <row r="26" spans="1:82" ht="16.350000000000001" customHeight="1">
      <c r="A26" s="186"/>
      <c r="B26" s="158" t="s">
        <v>513</v>
      </c>
      <c r="C26" s="158" t="s">
        <v>512</v>
      </c>
      <c r="D26" s="182">
        <v>0</v>
      </c>
      <c r="E26" s="182">
        <v>0</v>
      </c>
      <c r="F26" s="182">
        <v>0</v>
      </c>
      <c r="G26" s="182">
        <v>0</v>
      </c>
      <c r="H26" s="182">
        <v>0</v>
      </c>
      <c r="I26" s="182">
        <v>0</v>
      </c>
      <c r="J26" s="182">
        <v>0</v>
      </c>
      <c r="K26" s="182">
        <v>0</v>
      </c>
      <c r="L26" s="182">
        <v>0</v>
      </c>
      <c r="M26" s="182">
        <v>0</v>
      </c>
      <c r="N26" s="182">
        <v>0</v>
      </c>
      <c r="O26" s="182">
        <v>0</v>
      </c>
      <c r="P26" s="182">
        <v>0</v>
      </c>
      <c r="Q26" s="182">
        <v>0</v>
      </c>
      <c r="R26" s="182">
        <v>0</v>
      </c>
      <c r="S26" s="182">
        <v>0</v>
      </c>
      <c r="T26" s="182">
        <v>0</v>
      </c>
      <c r="U26" s="182">
        <v>0</v>
      </c>
      <c r="V26" s="182">
        <v>0</v>
      </c>
      <c r="W26" s="182">
        <v>0</v>
      </c>
      <c r="X26" s="182">
        <v>0</v>
      </c>
      <c r="Y26" s="182">
        <v>0</v>
      </c>
      <c r="Z26" s="182">
        <v>0</v>
      </c>
      <c r="AA26" s="182">
        <v>0</v>
      </c>
      <c r="AB26" s="182">
        <v>0</v>
      </c>
      <c r="AC26" s="182">
        <v>0</v>
      </c>
      <c r="AD26" s="182">
        <v>0</v>
      </c>
      <c r="AE26" s="182">
        <v>0</v>
      </c>
      <c r="AF26" s="182">
        <v>0</v>
      </c>
      <c r="AG26" s="182">
        <v>0</v>
      </c>
      <c r="AH26" s="182">
        <v>0</v>
      </c>
      <c r="AI26" s="182">
        <v>0</v>
      </c>
      <c r="AJ26" s="182">
        <v>0</v>
      </c>
      <c r="AK26" s="182">
        <v>0</v>
      </c>
      <c r="AL26" s="182">
        <v>0</v>
      </c>
      <c r="AM26" s="182">
        <v>0</v>
      </c>
      <c r="AN26" s="182">
        <v>0</v>
      </c>
      <c r="AO26" s="182">
        <v>0</v>
      </c>
      <c r="AP26" s="182">
        <v>0</v>
      </c>
      <c r="AQ26" s="182">
        <v>0</v>
      </c>
      <c r="AR26" s="182">
        <v>0</v>
      </c>
      <c r="AS26" s="182">
        <v>0</v>
      </c>
      <c r="AT26" s="182">
        <v>0</v>
      </c>
      <c r="AU26" s="182">
        <v>0</v>
      </c>
      <c r="AV26" s="182">
        <v>0</v>
      </c>
      <c r="AW26" s="182">
        <v>-1952</v>
      </c>
      <c r="AX26" s="182">
        <v>-5236</v>
      </c>
      <c r="AY26" s="182">
        <v>-5506</v>
      </c>
      <c r="AZ26" s="182">
        <v>-7779.6</v>
      </c>
      <c r="BA26" s="182">
        <v>-4861</v>
      </c>
      <c r="BB26" s="182">
        <v>-3436</v>
      </c>
      <c r="BC26" s="182">
        <v>-3580</v>
      </c>
      <c r="BD26" s="182">
        <v>-5349</v>
      </c>
      <c r="BE26" s="182">
        <v>-3927</v>
      </c>
      <c r="BF26" s="182">
        <v>-4642</v>
      </c>
      <c r="BG26" s="182">
        <v>-5176.5722099999994</v>
      </c>
      <c r="BH26" s="182">
        <v>-7826.6986900000011</v>
      </c>
      <c r="BI26" s="182">
        <v>-4785.5773899999995</v>
      </c>
      <c r="BJ26" s="182">
        <v>-2717.1674600000001</v>
      </c>
      <c r="BK26" s="182">
        <v>-3421</v>
      </c>
      <c r="BL26" s="182">
        <v>-6267</v>
      </c>
      <c r="BM26" s="182">
        <v>-3385</v>
      </c>
      <c r="BN26" s="182">
        <v>-5625</v>
      </c>
      <c r="BO26" s="182">
        <v>-6994</v>
      </c>
      <c r="BP26" s="182">
        <v>-14457</v>
      </c>
      <c r="BQ26" s="182">
        <v>-9599</v>
      </c>
      <c r="BR26" s="182">
        <v>-15496</v>
      </c>
      <c r="BS26" s="182">
        <v>-16602</v>
      </c>
      <c r="BT26" s="159">
        <v>-24757</v>
      </c>
      <c r="BU26" s="159">
        <v>-14272</v>
      </c>
      <c r="BV26" s="159">
        <v>-20106.397739999997</v>
      </c>
      <c r="BW26" s="159">
        <v>-18670</v>
      </c>
      <c r="BX26" s="159">
        <v>-21453.74526</v>
      </c>
      <c r="BY26" s="159">
        <v>-13486</v>
      </c>
      <c r="BZ26" s="159">
        <v>-16418</v>
      </c>
      <c r="CA26" s="159">
        <v>-16220</v>
      </c>
      <c r="CB26" s="210">
        <v>-22403</v>
      </c>
      <c r="CC26" s="512"/>
      <c r="CD26" s="181"/>
    </row>
    <row r="27" spans="1:82" ht="16.350000000000001" customHeight="1">
      <c r="A27" s="180"/>
      <c r="B27" s="158" t="s">
        <v>210</v>
      </c>
      <c r="C27" s="158" t="s">
        <v>423</v>
      </c>
      <c r="D27" s="159">
        <v>0</v>
      </c>
      <c r="E27" s="159">
        <v>0</v>
      </c>
      <c r="F27" s="159">
        <v>0</v>
      </c>
      <c r="G27" s="159">
        <v>0</v>
      </c>
      <c r="H27" s="159">
        <v>0</v>
      </c>
      <c r="I27" s="159">
        <v>0</v>
      </c>
      <c r="J27" s="159">
        <v>0</v>
      </c>
      <c r="K27" s="159">
        <v>0</v>
      </c>
      <c r="L27" s="159">
        <v>0</v>
      </c>
      <c r="M27" s="159">
        <v>0</v>
      </c>
      <c r="N27" s="159">
        <v>0</v>
      </c>
      <c r="O27" s="159">
        <v>0</v>
      </c>
      <c r="P27" s="159">
        <v>0</v>
      </c>
      <c r="Q27" s="159">
        <v>0</v>
      </c>
      <c r="R27" s="159">
        <v>0</v>
      </c>
      <c r="S27" s="159">
        <v>0</v>
      </c>
      <c r="T27" s="159">
        <v>0</v>
      </c>
      <c r="U27" s="159">
        <v>0</v>
      </c>
      <c r="V27" s="159">
        <v>0</v>
      </c>
      <c r="W27" s="159">
        <v>0</v>
      </c>
      <c r="X27" s="159">
        <v>0</v>
      </c>
      <c r="Y27" s="159">
        <v>0</v>
      </c>
      <c r="Z27" s="159">
        <v>0</v>
      </c>
      <c r="AA27" s="159">
        <v>0</v>
      </c>
      <c r="AB27" s="159">
        <v>-1290</v>
      </c>
      <c r="AC27" s="159">
        <v>-1540</v>
      </c>
      <c r="AD27" s="159">
        <v>-2522</v>
      </c>
      <c r="AE27" s="159">
        <v>-3544</v>
      </c>
      <c r="AF27" s="159">
        <v>-5242</v>
      </c>
      <c r="AG27" s="159">
        <v>-5191</v>
      </c>
      <c r="AH27" s="159">
        <v>-4993</v>
      </c>
      <c r="AI27" s="159">
        <v>-4587</v>
      </c>
      <c r="AJ27" s="159">
        <v>-6170</v>
      </c>
      <c r="AK27" s="159">
        <v>-7362</v>
      </c>
      <c r="AL27" s="159">
        <v>-11499</v>
      </c>
      <c r="AM27" s="159">
        <v>-12685</v>
      </c>
      <c r="AN27" s="159">
        <v>-11926</v>
      </c>
      <c r="AO27" s="159">
        <v>-12697</v>
      </c>
      <c r="AP27" s="159">
        <v>-18619</v>
      </c>
      <c r="AQ27" s="159">
        <v>-18861</v>
      </c>
      <c r="AR27" s="159">
        <v>-20151</v>
      </c>
      <c r="AS27" s="159">
        <v>-20458</v>
      </c>
      <c r="AT27" s="159">
        <v>-25053</v>
      </c>
      <c r="AU27" s="159">
        <v>-23836</v>
      </c>
      <c r="AV27" s="159">
        <v>-24090</v>
      </c>
      <c r="AW27" s="159">
        <v>-21029</v>
      </c>
      <c r="AX27" s="159">
        <v>-27390</v>
      </c>
      <c r="AY27" s="159">
        <v>-85723</v>
      </c>
      <c r="AZ27" s="159">
        <v>-145545.5</v>
      </c>
      <c r="BA27" s="159">
        <v>-178442.7575598947</v>
      </c>
      <c r="BB27" s="159">
        <v>-193231</v>
      </c>
      <c r="BC27" s="159">
        <v>-210462</v>
      </c>
      <c r="BD27" s="159">
        <v>-232007</v>
      </c>
      <c r="BE27" s="159">
        <v>-236753</v>
      </c>
      <c r="BF27" s="159">
        <v>-255188</v>
      </c>
      <c r="BG27" s="159">
        <v>-276112.37050000002</v>
      </c>
      <c r="BH27" s="159">
        <v>-287892.05350000004</v>
      </c>
      <c r="BI27" s="159">
        <v>-362312.85366000008</v>
      </c>
      <c r="BJ27" s="159">
        <v>-376352.9448</v>
      </c>
      <c r="BK27" s="159">
        <v>-387973</v>
      </c>
      <c r="BL27" s="159">
        <v>-341384.72759999998</v>
      </c>
      <c r="BM27" s="159">
        <v>-290840</v>
      </c>
      <c r="BN27" s="159">
        <v>-279225.63799999998</v>
      </c>
      <c r="BO27" s="159">
        <v>-324260</v>
      </c>
      <c r="BP27" s="159">
        <v>-405250.47570000001</v>
      </c>
      <c r="BQ27" s="159">
        <v>-477519</v>
      </c>
      <c r="BR27" s="159">
        <v>-637141.20539999998</v>
      </c>
      <c r="BS27" s="159">
        <v>-785696</v>
      </c>
      <c r="BT27" s="159">
        <v>-917235</v>
      </c>
      <c r="BU27" s="159">
        <v>-980253</v>
      </c>
      <c r="BV27" s="159">
        <v>-1060517.1321899998</v>
      </c>
      <c r="BW27" s="159">
        <v>-1068253</v>
      </c>
      <c r="BX27" s="159">
        <v>-1039724.3027299998</v>
      </c>
      <c r="BY27" s="159">
        <v>-952715</v>
      </c>
      <c r="BZ27" s="159">
        <v>-909370</v>
      </c>
      <c r="CA27" s="159">
        <v>-842241</v>
      </c>
      <c r="CB27" s="210">
        <v>-809235</v>
      </c>
      <c r="CC27" s="512"/>
      <c r="CD27" s="181"/>
    </row>
    <row r="28" spans="1:82" ht="16.350000000000001" customHeight="1">
      <c r="A28" s="186"/>
      <c r="B28" s="187" t="s">
        <v>425</v>
      </c>
      <c r="C28" s="187" t="s">
        <v>426</v>
      </c>
      <c r="D28" s="188">
        <f t="shared" ref="D28:AI28" si="26">SUM(D25:D27)</f>
        <v>0</v>
      </c>
      <c r="E28" s="188">
        <f t="shared" si="26"/>
        <v>0</v>
      </c>
      <c r="F28" s="188">
        <f t="shared" si="26"/>
        <v>0</v>
      </c>
      <c r="G28" s="188">
        <f t="shared" si="26"/>
        <v>0</v>
      </c>
      <c r="H28" s="188">
        <f t="shared" si="26"/>
        <v>0</v>
      </c>
      <c r="I28" s="188">
        <f t="shared" si="26"/>
        <v>0</v>
      </c>
      <c r="J28" s="188">
        <f t="shared" si="26"/>
        <v>0</v>
      </c>
      <c r="K28" s="188">
        <f t="shared" si="26"/>
        <v>0</v>
      </c>
      <c r="L28" s="188">
        <f t="shared" si="26"/>
        <v>0</v>
      </c>
      <c r="M28" s="188">
        <f t="shared" si="26"/>
        <v>0</v>
      </c>
      <c r="N28" s="188">
        <f t="shared" si="26"/>
        <v>0</v>
      </c>
      <c r="O28" s="188">
        <f t="shared" si="26"/>
        <v>0</v>
      </c>
      <c r="P28" s="188">
        <f t="shared" si="26"/>
        <v>0</v>
      </c>
      <c r="Q28" s="188">
        <f t="shared" si="26"/>
        <v>0</v>
      </c>
      <c r="R28" s="188">
        <f t="shared" si="26"/>
        <v>0</v>
      </c>
      <c r="S28" s="188">
        <f t="shared" si="26"/>
        <v>0</v>
      </c>
      <c r="T28" s="188">
        <f t="shared" si="26"/>
        <v>0</v>
      </c>
      <c r="U28" s="188">
        <f t="shared" si="26"/>
        <v>0</v>
      </c>
      <c r="V28" s="188">
        <f t="shared" si="26"/>
        <v>0</v>
      </c>
      <c r="W28" s="188">
        <f t="shared" si="26"/>
        <v>0</v>
      </c>
      <c r="X28" s="188">
        <f t="shared" si="26"/>
        <v>0</v>
      </c>
      <c r="Y28" s="188">
        <f t="shared" si="26"/>
        <v>0</v>
      </c>
      <c r="Z28" s="188">
        <f t="shared" si="26"/>
        <v>0</v>
      </c>
      <c r="AA28" s="188">
        <f t="shared" si="26"/>
        <v>0</v>
      </c>
      <c r="AB28" s="188">
        <f t="shared" si="26"/>
        <v>-1290</v>
      </c>
      <c r="AC28" s="188">
        <f t="shared" si="26"/>
        <v>-1540</v>
      </c>
      <c r="AD28" s="188">
        <f t="shared" si="26"/>
        <v>60072</v>
      </c>
      <c r="AE28" s="188">
        <f t="shared" si="26"/>
        <v>76869</v>
      </c>
      <c r="AF28" s="188">
        <f t="shared" si="26"/>
        <v>85471</v>
      </c>
      <c r="AG28" s="188">
        <f t="shared" si="26"/>
        <v>78964</v>
      </c>
      <c r="AH28" s="188">
        <f t="shared" si="26"/>
        <v>88846</v>
      </c>
      <c r="AI28" s="188">
        <f t="shared" si="26"/>
        <v>124080</v>
      </c>
      <c r="AJ28" s="188">
        <f t="shared" ref="AJ28:BO28" si="27">SUM(AJ25:AJ27)</f>
        <v>169137</v>
      </c>
      <c r="AK28" s="188">
        <f t="shared" si="27"/>
        <v>200580</v>
      </c>
      <c r="AL28" s="188">
        <f t="shared" si="27"/>
        <v>236194</v>
      </c>
      <c r="AM28" s="188">
        <f t="shared" si="27"/>
        <v>272265</v>
      </c>
      <c r="AN28" s="188">
        <f t="shared" si="27"/>
        <v>326079</v>
      </c>
      <c r="AO28" s="188">
        <f t="shared" si="27"/>
        <v>335496.71912560001</v>
      </c>
      <c r="AP28" s="188">
        <f t="shared" si="27"/>
        <v>370984.79924830003</v>
      </c>
      <c r="AQ28" s="188">
        <f t="shared" si="27"/>
        <v>389414.48570999998</v>
      </c>
      <c r="AR28" s="188">
        <f t="shared" si="27"/>
        <v>435074</v>
      </c>
      <c r="AS28" s="188">
        <f t="shared" si="27"/>
        <v>427035.17010150006</v>
      </c>
      <c r="AT28" s="188">
        <f t="shared" si="27"/>
        <v>453666.08144600014</v>
      </c>
      <c r="AU28" s="188">
        <f t="shared" si="27"/>
        <v>468247.46272440004</v>
      </c>
      <c r="AV28" s="188">
        <f t="shared" si="27"/>
        <v>505374.01985929988</v>
      </c>
      <c r="AW28" s="188">
        <f t="shared" si="27"/>
        <v>550839.81422010006</v>
      </c>
      <c r="AX28" s="188">
        <f t="shared" si="27"/>
        <v>799953.04233610001</v>
      </c>
      <c r="AY28" s="188">
        <f t="shared" si="27"/>
        <v>796901.08537999995</v>
      </c>
      <c r="AZ28" s="188">
        <f t="shared" si="27"/>
        <v>929164.46510000015</v>
      </c>
      <c r="BA28" s="188">
        <f t="shared" si="27"/>
        <v>888051.07568201458</v>
      </c>
      <c r="BB28" s="188">
        <f t="shared" si="27"/>
        <v>958676.18232000014</v>
      </c>
      <c r="BC28" s="188">
        <f t="shared" si="27"/>
        <v>995870.61431999994</v>
      </c>
      <c r="BD28" s="188">
        <f t="shared" si="27"/>
        <v>1220068.75397</v>
      </c>
      <c r="BE28" s="188">
        <f t="shared" si="27"/>
        <v>1215414.9122840315</v>
      </c>
      <c r="BF28" s="188">
        <f t="shared" si="27"/>
        <v>1337434.5010899999</v>
      </c>
      <c r="BG28" s="188">
        <f t="shared" si="27"/>
        <v>1496725.4407899999</v>
      </c>
      <c r="BH28" s="188">
        <f t="shared" si="27"/>
        <v>1782658.8649218464</v>
      </c>
      <c r="BI28" s="188">
        <f t="shared" si="27"/>
        <v>1713172.7221499993</v>
      </c>
      <c r="BJ28" s="188">
        <f t="shared" si="27"/>
        <v>1487340.7101400001</v>
      </c>
      <c r="BK28" s="188">
        <f t="shared" si="27"/>
        <v>1617200.9017600003</v>
      </c>
      <c r="BL28" s="188">
        <f t="shared" si="27"/>
        <v>2008264.6977900006</v>
      </c>
      <c r="BM28" s="188">
        <f t="shared" si="27"/>
        <v>1906450.6178900003</v>
      </c>
      <c r="BN28" s="188">
        <f t="shared" si="27"/>
        <v>2242016.4561199998</v>
      </c>
      <c r="BO28" s="188">
        <f t="shared" si="27"/>
        <v>2501799</v>
      </c>
      <c r="BP28" s="188">
        <f t="shared" ref="BP28:BY28" si="28">SUM(BP25:BP27)</f>
        <v>3274036.7150699999</v>
      </c>
      <c r="BQ28" s="188">
        <f t="shared" si="28"/>
        <v>3492259</v>
      </c>
      <c r="BR28" s="188">
        <f t="shared" si="28"/>
        <v>3839395.7740499997</v>
      </c>
      <c r="BS28" s="188">
        <f t="shared" si="28"/>
        <v>3956738.7767099999</v>
      </c>
      <c r="BT28" s="188">
        <f t="shared" si="28"/>
        <v>4443941.1836399995</v>
      </c>
      <c r="BU28" s="188">
        <f t="shared" si="28"/>
        <v>4357568</v>
      </c>
      <c r="BV28" s="188">
        <f t="shared" si="28"/>
        <v>4337867.5733100008</v>
      </c>
      <c r="BW28" s="188">
        <f t="shared" si="28"/>
        <v>4031876</v>
      </c>
      <c r="BX28" s="188">
        <f t="shared" si="28"/>
        <v>4326669.7794400007</v>
      </c>
      <c r="BY28" s="188">
        <f t="shared" si="28"/>
        <v>4115560.3212200003</v>
      </c>
      <c r="BZ28" s="188">
        <f t="shared" ref="BZ28:CA28" si="29">SUM(BZ25:BZ27)</f>
        <v>4219822.2715499997</v>
      </c>
      <c r="CA28" s="188">
        <f t="shared" si="29"/>
        <v>4235057</v>
      </c>
      <c r="CB28" s="213">
        <f t="shared" ref="CB28" si="30">SUM(CB25:CB27)</f>
        <v>4578684.5391499996</v>
      </c>
      <c r="CC28" s="512"/>
      <c r="CD28" s="181"/>
    </row>
    <row r="29" spans="1:82" ht="16.350000000000001" customHeight="1">
      <c r="A29" s="174"/>
      <c r="B29" s="174"/>
      <c r="C29" s="174"/>
      <c r="D29" s="174"/>
      <c r="E29" s="174"/>
      <c r="F29" s="174"/>
      <c r="G29" s="174"/>
      <c r="H29" s="174"/>
      <c r="I29" s="174"/>
      <c r="J29" s="174"/>
      <c r="K29" s="174"/>
      <c r="L29" s="174"/>
      <c r="M29" s="174"/>
      <c r="N29" s="174"/>
      <c r="O29" s="174"/>
      <c r="P29" s="174"/>
      <c r="Q29" s="174"/>
      <c r="R29" s="174"/>
      <c r="S29" s="174"/>
      <c r="T29" s="174"/>
      <c r="U29" s="174"/>
      <c r="V29" s="174"/>
      <c r="W29" s="174"/>
      <c r="X29" s="174"/>
      <c r="Y29" s="174"/>
      <c r="Z29" s="174"/>
      <c r="AA29" s="174"/>
      <c r="AB29" s="174"/>
      <c r="AC29" s="174"/>
      <c r="AD29" s="174"/>
      <c r="AE29" s="174"/>
      <c r="AF29" s="174"/>
      <c r="AG29" s="174"/>
      <c r="AH29" s="174"/>
      <c r="AI29" s="174"/>
      <c r="AJ29" s="174"/>
      <c r="AK29" s="174"/>
      <c r="AL29" s="174"/>
      <c r="AM29" s="174"/>
      <c r="AN29" s="174"/>
      <c r="AO29" s="174"/>
      <c r="AP29" s="174"/>
      <c r="AQ29" s="174"/>
      <c r="AR29" s="193"/>
      <c r="AS29" s="174"/>
      <c r="AT29" s="174"/>
      <c r="AU29" s="174"/>
      <c r="AV29" s="174"/>
      <c r="AW29" s="174"/>
      <c r="AX29" s="174"/>
      <c r="AY29" s="174"/>
      <c r="AZ29" s="174"/>
      <c r="BA29" s="174"/>
      <c r="BB29" s="174"/>
      <c r="BC29" s="174"/>
      <c r="BD29" s="174"/>
      <c r="BE29" s="174"/>
      <c r="BF29" s="174"/>
      <c r="BG29" s="174"/>
      <c r="BH29" s="174"/>
      <c r="BI29" s="174"/>
      <c r="BJ29" s="174"/>
      <c r="BK29" s="174"/>
      <c r="BL29" s="174"/>
      <c r="BM29" s="174"/>
      <c r="BN29" s="174"/>
      <c r="BO29" s="174"/>
      <c r="BP29" s="174"/>
      <c r="BQ29" s="15"/>
      <c r="BR29" s="15"/>
      <c r="BS29" s="15"/>
      <c r="BT29" s="15"/>
      <c r="BU29" s="15"/>
      <c r="BV29" s="15"/>
      <c r="CB29" s="181"/>
      <c r="CC29" s="512"/>
    </row>
    <row r="30" spans="1:82" ht="16.350000000000001" customHeight="1">
      <c r="A30" s="179"/>
      <c r="B30" s="76" t="s">
        <v>427</v>
      </c>
      <c r="C30" s="76" t="s">
        <v>428</v>
      </c>
      <c r="D30" s="119"/>
      <c r="E30" s="119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119"/>
      <c r="Q30" s="119"/>
      <c r="R30" s="119"/>
      <c r="S30" s="119"/>
      <c r="T30" s="119"/>
      <c r="U30" s="119"/>
      <c r="V30" s="119"/>
      <c r="W30" s="119"/>
      <c r="X30" s="119"/>
      <c r="Y30" s="119"/>
      <c r="Z30" s="119"/>
      <c r="AA30" s="119"/>
      <c r="AB30" s="119"/>
      <c r="AC30" s="119"/>
      <c r="AD30" s="119"/>
      <c r="AE30" s="119"/>
      <c r="AF30" s="119"/>
      <c r="AG30" s="119"/>
      <c r="AH30" s="119"/>
      <c r="AI30" s="119"/>
      <c r="AJ30" s="119"/>
      <c r="AK30" s="119"/>
      <c r="AL30" s="119"/>
      <c r="AM30" s="119"/>
      <c r="AN30" s="119"/>
      <c r="AO30" s="119"/>
      <c r="AP30" s="119"/>
      <c r="AQ30" s="119"/>
      <c r="AR30" s="119"/>
      <c r="AS30" s="119"/>
      <c r="AT30" s="119"/>
      <c r="AU30" s="119"/>
      <c r="AV30" s="119"/>
      <c r="AW30" s="119"/>
      <c r="AX30" s="119"/>
      <c r="AY30" s="119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209"/>
      <c r="CC30" s="512"/>
    </row>
    <row r="31" spans="1:82" ht="16.350000000000001" customHeight="1">
      <c r="A31" s="180"/>
      <c r="B31" s="158" t="s">
        <v>185</v>
      </c>
      <c r="C31" s="158" t="s">
        <v>183</v>
      </c>
      <c r="D31" s="159">
        <v>0</v>
      </c>
      <c r="E31" s="159">
        <v>0</v>
      </c>
      <c r="F31" s="159">
        <v>0</v>
      </c>
      <c r="G31" s="159">
        <v>0</v>
      </c>
      <c r="H31" s="159">
        <v>0</v>
      </c>
      <c r="I31" s="159">
        <v>0</v>
      </c>
      <c r="J31" s="159">
        <v>0</v>
      </c>
      <c r="K31" s="159">
        <v>0</v>
      </c>
      <c r="L31" s="159">
        <v>0</v>
      </c>
      <c r="M31" s="159">
        <v>0</v>
      </c>
      <c r="N31" s="159">
        <v>0</v>
      </c>
      <c r="O31" s="159">
        <v>0</v>
      </c>
      <c r="P31" s="159">
        <v>0</v>
      </c>
      <c r="Q31" s="159">
        <v>0</v>
      </c>
      <c r="R31" s="159">
        <v>0</v>
      </c>
      <c r="S31" s="159">
        <v>0</v>
      </c>
      <c r="T31" s="159">
        <v>0</v>
      </c>
      <c r="U31" s="159">
        <v>0</v>
      </c>
      <c r="V31" s="159">
        <v>0</v>
      </c>
      <c r="W31" s="159">
        <v>0</v>
      </c>
      <c r="X31" s="159">
        <v>0</v>
      </c>
      <c r="Y31" s="159">
        <v>0</v>
      </c>
      <c r="Z31" s="159">
        <v>0</v>
      </c>
      <c r="AA31" s="159">
        <v>0</v>
      </c>
      <c r="AB31" s="159">
        <v>108016</v>
      </c>
      <c r="AC31" s="159">
        <v>112339</v>
      </c>
      <c r="AD31" s="159">
        <v>117291</v>
      </c>
      <c r="AE31" s="159">
        <v>122143</v>
      </c>
      <c r="AF31" s="159">
        <v>120726</v>
      </c>
      <c r="AG31" s="159">
        <v>130849</v>
      </c>
      <c r="AH31" s="159">
        <v>131623</v>
      </c>
      <c r="AI31" s="159">
        <v>141295</v>
      </c>
      <c r="AJ31" s="159">
        <v>142448</v>
      </c>
      <c r="AK31" s="159">
        <v>155752</v>
      </c>
      <c r="AL31" s="159">
        <v>160876</v>
      </c>
      <c r="AM31" s="159">
        <v>180568</v>
      </c>
      <c r="AN31" s="159">
        <v>168885</v>
      </c>
      <c r="AO31" s="159">
        <v>181879</v>
      </c>
      <c r="AP31" s="159">
        <v>196806</v>
      </c>
      <c r="AQ31" s="159">
        <v>194293</v>
      </c>
      <c r="AR31" s="159">
        <v>179383</v>
      </c>
      <c r="AS31" s="159">
        <v>179812</v>
      </c>
      <c r="AT31" s="159">
        <v>179789</v>
      </c>
      <c r="AU31" s="159">
        <v>167140</v>
      </c>
      <c r="AV31" s="159">
        <v>144639</v>
      </c>
      <c r="AW31" s="159">
        <v>140840</v>
      </c>
      <c r="AX31" s="159">
        <v>115517</v>
      </c>
      <c r="AY31" s="159">
        <v>89020</v>
      </c>
      <c r="AZ31" s="159">
        <v>71889.2</v>
      </c>
      <c r="BA31" s="159">
        <v>63058</v>
      </c>
      <c r="BB31" s="159">
        <v>58273</v>
      </c>
      <c r="BC31" s="159">
        <v>55364</v>
      </c>
      <c r="BD31" s="159">
        <v>50849</v>
      </c>
      <c r="BE31" s="159">
        <v>53099.677779999998</v>
      </c>
      <c r="BF31" s="159">
        <v>54755</v>
      </c>
      <c r="BG31" s="159">
        <v>53700.822370000002</v>
      </c>
      <c r="BH31" s="159">
        <v>0</v>
      </c>
      <c r="BI31" s="159">
        <v>0</v>
      </c>
      <c r="BJ31" s="159">
        <v>0</v>
      </c>
      <c r="BK31" s="159">
        <v>0</v>
      </c>
      <c r="BL31" s="159">
        <v>0</v>
      </c>
      <c r="BM31" s="159">
        <v>0</v>
      </c>
      <c r="BN31" s="159">
        <v>0</v>
      </c>
      <c r="BO31" s="159">
        <v>0</v>
      </c>
      <c r="BP31" s="159">
        <v>0</v>
      </c>
      <c r="BQ31" s="159">
        <v>0</v>
      </c>
      <c r="BR31" s="159">
        <v>0</v>
      </c>
      <c r="BS31" s="159">
        <v>0</v>
      </c>
      <c r="BT31" s="159">
        <v>0</v>
      </c>
      <c r="BU31" s="159">
        <v>0</v>
      </c>
      <c r="BV31" s="159">
        <v>0</v>
      </c>
      <c r="BW31" s="159">
        <v>0</v>
      </c>
      <c r="BX31" s="159">
        <v>0</v>
      </c>
      <c r="BY31" s="159">
        <v>0</v>
      </c>
      <c r="BZ31" s="159">
        <v>0</v>
      </c>
      <c r="CA31" s="159">
        <v>0</v>
      </c>
      <c r="CB31" s="210">
        <v>0</v>
      </c>
      <c r="CC31" s="512"/>
    </row>
    <row r="32" spans="1:82" ht="16.350000000000001" customHeight="1">
      <c r="A32" s="180"/>
      <c r="B32" s="158" t="s">
        <v>210</v>
      </c>
      <c r="C32" s="158" t="s">
        <v>184</v>
      </c>
      <c r="D32" s="159">
        <v>0</v>
      </c>
      <c r="E32" s="159">
        <v>0</v>
      </c>
      <c r="F32" s="159">
        <v>0</v>
      </c>
      <c r="G32" s="159">
        <v>0</v>
      </c>
      <c r="H32" s="159">
        <v>0</v>
      </c>
      <c r="I32" s="159">
        <v>0</v>
      </c>
      <c r="J32" s="159">
        <v>0</v>
      </c>
      <c r="K32" s="159">
        <v>0</v>
      </c>
      <c r="L32" s="159">
        <v>0</v>
      </c>
      <c r="M32" s="159">
        <v>0</v>
      </c>
      <c r="N32" s="159">
        <v>0</v>
      </c>
      <c r="O32" s="159">
        <v>0</v>
      </c>
      <c r="P32" s="159">
        <v>0</v>
      </c>
      <c r="Q32" s="159">
        <v>0</v>
      </c>
      <c r="R32" s="159">
        <v>0</v>
      </c>
      <c r="S32" s="159">
        <v>0</v>
      </c>
      <c r="T32" s="159">
        <v>0</v>
      </c>
      <c r="U32" s="159">
        <v>0</v>
      </c>
      <c r="V32" s="159">
        <v>0</v>
      </c>
      <c r="W32" s="159">
        <v>0</v>
      </c>
      <c r="X32" s="159">
        <v>0</v>
      </c>
      <c r="Y32" s="159">
        <v>0</v>
      </c>
      <c r="Z32" s="159">
        <v>0</v>
      </c>
      <c r="AA32" s="159">
        <v>0</v>
      </c>
      <c r="AB32" s="159">
        <v>-17718</v>
      </c>
      <c r="AC32" s="159">
        <v>-17698</v>
      </c>
      <c r="AD32" s="159">
        <v>-17680</v>
      </c>
      <c r="AE32" s="159">
        <v>-18781</v>
      </c>
      <c r="AF32" s="159">
        <v>-18517</v>
      </c>
      <c r="AG32" s="159">
        <v>-19456</v>
      </c>
      <c r="AH32" s="159">
        <v>-20209</v>
      </c>
      <c r="AI32" s="159">
        <v>-21776</v>
      </c>
      <c r="AJ32" s="159">
        <v>-22889</v>
      </c>
      <c r="AK32" s="159">
        <v>-23892</v>
      </c>
      <c r="AL32" s="159">
        <v>-23361</v>
      </c>
      <c r="AM32" s="159">
        <v>-25640</v>
      </c>
      <c r="AN32" s="159">
        <v>-27189</v>
      </c>
      <c r="AO32" s="159">
        <v>-28240</v>
      </c>
      <c r="AP32" s="159">
        <v>-31675</v>
      </c>
      <c r="AQ32" s="159">
        <v>-34756</v>
      </c>
      <c r="AR32" s="159">
        <v>-36122</v>
      </c>
      <c r="AS32" s="159">
        <v>-35970</v>
      </c>
      <c r="AT32" s="159">
        <v>-37986</v>
      </c>
      <c r="AU32" s="159">
        <v>-36496</v>
      </c>
      <c r="AV32" s="159">
        <v>-34989</v>
      </c>
      <c r="AW32" s="159">
        <v>-33604</v>
      </c>
      <c r="AX32" s="159">
        <v>-33272</v>
      </c>
      <c r="AY32" s="159">
        <v>-14968</v>
      </c>
      <c r="AZ32" s="159">
        <v>-11570.6</v>
      </c>
      <c r="BA32" s="159">
        <v>-10307</v>
      </c>
      <c r="BB32" s="159">
        <v>-9681</v>
      </c>
      <c r="BC32" s="159">
        <v>-9631</v>
      </c>
      <c r="BD32" s="159">
        <v>-9766</v>
      </c>
      <c r="BE32" s="159">
        <v>-9173</v>
      </c>
      <c r="BF32" s="159">
        <v>-9644</v>
      </c>
      <c r="BG32" s="159">
        <v>-10196.048019999998</v>
      </c>
      <c r="BH32" s="159">
        <v>0</v>
      </c>
      <c r="BI32" s="159">
        <v>0</v>
      </c>
      <c r="BJ32" s="159">
        <v>0</v>
      </c>
      <c r="BK32" s="159">
        <v>0</v>
      </c>
      <c r="BL32" s="159">
        <v>0</v>
      </c>
      <c r="BM32" s="159">
        <v>0</v>
      </c>
      <c r="BN32" s="159">
        <v>0</v>
      </c>
      <c r="BO32" s="159">
        <v>0</v>
      </c>
      <c r="BP32" s="159">
        <v>0</v>
      </c>
      <c r="BQ32" s="159">
        <v>0</v>
      </c>
      <c r="BR32" s="159">
        <v>0</v>
      </c>
      <c r="BS32" s="159">
        <v>0</v>
      </c>
      <c r="BT32" s="159">
        <v>0</v>
      </c>
      <c r="BU32" s="159">
        <v>0</v>
      </c>
      <c r="BV32" s="159">
        <v>0</v>
      </c>
      <c r="BW32" s="159">
        <v>0</v>
      </c>
      <c r="BX32" s="159">
        <v>0</v>
      </c>
      <c r="BY32" s="159">
        <v>0</v>
      </c>
      <c r="BZ32" s="159">
        <v>0</v>
      </c>
      <c r="CA32" s="159">
        <v>0</v>
      </c>
      <c r="CB32" s="210">
        <v>0</v>
      </c>
      <c r="CC32" s="512"/>
    </row>
    <row r="33" spans="1:82" ht="16.350000000000001" customHeight="1">
      <c r="A33" s="186"/>
      <c r="B33" s="187" t="s">
        <v>429</v>
      </c>
      <c r="C33" s="187" t="s">
        <v>430</v>
      </c>
      <c r="D33" s="194">
        <f t="shared" ref="D33:BO33" si="31">SUM(D31:D32)</f>
        <v>0</v>
      </c>
      <c r="E33" s="194">
        <f t="shared" si="31"/>
        <v>0</v>
      </c>
      <c r="F33" s="194">
        <f t="shared" si="31"/>
        <v>0</v>
      </c>
      <c r="G33" s="194">
        <f t="shared" si="31"/>
        <v>0</v>
      </c>
      <c r="H33" s="194">
        <f t="shared" si="31"/>
        <v>0</v>
      </c>
      <c r="I33" s="194">
        <f t="shared" si="31"/>
        <v>0</v>
      </c>
      <c r="J33" s="194">
        <f t="shared" si="31"/>
        <v>0</v>
      </c>
      <c r="K33" s="194">
        <f t="shared" si="31"/>
        <v>0</v>
      </c>
      <c r="L33" s="194">
        <f t="shared" si="31"/>
        <v>0</v>
      </c>
      <c r="M33" s="194">
        <f t="shared" si="31"/>
        <v>0</v>
      </c>
      <c r="N33" s="194">
        <f t="shared" si="31"/>
        <v>0</v>
      </c>
      <c r="O33" s="194">
        <f t="shared" si="31"/>
        <v>0</v>
      </c>
      <c r="P33" s="194">
        <f t="shared" si="31"/>
        <v>0</v>
      </c>
      <c r="Q33" s="194">
        <f t="shared" si="31"/>
        <v>0</v>
      </c>
      <c r="R33" s="194">
        <f t="shared" si="31"/>
        <v>0</v>
      </c>
      <c r="S33" s="194">
        <f t="shared" si="31"/>
        <v>0</v>
      </c>
      <c r="T33" s="194">
        <f t="shared" si="31"/>
        <v>0</v>
      </c>
      <c r="U33" s="194">
        <f t="shared" si="31"/>
        <v>0</v>
      </c>
      <c r="V33" s="194">
        <f t="shared" si="31"/>
        <v>0</v>
      </c>
      <c r="W33" s="194">
        <f t="shared" si="31"/>
        <v>0</v>
      </c>
      <c r="X33" s="194">
        <f t="shared" si="31"/>
        <v>0</v>
      </c>
      <c r="Y33" s="194">
        <f t="shared" si="31"/>
        <v>0</v>
      </c>
      <c r="Z33" s="194">
        <f t="shared" si="31"/>
        <v>0</v>
      </c>
      <c r="AA33" s="194">
        <f t="shared" si="31"/>
        <v>0</v>
      </c>
      <c r="AB33" s="194">
        <f t="shared" si="31"/>
        <v>90298</v>
      </c>
      <c r="AC33" s="194">
        <f t="shared" si="31"/>
        <v>94641</v>
      </c>
      <c r="AD33" s="194">
        <f t="shared" si="31"/>
        <v>99611</v>
      </c>
      <c r="AE33" s="194">
        <f t="shared" si="31"/>
        <v>103362</v>
      </c>
      <c r="AF33" s="194">
        <f t="shared" si="31"/>
        <v>102209</v>
      </c>
      <c r="AG33" s="194">
        <f t="shared" si="31"/>
        <v>111393</v>
      </c>
      <c r="AH33" s="194">
        <f t="shared" si="31"/>
        <v>111414</v>
      </c>
      <c r="AI33" s="194">
        <f t="shared" si="31"/>
        <v>119519</v>
      </c>
      <c r="AJ33" s="194">
        <f t="shared" si="31"/>
        <v>119559</v>
      </c>
      <c r="AK33" s="194">
        <f t="shared" si="31"/>
        <v>131860</v>
      </c>
      <c r="AL33" s="194">
        <f t="shared" si="31"/>
        <v>137515</v>
      </c>
      <c r="AM33" s="194">
        <f t="shared" si="31"/>
        <v>154928</v>
      </c>
      <c r="AN33" s="194">
        <f t="shared" si="31"/>
        <v>141696</v>
      </c>
      <c r="AO33" s="194">
        <f t="shared" si="31"/>
        <v>153639</v>
      </c>
      <c r="AP33" s="194">
        <f t="shared" si="31"/>
        <v>165131</v>
      </c>
      <c r="AQ33" s="194">
        <f t="shared" si="31"/>
        <v>159537</v>
      </c>
      <c r="AR33" s="194">
        <f t="shared" si="31"/>
        <v>143261</v>
      </c>
      <c r="AS33" s="194">
        <f t="shared" si="31"/>
        <v>143842</v>
      </c>
      <c r="AT33" s="194">
        <f t="shared" si="31"/>
        <v>141803</v>
      </c>
      <c r="AU33" s="194">
        <f t="shared" si="31"/>
        <v>130644</v>
      </c>
      <c r="AV33" s="194">
        <f t="shared" si="31"/>
        <v>109650</v>
      </c>
      <c r="AW33" s="194">
        <f t="shared" si="31"/>
        <v>107236</v>
      </c>
      <c r="AX33" s="194">
        <f t="shared" si="31"/>
        <v>82245</v>
      </c>
      <c r="AY33" s="194">
        <f t="shared" si="31"/>
        <v>74052</v>
      </c>
      <c r="AZ33" s="194">
        <f t="shared" si="31"/>
        <v>60318.6</v>
      </c>
      <c r="BA33" s="194">
        <f t="shared" si="31"/>
        <v>52751</v>
      </c>
      <c r="BB33" s="194">
        <f t="shared" si="31"/>
        <v>48592</v>
      </c>
      <c r="BC33" s="194">
        <f t="shared" si="31"/>
        <v>45733</v>
      </c>
      <c r="BD33" s="194">
        <f t="shared" si="31"/>
        <v>41083</v>
      </c>
      <c r="BE33" s="194">
        <f t="shared" si="31"/>
        <v>43926.677779999998</v>
      </c>
      <c r="BF33" s="194">
        <f t="shared" si="31"/>
        <v>45111</v>
      </c>
      <c r="BG33" s="194">
        <f t="shared" si="31"/>
        <v>43504.774350000007</v>
      </c>
      <c r="BH33" s="194">
        <f t="shared" si="31"/>
        <v>0</v>
      </c>
      <c r="BI33" s="194">
        <f t="shared" si="31"/>
        <v>0</v>
      </c>
      <c r="BJ33" s="194">
        <f t="shared" si="31"/>
        <v>0</v>
      </c>
      <c r="BK33" s="194">
        <f t="shared" si="31"/>
        <v>0</v>
      </c>
      <c r="BL33" s="194">
        <f t="shared" si="31"/>
        <v>0</v>
      </c>
      <c r="BM33" s="194">
        <f t="shared" si="31"/>
        <v>0</v>
      </c>
      <c r="BN33" s="194">
        <f t="shared" si="31"/>
        <v>0</v>
      </c>
      <c r="BO33" s="194">
        <f t="shared" si="31"/>
        <v>0</v>
      </c>
      <c r="BP33" s="194">
        <f t="shared" ref="BP33" si="32">SUM(BP31:BP32)</f>
        <v>0</v>
      </c>
      <c r="BQ33" s="194">
        <f t="shared" ref="BQ33:BV33" si="33">SUM(BQ31:BQ32)</f>
        <v>0</v>
      </c>
      <c r="BR33" s="194">
        <f t="shared" si="33"/>
        <v>0</v>
      </c>
      <c r="BS33" s="194">
        <f t="shared" si="33"/>
        <v>0</v>
      </c>
      <c r="BT33" s="194">
        <f t="shared" si="33"/>
        <v>0</v>
      </c>
      <c r="BU33" s="194">
        <f t="shared" si="33"/>
        <v>0</v>
      </c>
      <c r="BV33" s="194">
        <f t="shared" si="33"/>
        <v>0</v>
      </c>
      <c r="BW33" s="194">
        <f t="shared" ref="BW33:BX33" si="34">SUM(BW31:BW32)</f>
        <v>0</v>
      </c>
      <c r="BX33" s="194">
        <f t="shared" si="34"/>
        <v>0</v>
      </c>
      <c r="BY33" s="194">
        <f t="shared" ref="BY33:BZ33" si="35">SUM(BY31:BY32)</f>
        <v>0</v>
      </c>
      <c r="BZ33" s="194">
        <f t="shared" si="35"/>
        <v>0</v>
      </c>
      <c r="CA33" s="194">
        <f t="shared" ref="CA33:CB33" si="36">SUM(CA31:CA32)</f>
        <v>0</v>
      </c>
      <c r="CB33" s="216">
        <f t="shared" si="36"/>
        <v>0</v>
      </c>
      <c r="CC33" s="512"/>
    </row>
    <row r="34" spans="1:82" ht="16.350000000000001" customHeight="1" collapsed="1">
      <c r="A34" s="174"/>
      <c r="B34" s="195"/>
      <c r="C34" s="195"/>
      <c r="D34" s="196"/>
      <c r="E34" s="196"/>
      <c r="F34" s="196"/>
      <c r="G34" s="196"/>
      <c r="H34" s="196"/>
      <c r="I34" s="174"/>
      <c r="J34" s="174"/>
      <c r="K34" s="174"/>
      <c r="L34" s="174"/>
      <c r="M34" s="174"/>
      <c r="N34" s="174"/>
      <c r="O34" s="174"/>
      <c r="P34" s="174"/>
      <c r="Q34" s="174"/>
      <c r="R34" s="174"/>
      <c r="S34" s="174"/>
      <c r="T34" s="174"/>
      <c r="U34" s="174"/>
      <c r="V34" s="174"/>
      <c r="W34" s="174"/>
      <c r="X34" s="174"/>
      <c r="Y34" s="174"/>
      <c r="Z34" s="174"/>
      <c r="AA34" s="174"/>
      <c r="AB34" s="174"/>
      <c r="AC34" s="174"/>
      <c r="AD34" s="174"/>
      <c r="AE34" s="174"/>
      <c r="AF34" s="174"/>
      <c r="AG34" s="174"/>
      <c r="AH34" s="174"/>
      <c r="AI34" s="174"/>
      <c r="AJ34" s="174"/>
      <c r="AK34" s="174"/>
      <c r="AL34" s="174"/>
      <c r="AM34" s="174"/>
      <c r="AN34" s="174"/>
      <c r="AO34" s="174"/>
      <c r="AP34" s="174"/>
      <c r="AQ34" s="174"/>
      <c r="AR34" s="174"/>
      <c r="AS34" s="174"/>
      <c r="AT34" s="174"/>
      <c r="AU34" s="174"/>
      <c r="AV34" s="174"/>
      <c r="AW34" s="174"/>
      <c r="AX34" s="174"/>
      <c r="AY34" s="174"/>
      <c r="AZ34" s="174"/>
      <c r="BA34" s="174"/>
      <c r="BB34" s="174"/>
      <c r="BC34" s="174"/>
      <c r="BD34" s="174"/>
      <c r="BE34" s="174"/>
      <c r="BF34" s="174"/>
      <c r="BG34" s="174"/>
      <c r="BH34" s="174"/>
      <c r="BI34" s="174"/>
      <c r="BJ34" s="174"/>
      <c r="BK34" s="174"/>
      <c r="BL34" s="174"/>
      <c r="BM34" s="174"/>
      <c r="BN34" s="174"/>
      <c r="BO34" s="174"/>
      <c r="BP34" s="174"/>
      <c r="BQ34" s="174"/>
      <c r="BR34" s="174"/>
      <c r="BS34" s="174"/>
      <c r="BT34" s="174"/>
      <c r="BU34" s="174"/>
      <c r="BV34" s="174"/>
      <c r="BW34" s="174"/>
      <c r="BX34" s="174"/>
      <c r="BY34" s="174"/>
      <c r="BZ34" s="174"/>
      <c r="CA34" s="174"/>
      <c r="CB34" s="197"/>
      <c r="CC34" s="512"/>
    </row>
    <row r="35" spans="1:82" ht="16.350000000000001" customHeight="1">
      <c r="A35" s="186"/>
      <c r="B35" s="198" t="s">
        <v>431</v>
      </c>
      <c r="C35" s="198" t="s">
        <v>432</v>
      </c>
      <c r="D35" s="199">
        <f t="shared" ref="D35:AI35" si="37">D14+D25+D31</f>
        <v>444554</v>
      </c>
      <c r="E35" s="199">
        <f t="shared" si="37"/>
        <v>377855</v>
      </c>
      <c r="F35" s="199">
        <f t="shared" si="37"/>
        <v>414971</v>
      </c>
      <c r="G35" s="199">
        <f t="shared" si="37"/>
        <v>399522</v>
      </c>
      <c r="H35" s="199">
        <f t="shared" si="37"/>
        <v>583393</v>
      </c>
      <c r="I35" s="199">
        <f t="shared" si="37"/>
        <v>480162</v>
      </c>
      <c r="J35" s="199">
        <f t="shared" si="37"/>
        <v>520591</v>
      </c>
      <c r="K35" s="199">
        <f t="shared" si="37"/>
        <v>480415</v>
      </c>
      <c r="L35" s="199">
        <f t="shared" si="37"/>
        <v>660491</v>
      </c>
      <c r="M35" s="199">
        <f t="shared" si="37"/>
        <v>555579</v>
      </c>
      <c r="N35" s="199">
        <f t="shared" si="37"/>
        <v>577591</v>
      </c>
      <c r="O35" s="199">
        <f t="shared" si="37"/>
        <v>521556</v>
      </c>
      <c r="P35" s="199">
        <f t="shared" si="37"/>
        <v>647821</v>
      </c>
      <c r="Q35" s="199">
        <f t="shared" si="37"/>
        <v>516345</v>
      </c>
      <c r="R35" s="199">
        <f t="shared" si="37"/>
        <v>559682</v>
      </c>
      <c r="S35" s="199">
        <f t="shared" si="37"/>
        <v>512025</v>
      </c>
      <c r="T35" s="199">
        <f t="shared" si="37"/>
        <v>686245</v>
      </c>
      <c r="U35" s="199">
        <f t="shared" si="37"/>
        <v>565624</v>
      </c>
      <c r="V35" s="199">
        <f t="shared" si="37"/>
        <v>607068</v>
      </c>
      <c r="W35" s="199">
        <f t="shared" si="37"/>
        <v>563238</v>
      </c>
      <c r="X35" s="199">
        <f t="shared" si="37"/>
        <v>726626</v>
      </c>
      <c r="Y35" s="199">
        <f t="shared" si="37"/>
        <v>612622</v>
      </c>
      <c r="Z35" s="199">
        <f t="shared" si="37"/>
        <v>658002</v>
      </c>
      <c r="AA35" s="199">
        <f t="shared" si="37"/>
        <v>596005</v>
      </c>
      <c r="AB35" s="199">
        <f t="shared" si="37"/>
        <v>894285</v>
      </c>
      <c r="AC35" s="199">
        <f t="shared" si="37"/>
        <v>779716</v>
      </c>
      <c r="AD35" s="199">
        <f t="shared" si="37"/>
        <v>889679</v>
      </c>
      <c r="AE35" s="199">
        <f t="shared" si="37"/>
        <v>889275</v>
      </c>
      <c r="AF35" s="199">
        <f t="shared" si="37"/>
        <v>1131530</v>
      </c>
      <c r="AG35" s="199">
        <f t="shared" si="37"/>
        <v>1002529</v>
      </c>
      <c r="AH35" s="199">
        <f t="shared" si="37"/>
        <v>1036317</v>
      </c>
      <c r="AI35" s="199">
        <f t="shared" si="37"/>
        <v>1073640</v>
      </c>
      <c r="AJ35" s="199">
        <f t="shared" ref="AJ35:BO35" si="38">AJ14+AJ25+AJ31</f>
        <v>1405768</v>
      </c>
      <c r="AK35" s="199">
        <f t="shared" si="38"/>
        <v>1284196</v>
      </c>
      <c r="AL35" s="199">
        <f t="shared" si="38"/>
        <v>1315087</v>
      </c>
      <c r="AM35" s="199">
        <f t="shared" si="38"/>
        <v>1322017</v>
      </c>
      <c r="AN35" s="199">
        <f t="shared" si="38"/>
        <v>1687051</v>
      </c>
      <c r="AO35" s="199">
        <f t="shared" si="38"/>
        <v>1528979.7191256001</v>
      </c>
      <c r="AP35" s="199">
        <f t="shared" si="38"/>
        <v>1623454.2275282999</v>
      </c>
      <c r="AQ35" s="199">
        <f t="shared" si="38"/>
        <v>1573676.4857099999</v>
      </c>
      <c r="AR35" s="199">
        <f t="shared" si="38"/>
        <v>1881638</v>
      </c>
      <c r="AS35" s="199">
        <f t="shared" si="38"/>
        <v>1630035.1701015001</v>
      </c>
      <c r="AT35" s="199">
        <f t="shared" si="38"/>
        <v>1701933.0814460001</v>
      </c>
      <c r="AU35" s="199">
        <f t="shared" si="38"/>
        <v>1600654.4627244</v>
      </c>
      <c r="AV35" s="199">
        <f t="shared" si="38"/>
        <v>1909798.0198593</v>
      </c>
      <c r="AW35" s="199">
        <f t="shared" si="38"/>
        <v>1728085.8142201002</v>
      </c>
      <c r="AX35" s="199">
        <f t="shared" si="38"/>
        <v>1925839.0423361</v>
      </c>
      <c r="AY35" s="199">
        <f t="shared" si="38"/>
        <v>1869423.8431500001</v>
      </c>
      <c r="AZ35" s="199">
        <f t="shared" si="38"/>
        <v>2320631.7895600004</v>
      </c>
      <c r="BA35" s="199">
        <f t="shared" si="38"/>
        <v>2107106.7440419095</v>
      </c>
      <c r="BB35" s="199">
        <f t="shared" si="38"/>
        <v>2205993.0381800001</v>
      </c>
      <c r="BC35" s="199">
        <f t="shared" si="38"/>
        <v>2204654.8122999999</v>
      </c>
      <c r="BD35" s="199">
        <f t="shared" si="38"/>
        <v>2789516.5337399999</v>
      </c>
      <c r="BE35" s="199">
        <f t="shared" si="38"/>
        <v>2611237.8937998218</v>
      </c>
      <c r="BF35" s="199">
        <f t="shared" si="38"/>
        <v>2728049.2436991963</v>
      </c>
      <c r="BG35" s="199">
        <f t="shared" si="38"/>
        <v>2905961.6546605281</v>
      </c>
      <c r="BH35" s="199">
        <f t="shared" si="38"/>
        <v>3473191.8916567913</v>
      </c>
      <c r="BI35" s="199">
        <f t="shared" si="38"/>
        <v>3249187.5514299991</v>
      </c>
      <c r="BJ35" s="199">
        <f t="shared" si="38"/>
        <v>2656011.4753300003</v>
      </c>
      <c r="BK35" s="199">
        <f t="shared" si="38"/>
        <v>2867301.1674899999</v>
      </c>
      <c r="BL35" s="199">
        <f t="shared" si="38"/>
        <v>3535836.4253900005</v>
      </c>
      <c r="BM35" s="199">
        <f t="shared" si="38"/>
        <v>3046403.6178900003</v>
      </c>
      <c r="BN35" s="199">
        <f t="shared" si="38"/>
        <v>3418272.2773299995</v>
      </c>
      <c r="BO35" s="199">
        <f t="shared" si="38"/>
        <v>3717541</v>
      </c>
      <c r="BP35" s="199">
        <f t="shared" ref="BP35:BY35" si="39">BP14+BP25+BP31</f>
        <v>4811665.7639699997</v>
      </c>
      <c r="BQ35" s="199">
        <f t="shared" si="39"/>
        <v>4935586</v>
      </c>
      <c r="BR35" s="199">
        <f t="shared" si="39"/>
        <v>5499899.7116799997</v>
      </c>
      <c r="BS35" s="199">
        <f t="shared" si="39"/>
        <v>5651327.9873599997</v>
      </c>
      <c r="BT35" s="199">
        <f t="shared" si="39"/>
        <v>6368525.7453999994</v>
      </c>
      <c r="BU35" s="199">
        <f t="shared" si="39"/>
        <v>6175230</v>
      </c>
      <c r="BV35" s="199">
        <f t="shared" si="39"/>
        <v>6209021.9006000003</v>
      </c>
      <c r="BW35" s="199">
        <f t="shared" si="39"/>
        <v>5821044</v>
      </c>
      <c r="BX35" s="199">
        <f t="shared" si="39"/>
        <v>6186858.9227900011</v>
      </c>
      <c r="BY35" s="199">
        <f t="shared" si="39"/>
        <v>5749932.7952000005</v>
      </c>
      <c r="BZ35" s="199">
        <f t="shared" ref="BZ35:CA35" si="40">BZ14+BZ25+BZ31</f>
        <v>5801182.8678200003</v>
      </c>
      <c r="CA35" s="199">
        <f t="shared" si="40"/>
        <v>5734546</v>
      </c>
      <c r="CB35" s="217">
        <f t="shared" ref="CB35" si="41">CB14+CB25+CB31</f>
        <v>6182188.4025499998</v>
      </c>
      <c r="CC35" s="512"/>
    </row>
    <row r="36" spans="1:82" ht="16.350000000000001" customHeight="1">
      <c r="A36" s="186"/>
      <c r="B36" s="200" t="s">
        <v>188</v>
      </c>
      <c r="C36" s="200" t="s">
        <v>187</v>
      </c>
      <c r="D36" s="201">
        <f t="shared" ref="D36:AI36" si="42">D17+D28+D33</f>
        <v>421558</v>
      </c>
      <c r="E36" s="201">
        <f t="shared" si="42"/>
        <v>355740</v>
      </c>
      <c r="F36" s="201">
        <f t="shared" si="42"/>
        <v>387437</v>
      </c>
      <c r="G36" s="201">
        <f t="shared" si="42"/>
        <v>374275</v>
      </c>
      <c r="H36" s="201">
        <f t="shared" si="42"/>
        <v>549765</v>
      </c>
      <c r="I36" s="201">
        <f t="shared" si="42"/>
        <v>417106</v>
      </c>
      <c r="J36" s="201">
        <f t="shared" si="42"/>
        <v>435701</v>
      </c>
      <c r="K36" s="201">
        <f t="shared" si="42"/>
        <v>402061</v>
      </c>
      <c r="L36" s="201">
        <f t="shared" si="42"/>
        <v>544340</v>
      </c>
      <c r="M36" s="201">
        <f t="shared" si="42"/>
        <v>471445.52886000002</v>
      </c>
      <c r="N36" s="201">
        <f t="shared" si="42"/>
        <v>475235.98684999999</v>
      </c>
      <c r="O36" s="201">
        <f t="shared" si="42"/>
        <v>436498.81229999999</v>
      </c>
      <c r="P36" s="201">
        <f t="shared" si="42"/>
        <v>536335.12911999994</v>
      </c>
      <c r="Q36" s="201">
        <f t="shared" si="42"/>
        <v>448016.23134257761</v>
      </c>
      <c r="R36" s="201">
        <f t="shared" si="42"/>
        <v>474361.87944273592</v>
      </c>
      <c r="S36" s="201">
        <f t="shared" si="42"/>
        <v>433082.42712529137</v>
      </c>
      <c r="T36" s="201">
        <f t="shared" si="42"/>
        <v>577033.79825270409</v>
      </c>
      <c r="U36" s="201">
        <f t="shared" si="42"/>
        <v>477477.06740255188</v>
      </c>
      <c r="V36" s="201">
        <f t="shared" si="42"/>
        <v>501436.98646449391</v>
      </c>
      <c r="W36" s="201">
        <f t="shared" si="42"/>
        <v>469902.55464931502</v>
      </c>
      <c r="X36" s="201">
        <f t="shared" si="42"/>
        <v>628778.68228157703</v>
      </c>
      <c r="Y36" s="201">
        <f t="shared" si="42"/>
        <v>537574.47369856946</v>
      </c>
      <c r="Z36" s="201">
        <f t="shared" si="42"/>
        <v>569025.56690856849</v>
      </c>
      <c r="AA36" s="201">
        <f t="shared" si="42"/>
        <v>520522.87783019152</v>
      </c>
      <c r="AB36" s="201">
        <f t="shared" si="42"/>
        <v>795984</v>
      </c>
      <c r="AC36" s="201">
        <f t="shared" si="42"/>
        <v>699766</v>
      </c>
      <c r="AD36" s="201">
        <f t="shared" si="42"/>
        <v>798339</v>
      </c>
      <c r="AE36" s="201">
        <f t="shared" si="42"/>
        <v>807026.24</v>
      </c>
      <c r="AF36" s="201">
        <f t="shared" si="42"/>
        <v>1031092</v>
      </c>
      <c r="AG36" s="201">
        <f t="shared" si="42"/>
        <v>916607.95136228332</v>
      </c>
      <c r="AH36" s="201">
        <f t="shared" si="42"/>
        <v>942619.94277189346</v>
      </c>
      <c r="AI36" s="201">
        <f t="shared" si="42"/>
        <v>980663.31403501856</v>
      </c>
      <c r="AJ36" s="201">
        <f t="shared" ref="AJ36:BO36" si="43">AJ17+AJ28+AJ33</f>
        <v>1293711.334109338</v>
      </c>
      <c r="AK36" s="201">
        <f t="shared" si="43"/>
        <v>1188433.4293284218</v>
      </c>
      <c r="AL36" s="201">
        <f t="shared" si="43"/>
        <v>1200211</v>
      </c>
      <c r="AM36" s="201">
        <f t="shared" si="43"/>
        <v>1206207</v>
      </c>
      <c r="AN36" s="201">
        <f t="shared" si="43"/>
        <v>1556003</v>
      </c>
      <c r="AO36" s="201">
        <f t="shared" si="43"/>
        <v>1414100.7191256001</v>
      </c>
      <c r="AP36" s="201">
        <f t="shared" si="43"/>
        <v>1480357.2275282999</v>
      </c>
      <c r="AQ36" s="201">
        <f t="shared" si="43"/>
        <v>1431998.4857099999</v>
      </c>
      <c r="AR36" s="201">
        <f t="shared" si="43"/>
        <v>1713479</v>
      </c>
      <c r="AS36" s="201">
        <f t="shared" si="43"/>
        <v>1490029.1701015001</v>
      </c>
      <c r="AT36" s="201">
        <f t="shared" si="43"/>
        <v>1541575.0814460001</v>
      </c>
      <c r="AU36" s="201">
        <f t="shared" si="43"/>
        <v>1452850.4627244</v>
      </c>
      <c r="AV36" s="201">
        <f t="shared" si="43"/>
        <v>1753682.0198593</v>
      </c>
      <c r="AW36" s="201">
        <f t="shared" si="43"/>
        <v>1595598.8142201002</v>
      </c>
      <c r="AX36" s="201">
        <f t="shared" si="43"/>
        <v>1776722.0423361</v>
      </c>
      <c r="AY36" s="201">
        <f t="shared" si="43"/>
        <v>1691393.8431500001</v>
      </c>
      <c r="AZ36" s="201">
        <f t="shared" si="43"/>
        <v>2068390.7895600004</v>
      </c>
      <c r="BA36" s="201">
        <f t="shared" si="43"/>
        <v>1828417.9864820144</v>
      </c>
      <c r="BB36" s="201">
        <f t="shared" si="43"/>
        <v>1903012.0381800001</v>
      </c>
      <c r="BC36" s="201">
        <f t="shared" si="43"/>
        <v>1902052.1551671424</v>
      </c>
      <c r="BD36" s="201">
        <f t="shared" si="43"/>
        <v>2457416.5337399999</v>
      </c>
      <c r="BE36" s="201">
        <f t="shared" si="43"/>
        <v>2275839.8937998218</v>
      </c>
      <c r="BF36" s="201">
        <f t="shared" si="43"/>
        <v>2353392.2436991963</v>
      </c>
      <c r="BG36" s="201">
        <f t="shared" si="43"/>
        <v>2503654.0094605279</v>
      </c>
      <c r="BH36" s="201">
        <f t="shared" si="43"/>
        <v>3023072.3508867915</v>
      </c>
      <c r="BI36" s="201">
        <f t="shared" si="43"/>
        <v>2671239.5103874886</v>
      </c>
      <c r="BJ36" s="201">
        <f t="shared" si="43"/>
        <v>2020040.3641700004</v>
      </c>
      <c r="BK36" s="201">
        <f t="shared" si="43"/>
        <v>2217867.1674899999</v>
      </c>
      <c r="BL36" s="201">
        <f t="shared" si="43"/>
        <v>2969195.6846500007</v>
      </c>
      <c r="BM36" s="201">
        <f t="shared" si="43"/>
        <v>2604799.6178900003</v>
      </c>
      <c r="BN36" s="201">
        <f t="shared" si="43"/>
        <v>2972024</v>
      </c>
      <c r="BO36" s="201">
        <f t="shared" si="43"/>
        <v>3210253</v>
      </c>
      <c r="BP36" s="201">
        <f t="shared" ref="BP36:BY36" si="44">BP17+BP28+BP33</f>
        <v>4200497.8149100002</v>
      </c>
      <c r="BQ36" s="201">
        <f t="shared" si="44"/>
        <v>4279555</v>
      </c>
      <c r="BR36" s="201">
        <f t="shared" si="44"/>
        <v>4647750.8751400001</v>
      </c>
      <c r="BS36" s="201">
        <f t="shared" si="44"/>
        <v>4632263.9873599997</v>
      </c>
      <c r="BT36" s="201">
        <f t="shared" si="44"/>
        <v>5196227.7453999994</v>
      </c>
      <c r="BU36" s="201">
        <f t="shared" si="44"/>
        <v>4981671</v>
      </c>
      <c r="BV36" s="201">
        <f t="shared" si="44"/>
        <v>4943175.2871700013</v>
      </c>
      <c r="BW36" s="201">
        <f t="shared" si="44"/>
        <v>4566916</v>
      </c>
      <c r="BX36" s="201">
        <f t="shared" si="44"/>
        <v>4971567.2815300012</v>
      </c>
      <c r="BY36" s="201">
        <f t="shared" si="44"/>
        <v>4655154.7952000005</v>
      </c>
      <c r="BZ36" s="201">
        <f t="shared" ref="BZ36:CA36" si="45">BZ17+BZ28+BZ33</f>
        <v>4764900.8678200003</v>
      </c>
      <c r="CA36" s="201">
        <f t="shared" si="45"/>
        <v>4772624</v>
      </c>
      <c r="CB36" s="218">
        <f t="shared" ref="CB36" si="46">CB17+CB28+CB33</f>
        <v>5244343.4025499998</v>
      </c>
      <c r="CC36" s="512"/>
    </row>
    <row r="37" spans="1:82" ht="16.350000000000001" customHeight="1">
      <c r="A37" s="174"/>
      <c r="B37" s="202"/>
      <c r="C37" s="202"/>
      <c r="D37" s="174"/>
      <c r="E37" s="174"/>
      <c r="F37" s="174"/>
      <c r="G37" s="174"/>
      <c r="H37" s="174"/>
      <c r="I37" s="174"/>
      <c r="J37" s="174"/>
      <c r="K37" s="174"/>
      <c r="L37" s="174"/>
      <c r="M37" s="174"/>
      <c r="N37" s="174"/>
      <c r="O37" s="174"/>
      <c r="P37" s="174"/>
      <c r="Q37" s="174"/>
      <c r="R37" s="174"/>
      <c r="S37" s="174"/>
      <c r="T37" s="174"/>
      <c r="U37" s="174"/>
      <c r="V37" s="174"/>
      <c r="W37" s="174"/>
      <c r="X37" s="174"/>
      <c r="Y37" s="174"/>
      <c r="Z37" s="174"/>
      <c r="AA37" s="174"/>
      <c r="AB37" s="174"/>
      <c r="AC37" s="174"/>
      <c r="AD37" s="174"/>
      <c r="AE37" s="174"/>
      <c r="AF37" s="174"/>
      <c r="AG37" s="174"/>
      <c r="AH37" s="174"/>
      <c r="AI37" s="174"/>
      <c r="AJ37" s="174"/>
      <c r="AK37" s="174"/>
      <c r="AL37" s="174"/>
      <c r="AM37" s="174"/>
      <c r="AN37" s="174"/>
      <c r="AO37" s="174"/>
      <c r="AP37" s="174"/>
      <c r="AQ37" s="174"/>
      <c r="AR37" s="174"/>
      <c r="AS37" s="174"/>
      <c r="AT37" s="174"/>
      <c r="AU37" s="174"/>
      <c r="AV37" s="174"/>
      <c r="AW37" s="174"/>
      <c r="AX37" s="174"/>
      <c r="AY37" s="174"/>
      <c r="AZ37" s="174"/>
      <c r="BA37" s="174"/>
      <c r="BB37" s="174"/>
      <c r="BC37" s="174"/>
      <c r="BD37" s="174"/>
      <c r="BE37" s="174"/>
      <c r="BF37" s="174"/>
      <c r="BG37" s="174"/>
      <c r="BH37" s="174"/>
      <c r="BI37" s="174"/>
      <c r="BJ37" s="174"/>
      <c r="BK37" s="174"/>
      <c r="BL37" s="174"/>
      <c r="BM37" s="174"/>
      <c r="BN37" s="174"/>
      <c r="BO37" s="174"/>
      <c r="BP37" s="174"/>
      <c r="BQ37" s="174"/>
      <c r="BR37" s="174"/>
      <c r="BS37" s="174"/>
      <c r="BT37" s="174"/>
      <c r="BU37" s="174"/>
      <c r="BV37" s="174"/>
      <c r="CB37" s="181"/>
      <c r="CC37" s="512"/>
    </row>
    <row r="38" spans="1:82" ht="16.350000000000001" customHeight="1">
      <c r="A38" s="186"/>
      <c r="B38" s="198" t="s">
        <v>186</v>
      </c>
      <c r="C38" s="198" t="s">
        <v>2273</v>
      </c>
      <c r="D38" s="199">
        <v>0</v>
      </c>
      <c r="E38" s="199">
        <v>0</v>
      </c>
      <c r="F38" s="199">
        <v>0</v>
      </c>
      <c r="G38" s="199">
        <v>0</v>
      </c>
      <c r="H38" s="199">
        <v>0</v>
      </c>
      <c r="I38" s="199">
        <v>0</v>
      </c>
      <c r="J38" s="199">
        <v>0</v>
      </c>
      <c r="K38" s="199">
        <v>0</v>
      </c>
      <c r="L38" s="199">
        <v>0</v>
      </c>
      <c r="M38" s="199">
        <v>0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199">
        <v>0</v>
      </c>
      <c r="W38" s="199">
        <v>0</v>
      </c>
      <c r="X38" s="199">
        <v>0</v>
      </c>
      <c r="Y38" s="199">
        <v>0</v>
      </c>
      <c r="Z38" s="199">
        <v>0</v>
      </c>
      <c r="AA38" s="199">
        <v>0</v>
      </c>
      <c r="AB38" s="199">
        <v>180251</v>
      </c>
      <c r="AC38" s="199">
        <v>108970</v>
      </c>
      <c r="AD38" s="199">
        <v>160405</v>
      </c>
      <c r="AE38" s="199">
        <v>143860</v>
      </c>
      <c r="AF38" s="199">
        <v>247825</v>
      </c>
      <c r="AG38" s="199">
        <v>149898</v>
      </c>
      <c r="AH38" s="199">
        <v>188594</v>
      </c>
      <c r="AI38" s="199">
        <v>164710</v>
      </c>
      <c r="AJ38" s="199">
        <v>276901</v>
      </c>
      <c r="AK38" s="199">
        <v>158203</v>
      </c>
      <c r="AL38" s="199">
        <v>212210</v>
      </c>
      <c r="AM38" s="199">
        <v>186924</v>
      </c>
      <c r="AN38" s="199">
        <v>352023</v>
      </c>
      <c r="AO38" s="199">
        <v>192037</v>
      </c>
      <c r="AP38" s="199">
        <v>259777</v>
      </c>
      <c r="AQ38" s="199">
        <v>232630</v>
      </c>
      <c r="AR38" s="199">
        <v>404990</v>
      </c>
      <c r="AS38" s="199">
        <v>208765</v>
      </c>
      <c r="AT38" s="199">
        <v>314263</v>
      </c>
      <c r="AU38" s="199">
        <v>247785</v>
      </c>
      <c r="AV38" s="199">
        <v>454874</v>
      </c>
      <c r="AW38" s="199">
        <v>265105</v>
      </c>
      <c r="AX38" s="199">
        <v>364461</v>
      </c>
      <c r="AY38" s="199">
        <v>331489</v>
      </c>
      <c r="AZ38" s="199">
        <v>583471.69999999995</v>
      </c>
      <c r="BA38" s="199">
        <v>333953</v>
      </c>
      <c r="BB38" s="199">
        <v>451352</v>
      </c>
      <c r="BC38" s="199">
        <v>376011</v>
      </c>
      <c r="BD38" s="199">
        <v>701593</v>
      </c>
      <c r="BE38" s="199">
        <v>425173</v>
      </c>
      <c r="BF38" s="199">
        <v>540314</v>
      </c>
      <c r="BG38" s="199">
        <v>437417.24385999999</v>
      </c>
      <c r="BH38" s="199">
        <v>797075.22594000015</v>
      </c>
      <c r="BI38" s="199">
        <v>334682.21003000002</v>
      </c>
      <c r="BJ38" s="199">
        <v>200561.33981</v>
      </c>
      <c r="BK38" s="199">
        <v>454795</v>
      </c>
      <c r="BL38" s="199">
        <v>833255</v>
      </c>
      <c r="BM38" s="199">
        <v>70707</v>
      </c>
      <c r="BN38" s="199">
        <v>707928</v>
      </c>
      <c r="BO38" s="199">
        <v>631416</v>
      </c>
      <c r="BP38" s="199">
        <v>1176174</v>
      </c>
      <c r="BQ38" s="199">
        <v>728520</v>
      </c>
      <c r="BR38" s="199">
        <v>1028903</v>
      </c>
      <c r="BS38" s="199">
        <v>824537</v>
      </c>
      <c r="BT38" s="199">
        <v>1294973</v>
      </c>
      <c r="BU38" s="199">
        <v>768112</v>
      </c>
      <c r="BV38" s="199">
        <v>1134505</v>
      </c>
      <c r="BW38" s="199">
        <v>1052427</v>
      </c>
      <c r="BX38" s="199">
        <v>1603013</v>
      </c>
      <c r="BY38" s="199">
        <v>934003</v>
      </c>
      <c r="BZ38" s="199">
        <v>1185283</v>
      </c>
      <c r="CA38" s="199">
        <v>1010808</v>
      </c>
      <c r="CB38" s="217">
        <v>1612181</v>
      </c>
      <c r="CC38" s="512"/>
      <c r="CD38" s="181"/>
    </row>
    <row r="39" spans="1:82" ht="16.350000000000001" customHeight="1">
      <c r="A39" s="174"/>
      <c r="B39" s="196"/>
      <c r="C39" s="196"/>
      <c r="D39" s="196"/>
      <c r="E39" s="196"/>
      <c r="F39" s="196"/>
      <c r="G39" s="196"/>
      <c r="H39" s="196"/>
      <c r="I39" s="174"/>
      <c r="J39" s="174"/>
      <c r="K39" s="174"/>
      <c r="L39" s="174"/>
      <c r="M39" s="174"/>
      <c r="N39" s="174"/>
      <c r="O39" s="174"/>
      <c r="P39" s="174"/>
      <c r="Q39" s="174"/>
      <c r="R39" s="174"/>
      <c r="S39" s="174"/>
      <c r="T39" s="174"/>
      <c r="U39" s="174"/>
      <c r="V39" s="174"/>
      <c r="W39" s="174"/>
      <c r="X39" s="174"/>
      <c r="Y39" s="174"/>
      <c r="Z39" s="174"/>
      <c r="AA39" s="174"/>
      <c r="AB39" s="174"/>
      <c r="AC39" s="174"/>
      <c r="AD39" s="174"/>
      <c r="AE39" s="174"/>
      <c r="AF39" s="174"/>
      <c r="AG39" s="174"/>
      <c r="AH39" s="174"/>
      <c r="AI39" s="174"/>
      <c r="AJ39" s="174"/>
      <c r="AK39" s="174"/>
      <c r="AL39" s="174"/>
      <c r="AM39" s="174"/>
      <c r="AN39" s="174"/>
      <c r="AO39" s="174"/>
      <c r="AP39" s="174"/>
      <c r="AQ39" s="174"/>
      <c r="AR39" s="174"/>
      <c r="AS39" s="174"/>
      <c r="AT39" s="174"/>
      <c r="AU39" s="174"/>
      <c r="AV39" s="174"/>
      <c r="AW39" s="174"/>
      <c r="AX39" s="174"/>
      <c r="AY39" s="174"/>
      <c r="AZ39" s="174"/>
      <c r="BA39" s="174"/>
      <c r="BB39" s="174"/>
      <c r="BC39" s="174"/>
      <c r="BD39" s="174"/>
      <c r="BE39" s="174"/>
      <c r="BF39" s="174"/>
      <c r="BG39" s="174"/>
      <c r="BH39" s="174"/>
      <c r="BI39" s="174"/>
      <c r="BJ39" s="174"/>
      <c r="BK39" s="174"/>
      <c r="BL39" s="174"/>
      <c r="BM39" s="174"/>
      <c r="BN39" s="174"/>
      <c r="BO39" s="174"/>
      <c r="BP39" s="174"/>
      <c r="BQ39" s="174"/>
      <c r="BR39" s="174"/>
      <c r="BS39" s="174"/>
      <c r="BT39" s="174"/>
      <c r="BU39" s="174"/>
      <c r="BV39" s="174"/>
      <c r="BW39" s="174"/>
      <c r="BX39" s="174"/>
      <c r="BY39" s="174"/>
      <c r="BZ39" s="174"/>
      <c r="CA39" s="174"/>
      <c r="CB39" s="197"/>
      <c r="CC39" s="512"/>
    </row>
    <row r="40" spans="1:82" ht="16.350000000000001" customHeight="1">
      <c r="A40" s="186"/>
      <c r="B40" s="198" t="s">
        <v>8</v>
      </c>
      <c r="C40" s="198" t="s">
        <v>9</v>
      </c>
      <c r="D40" s="199">
        <v>0</v>
      </c>
      <c r="E40" s="199">
        <v>0</v>
      </c>
      <c r="F40" s="199">
        <v>0</v>
      </c>
      <c r="G40" s="199">
        <v>0</v>
      </c>
      <c r="H40" s="199">
        <v>0</v>
      </c>
      <c r="I40" s="199">
        <v>0</v>
      </c>
      <c r="J40" s="199">
        <v>0</v>
      </c>
      <c r="K40" s="199">
        <v>0</v>
      </c>
      <c r="L40" s="199">
        <v>0</v>
      </c>
      <c r="M40" s="199">
        <v>0</v>
      </c>
      <c r="N40" s="199">
        <v>0</v>
      </c>
      <c r="O40" s="199">
        <v>0</v>
      </c>
      <c r="P40" s="199">
        <v>0</v>
      </c>
      <c r="Q40" s="199">
        <v>0</v>
      </c>
      <c r="R40" s="199">
        <v>0</v>
      </c>
      <c r="S40" s="199">
        <v>0</v>
      </c>
      <c r="T40" s="199">
        <v>0</v>
      </c>
      <c r="U40" s="199">
        <v>0</v>
      </c>
      <c r="V40" s="199">
        <v>0</v>
      </c>
      <c r="W40" s="199">
        <v>0</v>
      </c>
      <c r="X40" s="199">
        <v>0</v>
      </c>
      <c r="Y40" s="199">
        <v>0</v>
      </c>
      <c r="Z40" s="199">
        <v>0</v>
      </c>
      <c r="AA40" s="199">
        <v>0</v>
      </c>
      <c r="AB40" s="199">
        <v>1444</v>
      </c>
      <c r="AC40" s="199">
        <v>3284</v>
      </c>
      <c r="AD40" s="199">
        <v>2181</v>
      </c>
      <c r="AE40" s="199">
        <v>1011</v>
      </c>
      <c r="AF40" s="199">
        <v>781</v>
      </c>
      <c r="AG40" s="199">
        <v>1730</v>
      </c>
      <c r="AH40" s="199">
        <v>642</v>
      </c>
      <c r="AI40" s="199">
        <v>665</v>
      </c>
      <c r="AJ40" s="199">
        <v>1831</v>
      </c>
      <c r="AK40" s="199">
        <v>1307</v>
      </c>
      <c r="AL40" s="199">
        <v>1937</v>
      </c>
      <c r="AM40" s="199">
        <v>2036.99999999999</v>
      </c>
      <c r="AN40" s="199">
        <v>492</v>
      </c>
      <c r="AO40" s="199">
        <v>4367</v>
      </c>
      <c r="AP40" s="199">
        <v>5947</v>
      </c>
      <c r="AQ40" s="199">
        <v>6133</v>
      </c>
      <c r="AR40" s="199">
        <v>1367</v>
      </c>
      <c r="AS40" s="199">
        <v>819</v>
      </c>
      <c r="AT40" s="199">
        <v>1431</v>
      </c>
      <c r="AU40" s="199">
        <v>1703</v>
      </c>
      <c r="AV40" s="199">
        <v>715</v>
      </c>
      <c r="AW40" s="199">
        <v>531</v>
      </c>
      <c r="AX40" s="199">
        <v>520</v>
      </c>
      <c r="AY40" s="199">
        <v>2034.2422299999739</v>
      </c>
      <c r="AZ40" s="199">
        <v>3751.8999999999996</v>
      </c>
      <c r="BA40" s="199">
        <v>5929</v>
      </c>
      <c r="BB40" s="199">
        <v>5023</v>
      </c>
      <c r="BC40" s="199">
        <v>3243</v>
      </c>
      <c r="BD40" s="199">
        <v>3659</v>
      </c>
      <c r="BE40" s="199">
        <v>2334</v>
      </c>
      <c r="BF40" s="199">
        <v>3077.7077599999998</v>
      </c>
      <c r="BG40" s="199">
        <v>4376</v>
      </c>
      <c r="BH40" s="199">
        <v>5818.0272599999998</v>
      </c>
      <c r="BI40" s="199">
        <v>6764.8859999999995</v>
      </c>
      <c r="BJ40" s="199">
        <v>11154.774930000001</v>
      </c>
      <c r="BK40" s="199">
        <v>6134</v>
      </c>
      <c r="BL40" s="199">
        <v>9218</v>
      </c>
      <c r="BM40" s="199">
        <v>10589</v>
      </c>
      <c r="BN40" s="199">
        <v>13889</v>
      </c>
      <c r="BO40" s="199">
        <v>41929</v>
      </c>
      <c r="BP40" s="199">
        <v>36211</v>
      </c>
      <c r="BQ40" s="199">
        <v>33292</v>
      </c>
      <c r="BR40" s="199">
        <v>39004</v>
      </c>
      <c r="BS40" s="199">
        <v>32767</v>
      </c>
      <c r="BT40" s="199">
        <v>33631</v>
      </c>
      <c r="BU40" s="199">
        <v>40300</v>
      </c>
      <c r="BV40" s="199">
        <v>56907</v>
      </c>
      <c r="BW40" s="199">
        <v>71747</v>
      </c>
      <c r="BX40" s="199">
        <v>64607</v>
      </c>
      <c r="BY40" s="199">
        <v>32134</v>
      </c>
      <c r="BZ40" s="199">
        <v>29946</v>
      </c>
      <c r="CA40" s="199">
        <v>35193</v>
      </c>
      <c r="CB40" s="217">
        <v>46408</v>
      </c>
      <c r="CC40" s="512"/>
      <c r="CD40" s="181"/>
    </row>
    <row r="41" spans="1:82" ht="16.350000000000001" customHeight="1">
      <c r="BQ41" s="15"/>
      <c r="BR41" s="15"/>
      <c r="BS41" s="15"/>
      <c r="BT41" s="15"/>
      <c r="BU41" s="15"/>
      <c r="BV41" s="15"/>
      <c r="BW41" s="15"/>
      <c r="BX41" s="15"/>
      <c r="BY41" s="15"/>
      <c r="BZ41" s="15"/>
      <c r="CA41" s="15"/>
      <c r="CB41" s="203"/>
      <c r="CC41" s="512"/>
    </row>
    <row r="42" spans="1:82" ht="16.350000000000001" customHeight="1">
      <c r="B42" s="187" t="s">
        <v>464</v>
      </c>
      <c r="C42" s="187" t="s">
        <v>463</v>
      </c>
      <c r="D42" s="194">
        <f t="shared" ref="D42:BO42" si="47">D36+D38+D40</f>
        <v>421558</v>
      </c>
      <c r="E42" s="194">
        <f t="shared" si="47"/>
        <v>355740</v>
      </c>
      <c r="F42" s="194">
        <f t="shared" si="47"/>
        <v>387437</v>
      </c>
      <c r="G42" s="194">
        <f t="shared" si="47"/>
        <v>374275</v>
      </c>
      <c r="H42" s="194">
        <f t="shared" si="47"/>
        <v>549765</v>
      </c>
      <c r="I42" s="194">
        <f t="shared" si="47"/>
        <v>417106</v>
      </c>
      <c r="J42" s="194">
        <f t="shared" si="47"/>
        <v>435701</v>
      </c>
      <c r="K42" s="194">
        <f t="shared" si="47"/>
        <v>402061</v>
      </c>
      <c r="L42" s="194">
        <f t="shared" si="47"/>
        <v>544340</v>
      </c>
      <c r="M42" s="194">
        <f t="shared" si="47"/>
        <v>471445.52886000002</v>
      </c>
      <c r="N42" s="194">
        <f t="shared" si="47"/>
        <v>475235.98684999999</v>
      </c>
      <c r="O42" s="194">
        <f t="shared" si="47"/>
        <v>436498.81229999999</v>
      </c>
      <c r="P42" s="194">
        <f t="shared" si="47"/>
        <v>536335.12911999994</v>
      </c>
      <c r="Q42" s="194">
        <f t="shared" si="47"/>
        <v>448016.23134257761</v>
      </c>
      <c r="R42" s="194">
        <f t="shared" si="47"/>
        <v>474361.87944273592</v>
      </c>
      <c r="S42" s="194">
        <f t="shared" si="47"/>
        <v>433082.42712529137</v>
      </c>
      <c r="T42" s="194">
        <f t="shared" si="47"/>
        <v>577033.79825270409</v>
      </c>
      <c r="U42" s="194">
        <f t="shared" si="47"/>
        <v>477477.06740255188</v>
      </c>
      <c r="V42" s="194">
        <f t="shared" si="47"/>
        <v>501436.98646449391</v>
      </c>
      <c r="W42" s="194">
        <f t="shared" si="47"/>
        <v>469902.55464931502</v>
      </c>
      <c r="X42" s="194">
        <f t="shared" si="47"/>
        <v>628778.68228157703</v>
      </c>
      <c r="Y42" s="194">
        <f t="shared" si="47"/>
        <v>537574.47369856946</v>
      </c>
      <c r="Z42" s="194">
        <f t="shared" si="47"/>
        <v>569025.56690856849</v>
      </c>
      <c r="AA42" s="194">
        <f t="shared" si="47"/>
        <v>520522.87783019152</v>
      </c>
      <c r="AB42" s="194">
        <f t="shared" si="47"/>
        <v>977679</v>
      </c>
      <c r="AC42" s="194">
        <f t="shared" si="47"/>
        <v>812020</v>
      </c>
      <c r="AD42" s="194">
        <f t="shared" si="47"/>
        <v>960925</v>
      </c>
      <c r="AE42" s="194">
        <f t="shared" si="47"/>
        <v>951897.24</v>
      </c>
      <c r="AF42" s="194">
        <f t="shared" si="47"/>
        <v>1279698</v>
      </c>
      <c r="AG42" s="194">
        <f t="shared" si="47"/>
        <v>1068235.9513622834</v>
      </c>
      <c r="AH42" s="194">
        <f t="shared" si="47"/>
        <v>1131855.9427718935</v>
      </c>
      <c r="AI42" s="194">
        <f t="shared" si="47"/>
        <v>1146038.3140350184</v>
      </c>
      <c r="AJ42" s="194">
        <f t="shared" si="47"/>
        <v>1572443.334109338</v>
      </c>
      <c r="AK42" s="194">
        <f t="shared" si="47"/>
        <v>1347943.4293284218</v>
      </c>
      <c r="AL42" s="194">
        <f t="shared" si="47"/>
        <v>1414358</v>
      </c>
      <c r="AM42" s="194">
        <f t="shared" si="47"/>
        <v>1395168</v>
      </c>
      <c r="AN42" s="194">
        <f t="shared" si="47"/>
        <v>1908518</v>
      </c>
      <c r="AO42" s="194">
        <f t="shared" si="47"/>
        <v>1610504.7191256001</v>
      </c>
      <c r="AP42" s="194">
        <f t="shared" si="47"/>
        <v>1746081.2275282999</v>
      </c>
      <c r="AQ42" s="194">
        <f t="shared" si="47"/>
        <v>1670761.4857099999</v>
      </c>
      <c r="AR42" s="194">
        <f t="shared" si="47"/>
        <v>2119836</v>
      </c>
      <c r="AS42" s="194">
        <f t="shared" si="47"/>
        <v>1699613.1701015001</v>
      </c>
      <c r="AT42" s="194">
        <f t="shared" si="47"/>
        <v>1857269.0814460001</v>
      </c>
      <c r="AU42" s="194">
        <f t="shared" si="47"/>
        <v>1702338.4627244</v>
      </c>
      <c r="AV42" s="194">
        <f t="shared" si="47"/>
        <v>2209271.0198593</v>
      </c>
      <c r="AW42" s="194">
        <f t="shared" si="47"/>
        <v>1861234.8142201002</v>
      </c>
      <c r="AX42" s="194">
        <f t="shared" si="47"/>
        <v>2141703.0423360998</v>
      </c>
      <c r="AY42" s="194">
        <f t="shared" si="47"/>
        <v>2024917.0853800001</v>
      </c>
      <c r="AZ42" s="194">
        <f t="shared" si="47"/>
        <v>2655614.3895600005</v>
      </c>
      <c r="BA42" s="194">
        <f t="shared" si="47"/>
        <v>2168299.9864820144</v>
      </c>
      <c r="BB42" s="194">
        <f t="shared" si="47"/>
        <v>2359387.0381800001</v>
      </c>
      <c r="BC42" s="194">
        <f t="shared" si="47"/>
        <v>2281306.1551671424</v>
      </c>
      <c r="BD42" s="194">
        <f t="shared" si="47"/>
        <v>3162668.5337399999</v>
      </c>
      <c r="BE42" s="194">
        <f t="shared" si="47"/>
        <v>2703346.8937998218</v>
      </c>
      <c r="BF42" s="194">
        <f t="shared" si="47"/>
        <v>2896783.9514591964</v>
      </c>
      <c r="BG42" s="194">
        <f t="shared" si="47"/>
        <v>2945447.2533205277</v>
      </c>
      <c r="BH42" s="194">
        <f t="shared" si="47"/>
        <v>3825965.6040867916</v>
      </c>
      <c r="BI42" s="194">
        <f t="shared" si="47"/>
        <v>3012686.6064174888</v>
      </c>
      <c r="BJ42" s="194">
        <f t="shared" si="47"/>
        <v>2231756.4789100001</v>
      </c>
      <c r="BK42" s="194">
        <f t="shared" si="47"/>
        <v>2678796.1674899999</v>
      </c>
      <c r="BL42" s="194">
        <f t="shared" si="47"/>
        <v>3811668.6846500007</v>
      </c>
      <c r="BM42" s="194">
        <f t="shared" si="47"/>
        <v>2686095.6178900003</v>
      </c>
      <c r="BN42" s="194">
        <f t="shared" si="47"/>
        <v>3693841</v>
      </c>
      <c r="BO42" s="194">
        <f t="shared" si="47"/>
        <v>3883598</v>
      </c>
      <c r="BP42" s="194">
        <f t="shared" ref="BP42" si="48">BP36+BP38+BP40</f>
        <v>5412882.8149100002</v>
      </c>
      <c r="BQ42" s="194">
        <f t="shared" ref="BQ42:BV42" si="49">BQ36+BQ38+BQ40</f>
        <v>5041367</v>
      </c>
      <c r="BR42" s="194">
        <f t="shared" si="49"/>
        <v>5715657.8751400001</v>
      </c>
      <c r="BS42" s="194">
        <f t="shared" si="49"/>
        <v>5489567.9873599997</v>
      </c>
      <c r="BT42" s="194">
        <f t="shared" si="49"/>
        <v>6524831.7453999994</v>
      </c>
      <c r="BU42" s="194">
        <f t="shared" si="49"/>
        <v>5790083</v>
      </c>
      <c r="BV42" s="194">
        <f t="shared" si="49"/>
        <v>6134587.2871700013</v>
      </c>
      <c r="BW42" s="194">
        <f t="shared" ref="BW42:BX42" si="50">BW36+BW38+BW40</f>
        <v>5691090</v>
      </c>
      <c r="BX42" s="194">
        <f t="shared" si="50"/>
        <v>6639187.2815300012</v>
      </c>
      <c r="BY42" s="194">
        <f t="shared" ref="BY42:BZ42" si="51">BY36+BY38+BY40</f>
        <v>5621291.7952000005</v>
      </c>
      <c r="BZ42" s="194">
        <f t="shared" si="51"/>
        <v>5980129.8678200003</v>
      </c>
      <c r="CA42" s="194">
        <f t="shared" ref="CA42:CB42" si="52">CA36+CA38+CA40</f>
        <v>5818625</v>
      </c>
      <c r="CB42" s="216">
        <f t="shared" si="52"/>
        <v>6902932.4025499998</v>
      </c>
      <c r="CC42" s="512"/>
    </row>
    <row r="43" spans="1:82" ht="16.350000000000001" customHeight="1">
      <c r="BQ43" s="15"/>
      <c r="BR43" s="15"/>
      <c r="BS43" s="15"/>
      <c r="BT43" s="15"/>
      <c r="BU43" s="15"/>
      <c r="BV43" s="15"/>
      <c r="CB43" s="181"/>
      <c r="CC43" s="512"/>
    </row>
    <row r="44" spans="1:82" ht="16.350000000000001" customHeight="1">
      <c r="B44" s="17" t="s">
        <v>509</v>
      </c>
      <c r="C44" s="17" t="s">
        <v>465</v>
      </c>
      <c r="D44" s="69">
        <v>38717</v>
      </c>
      <c r="E44" s="69">
        <f>EOMONTH(D44,3)</f>
        <v>38807</v>
      </c>
      <c r="F44" s="69">
        <f t="shared" ref="F44" si="53">EOMONTH(E44,3)</f>
        <v>38898</v>
      </c>
      <c r="G44" s="69">
        <f t="shared" ref="G44" si="54">EOMONTH(F44,3)</f>
        <v>38990</v>
      </c>
      <c r="H44" s="69">
        <f t="shared" ref="H44" si="55">EOMONTH(G44,3)</f>
        <v>39082</v>
      </c>
      <c r="I44" s="69">
        <f t="shared" ref="I44" si="56">EOMONTH(H44,3)</f>
        <v>39172</v>
      </c>
      <c r="J44" s="69">
        <f t="shared" ref="J44" si="57">EOMONTH(I44,3)</f>
        <v>39263</v>
      </c>
      <c r="K44" s="69">
        <f t="shared" ref="K44" si="58">EOMONTH(J44,3)</f>
        <v>39355</v>
      </c>
      <c r="L44" s="69">
        <f t="shared" ref="L44" si="59">EOMONTH(K44,3)</f>
        <v>39447</v>
      </c>
      <c r="M44" s="69">
        <f t="shared" ref="M44" si="60">EOMONTH(L44,3)</f>
        <v>39538</v>
      </c>
      <c r="N44" s="69">
        <f t="shared" ref="N44" si="61">EOMONTH(M44,3)</f>
        <v>39629</v>
      </c>
      <c r="O44" s="69">
        <f t="shared" ref="O44" si="62">EOMONTH(N44,3)</f>
        <v>39721</v>
      </c>
      <c r="P44" s="69">
        <f t="shared" ref="P44" si="63">EOMONTH(O44,3)</f>
        <v>39813</v>
      </c>
      <c r="Q44" s="69">
        <f t="shared" ref="Q44" si="64">EOMONTH(P44,3)</f>
        <v>39903</v>
      </c>
      <c r="R44" s="69">
        <f t="shared" ref="R44" si="65">EOMONTH(Q44,3)</f>
        <v>39994</v>
      </c>
      <c r="S44" s="69">
        <f t="shared" ref="S44" si="66">EOMONTH(R44,3)</f>
        <v>40086</v>
      </c>
      <c r="T44" s="69">
        <f t="shared" ref="T44" si="67">EOMONTH(S44,3)</f>
        <v>40178</v>
      </c>
      <c r="U44" s="69">
        <f t="shared" ref="U44" si="68">EOMONTH(T44,3)</f>
        <v>40268</v>
      </c>
      <c r="V44" s="69">
        <f t="shared" ref="V44" si="69">EOMONTH(U44,3)</f>
        <v>40359</v>
      </c>
      <c r="W44" s="69">
        <f t="shared" ref="W44" si="70">EOMONTH(V44,3)</f>
        <v>40451</v>
      </c>
      <c r="X44" s="69">
        <f t="shared" ref="X44" si="71">EOMONTH(W44,3)</f>
        <v>40543</v>
      </c>
      <c r="Y44" s="69">
        <f t="shared" ref="Y44" si="72">EOMONTH(X44,3)</f>
        <v>40633</v>
      </c>
      <c r="Z44" s="69">
        <f t="shared" ref="Z44" si="73">EOMONTH(Y44,3)</f>
        <v>40724</v>
      </c>
      <c r="AA44" s="69">
        <f t="shared" ref="AA44" si="74">EOMONTH(Z44,3)</f>
        <v>40816</v>
      </c>
      <c r="AB44" s="69">
        <f t="shared" ref="AB44" si="75">EOMONTH(AA44,3)</f>
        <v>40908</v>
      </c>
      <c r="AC44" s="69">
        <f t="shared" ref="AC44" si="76">EOMONTH(AB44,3)</f>
        <v>40999</v>
      </c>
      <c r="AD44" s="69">
        <f t="shared" ref="AD44" si="77">EOMONTH(AC44,3)</f>
        <v>41090</v>
      </c>
      <c r="AE44" s="69">
        <f t="shared" ref="AE44" si="78">EOMONTH(AD44,3)</f>
        <v>41182</v>
      </c>
      <c r="AF44" s="69">
        <f t="shared" ref="AF44" si="79">EOMONTH(AE44,3)</f>
        <v>41274</v>
      </c>
      <c r="AG44" s="69">
        <f t="shared" ref="AG44" si="80">EOMONTH(AF44,3)</f>
        <v>41364</v>
      </c>
      <c r="AH44" s="69">
        <f t="shared" ref="AH44" si="81">EOMONTH(AG44,3)</f>
        <v>41455</v>
      </c>
      <c r="AI44" s="69">
        <f t="shared" ref="AI44" si="82">EOMONTH(AH44,3)</f>
        <v>41547</v>
      </c>
      <c r="AJ44" s="69">
        <f t="shared" ref="AJ44" si="83">EOMONTH(AI44,3)</f>
        <v>41639</v>
      </c>
      <c r="AK44" s="69">
        <f t="shared" ref="AK44" si="84">EOMONTH(AJ44,3)</f>
        <v>41729</v>
      </c>
      <c r="AL44" s="69">
        <f t="shared" ref="AL44" si="85">EOMONTH(AK44,3)</f>
        <v>41820</v>
      </c>
      <c r="AM44" s="69">
        <f t="shared" ref="AM44" si="86">EOMONTH(AL44,3)</f>
        <v>41912</v>
      </c>
      <c r="AN44" s="69">
        <f t="shared" ref="AN44" si="87">EOMONTH(AM44,3)</f>
        <v>42004</v>
      </c>
      <c r="AO44" s="69">
        <f t="shared" ref="AO44" si="88">EOMONTH(AN44,3)</f>
        <v>42094</v>
      </c>
      <c r="AP44" s="69">
        <f t="shared" ref="AP44" si="89">EOMONTH(AO44,3)</f>
        <v>42185</v>
      </c>
      <c r="AQ44" s="69">
        <f t="shared" ref="AQ44" si="90">EOMONTH(AP44,3)</f>
        <v>42277</v>
      </c>
      <c r="AR44" s="69">
        <f t="shared" ref="AR44" si="91">EOMONTH(AQ44,3)</f>
        <v>42369</v>
      </c>
      <c r="AS44" s="69">
        <f t="shared" ref="AS44" si="92">EOMONTH(AR44,3)</f>
        <v>42460</v>
      </c>
      <c r="AT44" s="69">
        <f t="shared" ref="AT44" si="93">EOMONTH(AS44,3)</f>
        <v>42551</v>
      </c>
      <c r="AU44" s="69">
        <f t="shared" ref="AU44" si="94">EOMONTH(AT44,3)</f>
        <v>42643</v>
      </c>
      <c r="AV44" s="69">
        <f t="shared" ref="AV44" si="95">EOMONTH(AU44,3)</f>
        <v>42735</v>
      </c>
      <c r="AW44" s="69">
        <f t="shared" ref="AW44" si="96">EOMONTH(AV44,3)</f>
        <v>42825</v>
      </c>
      <c r="AX44" s="69">
        <f t="shared" ref="AX44" si="97">EOMONTH(AW44,3)</f>
        <v>42916</v>
      </c>
      <c r="AY44" s="69">
        <f t="shared" ref="AY44" si="98">EOMONTH(AX44,3)</f>
        <v>43008</v>
      </c>
      <c r="AZ44" s="69">
        <f t="shared" ref="AZ44" si="99">EOMONTH(AY44,3)</f>
        <v>43100</v>
      </c>
      <c r="BA44" s="69">
        <f t="shared" ref="BA44" si="100">EOMONTH(AZ44,3)</f>
        <v>43190</v>
      </c>
      <c r="BB44" s="69">
        <f t="shared" ref="BB44" si="101">EOMONTH(BA44,3)</f>
        <v>43281</v>
      </c>
      <c r="BC44" s="69">
        <f t="shared" ref="BC44" si="102">EOMONTH(BB44,3)</f>
        <v>43373</v>
      </c>
      <c r="BD44" s="69">
        <f t="shared" ref="BD44" si="103">EOMONTH(BC44,3)</f>
        <v>43465</v>
      </c>
      <c r="BE44" s="69">
        <f t="shared" ref="BE44" si="104">EOMONTH(BD44,3)</f>
        <v>43555</v>
      </c>
      <c r="BF44" s="69">
        <f t="shared" ref="BF44" si="105">EOMONTH(BE44,3)</f>
        <v>43646</v>
      </c>
      <c r="BG44" s="69">
        <f t="shared" ref="BG44" si="106">EOMONTH(BF44,3)</f>
        <v>43738</v>
      </c>
      <c r="BH44" s="69">
        <f t="shared" ref="BH44" si="107">EOMONTH(BG44,3)</f>
        <v>43830</v>
      </c>
      <c r="BI44" s="69">
        <f t="shared" ref="BI44" si="108">EOMONTH(BH44,3)</f>
        <v>43921</v>
      </c>
      <c r="BJ44" s="69">
        <f t="shared" ref="BJ44" si="109">EOMONTH(BI44,3)</f>
        <v>44012</v>
      </c>
      <c r="BK44" s="69">
        <f t="shared" ref="BK44" si="110">EOMONTH(BJ44,3)</f>
        <v>44104</v>
      </c>
      <c r="BL44" s="69">
        <f t="shared" ref="BL44" si="111">EOMONTH(BK44,3)</f>
        <v>44196</v>
      </c>
      <c r="BM44" s="69">
        <f t="shared" ref="BM44" si="112">EOMONTH(BL44,3)</f>
        <v>44286</v>
      </c>
      <c r="BN44" s="69">
        <f t="shared" ref="BN44" si="113">EOMONTH(BM44,3)</f>
        <v>44377</v>
      </c>
      <c r="BO44" s="69">
        <f t="shared" ref="BO44" si="114">EOMONTH(BN44,3)</f>
        <v>44469</v>
      </c>
      <c r="BP44" s="69">
        <f t="shared" ref="BP44" si="115">EOMONTH(BO44,3)</f>
        <v>44561</v>
      </c>
      <c r="BQ44" s="69">
        <f t="shared" ref="BQ44:CB44" si="116">EOMONTH(BP44,3)</f>
        <v>44651</v>
      </c>
      <c r="BR44" s="69">
        <f t="shared" si="116"/>
        <v>44742</v>
      </c>
      <c r="BS44" s="69">
        <f t="shared" si="116"/>
        <v>44834</v>
      </c>
      <c r="BT44" s="69">
        <f t="shared" si="116"/>
        <v>44926</v>
      </c>
      <c r="BU44" s="69">
        <f t="shared" si="116"/>
        <v>45016</v>
      </c>
      <c r="BV44" s="69">
        <f t="shared" si="116"/>
        <v>45107</v>
      </c>
      <c r="BW44" s="69">
        <f t="shared" si="116"/>
        <v>45199</v>
      </c>
      <c r="BX44" s="69">
        <f t="shared" si="116"/>
        <v>45291</v>
      </c>
      <c r="BY44" s="69">
        <f t="shared" si="116"/>
        <v>45382</v>
      </c>
      <c r="BZ44" s="69">
        <f t="shared" si="116"/>
        <v>45473</v>
      </c>
      <c r="CA44" s="69">
        <f t="shared" si="116"/>
        <v>45565</v>
      </c>
      <c r="CB44" s="69">
        <f t="shared" si="116"/>
        <v>45657</v>
      </c>
      <c r="CC44" s="512"/>
    </row>
    <row r="45" spans="1:82" ht="16.350000000000001" customHeight="1">
      <c r="B45" s="76" t="s">
        <v>431</v>
      </c>
      <c r="C45" s="76" t="s">
        <v>432</v>
      </c>
      <c r="D45" s="119"/>
      <c r="E45" s="119"/>
      <c r="F45" s="119"/>
      <c r="G45" s="119"/>
      <c r="H45" s="119"/>
      <c r="I45" s="119"/>
      <c r="J45" s="119"/>
      <c r="K45" s="119"/>
      <c r="L45" s="119"/>
      <c r="M45" s="119"/>
      <c r="N45" s="119"/>
      <c r="O45" s="119"/>
      <c r="P45" s="119"/>
      <c r="Q45" s="119"/>
      <c r="R45" s="119"/>
      <c r="S45" s="119"/>
      <c r="T45" s="119"/>
      <c r="U45" s="119"/>
      <c r="V45" s="119"/>
      <c r="W45" s="119"/>
      <c r="X45" s="119"/>
      <c r="Y45" s="119"/>
      <c r="Z45" s="119"/>
      <c r="AA45" s="119"/>
      <c r="AB45" s="119"/>
      <c r="AC45" s="119"/>
      <c r="AD45" s="119"/>
      <c r="AE45" s="119"/>
      <c r="AF45" s="119"/>
      <c r="AG45" s="119"/>
      <c r="AH45" s="119"/>
      <c r="AI45" s="119"/>
      <c r="AJ45" s="119"/>
      <c r="AK45" s="119"/>
      <c r="AL45" s="119"/>
      <c r="AM45" s="119"/>
      <c r="AN45" s="119"/>
      <c r="AO45" s="119"/>
      <c r="AP45" s="119"/>
      <c r="AQ45" s="119"/>
      <c r="AR45" s="119"/>
      <c r="AS45" s="119"/>
      <c r="AT45" s="119"/>
      <c r="AU45" s="119"/>
      <c r="AV45" s="119"/>
      <c r="AW45" s="119"/>
      <c r="AX45" s="119"/>
      <c r="AY45" s="119"/>
      <c r="AZ45" s="119"/>
      <c r="BA45" s="119"/>
      <c r="BB45" s="119"/>
      <c r="BC45" s="119"/>
      <c r="BD45" s="119"/>
      <c r="BE45" s="119"/>
      <c r="BF45" s="119"/>
      <c r="BG45" s="119"/>
      <c r="BH45" s="119"/>
      <c r="BI45" s="119"/>
      <c r="BJ45" s="119"/>
      <c r="BK45" s="119"/>
      <c r="BL45" s="119"/>
      <c r="BM45" s="119"/>
      <c r="BN45" s="119"/>
      <c r="BO45" s="119"/>
      <c r="BP45" s="119"/>
      <c r="BQ45" s="119"/>
      <c r="BR45" s="119"/>
      <c r="BS45" s="119"/>
      <c r="BT45" s="119"/>
      <c r="BU45" s="119"/>
      <c r="BV45" s="119"/>
      <c r="BW45" s="119"/>
      <c r="BX45" s="119"/>
      <c r="BY45" s="119"/>
      <c r="BZ45" s="119"/>
      <c r="CA45" s="119"/>
      <c r="CB45" s="209"/>
      <c r="CC45" s="512"/>
    </row>
    <row r="46" spans="1:82" ht="16.350000000000001" customHeight="1">
      <c r="B46" s="158" t="s">
        <v>504</v>
      </c>
      <c r="C46" s="158" t="s">
        <v>182</v>
      </c>
      <c r="D46" s="126">
        <f t="shared" ref="D46:AI46" si="117">IFERROR((D9+D21)/(D14+D25),"-")</f>
        <v>9.9886627946211254E-2</v>
      </c>
      <c r="E46" s="126">
        <f t="shared" si="117"/>
        <v>0.19746463590530758</v>
      </c>
      <c r="F46" s="126">
        <f t="shared" si="117"/>
        <v>0.20235630923606709</v>
      </c>
      <c r="G46" s="126">
        <f t="shared" si="117"/>
        <v>0.19276785758981985</v>
      </c>
      <c r="H46" s="126">
        <f t="shared" si="117"/>
        <v>9.6730677262154327E-2</v>
      </c>
      <c r="I46" s="126">
        <f t="shared" si="117"/>
        <v>0.18432945547544372</v>
      </c>
      <c r="J46" s="126">
        <f t="shared" si="117"/>
        <v>0.18903131248907493</v>
      </c>
      <c r="K46" s="126">
        <f t="shared" si="117"/>
        <v>0.20434832384500901</v>
      </c>
      <c r="L46" s="126">
        <f t="shared" si="117"/>
        <v>0.11275248262277608</v>
      </c>
      <c r="M46" s="126">
        <f t="shared" si="117"/>
        <v>0.18554337006978305</v>
      </c>
      <c r="N46" s="126">
        <f t="shared" si="117"/>
        <v>0.1908132225051983</v>
      </c>
      <c r="O46" s="126">
        <f t="shared" si="117"/>
        <v>0.21644080405555682</v>
      </c>
      <c r="P46" s="126">
        <f t="shared" si="117"/>
        <v>0.13033075494619656</v>
      </c>
      <c r="Q46" s="126">
        <f t="shared" si="117"/>
        <v>0.20662928855706941</v>
      </c>
      <c r="R46" s="126">
        <f t="shared" si="117"/>
        <v>0.19202332753242018</v>
      </c>
      <c r="S46" s="126">
        <f t="shared" si="117"/>
        <v>0.19637908305258533</v>
      </c>
      <c r="T46" s="126">
        <f t="shared" si="117"/>
        <v>9.9822949529686913E-2</v>
      </c>
      <c r="U46" s="126">
        <f t="shared" si="117"/>
        <v>0.17609224502496357</v>
      </c>
      <c r="V46" s="126">
        <f t="shared" si="117"/>
        <v>0.17425066055203042</v>
      </c>
      <c r="W46" s="126">
        <f t="shared" si="117"/>
        <v>0.18471587499422978</v>
      </c>
      <c r="X46" s="126">
        <f t="shared" si="117"/>
        <v>0.10657752406327327</v>
      </c>
      <c r="Y46" s="126">
        <f t="shared" si="117"/>
        <v>0.186077222169625</v>
      </c>
      <c r="Z46" s="126">
        <f t="shared" si="117"/>
        <v>0.1886681195497886</v>
      </c>
      <c r="AA46" s="126">
        <f t="shared" si="117"/>
        <v>0.21905688710665178</v>
      </c>
      <c r="AB46" s="126">
        <f t="shared" si="117"/>
        <v>0.12473593642888121</v>
      </c>
      <c r="AC46" s="126">
        <f t="shared" si="117"/>
        <v>0.18987019330902924</v>
      </c>
      <c r="AD46" s="126">
        <f t="shared" si="117"/>
        <v>0.19055448815880102</v>
      </c>
      <c r="AE46" s="126">
        <f t="shared" si="117"/>
        <v>0.20982699196487697</v>
      </c>
      <c r="AF46" s="126">
        <f t="shared" si="117"/>
        <v>0.13008753427964273</v>
      </c>
      <c r="AG46" s="126">
        <f t="shared" si="117"/>
        <v>0.19197297173274597</v>
      </c>
      <c r="AH46" s="126">
        <f t="shared" si="117"/>
        <v>0.1925789272394865</v>
      </c>
      <c r="AI46" s="126">
        <f t="shared" si="117"/>
        <v>0.19653883487335697</v>
      </c>
      <c r="AJ46" s="126">
        <f t="shared" ref="AJ46:BO46" si="118">IFERROR((AJ9+AJ21)/(AJ14+AJ25),"-")</f>
        <v>0.12326409777411899</v>
      </c>
      <c r="AK46" s="126">
        <f t="shared" si="118"/>
        <v>0.18518863142521916</v>
      </c>
      <c r="AL46" s="126">
        <f t="shared" si="118"/>
        <v>0.21615111968262302</v>
      </c>
      <c r="AM46" s="126">
        <f t="shared" si="118"/>
        <v>0.21632416340984134</v>
      </c>
      <c r="AN46" s="126">
        <f t="shared" si="118"/>
        <v>0.13265743008340328</v>
      </c>
      <c r="AO46" s="126">
        <f t="shared" si="118"/>
        <v>0.20838881246223012</v>
      </c>
      <c r="AP46" s="126">
        <f t="shared" si="118"/>
        <v>0.21708707973855201</v>
      </c>
      <c r="AQ46" s="126">
        <f t="shared" si="118"/>
        <v>0.22011825489828599</v>
      </c>
      <c r="AR46" s="126">
        <f t="shared" si="118"/>
        <v>0.14277455007140527</v>
      </c>
      <c r="AS46" s="126">
        <f t="shared" si="118"/>
        <v>0.21038566780045714</v>
      </c>
      <c r="AT46" s="126">
        <f t="shared" si="118"/>
        <v>0.21328735262537474</v>
      </c>
      <c r="AU46" s="126">
        <f t="shared" si="118"/>
        <v>0.22286239241509551</v>
      </c>
      <c r="AV46" s="126">
        <f t="shared" si="118"/>
        <v>0.13754682559911954</v>
      </c>
      <c r="AW46" s="126">
        <f t="shared" si="118"/>
        <v>0.1895521232594535</v>
      </c>
      <c r="AX46" s="126">
        <f t="shared" si="118"/>
        <v>0.22737614231605258</v>
      </c>
      <c r="AY46" s="126">
        <f t="shared" si="118"/>
        <v>0.20597059737929602</v>
      </c>
      <c r="AZ46" s="126">
        <f t="shared" si="118"/>
        <v>0.17255160473743805</v>
      </c>
      <c r="BA46" s="126">
        <f t="shared" si="118"/>
        <v>0.2174513462585444</v>
      </c>
      <c r="BB46" s="126">
        <f t="shared" si="118"/>
        <v>0.21668734140245346</v>
      </c>
      <c r="BC46" s="126">
        <f t="shared" si="118"/>
        <v>0.21206701565538535</v>
      </c>
      <c r="BD46" s="126">
        <f t="shared" si="118"/>
        <v>0.15115588154458345</v>
      </c>
      <c r="BE46" s="126">
        <f t="shared" si="118"/>
        <v>0.19272660459960847</v>
      </c>
      <c r="BF46" s="126">
        <f t="shared" si="118"/>
        <v>0.20639141540145953</v>
      </c>
      <c r="BG46" s="126">
        <f t="shared" si="118"/>
        <v>0.20499127905511319</v>
      </c>
      <c r="BH46" s="126">
        <f t="shared" si="118"/>
        <v>0.16372007228551591</v>
      </c>
      <c r="BI46" s="126">
        <f t="shared" si="118"/>
        <v>0.2381153724794623</v>
      </c>
      <c r="BJ46" s="126">
        <f t="shared" si="118"/>
        <v>0.32102999933835441</v>
      </c>
      <c r="BK46" s="126">
        <f t="shared" si="118"/>
        <v>0.22814605153583767</v>
      </c>
      <c r="BL46" s="126">
        <f t="shared" si="118"/>
        <v>0.15776722275571242</v>
      </c>
      <c r="BM46" s="126">
        <f t="shared" si="118"/>
        <v>0.18996481149946262</v>
      </c>
      <c r="BN46" s="126">
        <f t="shared" si="118"/>
        <v>0.1740054533849465</v>
      </c>
      <c r="BO46" s="126">
        <f t="shared" si="118"/>
        <v>0.19291919040032107</v>
      </c>
      <c r="BP46" s="126">
        <f t="shared" ref="BP46:BY46" si="119">IFERROR((BP9+BP21)/(BP14+BP25),"-")</f>
        <v>0.16990591230207844</v>
      </c>
      <c r="BQ46" s="126">
        <f t="shared" si="119"/>
        <v>0.22053520372656865</v>
      </c>
      <c r="BR46" s="126">
        <f t="shared" si="119"/>
        <v>0.24190486124947902</v>
      </c>
      <c r="BS46" s="126">
        <f t="shared" si="119"/>
        <v>0.27125663057580168</v>
      </c>
      <c r="BT46" s="126">
        <f t="shared" si="119"/>
        <v>0.25600468448253066</v>
      </c>
      <c r="BU46" s="126">
        <f t="shared" si="119"/>
        <v>0.28185282167627762</v>
      </c>
      <c r="BV46" s="126">
        <f t="shared" si="119"/>
        <v>0.28471076525904554</v>
      </c>
      <c r="BW46" s="126">
        <f t="shared" si="119"/>
        <v>0.28879080797190332</v>
      </c>
      <c r="BX46" s="126">
        <f t="shared" si="119"/>
        <v>0.24888503251915281</v>
      </c>
      <c r="BY46" s="126">
        <f t="shared" si="119"/>
        <v>0.25554086854660218</v>
      </c>
      <c r="BZ46" s="126">
        <f t="shared" ref="BZ46:CA46" si="120">IFERROR((BZ9+BZ21)/(BZ14+BZ25),"-")</f>
        <v>0.23403210615909958</v>
      </c>
      <c r="CA46" s="126">
        <f t="shared" si="120"/>
        <v>0.22052539119923356</v>
      </c>
      <c r="CB46" s="219">
        <f t="shared" ref="CB46" si="121">IFERROR((CB9+CB21)/(CB14+CB25),"-")</f>
        <v>0.19145149274192272</v>
      </c>
      <c r="CC46" s="512"/>
    </row>
    <row r="47" spans="1:82" ht="16.350000000000001" customHeight="1">
      <c r="B47" s="169" t="s">
        <v>505</v>
      </c>
      <c r="C47" s="169" t="s">
        <v>414</v>
      </c>
      <c r="D47" s="204">
        <f t="shared" ref="D47:AI47" si="122">IFERROR((D10+D22)/(D14+D25),"-")</f>
        <v>0</v>
      </c>
      <c r="E47" s="204">
        <f t="shared" si="122"/>
        <v>0</v>
      </c>
      <c r="F47" s="204">
        <f t="shared" si="122"/>
        <v>0</v>
      </c>
      <c r="G47" s="204">
        <f t="shared" si="122"/>
        <v>0</v>
      </c>
      <c r="H47" s="204">
        <f t="shared" si="122"/>
        <v>0</v>
      </c>
      <c r="I47" s="204">
        <f t="shared" si="122"/>
        <v>0</v>
      </c>
      <c r="J47" s="204">
        <f t="shared" si="122"/>
        <v>0</v>
      </c>
      <c r="K47" s="204">
        <f t="shared" si="122"/>
        <v>0</v>
      </c>
      <c r="L47" s="204">
        <f t="shared" si="122"/>
        <v>0</v>
      </c>
      <c r="M47" s="204">
        <f t="shared" si="122"/>
        <v>0</v>
      </c>
      <c r="N47" s="204">
        <f t="shared" si="122"/>
        <v>0</v>
      </c>
      <c r="O47" s="204">
        <f t="shared" si="122"/>
        <v>0</v>
      </c>
      <c r="P47" s="204">
        <f t="shared" si="122"/>
        <v>0</v>
      </c>
      <c r="Q47" s="204">
        <f t="shared" si="122"/>
        <v>0</v>
      </c>
      <c r="R47" s="204">
        <f t="shared" si="122"/>
        <v>0</v>
      </c>
      <c r="S47" s="204">
        <f t="shared" si="122"/>
        <v>0</v>
      </c>
      <c r="T47" s="204">
        <f t="shared" si="122"/>
        <v>6.3869317809237228E-2</v>
      </c>
      <c r="U47" s="204">
        <f t="shared" si="122"/>
        <v>0.14293417535323819</v>
      </c>
      <c r="V47" s="204">
        <f t="shared" si="122"/>
        <v>0.12663326019490403</v>
      </c>
      <c r="W47" s="204">
        <f t="shared" si="122"/>
        <v>0.13179153395189955</v>
      </c>
      <c r="X47" s="204">
        <f t="shared" si="122"/>
        <v>7.0049791777338E-2</v>
      </c>
      <c r="Y47" s="204">
        <f t="shared" si="122"/>
        <v>0.14848960696808147</v>
      </c>
      <c r="Z47" s="204">
        <f t="shared" si="122"/>
        <v>0.13556341774037162</v>
      </c>
      <c r="AA47" s="204">
        <f t="shared" si="122"/>
        <v>0.15402555347690036</v>
      </c>
      <c r="AB47" s="204">
        <f t="shared" si="122"/>
        <v>7.690752147165919E-2</v>
      </c>
      <c r="AC47" s="204">
        <f t="shared" si="122"/>
        <v>0.14384073769398706</v>
      </c>
      <c r="AD47" s="204">
        <f t="shared" si="122"/>
        <v>0.12389757479401545</v>
      </c>
      <c r="AE47" s="204">
        <f t="shared" si="122"/>
        <v>0.1313229014041912</v>
      </c>
      <c r="AF47" s="204">
        <f t="shared" si="122"/>
        <v>7.1164142603313801E-2</v>
      </c>
      <c r="AG47" s="204">
        <f t="shared" si="122"/>
        <v>0.13005116556534507</v>
      </c>
      <c r="AH47" s="204">
        <f t="shared" si="122"/>
        <v>0.12582486453983335</v>
      </c>
      <c r="AI47" s="204">
        <f t="shared" si="122"/>
        <v>0.1255736878516</v>
      </c>
      <c r="AJ47" s="204">
        <f t="shared" ref="AJ47:BO47" si="123">IFERROR((AJ10+AJ22)/(AJ14+AJ25),"-")</f>
        <v>6.4770604439096977E-2</v>
      </c>
      <c r="AK47" s="204">
        <f t="shared" si="123"/>
        <v>0.11661721804537931</v>
      </c>
      <c r="AL47" s="204">
        <f t="shared" si="123"/>
        <v>0.12273752372833044</v>
      </c>
      <c r="AM47" s="204">
        <f t="shared" si="123"/>
        <v>0.11063393984312922</v>
      </c>
      <c r="AN47" s="204">
        <f t="shared" si="123"/>
        <v>6.0988060594164277E-2</v>
      </c>
      <c r="AO47" s="204">
        <f t="shared" si="123"/>
        <v>0.16266670068132377</v>
      </c>
      <c r="AP47" s="204">
        <f t="shared" si="123"/>
        <v>0.15171275456829922</v>
      </c>
      <c r="AQ47" s="204">
        <f t="shared" si="123"/>
        <v>0.15146242824740047</v>
      </c>
      <c r="AR47" s="204">
        <f t="shared" si="123"/>
        <v>9.0122369904509003E-2</v>
      </c>
      <c r="AS47" s="204">
        <f t="shared" si="123"/>
        <v>0.15665186462853153</v>
      </c>
      <c r="AT47" s="204">
        <f t="shared" si="123"/>
        <v>0.14753337865536806</v>
      </c>
      <c r="AU47" s="204">
        <f t="shared" si="123"/>
        <v>0.1537387504103406</v>
      </c>
      <c r="AV47" s="204">
        <f t="shared" si="123"/>
        <v>8.8056816955613154E-2</v>
      </c>
      <c r="AW47" s="204">
        <f t="shared" si="123"/>
        <v>0.14695267492906158</v>
      </c>
      <c r="AX47" s="204">
        <f t="shared" si="123"/>
        <v>0.1883126046016006</v>
      </c>
      <c r="AY47" s="204">
        <f t="shared" si="123"/>
        <v>0.11911280618491288</v>
      </c>
      <c r="AZ47" s="204">
        <f t="shared" si="123"/>
        <v>7.9101061858220259E-2</v>
      </c>
      <c r="BA47" s="204">
        <f t="shared" si="123"/>
        <v>0.12180887695841322</v>
      </c>
      <c r="BB47" s="204">
        <f t="shared" si="123"/>
        <v>0.1114927758661305</v>
      </c>
      <c r="BC47" s="204">
        <f t="shared" si="123"/>
        <v>0.10440558730154678</v>
      </c>
      <c r="BD47" s="204">
        <f t="shared" si="123"/>
        <v>6.7629429128648541E-2</v>
      </c>
      <c r="BE47" s="204">
        <f t="shared" si="123"/>
        <v>0.10936167962623965</v>
      </c>
      <c r="BF47" s="204">
        <f t="shared" si="123"/>
        <v>0.11150767630770127</v>
      </c>
      <c r="BG47" s="204">
        <f t="shared" si="123"/>
        <v>9.5919645220640767E-2</v>
      </c>
      <c r="BH47" s="204">
        <f t="shared" si="123"/>
        <v>6.0541101494739277E-2</v>
      </c>
      <c r="BI47" s="204">
        <f t="shared" si="123"/>
        <v>0.11305280512611061</v>
      </c>
      <c r="BJ47" s="204">
        <f t="shared" si="123"/>
        <v>8.2068725778419199E-2</v>
      </c>
      <c r="BK47" s="204">
        <f t="shared" si="123"/>
        <v>4.101311075979594E-2</v>
      </c>
      <c r="BL47" s="204">
        <f t="shared" si="123"/>
        <v>3.7901513528322703E-2</v>
      </c>
      <c r="BM47" s="204">
        <f t="shared" si="123"/>
        <v>9.3024144133691852E-2</v>
      </c>
      <c r="BN47" s="204">
        <f t="shared" si="123"/>
        <v>6.0488460372590397E-2</v>
      </c>
      <c r="BO47" s="204">
        <f t="shared" si="123"/>
        <v>7.4086338254238493E-2</v>
      </c>
      <c r="BP47" s="204">
        <f t="shared" ref="BP47:BY47" si="124">IFERROR((BP10+BP22)/(BP14+BP25),"-")</f>
        <v>5.9730959978996571E-2</v>
      </c>
      <c r="BQ47" s="204">
        <f t="shared" si="124"/>
        <v>9.5160149544552569E-2</v>
      </c>
      <c r="BR47" s="204">
        <f t="shared" si="124"/>
        <v>8.637811964481891E-2</v>
      </c>
      <c r="BS47" s="204">
        <f t="shared" si="124"/>
        <v>8.5826272928211586E-2</v>
      </c>
      <c r="BT47" s="204">
        <f t="shared" si="124"/>
        <v>6.8279324269684374E-2</v>
      </c>
      <c r="BU47" s="204">
        <f t="shared" si="124"/>
        <v>8.6051855558416449E-2</v>
      </c>
      <c r="BV47" s="204">
        <f t="shared" si="124"/>
        <v>7.6688127918180971E-2</v>
      </c>
      <c r="BW47" s="204">
        <f t="shared" si="124"/>
        <v>7.0794860853139061E-2</v>
      </c>
      <c r="BX47" s="204">
        <f t="shared" si="124"/>
        <v>5.4091706894632732E-2</v>
      </c>
      <c r="BY47" s="204">
        <f t="shared" si="124"/>
        <v>7.0964167092635921E-2</v>
      </c>
      <c r="BZ47" s="204">
        <f t="shared" ref="BZ47:CA47" si="125">IFERROR((BZ10+BZ22)/(BZ14+BZ25),"-")</f>
        <v>5.8530840907209183E-2</v>
      </c>
      <c r="CA47" s="204">
        <f t="shared" si="125"/>
        <v>5.7440292570676038E-2</v>
      </c>
      <c r="CB47" s="220">
        <f t="shared" ref="CB47" si="126">IFERROR((CB10+CB22)/(CB14+CB25),"-")</f>
        <v>4.9023891948195723E-2</v>
      </c>
      <c r="CC47" s="512"/>
    </row>
    <row r="48" spans="1:82" ht="16.350000000000001" customHeight="1">
      <c r="B48" s="205" t="s">
        <v>506</v>
      </c>
      <c r="C48" s="169" t="s">
        <v>462</v>
      </c>
      <c r="D48" s="204">
        <f t="shared" ref="D48:AI48" si="127">IFERROR((D11+D12+D23+D24)/(D14+D25),"-")</f>
        <v>0</v>
      </c>
      <c r="E48" s="204">
        <f t="shared" si="127"/>
        <v>0</v>
      </c>
      <c r="F48" s="204">
        <f t="shared" si="127"/>
        <v>0</v>
      </c>
      <c r="G48" s="204">
        <f t="shared" si="127"/>
        <v>0</v>
      </c>
      <c r="H48" s="204">
        <f t="shared" si="127"/>
        <v>0</v>
      </c>
      <c r="I48" s="204">
        <f t="shared" si="127"/>
        <v>0</v>
      </c>
      <c r="J48" s="204">
        <f t="shared" si="127"/>
        <v>0</v>
      </c>
      <c r="K48" s="204">
        <f t="shared" si="127"/>
        <v>0</v>
      </c>
      <c r="L48" s="204">
        <f t="shared" si="127"/>
        <v>0</v>
      </c>
      <c r="M48" s="204">
        <f t="shared" si="127"/>
        <v>0</v>
      </c>
      <c r="N48" s="204">
        <f t="shared" si="127"/>
        <v>0</v>
      </c>
      <c r="O48" s="204">
        <f t="shared" si="127"/>
        <v>0</v>
      </c>
      <c r="P48" s="204">
        <f t="shared" si="127"/>
        <v>0</v>
      </c>
      <c r="Q48" s="204">
        <f t="shared" si="127"/>
        <v>0</v>
      </c>
      <c r="R48" s="204">
        <f t="shared" si="127"/>
        <v>0</v>
      </c>
      <c r="S48" s="204">
        <f t="shared" si="127"/>
        <v>0</v>
      </c>
      <c r="T48" s="204">
        <f t="shared" si="127"/>
        <v>3.5953631720449693E-2</v>
      </c>
      <c r="U48" s="204">
        <f t="shared" si="127"/>
        <v>3.3158069671725389E-2</v>
      </c>
      <c r="V48" s="204">
        <f t="shared" si="127"/>
        <v>4.7617400357126381E-2</v>
      </c>
      <c r="W48" s="204">
        <f t="shared" si="127"/>
        <v>5.2924341042330243E-2</v>
      </c>
      <c r="X48" s="204">
        <f t="shared" si="127"/>
        <v>3.6527732285935269E-2</v>
      </c>
      <c r="Y48" s="204">
        <f t="shared" si="127"/>
        <v>3.758761520154353E-2</v>
      </c>
      <c r="Z48" s="204">
        <f t="shared" si="127"/>
        <v>5.3104701809416996E-2</v>
      </c>
      <c r="AA48" s="204">
        <f t="shared" si="127"/>
        <v>6.5031333629751428E-2</v>
      </c>
      <c r="AB48" s="204">
        <f t="shared" si="127"/>
        <v>4.7828414957222017E-2</v>
      </c>
      <c r="AC48" s="204">
        <f t="shared" si="127"/>
        <v>4.6029455615042174E-2</v>
      </c>
      <c r="AD48" s="204">
        <f t="shared" si="127"/>
        <v>5.068696043957182E-2</v>
      </c>
      <c r="AE48" s="204">
        <f t="shared" si="127"/>
        <v>5.3397589984513751E-2</v>
      </c>
      <c r="AF48" s="204">
        <f t="shared" si="127"/>
        <v>3.883245416519919E-2</v>
      </c>
      <c r="AG48" s="204">
        <f t="shared" si="127"/>
        <v>3.9169190528634358E-2</v>
      </c>
      <c r="AH48" s="204">
        <f t="shared" si="127"/>
        <v>4.664118475418208E-2</v>
      </c>
      <c r="AI48" s="204">
        <f t="shared" si="127"/>
        <v>4.7251822018673346E-2</v>
      </c>
      <c r="AJ48" s="204">
        <f t="shared" ref="AJ48:BO48" si="128">IFERROR((AJ11+AJ12+AJ23+AJ24)/(AJ14+AJ25),"-")</f>
        <v>3.5553145679637778E-2</v>
      </c>
      <c r="AK48" s="204">
        <f t="shared" si="128"/>
        <v>3.4090304879994045E-2</v>
      </c>
      <c r="AL48" s="204">
        <f t="shared" si="128"/>
        <v>4.6562543590383386E-2</v>
      </c>
      <c r="AM48" s="204">
        <f t="shared" si="128"/>
        <v>5.1820098839282354E-2</v>
      </c>
      <c r="AN48" s="204">
        <f t="shared" si="128"/>
        <v>3.413197239300577E-2</v>
      </c>
      <c r="AO48" s="204">
        <f t="shared" si="128"/>
        <v>4.5722111780906335E-2</v>
      </c>
      <c r="AP48" s="204">
        <f t="shared" si="128"/>
        <v>6.5374325170252795E-2</v>
      </c>
      <c r="AQ48" s="204">
        <f t="shared" si="128"/>
        <v>6.8655826650885543E-2</v>
      </c>
      <c r="AR48" s="204">
        <f t="shared" si="128"/>
        <v>5.2652180166896261E-2</v>
      </c>
      <c r="AS48" s="204">
        <f t="shared" si="128"/>
        <v>5.3733803171925609E-2</v>
      </c>
      <c r="AT48" s="204">
        <f t="shared" si="128"/>
        <v>6.5753973970006652E-2</v>
      </c>
      <c r="AU48" s="204">
        <f t="shared" si="128"/>
        <v>6.9123642004754904E-2</v>
      </c>
      <c r="AV48" s="204">
        <f t="shared" si="128"/>
        <v>4.9490008643506375E-2</v>
      </c>
      <c r="AW48" s="204">
        <f t="shared" si="128"/>
        <v>4.2599448330391906E-2</v>
      </c>
      <c r="AX48" s="204">
        <f t="shared" si="128"/>
        <v>3.9063537714451979E-2</v>
      </c>
      <c r="AY48" s="204">
        <f t="shared" si="128"/>
        <v>8.6857791194383152E-2</v>
      </c>
      <c r="AZ48" s="204">
        <f t="shared" si="128"/>
        <v>9.3450542879217779E-2</v>
      </c>
      <c r="BA48" s="204">
        <f t="shared" si="128"/>
        <v>9.5642469300131178E-2</v>
      </c>
      <c r="BB48" s="204">
        <f t="shared" si="128"/>
        <v>0.10519456553632295</v>
      </c>
      <c r="BC48" s="204">
        <f t="shared" si="128"/>
        <v>0.10766142835383859</v>
      </c>
      <c r="BD48" s="204">
        <f t="shared" si="128"/>
        <v>8.3526452415934926E-2</v>
      </c>
      <c r="BE48" s="204">
        <f t="shared" si="128"/>
        <v>8.3364924973368795E-2</v>
      </c>
      <c r="BF48" s="204">
        <f t="shared" si="128"/>
        <v>9.4883739093758232E-2</v>
      </c>
      <c r="BG48" s="204">
        <f t="shared" si="128"/>
        <v>0.10907163383447242</v>
      </c>
      <c r="BH48" s="204">
        <f t="shared" si="128"/>
        <v>0.10317897079077663</v>
      </c>
      <c r="BI48" s="204">
        <f t="shared" si="128"/>
        <v>0.12506256735335169</v>
      </c>
      <c r="BJ48" s="204">
        <f t="shared" si="128"/>
        <v>0.23896127355993521</v>
      </c>
      <c r="BK48" s="204">
        <f t="shared" si="128"/>
        <v>0.18713294077604173</v>
      </c>
      <c r="BL48" s="204">
        <f t="shared" si="128"/>
        <v>0.11986570922738972</v>
      </c>
      <c r="BM48" s="204">
        <f t="shared" si="128"/>
        <v>9.6940667365770783E-2</v>
      </c>
      <c r="BN48" s="204">
        <f t="shared" si="128"/>
        <v>0.11351699301235611</v>
      </c>
      <c r="BO48" s="204">
        <f t="shared" si="128"/>
        <v>0.11883285214608258</v>
      </c>
      <c r="BP48" s="204">
        <f t="shared" ref="BP48:BY48" si="129">IFERROR((BP11+BP12+BP23+BP24)/(BP14+BP25),"-")</f>
        <v>0.11017495232308186</v>
      </c>
      <c r="BQ48" s="204">
        <f t="shared" si="129"/>
        <v>0.12537505418201608</v>
      </c>
      <c r="BR48" s="204">
        <f t="shared" si="129"/>
        <v>0.15552674160466012</v>
      </c>
      <c r="BS48" s="204">
        <f t="shared" si="129"/>
        <v>0.18543035764759006</v>
      </c>
      <c r="BT48" s="204">
        <f t="shared" si="129"/>
        <v>0.18772536021284625</v>
      </c>
      <c r="BU48" s="204">
        <f t="shared" si="129"/>
        <v>0.19580096611786119</v>
      </c>
      <c r="BV48" s="204">
        <f t="shared" si="129"/>
        <v>0.2080226373408646</v>
      </c>
      <c r="BW48" s="204">
        <f t="shared" si="129"/>
        <v>0.21799594711876427</v>
      </c>
      <c r="BX48" s="204">
        <f t="shared" si="129"/>
        <v>0.19479332562452006</v>
      </c>
      <c r="BY48" s="204">
        <f t="shared" si="129"/>
        <v>0.18457670145396626</v>
      </c>
      <c r="BZ48" s="204">
        <f t="shared" ref="BZ48:CA48" si="130">IFERROR((BZ11+BZ12+BZ23+BZ24)/(BZ14+BZ25),"-")</f>
        <v>0.17550126525189039</v>
      </c>
      <c r="CA48" s="204">
        <f t="shared" si="130"/>
        <v>0.16308509862855752</v>
      </c>
      <c r="CB48" s="220">
        <f t="shared" ref="CB48" si="131">IFERROR((CB11+CB12+CB23+CB24)/(CB14+CB25),"-")</f>
        <v>0.14242760079372696</v>
      </c>
      <c r="CC48" s="512"/>
    </row>
    <row r="49" spans="2:81" ht="16.350000000000001" customHeight="1">
      <c r="B49" s="167" t="s">
        <v>415</v>
      </c>
      <c r="C49" s="167" t="s">
        <v>416</v>
      </c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  <c r="O49" s="184"/>
      <c r="P49" s="184"/>
      <c r="Q49" s="184"/>
      <c r="R49" s="184"/>
      <c r="S49" s="184"/>
      <c r="T49" s="184"/>
      <c r="U49" s="184"/>
      <c r="V49" s="184"/>
      <c r="W49" s="184"/>
      <c r="X49" s="184"/>
      <c r="Y49" s="184"/>
      <c r="Z49" s="184"/>
      <c r="AA49" s="184"/>
      <c r="AB49" s="184"/>
      <c r="AC49" s="184"/>
      <c r="AD49" s="184"/>
      <c r="AE49" s="184"/>
      <c r="AF49" s="184"/>
      <c r="AG49" s="184"/>
      <c r="AH49" s="184"/>
      <c r="AI49" s="184"/>
      <c r="AJ49" s="184"/>
      <c r="AK49" s="184"/>
      <c r="AL49" s="184"/>
      <c r="AM49" s="184"/>
      <c r="AN49" s="184"/>
      <c r="AO49" s="184"/>
      <c r="AP49" s="184"/>
      <c r="AQ49" s="184"/>
      <c r="AR49" s="184"/>
      <c r="AS49" s="184"/>
      <c r="AT49" s="184"/>
      <c r="AU49" s="184"/>
      <c r="AV49" s="184"/>
      <c r="AW49" s="184"/>
      <c r="AX49" s="184"/>
      <c r="AY49" s="184"/>
      <c r="AZ49" s="184"/>
      <c r="BA49" s="184"/>
      <c r="BB49" s="184"/>
      <c r="BC49" s="184"/>
      <c r="BD49" s="184"/>
      <c r="BE49" s="184"/>
      <c r="BF49" s="184"/>
      <c r="BG49" s="184"/>
      <c r="BH49" s="184"/>
      <c r="BI49" s="184"/>
      <c r="BJ49" s="184"/>
      <c r="BK49" s="184"/>
      <c r="BL49" s="184"/>
      <c r="BM49" s="184"/>
      <c r="BN49" s="184"/>
      <c r="BO49" s="184"/>
      <c r="BP49" s="184"/>
      <c r="BQ49" s="184"/>
      <c r="BR49" s="184"/>
      <c r="BS49" s="184"/>
      <c r="BT49" s="184"/>
      <c r="BU49" s="184"/>
      <c r="BV49" s="184"/>
      <c r="BW49" s="184"/>
      <c r="BX49" s="184"/>
      <c r="BY49" s="184"/>
      <c r="BZ49" s="184"/>
      <c r="CA49" s="184"/>
      <c r="CB49" s="221"/>
      <c r="CC49" s="512"/>
    </row>
    <row r="50" spans="2:81" ht="16.350000000000001" customHeight="1">
      <c r="B50" s="158" t="s">
        <v>504</v>
      </c>
      <c r="C50" s="158" t="s">
        <v>182</v>
      </c>
      <c r="D50" s="126">
        <f t="shared" ref="D50:AI50" si="132">IFERROR(D9/D$14,"-")</f>
        <v>9.9886627946211254E-2</v>
      </c>
      <c r="E50" s="126">
        <f t="shared" si="132"/>
        <v>0.19746463590530758</v>
      </c>
      <c r="F50" s="126">
        <f t="shared" si="132"/>
        <v>0.20235630923606709</v>
      </c>
      <c r="G50" s="126">
        <f t="shared" si="132"/>
        <v>0.19276785758981985</v>
      </c>
      <c r="H50" s="126">
        <f t="shared" si="132"/>
        <v>9.6730677262154327E-2</v>
      </c>
      <c r="I50" s="126">
        <f t="shared" si="132"/>
        <v>0.18432945547544372</v>
      </c>
      <c r="J50" s="126">
        <f t="shared" si="132"/>
        <v>0.18903131248907493</v>
      </c>
      <c r="K50" s="126">
        <f t="shared" si="132"/>
        <v>0.20434832384500901</v>
      </c>
      <c r="L50" s="126">
        <f t="shared" si="132"/>
        <v>0.11275248262277608</v>
      </c>
      <c r="M50" s="126">
        <f t="shared" si="132"/>
        <v>0.18554337006978305</v>
      </c>
      <c r="N50" s="126">
        <f t="shared" si="132"/>
        <v>0.1908132225051983</v>
      </c>
      <c r="O50" s="126">
        <f t="shared" si="132"/>
        <v>0.21644080405555682</v>
      </c>
      <c r="P50" s="126">
        <f t="shared" si="132"/>
        <v>0.13033075494619656</v>
      </c>
      <c r="Q50" s="126">
        <f t="shared" si="132"/>
        <v>0.20662928855706941</v>
      </c>
      <c r="R50" s="126">
        <f t="shared" si="132"/>
        <v>0.19202332753242018</v>
      </c>
      <c r="S50" s="126">
        <f t="shared" si="132"/>
        <v>0.19637908305258533</v>
      </c>
      <c r="T50" s="126">
        <f t="shared" si="132"/>
        <v>9.9822949529686913E-2</v>
      </c>
      <c r="U50" s="126">
        <f t="shared" si="132"/>
        <v>0.17609224502496357</v>
      </c>
      <c r="V50" s="126">
        <f t="shared" si="132"/>
        <v>0.17425066055203042</v>
      </c>
      <c r="W50" s="126">
        <f t="shared" si="132"/>
        <v>0.18471587499422978</v>
      </c>
      <c r="X50" s="126">
        <f t="shared" si="132"/>
        <v>0.10657752406327327</v>
      </c>
      <c r="Y50" s="126">
        <f t="shared" si="132"/>
        <v>0.186077222169625</v>
      </c>
      <c r="Z50" s="126">
        <f t="shared" si="132"/>
        <v>0.1886681195497886</v>
      </c>
      <c r="AA50" s="126">
        <f t="shared" si="132"/>
        <v>0.21905688710665178</v>
      </c>
      <c r="AB50" s="126">
        <f t="shared" si="132"/>
        <v>0.12473593642888121</v>
      </c>
      <c r="AC50" s="126">
        <f t="shared" si="132"/>
        <v>0.18987019330902924</v>
      </c>
      <c r="AD50" s="126">
        <f t="shared" si="132"/>
        <v>0.18998047320771944</v>
      </c>
      <c r="AE50" s="126">
        <f t="shared" si="132"/>
        <v>0.2063507781203083</v>
      </c>
      <c r="AF50" s="126">
        <f t="shared" si="132"/>
        <v>0.12084130808800433</v>
      </c>
      <c r="AG50" s="126">
        <f t="shared" si="132"/>
        <v>0.18730326021396146</v>
      </c>
      <c r="AH50" s="126">
        <f t="shared" si="132"/>
        <v>0.19242527948893451</v>
      </c>
      <c r="AI50" s="126">
        <f t="shared" si="132"/>
        <v>0.2004944766436309</v>
      </c>
      <c r="AJ50" s="126">
        <f t="shared" ref="AJ50:BO50" si="133">IFERROR(AJ9/AJ$14,"-")</f>
        <v>0.11648849783963978</v>
      </c>
      <c r="AK50" s="126">
        <f t="shared" si="133"/>
        <v>0.18475245029342685</v>
      </c>
      <c r="AL50" s="126">
        <f t="shared" si="133"/>
        <v>0.21555887472725307</v>
      </c>
      <c r="AM50" s="126">
        <f t="shared" si="133"/>
        <v>0.21650112843097308</v>
      </c>
      <c r="AN50" s="126">
        <f t="shared" si="133"/>
        <v>0.12236296573094688</v>
      </c>
      <c r="AO50" s="126">
        <f t="shared" si="133"/>
        <v>0.20058523966695599</v>
      </c>
      <c r="AP50" s="126">
        <f t="shared" si="133"/>
        <v>0.20923445742809993</v>
      </c>
      <c r="AQ50" s="126">
        <f t="shared" si="133"/>
        <v>0.21717460879737371</v>
      </c>
      <c r="AR50" s="126">
        <f t="shared" si="133"/>
        <v>0.1300939031137984</v>
      </c>
      <c r="AS50" s="126">
        <f t="shared" si="133"/>
        <v>0.19942058181165417</v>
      </c>
      <c r="AT50" s="126">
        <f t="shared" si="133"/>
        <v>0.20030859908474494</v>
      </c>
      <c r="AU50" s="126">
        <f t="shared" si="133"/>
        <v>0.21819230511848453</v>
      </c>
      <c r="AV50" s="126">
        <f t="shared" si="133"/>
        <v>0.11899376464256957</v>
      </c>
      <c r="AW50" s="126">
        <f t="shared" si="133"/>
        <v>0.18331400942348966</v>
      </c>
      <c r="AX50" s="126">
        <f t="shared" si="133"/>
        <v>0.19655574113033794</v>
      </c>
      <c r="AY50" s="126">
        <f t="shared" si="133"/>
        <v>0.20751451688185629</v>
      </c>
      <c r="AZ50" s="126">
        <f t="shared" si="133"/>
        <v>0.12593677305832141</v>
      </c>
      <c r="BA50" s="126">
        <f t="shared" si="133"/>
        <v>0.2007749384381157</v>
      </c>
      <c r="BB50" s="126">
        <f t="shared" si="133"/>
        <v>0.2005716083710038</v>
      </c>
      <c r="BC50" s="126">
        <f t="shared" si="133"/>
        <v>0.19145132212641477</v>
      </c>
      <c r="BD50" s="126">
        <f t="shared" si="133"/>
        <v>0.11248670591210823</v>
      </c>
      <c r="BE50" s="126">
        <f t="shared" si="133"/>
        <v>0.17726700136715831</v>
      </c>
      <c r="BF50" s="126">
        <f t="shared" si="133"/>
        <v>0.20151339001639795</v>
      </c>
      <c r="BG50" s="126">
        <f t="shared" si="133"/>
        <v>0.21379534884999291</v>
      </c>
      <c r="BH50" s="126">
        <f t="shared" si="133"/>
        <v>0.14586239311315699</v>
      </c>
      <c r="BI50" s="126">
        <f t="shared" si="133"/>
        <v>0.29205279812253437</v>
      </c>
      <c r="BJ50" s="126">
        <f t="shared" si="133"/>
        <v>0.46934398316753356</v>
      </c>
      <c r="BK50" s="126">
        <f t="shared" si="133"/>
        <v>0.31745973385345577</v>
      </c>
      <c r="BL50" s="126">
        <f t="shared" si="133"/>
        <v>0.19698067759023186</v>
      </c>
      <c r="BM50" s="126">
        <f t="shared" si="133"/>
        <v>0.29332211261038427</v>
      </c>
      <c r="BN50" s="126">
        <f t="shared" si="133"/>
        <v>0.24070478144107005</v>
      </c>
      <c r="BO50" s="126">
        <f t="shared" si="133"/>
        <v>0.26259146534492273</v>
      </c>
      <c r="BP50" s="126">
        <f t="shared" ref="BP50:BY50" si="134">IFERROR(BP9/BP$14,"-")</f>
        <v>0.20332562533824089</v>
      </c>
      <c r="BQ50" s="126">
        <f t="shared" si="134"/>
        <v>0.26988268598183035</v>
      </c>
      <c r="BR50" s="126">
        <f t="shared" si="134"/>
        <v>0.28333837399132661</v>
      </c>
      <c r="BS50" s="126">
        <f t="shared" si="134"/>
        <v>0.33365207959756338</v>
      </c>
      <c r="BT50" s="126">
        <f t="shared" si="134"/>
        <v>0.28198196595719355</v>
      </c>
      <c r="BU50" s="126">
        <f t="shared" si="134"/>
        <v>0.3350147059359499</v>
      </c>
      <c r="BV50" s="126">
        <f t="shared" si="134"/>
        <v>0.31562325497405702</v>
      </c>
      <c r="BW50" s="126">
        <f t="shared" si="134"/>
        <v>0.30049056953057696</v>
      </c>
      <c r="BX50" s="126">
        <f t="shared" si="134"/>
        <v>0.22304583114669199</v>
      </c>
      <c r="BY50" s="126">
        <f t="shared" si="134"/>
        <v>0.25661337472053203</v>
      </c>
      <c r="BZ50" s="126">
        <f t="shared" ref="BZ50:CA50" si="135">IFERROR(BZ9/BZ$14,"-")</f>
        <v>0.23118942517173005</v>
      </c>
      <c r="CA50" s="126">
        <f t="shared" si="135"/>
        <v>0.22156754463143577</v>
      </c>
      <c r="CB50" s="219">
        <f t="shared" ref="CB50" si="136">IFERROR(CB9/CB$14,"-")</f>
        <v>0.16354085269940699</v>
      </c>
      <c r="CC50" s="512"/>
    </row>
    <row r="51" spans="2:81" ht="16.350000000000001" customHeight="1">
      <c r="B51" s="169" t="s">
        <v>505</v>
      </c>
      <c r="C51" s="169" t="s">
        <v>414</v>
      </c>
      <c r="D51" s="204">
        <f t="shared" ref="D51:AI51" si="137">IFERROR(D10/D$14,"-")</f>
        <v>0</v>
      </c>
      <c r="E51" s="204">
        <f t="shared" si="137"/>
        <v>0</v>
      </c>
      <c r="F51" s="204">
        <f t="shared" si="137"/>
        <v>0</v>
      </c>
      <c r="G51" s="204">
        <f t="shared" si="137"/>
        <v>0</v>
      </c>
      <c r="H51" s="204">
        <f t="shared" si="137"/>
        <v>0</v>
      </c>
      <c r="I51" s="204">
        <f t="shared" si="137"/>
        <v>0</v>
      </c>
      <c r="J51" s="204">
        <f t="shared" si="137"/>
        <v>0</v>
      </c>
      <c r="K51" s="204">
        <f t="shared" si="137"/>
        <v>0</v>
      </c>
      <c r="L51" s="204">
        <f t="shared" si="137"/>
        <v>0</v>
      </c>
      <c r="M51" s="204">
        <f t="shared" si="137"/>
        <v>0</v>
      </c>
      <c r="N51" s="204">
        <f t="shared" si="137"/>
        <v>0</v>
      </c>
      <c r="O51" s="204">
        <f t="shared" si="137"/>
        <v>0</v>
      </c>
      <c r="P51" s="204">
        <f t="shared" si="137"/>
        <v>0</v>
      </c>
      <c r="Q51" s="204">
        <f t="shared" si="137"/>
        <v>0</v>
      </c>
      <c r="R51" s="204">
        <f t="shared" si="137"/>
        <v>0</v>
      </c>
      <c r="S51" s="204">
        <f t="shared" si="137"/>
        <v>0</v>
      </c>
      <c r="T51" s="204">
        <f t="shared" si="137"/>
        <v>6.3869317809237228E-2</v>
      </c>
      <c r="U51" s="204">
        <f t="shared" si="137"/>
        <v>0.14293417535323819</v>
      </c>
      <c r="V51" s="204">
        <f t="shared" si="137"/>
        <v>0.12663326019490403</v>
      </c>
      <c r="W51" s="204">
        <f t="shared" si="137"/>
        <v>0.13179153395189955</v>
      </c>
      <c r="X51" s="204">
        <f t="shared" si="137"/>
        <v>7.0049791777338E-2</v>
      </c>
      <c r="Y51" s="204">
        <f t="shared" si="137"/>
        <v>0.14848960696808147</v>
      </c>
      <c r="Z51" s="204">
        <f t="shared" si="137"/>
        <v>0.13556341774037162</v>
      </c>
      <c r="AA51" s="204">
        <f t="shared" si="137"/>
        <v>0.15402555347690036</v>
      </c>
      <c r="AB51" s="204">
        <f t="shared" si="137"/>
        <v>7.690752147165919E-2</v>
      </c>
      <c r="AC51" s="204">
        <f t="shared" si="137"/>
        <v>0.14384073769398706</v>
      </c>
      <c r="AD51" s="204">
        <f t="shared" si="137"/>
        <v>0.13482362488271246</v>
      </c>
      <c r="AE51" s="204">
        <f t="shared" si="137"/>
        <v>0.14670046991564234</v>
      </c>
      <c r="AF51" s="204">
        <f t="shared" si="137"/>
        <v>7.8180310425816579E-2</v>
      </c>
      <c r="AG51" s="204">
        <f t="shared" si="137"/>
        <v>0.14394844608107679</v>
      </c>
      <c r="AH51" s="204">
        <f t="shared" si="137"/>
        <v>0.14038638227549932</v>
      </c>
      <c r="AI51" s="204">
        <f t="shared" si="137"/>
        <v>0.14567774656018953</v>
      </c>
      <c r="AJ51" s="204">
        <f t="shared" ref="AJ51:BO51" si="138">IFERROR(AJ10/AJ$14,"-")</f>
        <v>7.5206821977310934E-2</v>
      </c>
      <c r="AK51" s="204">
        <f t="shared" si="138"/>
        <v>0.14296112338702144</v>
      </c>
      <c r="AL51" s="204">
        <f t="shared" si="138"/>
        <v>0.15627378606933343</v>
      </c>
      <c r="AM51" s="204">
        <f t="shared" si="138"/>
        <v>0.14744091937060055</v>
      </c>
      <c r="AN51" s="204">
        <f t="shared" si="138"/>
        <v>7.8455397187332909E-2</v>
      </c>
      <c r="AO51" s="204">
        <f t="shared" si="138"/>
        <v>0.15573421749972721</v>
      </c>
      <c r="AP51" s="204">
        <f t="shared" si="138"/>
        <v>0.14433518556987623</v>
      </c>
      <c r="AQ51" s="204">
        <f t="shared" si="138"/>
        <v>0.14597964387071263</v>
      </c>
      <c r="AR51" s="204">
        <f t="shared" si="138"/>
        <v>7.9516130325653758E-2</v>
      </c>
      <c r="AS51" s="204">
        <f t="shared" si="138"/>
        <v>0.14689298215870672</v>
      </c>
      <c r="AT51" s="204">
        <f t="shared" si="138"/>
        <v>0.13781249251263866</v>
      </c>
      <c r="AU51" s="204">
        <f t="shared" si="138"/>
        <v>0.14804696254956551</v>
      </c>
      <c r="AV51" s="204">
        <f t="shared" si="138"/>
        <v>7.461792756303133E-2</v>
      </c>
      <c r="AW51" s="204">
        <f t="shared" si="138"/>
        <v>0.142302587759331</v>
      </c>
      <c r="AX51" s="204">
        <f t="shared" si="138"/>
        <v>0.15744832742346404</v>
      </c>
      <c r="AY51" s="204">
        <f t="shared" si="138"/>
        <v>0.14067879830256771</v>
      </c>
      <c r="AZ51" s="204">
        <f t="shared" si="138"/>
        <v>8.0486759486401188E-2</v>
      </c>
      <c r="BA51" s="204">
        <f t="shared" si="138"/>
        <v>0.15240183585407513</v>
      </c>
      <c r="BB51" s="204">
        <f t="shared" si="138"/>
        <v>0.13461821404956925</v>
      </c>
      <c r="BC51" s="204">
        <f t="shared" si="138"/>
        <v>0.12444472223368432</v>
      </c>
      <c r="BD51" s="204">
        <f t="shared" si="138"/>
        <v>7.1940122735010659E-2</v>
      </c>
      <c r="BE51" s="204">
        <f t="shared" si="138"/>
        <v>0.13603422111617999</v>
      </c>
      <c r="BF51" s="204">
        <f t="shared" si="138"/>
        <v>0.14024708160549432</v>
      </c>
      <c r="BG51" s="204">
        <f t="shared" si="138"/>
        <v>0.11993102451964369</v>
      </c>
      <c r="BH51" s="204">
        <f t="shared" si="138"/>
        <v>5.5287779484948486E-2</v>
      </c>
      <c r="BI51" s="204">
        <f t="shared" si="138"/>
        <v>0.15909908723293256</v>
      </c>
      <c r="BJ51" s="204">
        <f t="shared" si="138"/>
        <v>9.2719853373376973E-2</v>
      </c>
      <c r="BK51" s="204">
        <f t="shared" si="138"/>
        <v>4.4167210986538252E-2</v>
      </c>
      <c r="BL51" s="204">
        <f t="shared" si="138"/>
        <v>4.1803239084730777E-2</v>
      </c>
      <c r="BM51" s="204">
        <f t="shared" si="138"/>
        <v>0.14587579523203659</v>
      </c>
      <c r="BN51" s="204">
        <f t="shared" si="138"/>
        <v>6.2704823511029531E-2</v>
      </c>
      <c r="BO51" s="204">
        <f t="shared" si="138"/>
        <v>7.8499651775942689E-2</v>
      </c>
      <c r="BP51" s="204">
        <f t="shared" ref="BP51:BY51" si="139">IFERROR(BP10/BP$14,"-")</f>
        <v>4.8327931381939984E-2</v>
      </c>
      <c r="BQ51" s="204">
        <f t="shared" si="139"/>
        <v>0.10331044367915383</v>
      </c>
      <c r="BR51" s="204">
        <f t="shared" si="139"/>
        <v>7.955976603432649E-2</v>
      </c>
      <c r="BS51" s="204">
        <f t="shared" si="139"/>
        <v>7.8455883947353547E-2</v>
      </c>
      <c r="BT51" s="204">
        <f t="shared" si="139"/>
        <v>4.4651495062626327E-2</v>
      </c>
      <c r="BU51" s="204">
        <f t="shared" si="139"/>
        <v>9.2251958058014644E-2</v>
      </c>
      <c r="BV51" s="204">
        <f t="shared" si="139"/>
        <v>7.1386526025880845E-2</v>
      </c>
      <c r="BW51" s="204">
        <f t="shared" si="139"/>
        <v>6.4488889205334327E-2</v>
      </c>
      <c r="BX51" s="204">
        <f t="shared" si="139"/>
        <v>3.9249009008905371E-2</v>
      </c>
      <c r="BY51" s="204">
        <f t="shared" si="139"/>
        <v>7.7377892013312077E-2</v>
      </c>
      <c r="BZ51" s="204">
        <f t="shared" ref="BZ51:CA51" si="140">IFERROR(BZ10/BZ$14,"-")</f>
        <v>5.9411013794052829E-2</v>
      </c>
      <c r="CA51" s="204">
        <f t="shared" si="140"/>
        <v>6.4785001591194144E-2</v>
      </c>
      <c r="CB51" s="220">
        <f t="shared" ref="CB51" si="141">IFERROR(CB10/CB$14,"-")</f>
        <v>4.1476272080463145E-2</v>
      </c>
      <c r="CC51" s="512"/>
    </row>
    <row r="52" spans="2:81" ht="16.350000000000001" customHeight="1">
      <c r="B52" s="205" t="s">
        <v>506</v>
      </c>
      <c r="C52" s="169" t="s">
        <v>462</v>
      </c>
      <c r="D52" s="204">
        <f t="shared" ref="D52:AI52" si="142">IFERROR((D11+D12)/D$14,"-")</f>
        <v>0</v>
      </c>
      <c r="E52" s="204">
        <f t="shared" si="142"/>
        <v>0</v>
      </c>
      <c r="F52" s="204">
        <f t="shared" si="142"/>
        <v>0</v>
      </c>
      <c r="G52" s="204">
        <f t="shared" si="142"/>
        <v>0</v>
      </c>
      <c r="H52" s="204">
        <f t="shared" si="142"/>
        <v>0</v>
      </c>
      <c r="I52" s="204">
        <f t="shared" si="142"/>
        <v>0</v>
      </c>
      <c r="J52" s="204">
        <f t="shared" si="142"/>
        <v>0</v>
      </c>
      <c r="K52" s="204">
        <f t="shared" si="142"/>
        <v>0</v>
      </c>
      <c r="L52" s="204">
        <f t="shared" si="142"/>
        <v>0</v>
      </c>
      <c r="M52" s="204">
        <f t="shared" si="142"/>
        <v>0</v>
      </c>
      <c r="N52" s="204">
        <f t="shared" si="142"/>
        <v>0</v>
      </c>
      <c r="O52" s="204">
        <f t="shared" si="142"/>
        <v>0</v>
      </c>
      <c r="P52" s="204">
        <f t="shared" si="142"/>
        <v>0</v>
      </c>
      <c r="Q52" s="204">
        <f t="shared" si="142"/>
        <v>0</v>
      </c>
      <c r="R52" s="204">
        <f t="shared" si="142"/>
        <v>0</v>
      </c>
      <c r="S52" s="204">
        <f t="shared" si="142"/>
        <v>0</v>
      </c>
      <c r="T52" s="204">
        <f t="shared" si="142"/>
        <v>3.5953631720449693E-2</v>
      </c>
      <c r="U52" s="204">
        <f t="shared" si="142"/>
        <v>3.3158069671725389E-2</v>
      </c>
      <c r="V52" s="204">
        <f t="shared" si="142"/>
        <v>4.7617400357126381E-2</v>
      </c>
      <c r="W52" s="204">
        <f t="shared" si="142"/>
        <v>5.2924341042330243E-2</v>
      </c>
      <c r="X52" s="204">
        <f t="shared" si="142"/>
        <v>3.6527732285935269E-2</v>
      </c>
      <c r="Y52" s="204">
        <f t="shared" si="142"/>
        <v>3.758761520154353E-2</v>
      </c>
      <c r="Z52" s="204">
        <f t="shared" si="142"/>
        <v>5.3104701809416996E-2</v>
      </c>
      <c r="AA52" s="204">
        <f t="shared" si="142"/>
        <v>6.5031333629751428E-2</v>
      </c>
      <c r="AB52" s="204">
        <f t="shared" si="142"/>
        <v>4.7828414957222017E-2</v>
      </c>
      <c r="AC52" s="204">
        <f t="shared" si="142"/>
        <v>4.6029455615042174E-2</v>
      </c>
      <c r="AD52" s="204">
        <f t="shared" si="142"/>
        <v>5.5156848325006974E-2</v>
      </c>
      <c r="AE52" s="204">
        <f t="shared" si="142"/>
        <v>5.9650308204665957E-2</v>
      </c>
      <c r="AF52" s="204">
        <f t="shared" si="142"/>
        <v>4.2660997662187762E-2</v>
      </c>
      <c r="AG52" s="204">
        <f t="shared" si="142"/>
        <v>4.3354814132884667E-2</v>
      </c>
      <c r="AH52" s="204">
        <f t="shared" si="142"/>
        <v>5.2038897213435201E-2</v>
      </c>
      <c r="AI52" s="204">
        <f t="shared" si="142"/>
        <v>5.481673008344138E-2</v>
      </c>
      <c r="AJ52" s="204">
        <f t="shared" ref="AJ52:BO52" si="143">IFERROR((AJ11+AJ12)/AJ$14,"-")</f>
        <v>4.1281675862328851E-2</v>
      </c>
      <c r="AK52" s="204">
        <f t="shared" si="143"/>
        <v>4.179132690640542E-2</v>
      </c>
      <c r="AL52" s="204">
        <f t="shared" si="143"/>
        <v>5.9285088657919642E-2</v>
      </c>
      <c r="AM52" s="204">
        <f t="shared" si="143"/>
        <v>6.906020906037251E-2</v>
      </c>
      <c r="AN52" s="204">
        <f t="shared" si="143"/>
        <v>4.3907568543613967E-2</v>
      </c>
      <c r="AO52" s="204">
        <f t="shared" si="143"/>
        <v>4.4851022167228784E-2</v>
      </c>
      <c r="AP52" s="204">
        <f t="shared" si="143"/>
        <v>6.4899271858223695E-2</v>
      </c>
      <c r="AQ52" s="204">
        <f t="shared" si="143"/>
        <v>7.1194964926661095E-2</v>
      </c>
      <c r="AR52" s="204">
        <f t="shared" si="143"/>
        <v>5.0577772788144633E-2</v>
      </c>
      <c r="AS52" s="204">
        <f t="shared" si="143"/>
        <v>5.2527599652947454E-2</v>
      </c>
      <c r="AT52" s="204">
        <f t="shared" si="143"/>
        <v>6.2496106572106282E-2</v>
      </c>
      <c r="AU52" s="204">
        <f t="shared" si="143"/>
        <v>7.0145342568919022E-2</v>
      </c>
      <c r="AV52" s="204">
        <f t="shared" si="143"/>
        <v>4.4375837079538238E-2</v>
      </c>
      <c r="AW52" s="204">
        <f t="shared" si="143"/>
        <v>4.1011421664158672E-2</v>
      </c>
      <c r="AX52" s="204">
        <f t="shared" si="143"/>
        <v>3.9107413706873893E-2</v>
      </c>
      <c r="AY52" s="204">
        <f t="shared" si="143"/>
        <v>6.6835718579288592E-2</v>
      </c>
      <c r="AZ52" s="204">
        <f t="shared" si="143"/>
        <v>4.5450013571920224E-2</v>
      </c>
      <c r="BA52" s="204">
        <f t="shared" si="143"/>
        <v>4.837310258404056E-2</v>
      </c>
      <c r="BB52" s="204">
        <f t="shared" si="143"/>
        <v>6.5953394321434558E-2</v>
      </c>
      <c r="BC52" s="204">
        <f t="shared" si="143"/>
        <v>6.7006599892730459E-2</v>
      </c>
      <c r="BD52" s="204">
        <f t="shared" si="143"/>
        <v>4.054658317709757E-2</v>
      </c>
      <c r="BE52" s="204">
        <f t="shared" si="143"/>
        <v>4.1232780250978318E-2</v>
      </c>
      <c r="BF52" s="204">
        <f t="shared" si="143"/>
        <v>6.126630841090365E-2</v>
      </c>
      <c r="BG52" s="204">
        <f t="shared" si="143"/>
        <v>9.3864324330349219E-2</v>
      </c>
      <c r="BH52" s="204">
        <f t="shared" si="143"/>
        <v>9.0574613628208497E-2</v>
      </c>
      <c r="BI52" s="204">
        <f t="shared" si="143"/>
        <v>0.13295371088960184</v>
      </c>
      <c r="BJ52" s="204">
        <f t="shared" si="143"/>
        <v>0.37662412979415655</v>
      </c>
      <c r="BK52" s="204">
        <f t="shared" si="143"/>
        <v>0.27329252286691746</v>
      </c>
      <c r="BL52" s="204">
        <f t="shared" si="143"/>
        <v>0.15517743850550106</v>
      </c>
      <c r="BM52" s="204">
        <f t="shared" si="143"/>
        <v>0.14744631737834768</v>
      </c>
      <c r="BN52" s="204">
        <f t="shared" si="143"/>
        <v>0.17799995793004053</v>
      </c>
      <c r="BO52" s="204">
        <f t="shared" si="143"/>
        <v>0.18409181356898002</v>
      </c>
      <c r="BP52" s="204">
        <f t="shared" ref="BP52:BY52" si="144">IFERROR((BP11+BP12)/BP$14,"-")</f>
        <v>0.15499769395630089</v>
      </c>
      <c r="BQ52" s="204">
        <f t="shared" si="144"/>
        <v>0.1665722423026765</v>
      </c>
      <c r="BR52" s="204">
        <f t="shared" si="144"/>
        <v>0.20377860795700012</v>
      </c>
      <c r="BS52" s="204">
        <f t="shared" si="144"/>
        <v>0.25519619565020979</v>
      </c>
      <c r="BT52" s="204">
        <f t="shared" si="144"/>
        <v>0.23733047089456727</v>
      </c>
      <c r="BU52" s="204">
        <f t="shared" si="144"/>
        <v>0.24276274787793525</v>
      </c>
      <c r="BV52" s="204">
        <f t="shared" si="144"/>
        <v>0.24423672894817619</v>
      </c>
      <c r="BW52" s="204">
        <f t="shared" si="144"/>
        <v>0.2360016803252426</v>
      </c>
      <c r="BX52" s="204">
        <f t="shared" si="144"/>
        <v>0.18379682213778661</v>
      </c>
      <c r="BY52" s="204">
        <f t="shared" si="144"/>
        <v>0.17923548270721995</v>
      </c>
      <c r="BZ52" s="204">
        <f t="shared" ref="BZ52:CA52" si="145">IFERROR((BZ11+BZ12)/BZ$14,"-")</f>
        <v>0.17177841137767721</v>
      </c>
      <c r="CA52" s="204">
        <f t="shared" si="145"/>
        <v>0.15678254304024161</v>
      </c>
      <c r="CB52" s="220">
        <f t="shared" ref="CB52" si="146">IFERROR((CB11+CB12)/CB$14,"-")</f>
        <v>0.12206458061894387</v>
      </c>
      <c r="CC52" s="512"/>
    </row>
    <row r="53" spans="2:81" ht="16.350000000000001" customHeight="1">
      <c r="B53" s="167" t="s">
        <v>424</v>
      </c>
      <c r="C53" s="167" t="s">
        <v>424</v>
      </c>
      <c r="D53" s="184"/>
      <c r="E53" s="184"/>
      <c r="F53" s="184"/>
      <c r="G53" s="184"/>
      <c r="H53" s="184"/>
      <c r="I53" s="184"/>
      <c r="J53" s="184"/>
      <c r="K53" s="184"/>
      <c r="L53" s="184"/>
      <c r="M53" s="184"/>
      <c r="N53" s="184"/>
      <c r="O53" s="184"/>
      <c r="P53" s="184"/>
      <c r="Q53" s="184"/>
      <c r="R53" s="184"/>
      <c r="S53" s="184"/>
      <c r="T53" s="184"/>
      <c r="U53" s="184"/>
      <c r="V53" s="184"/>
      <c r="W53" s="184"/>
      <c r="X53" s="184"/>
      <c r="Y53" s="184"/>
      <c r="Z53" s="184"/>
      <c r="AA53" s="184"/>
      <c r="AB53" s="184"/>
      <c r="AC53" s="184"/>
      <c r="AD53" s="184"/>
      <c r="AE53" s="184"/>
      <c r="AF53" s="184"/>
      <c r="AG53" s="184"/>
      <c r="AH53" s="184"/>
      <c r="AI53" s="184"/>
      <c r="AJ53" s="184"/>
      <c r="AK53" s="184"/>
      <c r="AL53" s="184"/>
      <c r="AM53" s="184"/>
      <c r="AN53" s="184"/>
      <c r="AO53" s="184"/>
      <c r="AP53" s="184"/>
      <c r="AQ53" s="184"/>
      <c r="AR53" s="184"/>
      <c r="AS53" s="184"/>
      <c r="AT53" s="184"/>
      <c r="AU53" s="184"/>
      <c r="AV53" s="184"/>
      <c r="AW53" s="184"/>
      <c r="AX53" s="184"/>
      <c r="AY53" s="184"/>
      <c r="AZ53" s="184"/>
      <c r="BA53" s="184"/>
      <c r="BB53" s="184"/>
      <c r="BC53" s="184"/>
      <c r="BD53" s="184"/>
      <c r="BE53" s="184"/>
      <c r="BF53" s="184"/>
      <c r="BG53" s="184"/>
      <c r="BH53" s="184"/>
      <c r="BI53" s="184"/>
      <c r="BJ53" s="184"/>
      <c r="BK53" s="184"/>
      <c r="BL53" s="184"/>
      <c r="BM53" s="184"/>
      <c r="BN53" s="184"/>
      <c r="BO53" s="184"/>
      <c r="BP53" s="184"/>
      <c r="BQ53" s="184"/>
      <c r="BR53" s="184"/>
      <c r="BS53" s="184"/>
      <c r="BT53" s="184"/>
      <c r="BU53" s="184"/>
      <c r="BV53" s="184"/>
      <c r="BW53" s="184"/>
      <c r="BX53" s="184"/>
      <c r="BY53" s="184"/>
      <c r="BZ53" s="184"/>
      <c r="CA53" s="184"/>
      <c r="CB53" s="221"/>
      <c r="CC53" s="512"/>
    </row>
    <row r="54" spans="2:81" ht="16.350000000000001" customHeight="1">
      <c r="B54" s="158" t="s">
        <v>504</v>
      </c>
      <c r="C54" s="158" t="s">
        <v>182</v>
      </c>
      <c r="D54" s="126" t="str">
        <f t="shared" ref="D54:AI54" si="147">IFERROR(D21/D$25,"-")</f>
        <v>-</v>
      </c>
      <c r="E54" s="126" t="str">
        <f t="shared" si="147"/>
        <v>-</v>
      </c>
      <c r="F54" s="126" t="str">
        <f t="shared" si="147"/>
        <v>-</v>
      </c>
      <c r="G54" s="126" t="str">
        <f t="shared" si="147"/>
        <v>-</v>
      </c>
      <c r="H54" s="126" t="str">
        <f t="shared" si="147"/>
        <v>-</v>
      </c>
      <c r="I54" s="126" t="str">
        <f t="shared" si="147"/>
        <v>-</v>
      </c>
      <c r="J54" s="126" t="str">
        <f t="shared" si="147"/>
        <v>-</v>
      </c>
      <c r="K54" s="126" t="str">
        <f t="shared" si="147"/>
        <v>-</v>
      </c>
      <c r="L54" s="126" t="str">
        <f t="shared" si="147"/>
        <v>-</v>
      </c>
      <c r="M54" s="126" t="str">
        <f t="shared" si="147"/>
        <v>-</v>
      </c>
      <c r="N54" s="126" t="str">
        <f t="shared" si="147"/>
        <v>-</v>
      </c>
      <c r="O54" s="126" t="str">
        <f t="shared" si="147"/>
        <v>-</v>
      </c>
      <c r="P54" s="126" t="str">
        <f t="shared" si="147"/>
        <v>-</v>
      </c>
      <c r="Q54" s="126" t="str">
        <f t="shared" si="147"/>
        <v>-</v>
      </c>
      <c r="R54" s="126" t="str">
        <f t="shared" si="147"/>
        <v>-</v>
      </c>
      <c r="S54" s="126" t="str">
        <f t="shared" si="147"/>
        <v>-</v>
      </c>
      <c r="T54" s="126" t="str">
        <f t="shared" si="147"/>
        <v>-</v>
      </c>
      <c r="U54" s="126" t="str">
        <f t="shared" si="147"/>
        <v>-</v>
      </c>
      <c r="V54" s="126" t="str">
        <f t="shared" si="147"/>
        <v>-</v>
      </c>
      <c r="W54" s="126" t="str">
        <f t="shared" si="147"/>
        <v>-</v>
      </c>
      <c r="X54" s="126" t="str">
        <f t="shared" si="147"/>
        <v>-</v>
      </c>
      <c r="Y54" s="126" t="str">
        <f t="shared" si="147"/>
        <v>-</v>
      </c>
      <c r="Z54" s="126" t="str">
        <f t="shared" si="147"/>
        <v>-</v>
      </c>
      <c r="AA54" s="126" t="str">
        <f t="shared" si="147"/>
        <v>-</v>
      </c>
      <c r="AB54" s="126" t="str">
        <f t="shared" si="147"/>
        <v>-</v>
      </c>
      <c r="AC54" s="126" t="str">
        <f t="shared" si="147"/>
        <v>-</v>
      </c>
      <c r="AD54" s="126">
        <f t="shared" si="147"/>
        <v>0.19706361632105313</v>
      </c>
      <c r="AE54" s="126">
        <f t="shared" si="147"/>
        <v>0.23951351149689726</v>
      </c>
      <c r="AF54" s="126">
        <f t="shared" si="147"/>
        <v>0.22387088950867021</v>
      </c>
      <c r="AG54" s="126">
        <f t="shared" si="147"/>
        <v>0.235672271403957</v>
      </c>
      <c r="AH54" s="126">
        <f t="shared" si="147"/>
        <v>0.19390658468227495</v>
      </c>
      <c r="AI54" s="126">
        <f t="shared" si="147"/>
        <v>0.17183116105916824</v>
      </c>
      <c r="AJ54" s="126">
        <f t="shared" ref="AJ54:BO54" si="148">IFERROR(AJ21/AJ$25,"-")</f>
        <v>0.16531570330905213</v>
      </c>
      <c r="AK54" s="126">
        <f t="shared" si="148"/>
        <v>0.18711948524107683</v>
      </c>
      <c r="AL54" s="126">
        <f t="shared" si="148"/>
        <v>0.21831864445099378</v>
      </c>
      <c r="AM54" s="126">
        <f t="shared" si="148"/>
        <v>0.21579224425337779</v>
      </c>
      <c r="AN54" s="126">
        <f t="shared" si="148"/>
        <v>0.16860105619739352</v>
      </c>
      <c r="AO54" s="126">
        <f t="shared" si="148"/>
        <v>0.23077590063195408</v>
      </c>
      <c r="AP54" s="126">
        <f t="shared" si="148"/>
        <v>0.23798913005262387</v>
      </c>
      <c r="AQ54" s="126">
        <f t="shared" si="148"/>
        <v>0.22711989564777535</v>
      </c>
      <c r="AR54" s="126">
        <f t="shared" si="148"/>
        <v>0.17751154205458833</v>
      </c>
      <c r="AS54" s="126">
        <f t="shared" si="148"/>
        <v>0.23495592140021274</v>
      </c>
      <c r="AT54" s="126">
        <f t="shared" si="148"/>
        <v>0.24157608486522211</v>
      </c>
      <c r="AU54" s="126">
        <f t="shared" si="148"/>
        <v>0.23179698438328392</v>
      </c>
      <c r="AV54" s="126">
        <f t="shared" si="148"/>
        <v>0.18084707603879321</v>
      </c>
      <c r="AW54" s="126">
        <f t="shared" si="148"/>
        <v>0.20056925675748444</v>
      </c>
      <c r="AX54" s="126">
        <f t="shared" si="148"/>
        <v>0.26357022117728746</v>
      </c>
      <c r="AY54" s="126">
        <f t="shared" si="148"/>
        <v>0.20441947454389023</v>
      </c>
      <c r="AZ54" s="126">
        <f t="shared" si="148"/>
        <v>0.22277351004092366</v>
      </c>
      <c r="BA54" s="126">
        <f t="shared" si="148"/>
        <v>0.23259202592660896</v>
      </c>
      <c r="BB54" s="126">
        <f t="shared" si="148"/>
        <v>0.23052987816587164</v>
      </c>
      <c r="BC54" s="126">
        <f t="shared" si="148"/>
        <v>0.2280730749427633</v>
      </c>
      <c r="BD54" s="126">
        <f t="shared" si="148"/>
        <v>0.18515050249760917</v>
      </c>
      <c r="BE54" s="126">
        <f t="shared" si="148"/>
        <v>0.20442718268487173</v>
      </c>
      <c r="BF54" s="126">
        <f t="shared" si="148"/>
        <v>0.20967759649165899</v>
      </c>
      <c r="BG54" s="126">
        <f t="shared" si="148"/>
        <v>0.199672007850211</v>
      </c>
      <c r="BH54" s="126">
        <f t="shared" si="148"/>
        <v>0.17570449013854447</v>
      </c>
      <c r="BI54" s="126">
        <f t="shared" si="148"/>
        <v>0.20780762090798399</v>
      </c>
      <c r="BJ54" s="126">
        <f t="shared" si="148"/>
        <v>0.2582845324429256</v>
      </c>
      <c r="BK54" s="126">
        <f t="shared" si="148"/>
        <v>0.1899630318764951</v>
      </c>
      <c r="BL54" s="126">
        <f t="shared" si="148"/>
        <v>0.13812784203333098</v>
      </c>
      <c r="BM54" s="126">
        <f t="shared" si="148"/>
        <v>0.15024420804326222</v>
      </c>
      <c r="BN54" s="126">
        <f t="shared" si="148"/>
        <v>0.15047587128535497</v>
      </c>
      <c r="BO54" s="126">
        <f t="shared" si="148"/>
        <v>0.17116728843406742</v>
      </c>
      <c r="BP54" s="126">
        <f t="shared" ref="BP54:BY54" si="149">IFERROR(BP21/BP$25,"-")</f>
        <v>0.15979134663544764</v>
      </c>
      <c r="BQ54" s="126">
        <f t="shared" si="149"/>
        <v>0.20867744140351618</v>
      </c>
      <c r="BR54" s="126">
        <f t="shared" si="149"/>
        <v>0.23260852275798183</v>
      </c>
      <c r="BS54" s="126">
        <f t="shared" si="149"/>
        <v>0.25955785341586401</v>
      </c>
      <c r="BT54" s="126">
        <f t="shared" si="149"/>
        <v>0.25126547166992408</v>
      </c>
      <c r="BU54" s="126">
        <f t="shared" si="149"/>
        <v>0.27367667191134382</v>
      </c>
      <c r="BV54" s="126">
        <f t="shared" si="149"/>
        <v>0.28020078735612375</v>
      </c>
      <c r="BW54" s="126">
        <f t="shared" si="149"/>
        <v>0.28718572462016967</v>
      </c>
      <c r="BX54" s="126">
        <f t="shared" si="149"/>
        <v>0.2527169537710352</v>
      </c>
      <c r="BY54" s="126">
        <f t="shared" si="149"/>
        <v>0.25539985089823392</v>
      </c>
      <c r="BZ54" s="126">
        <f t="shared" ref="BZ54:CA54" si="150">IFERROR(BZ21/BZ$25,"-")</f>
        <v>0.23439427578658983</v>
      </c>
      <c r="CA54" s="126">
        <f t="shared" si="150"/>
        <v>0.22039423439752251</v>
      </c>
      <c r="CB54" s="219">
        <f t="shared" ref="CB54" si="151">IFERROR(CB21/CB$25,"-")</f>
        <v>0.19543337554439377</v>
      </c>
      <c r="CC54" s="512"/>
    </row>
    <row r="55" spans="2:81" ht="16.350000000000001" customHeight="1">
      <c r="B55" s="169" t="s">
        <v>505</v>
      </c>
      <c r="C55" s="169" t="s">
        <v>414</v>
      </c>
      <c r="D55" s="204" t="str">
        <f t="shared" ref="D55:AI55" si="152">IFERROR(D22/D$25,"-")</f>
        <v>-</v>
      </c>
      <c r="E55" s="204" t="str">
        <f t="shared" si="152"/>
        <v>-</v>
      </c>
      <c r="F55" s="204" t="str">
        <f t="shared" si="152"/>
        <v>-</v>
      </c>
      <c r="G55" s="204" t="str">
        <f t="shared" si="152"/>
        <v>-</v>
      </c>
      <c r="H55" s="204" t="str">
        <f t="shared" si="152"/>
        <v>-</v>
      </c>
      <c r="I55" s="204" t="str">
        <f t="shared" si="152"/>
        <v>-</v>
      </c>
      <c r="J55" s="204" t="str">
        <f t="shared" si="152"/>
        <v>-</v>
      </c>
      <c r="K55" s="204" t="str">
        <f t="shared" si="152"/>
        <v>-</v>
      </c>
      <c r="L55" s="204" t="str">
        <f t="shared" si="152"/>
        <v>-</v>
      </c>
      <c r="M55" s="204" t="str">
        <f t="shared" si="152"/>
        <v>-</v>
      </c>
      <c r="N55" s="204" t="str">
        <f t="shared" si="152"/>
        <v>-</v>
      </c>
      <c r="O55" s="204" t="str">
        <f t="shared" si="152"/>
        <v>-</v>
      </c>
      <c r="P55" s="204" t="str">
        <f t="shared" si="152"/>
        <v>-</v>
      </c>
      <c r="Q55" s="204" t="str">
        <f t="shared" si="152"/>
        <v>-</v>
      </c>
      <c r="R55" s="204" t="str">
        <f t="shared" si="152"/>
        <v>-</v>
      </c>
      <c r="S55" s="204" t="str">
        <f t="shared" si="152"/>
        <v>-</v>
      </c>
      <c r="T55" s="204" t="str">
        <f t="shared" si="152"/>
        <v>-</v>
      </c>
      <c r="U55" s="204" t="str">
        <f t="shared" si="152"/>
        <v>-</v>
      </c>
      <c r="V55" s="204" t="str">
        <f t="shared" si="152"/>
        <v>-</v>
      </c>
      <c r="W55" s="204" t="str">
        <f t="shared" si="152"/>
        <v>-</v>
      </c>
      <c r="X55" s="204" t="str">
        <f t="shared" si="152"/>
        <v>-</v>
      </c>
      <c r="Y55" s="204" t="str">
        <f t="shared" si="152"/>
        <v>-</v>
      </c>
      <c r="Z55" s="204" t="str">
        <f t="shared" si="152"/>
        <v>-</v>
      </c>
      <c r="AA55" s="204" t="str">
        <f t="shared" si="152"/>
        <v>-</v>
      </c>
      <c r="AB55" s="204" t="str">
        <f t="shared" si="152"/>
        <v>-</v>
      </c>
      <c r="AC55" s="204" t="str">
        <f t="shared" si="152"/>
        <v>-</v>
      </c>
      <c r="AD55" s="204">
        <f t="shared" si="152"/>
        <v>0</v>
      </c>
      <c r="AE55" s="204">
        <f t="shared" si="152"/>
        <v>0</v>
      </c>
      <c r="AF55" s="204">
        <f t="shared" si="152"/>
        <v>0</v>
      </c>
      <c r="AG55" s="204">
        <f t="shared" si="152"/>
        <v>0</v>
      </c>
      <c r="AH55" s="204">
        <f t="shared" si="152"/>
        <v>0</v>
      </c>
      <c r="AI55" s="204">
        <f t="shared" si="152"/>
        <v>0</v>
      </c>
      <c r="AJ55" s="204">
        <f t="shared" ref="AJ55:BO55" si="153">IFERROR(AJ22/AJ$25,"-")</f>
        <v>0</v>
      </c>
      <c r="AK55" s="204">
        <f t="shared" si="153"/>
        <v>0</v>
      </c>
      <c r="AL55" s="204">
        <f t="shared" si="153"/>
        <v>0</v>
      </c>
      <c r="AM55" s="204">
        <f t="shared" si="153"/>
        <v>0</v>
      </c>
      <c r="AN55" s="204">
        <f t="shared" si="153"/>
        <v>0</v>
      </c>
      <c r="AO55" s="204">
        <f t="shared" si="153"/>
        <v>0.18255478480549822</v>
      </c>
      <c r="AP55" s="204">
        <f t="shared" si="153"/>
        <v>0.17135031159117051</v>
      </c>
      <c r="AQ55" s="204">
        <f t="shared" si="153"/>
        <v>0.1645035633555183</v>
      </c>
      <c r="AR55" s="204">
        <f t="shared" si="153"/>
        <v>0.11917679121709042</v>
      </c>
      <c r="AS55" s="204">
        <f t="shared" si="153"/>
        <v>0.17851929160344582</v>
      </c>
      <c r="AT55" s="204">
        <f t="shared" si="153"/>
        <v>0.16872120261433754</v>
      </c>
      <c r="AU55" s="204">
        <f t="shared" si="153"/>
        <v>0.16462801197562599</v>
      </c>
      <c r="AV55" s="204">
        <f t="shared" si="153"/>
        <v>0.11942130595786758</v>
      </c>
      <c r="AW55" s="204">
        <f t="shared" si="153"/>
        <v>0.15516519436579407</v>
      </c>
      <c r="AX55" s="204">
        <f t="shared" si="153"/>
        <v>0.22455820943487792</v>
      </c>
      <c r="AY55" s="204">
        <f t="shared" si="153"/>
        <v>9.7446195466929203E-2</v>
      </c>
      <c r="AZ55" s="204">
        <f t="shared" si="153"/>
        <v>7.7608138414007863E-2</v>
      </c>
      <c r="BA55" s="204">
        <f t="shared" si="153"/>
        <v>9.4033219531154622E-2</v>
      </c>
      <c r="BB55" s="204">
        <f t="shared" si="153"/>
        <v>9.1629284233469097E-2</v>
      </c>
      <c r="BC55" s="204">
        <f t="shared" si="153"/>
        <v>8.8847169082881317E-2</v>
      </c>
      <c r="BD55" s="204">
        <f t="shared" si="153"/>
        <v>6.3839837217362916E-2</v>
      </c>
      <c r="BE55" s="204">
        <f t="shared" si="153"/>
        <v>8.9174605628092193E-2</v>
      </c>
      <c r="BF55" s="204">
        <f t="shared" si="153"/>
        <v>9.2146790953883978E-2</v>
      </c>
      <c r="BG55" s="204">
        <f t="shared" si="153"/>
        <v>8.1412372848782416E-2</v>
      </c>
      <c r="BH55" s="204">
        <f t="shared" si="153"/>
        <v>6.4066643950406996E-2</v>
      </c>
      <c r="BI55" s="204">
        <f t="shared" si="153"/>
        <v>8.7179132768834933E-2</v>
      </c>
      <c r="BJ55" s="204">
        <f t="shared" si="153"/>
        <v>7.7562677483754422E-2</v>
      </c>
      <c r="BK55" s="204">
        <f t="shared" si="153"/>
        <v>3.9664682749214614E-2</v>
      </c>
      <c r="BL55" s="204">
        <f t="shared" si="153"/>
        <v>3.5947401757250481E-2</v>
      </c>
      <c r="BM55" s="204">
        <f t="shared" si="153"/>
        <v>7.2713053840903819E-2</v>
      </c>
      <c r="BN55" s="204">
        <f t="shared" si="153"/>
        <v>5.9706591949800124E-2</v>
      </c>
      <c r="BO55" s="204">
        <f t="shared" si="153"/>
        <v>7.2708487980987294E-2</v>
      </c>
      <c r="BP55" s="204">
        <f t="shared" ref="BP55:BY55" si="154">IFERROR(BP22/BP$25,"-")</f>
        <v>6.3182117127431547E-2</v>
      </c>
      <c r="BQ55" s="204">
        <f t="shared" si="154"/>
        <v>9.3201706148977603E-2</v>
      </c>
      <c r="BR55" s="204">
        <f t="shared" si="154"/>
        <v>8.790793739193549E-2</v>
      </c>
      <c r="BS55" s="204">
        <f t="shared" si="154"/>
        <v>8.7208177211632085E-2</v>
      </c>
      <c r="BT55" s="204">
        <f t="shared" si="154"/>
        <v>7.2589910464832902E-2</v>
      </c>
      <c r="BU55" s="204">
        <f t="shared" si="154"/>
        <v>8.5098297058739447E-2</v>
      </c>
      <c r="BV55" s="204">
        <f t="shared" si="154"/>
        <v>7.7461605163294325E-2</v>
      </c>
      <c r="BW55" s="204">
        <f t="shared" si="154"/>
        <v>7.1659973364845933E-2</v>
      </c>
      <c r="BX55" s="204">
        <f t="shared" si="154"/>
        <v>5.6292860430446234E-2</v>
      </c>
      <c r="BY55" s="204">
        <f t="shared" si="154"/>
        <v>7.0120863410494158E-2</v>
      </c>
      <c r="BZ55" s="204">
        <f t="shared" ref="BZ55:CA55" si="155">IFERROR(BZ22/BZ$25,"-")</f>
        <v>5.8418703144311593E-2</v>
      </c>
      <c r="CA55" s="204">
        <f t="shared" si="155"/>
        <v>5.6515948309203971E-2</v>
      </c>
      <c r="CB55" s="220">
        <f t="shared" ref="CB55" si="156">IFERROR(CB22/CB$25,"-")</f>
        <v>5.0100676203416426E-2</v>
      </c>
      <c r="CC55" s="512"/>
    </row>
    <row r="56" spans="2:81" ht="16.350000000000001" customHeight="1">
      <c r="B56" s="206" t="s">
        <v>506</v>
      </c>
      <c r="C56" s="171" t="s">
        <v>462</v>
      </c>
      <c r="D56" s="207" t="str">
        <f t="shared" ref="D56:AI56" si="157">IFERROR((D23+D24)/D$25,"-")</f>
        <v>-</v>
      </c>
      <c r="E56" s="207" t="str">
        <f t="shared" si="157"/>
        <v>-</v>
      </c>
      <c r="F56" s="207" t="str">
        <f t="shared" si="157"/>
        <v>-</v>
      </c>
      <c r="G56" s="207" t="str">
        <f t="shared" si="157"/>
        <v>-</v>
      </c>
      <c r="H56" s="207" t="str">
        <f t="shared" si="157"/>
        <v>-</v>
      </c>
      <c r="I56" s="207" t="str">
        <f t="shared" si="157"/>
        <v>-</v>
      </c>
      <c r="J56" s="207" t="str">
        <f t="shared" si="157"/>
        <v>-</v>
      </c>
      <c r="K56" s="207" t="str">
        <f t="shared" si="157"/>
        <v>-</v>
      </c>
      <c r="L56" s="207" t="str">
        <f t="shared" si="157"/>
        <v>-</v>
      </c>
      <c r="M56" s="207" t="str">
        <f t="shared" si="157"/>
        <v>-</v>
      </c>
      <c r="N56" s="207" t="str">
        <f t="shared" si="157"/>
        <v>-</v>
      </c>
      <c r="O56" s="207" t="str">
        <f t="shared" si="157"/>
        <v>-</v>
      </c>
      <c r="P56" s="207" t="str">
        <f t="shared" si="157"/>
        <v>-</v>
      </c>
      <c r="Q56" s="207" t="str">
        <f t="shared" si="157"/>
        <v>-</v>
      </c>
      <c r="R56" s="207" t="str">
        <f t="shared" si="157"/>
        <v>-</v>
      </c>
      <c r="S56" s="207" t="str">
        <f t="shared" si="157"/>
        <v>-</v>
      </c>
      <c r="T56" s="207" t="str">
        <f t="shared" si="157"/>
        <v>-</v>
      </c>
      <c r="U56" s="207" t="str">
        <f t="shared" si="157"/>
        <v>-</v>
      </c>
      <c r="V56" s="207" t="str">
        <f t="shared" si="157"/>
        <v>-</v>
      </c>
      <c r="W56" s="207" t="str">
        <f t="shared" si="157"/>
        <v>-</v>
      </c>
      <c r="X56" s="207" t="str">
        <f t="shared" si="157"/>
        <v>-</v>
      </c>
      <c r="Y56" s="207" t="str">
        <f t="shared" si="157"/>
        <v>-</v>
      </c>
      <c r="Z56" s="207" t="str">
        <f t="shared" si="157"/>
        <v>-</v>
      </c>
      <c r="AA56" s="207" t="str">
        <f t="shared" si="157"/>
        <v>-</v>
      </c>
      <c r="AB56" s="207" t="str">
        <f t="shared" si="157"/>
        <v>-</v>
      </c>
      <c r="AC56" s="207" t="str">
        <f t="shared" si="157"/>
        <v>-</v>
      </c>
      <c r="AD56" s="207">
        <f t="shared" si="157"/>
        <v>0</v>
      </c>
      <c r="AE56" s="207">
        <f t="shared" si="157"/>
        <v>0</v>
      </c>
      <c r="AF56" s="207">
        <f t="shared" si="157"/>
        <v>0</v>
      </c>
      <c r="AG56" s="207">
        <f t="shared" si="157"/>
        <v>0</v>
      </c>
      <c r="AH56" s="207">
        <f t="shared" si="157"/>
        <v>0</v>
      </c>
      <c r="AI56" s="207">
        <f t="shared" si="157"/>
        <v>0</v>
      </c>
      <c r="AJ56" s="207">
        <f t="shared" ref="AJ56:BO56" si="158">IFERROR((AJ23+AJ24)/AJ$25,"-")</f>
        <v>0</v>
      </c>
      <c r="AK56" s="207">
        <f t="shared" si="158"/>
        <v>0</v>
      </c>
      <c r="AL56" s="207">
        <f t="shared" si="158"/>
        <v>0</v>
      </c>
      <c r="AM56" s="207">
        <f t="shared" si="158"/>
        <v>0</v>
      </c>
      <c r="AN56" s="207">
        <f t="shared" si="158"/>
        <v>0</v>
      </c>
      <c r="AO56" s="207">
        <f t="shared" si="158"/>
        <v>4.8221115826455843E-2</v>
      </c>
      <c r="AP56" s="207">
        <f t="shared" si="158"/>
        <v>6.663881846145335E-2</v>
      </c>
      <c r="AQ56" s="207">
        <f t="shared" si="158"/>
        <v>6.2616332292257063E-2</v>
      </c>
      <c r="AR56" s="207">
        <f t="shared" si="158"/>
        <v>5.8334750837497909E-2</v>
      </c>
      <c r="AS56" s="207">
        <f t="shared" si="158"/>
        <v>5.6436629796766904E-2</v>
      </c>
      <c r="AT56" s="207">
        <f t="shared" si="158"/>
        <v>7.2854882250884587E-2</v>
      </c>
      <c r="AU56" s="207">
        <f t="shared" si="158"/>
        <v>6.7168972407657929E-2</v>
      </c>
      <c r="AV56" s="207">
        <f t="shared" si="158"/>
        <v>6.1425770080925618E-2</v>
      </c>
      <c r="AW56" s="207">
        <f t="shared" si="158"/>
        <v>4.5404062391690377E-2</v>
      </c>
      <c r="AX56" s="207">
        <f t="shared" si="158"/>
        <v>3.9012011742409494E-2</v>
      </c>
      <c r="AY56" s="207">
        <f t="shared" si="158"/>
        <v>0.10697327907696104</v>
      </c>
      <c r="AZ56" s="207">
        <f t="shared" si="158"/>
        <v>0.14516537162691581</v>
      </c>
      <c r="BA56" s="207">
        <f t="shared" si="158"/>
        <v>0.13855880639545434</v>
      </c>
      <c r="BB56" s="207">
        <f t="shared" si="158"/>
        <v>0.13890059393240253</v>
      </c>
      <c r="BC56" s="207">
        <f t="shared" si="158"/>
        <v>0.13922590585988198</v>
      </c>
      <c r="BD56" s="207">
        <f t="shared" si="158"/>
        <v>0.12131066528024628</v>
      </c>
      <c r="BE56" s="207">
        <f t="shared" si="158"/>
        <v>0.11525257705677952</v>
      </c>
      <c r="BF56" s="207">
        <f t="shared" si="158"/>
        <v>0.11753080553777501</v>
      </c>
      <c r="BG56" s="207">
        <f t="shared" si="158"/>
        <v>0.11825963500142857</v>
      </c>
      <c r="BH56" s="207">
        <f t="shared" si="158"/>
        <v>0.11163784618813748</v>
      </c>
      <c r="BI56" s="207">
        <f t="shared" si="158"/>
        <v>0.12062848813914905</v>
      </c>
      <c r="BJ56" s="207">
        <f t="shared" si="158"/>
        <v>0.18072185495917112</v>
      </c>
      <c r="BK56" s="207">
        <f t="shared" si="158"/>
        <v>0.15029834912728046</v>
      </c>
      <c r="BL56" s="207">
        <f t="shared" si="158"/>
        <v>0.1021804402760805</v>
      </c>
      <c r="BM56" s="207">
        <f t="shared" si="158"/>
        <v>7.7531154202358399E-2</v>
      </c>
      <c r="BN56" s="207">
        <f t="shared" si="158"/>
        <v>9.076927933555487E-2</v>
      </c>
      <c r="BO56" s="207">
        <f t="shared" si="158"/>
        <v>9.8458800453080128E-2</v>
      </c>
      <c r="BP56" s="207">
        <f t="shared" ref="BP56:BY56" si="159">IFERROR((BP23+BP24)/BP$25,"-")</f>
        <v>9.6609229508016078E-2</v>
      </c>
      <c r="BQ56" s="207">
        <f t="shared" si="159"/>
        <v>0.11547573525453858</v>
      </c>
      <c r="BR56" s="207">
        <f t="shared" si="159"/>
        <v>0.14470058536604632</v>
      </c>
      <c r="BS56" s="207">
        <f t="shared" si="159"/>
        <v>0.17234967620423192</v>
      </c>
      <c r="BT56" s="207">
        <f t="shared" si="159"/>
        <v>0.17867556120509115</v>
      </c>
      <c r="BU56" s="207">
        <f t="shared" si="159"/>
        <v>0.1885783748526044</v>
      </c>
      <c r="BV56" s="207">
        <f t="shared" si="159"/>
        <v>0.20273918219282944</v>
      </c>
      <c r="BW56" s="207">
        <f t="shared" si="159"/>
        <v>0.21552575125532375</v>
      </c>
      <c r="BX56" s="207">
        <f t="shared" si="159"/>
        <v>0.19642409334058902</v>
      </c>
      <c r="BY56" s="207">
        <f t="shared" si="159"/>
        <v>0.18527898748773977</v>
      </c>
      <c r="BZ56" s="207">
        <f t="shared" ref="BZ56:CA56" si="160">IFERROR((BZ23+BZ24)/BZ$25,"-")</f>
        <v>0.17597557264227828</v>
      </c>
      <c r="CA56" s="207">
        <f t="shared" si="160"/>
        <v>0.16387828608831853</v>
      </c>
      <c r="CB56" s="222">
        <f t="shared" ref="CB56" si="161">IFERROR((CB23+CB24)/CB$25,"-")</f>
        <v>0.14533269934097734</v>
      </c>
      <c r="CC56" s="512"/>
    </row>
    <row r="57" spans="2:81" ht="16.350000000000001" customHeight="1">
      <c r="B57" s="174"/>
      <c r="C57" s="174"/>
      <c r="D57" s="174"/>
      <c r="E57" s="174"/>
      <c r="F57" s="174"/>
      <c r="G57" s="174"/>
      <c r="H57" s="174"/>
      <c r="I57" s="174"/>
      <c r="J57" s="174"/>
      <c r="K57" s="174"/>
      <c r="L57" s="174"/>
      <c r="M57" s="174"/>
      <c r="N57" s="174"/>
      <c r="O57" s="174"/>
      <c r="P57" s="174"/>
      <c r="Q57" s="174"/>
      <c r="R57" s="174"/>
      <c r="S57" s="174"/>
      <c r="T57" s="174"/>
      <c r="U57" s="174"/>
      <c r="V57" s="174"/>
      <c r="W57" s="174"/>
      <c r="X57" s="174"/>
      <c r="Y57" s="174"/>
      <c r="Z57" s="174"/>
      <c r="AA57" s="174"/>
      <c r="AB57" s="174"/>
      <c r="AC57" s="174"/>
      <c r="AD57" s="174"/>
      <c r="AE57" s="174"/>
      <c r="AF57" s="174"/>
      <c r="AG57" s="174"/>
      <c r="AH57" s="174"/>
      <c r="AI57" s="174"/>
      <c r="AJ57" s="174"/>
      <c r="AK57" s="174"/>
      <c r="AL57" s="174"/>
      <c r="AM57" s="174"/>
      <c r="AN57" s="174"/>
      <c r="AO57" s="174"/>
      <c r="AP57" s="174"/>
      <c r="AQ57" s="174"/>
      <c r="AR57" s="193"/>
      <c r="AS57" s="174"/>
      <c r="AT57" s="174"/>
      <c r="AU57" s="174"/>
      <c r="AV57" s="174"/>
      <c r="AW57" s="174"/>
      <c r="AX57" s="174"/>
      <c r="AY57" s="174"/>
      <c r="AZ57" s="174"/>
      <c r="BA57" s="174"/>
      <c r="BB57" s="174"/>
      <c r="BC57" s="174"/>
      <c r="BD57" s="174"/>
      <c r="BE57" s="174"/>
      <c r="BF57" s="174"/>
      <c r="BG57" s="174"/>
      <c r="BH57" s="174"/>
      <c r="BI57" s="174"/>
      <c r="BJ57" s="174"/>
      <c r="BK57" s="174"/>
      <c r="BL57" s="174"/>
      <c r="BM57" s="174"/>
      <c r="BN57" s="174"/>
      <c r="BO57" s="174"/>
      <c r="BP57" s="174"/>
      <c r="BQ57" s="15"/>
      <c r="BR57" s="15"/>
      <c r="BS57" s="15"/>
      <c r="BT57" s="15"/>
      <c r="BU57" s="15"/>
      <c r="BV57" s="15"/>
      <c r="CC57" s="512"/>
    </row>
    <row r="58" spans="2:81" ht="16.350000000000001" customHeight="1">
      <c r="B58" s="17" t="s">
        <v>1493</v>
      </c>
      <c r="C58" s="17" t="s">
        <v>1494</v>
      </c>
      <c r="D58" s="69">
        <v>38717</v>
      </c>
      <c r="E58" s="69">
        <f>EOMONTH(D58,3)</f>
        <v>38807</v>
      </c>
      <c r="F58" s="69">
        <f t="shared" ref="F58" si="162">EOMONTH(E58,3)</f>
        <v>38898</v>
      </c>
      <c r="G58" s="69">
        <f t="shared" ref="G58" si="163">EOMONTH(F58,3)</f>
        <v>38990</v>
      </c>
      <c r="H58" s="69">
        <f t="shared" ref="H58" si="164">EOMONTH(G58,3)</f>
        <v>39082</v>
      </c>
      <c r="I58" s="69">
        <f t="shared" ref="I58" si="165">EOMONTH(H58,3)</f>
        <v>39172</v>
      </c>
      <c r="J58" s="69">
        <f t="shared" ref="J58" si="166">EOMONTH(I58,3)</f>
        <v>39263</v>
      </c>
      <c r="K58" s="69">
        <f t="shared" ref="K58" si="167">EOMONTH(J58,3)</f>
        <v>39355</v>
      </c>
      <c r="L58" s="69">
        <f t="shared" ref="L58" si="168">EOMONTH(K58,3)</f>
        <v>39447</v>
      </c>
      <c r="M58" s="69">
        <f t="shared" ref="M58" si="169">EOMONTH(L58,3)</f>
        <v>39538</v>
      </c>
      <c r="N58" s="69">
        <f t="shared" ref="N58" si="170">EOMONTH(M58,3)</f>
        <v>39629</v>
      </c>
      <c r="O58" s="69">
        <f t="shared" ref="O58" si="171">EOMONTH(N58,3)</f>
        <v>39721</v>
      </c>
      <c r="P58" s="69">
        <f t="shared" ref="P58" si="172">EOMONTH(O58,3)</f>
        <v>39813</v>
      </c>
      <c r="Q58" s="69">
        <f t="shared" ref="Q58" si="173">EOMONTH(P58,3)</f>
        <v>39903</v>
      </c>
      <c r="R58" s="69">
        <f t="shared" ref="R58" si="174">EOMONTH(Q58,3)</f>
        <v>39994</v>
      </c>
      <c r="S58" s="69">
        <f t="shared" ref="S58" si="175">EOMONTH(R58,3)</f>
        <v>40086</v>
      </c>
      <c r="T58" s="69">
        <f t="shared" ref="T58" si="176">EOMONTH(S58,3)</f>
        <v>40178</v>
      </c>
      <c r="U58" s="69">
        <f t="shared" ref="U58" si="177">EOMONTH(T58,3)</f>
        <v>40268</v>
      </c>
      <c r="V58" s="69">
        <f t="shared" ref="V58" si="178">EOMONTH(U58,3)</f>
        <v>40359</v>
      </c>
      <c r="W58" s="69">
        <f t="shared" ref="W58" si="179">EOMONTH(V58,3)</f>
        <v>40451</v>
      </c>
      <c r="X58" s="69">
        <f t="shared" ref="X58" si="180">EOMONTH(W58,3)</f>
        <v>40543</v>
      </c>
      <c r="Y58" s="69">
        <f t="shared" ref="Y58" si="181">EOMONTH(X58,3)</f>
        <v>40633</v>
      </c>
      <c r="Z58" s="69">
        <f t="shared" ref="Z58" si="182">EOMONTH(Y58,3)</f>
        <v>40724</v>
      </c>
      <c r="AA58" s="69">
        <f t="shared" ref="AA58" si="183">EOMONTH(Z58,3)</f>
        <v>40816</v>
      </c>
      <c r="AB58" s="69">
        <f t="shared" ref="AB58" si="184">EOMONTH(AA58,3)</f>
        <v>40908</v>
      </c>
      <c r="AC58" s="69">
        <f t="shared" ref="AC58" si="185">EOMONTH(AB58,3)</f>
        <v>40999</v>
      </c>
      <c r="AD58" s="69">
        <f t="shared" ref="AD58" si="186">EOMONTH(AC58,3)</f>
        <v>41090</v>
      </c>
      <c r="AE58" s="69">
        <f t="shared" ref="AE58" si="187">EOMONTH(AD58,3)</f>
        <v>41182</v>
      </c>
      <c r="AF58" s="69">
        <f t="shared" ref="AF58" si="188">EOMONTH(AE58,3)</f>
        <v>41274</v>
      </c>
      <c r="AG58" s="69">
        <f t="shared" ref="AG58" si="189">EOMONTH(AF58,3)</f>
        <v>41364</v>
      </c>
      <c r="AH58" s="69">
        <f t="shared" ref="AH58" si="190">EOMONTH(AG58,3)</f>
        <v>41455</v>
      </c>
      <c r="AI58" s="69">
        <f t="shared" ref="AI58" si="191">EOMONTH(AH58,3)</f>
        <v>41547</v>
      </c>
      <c r="AJ58" s="69">
        <f t="shared" ref="AJ58" si="192">EOMONTH(AI58,3)</f>
        <v>41639</v>
      </c>
      <c r="AK58" s="69">
        <f t="shared" ref="AK58" si="193">EOMONTH(AJ58,3)</f>
        <v>41729</v>
      </c>
      <c r="AL58" s="69">
        <f t="shared" ref="AL58" si="194">EOMONTH(AK58,3)</f>
        <v>41820</v>
      </c>
      <c r="AM58" s="69">
        <f t="shared" ref="AM58" si="195">EOMONTH(AL58,3)</f>
        <v>41912</v>
      </c>
      <c r="AN58" s="69">
        <f t="shared" ref="AN58" si="196">EOMONTH(AM58,3)</f>
        <v>42004</v>
      </c>
      <c r="AO58" s="69">
        <f t="shared" ref="AO58" si="197">EOMONTH(AN58,3)</f>
        <v>42094</v>
      </c>
      <c r="AP58" s="69">
        <f t="shared" ref="AP58" si="198">EOMONTH(AO58,3)</f>
        <v>42185</v>
      </c>
      <c r="AQ58" s="69">
        <f t="shared" ref="AQ58" si="199">EOMONTH(AP58,3)</f>
        <v>42277</v>
      </c>
      <c r="AR58" s="69">
        <f t="shared" ref="AR58" si="200">EOMONTH(AQ58,3)</f>
        <v>42369</v>
      </c>
      <c r="AS58" s="69">
        <f t="shared" ref="AS58" si="201">EOMONTH(AR58,3)</f>
        <v>42460</v>
      </c>
      <c r="AT58" s="69">
        <f t="shared" ref="AT58" si="202">EOMONTH(AS58,3)</f>
        <v>42551</v>
      </c>
      <c r="AU58" s="69">
        <f t="shared" ref="AU58" si="203">EOMONTH(AT58,3)</f>
        <v>42643</v>
      </c>
      <c r="AV58" s="69">
        <f t="shared" ref="AV58" si="204">EOMONTH(AU58,3)</f>
        <v>42735</v>
      </c>
      <c r="AW58" s="69">
        <f t="shared" ref="AW58" si="205">EOMONTH(AV58,3)</f>
        <v>42825</v>
      </c>
      <c r="AX58" s="69">
        <f t="shared" ref="AX58" si="206">EOMONTH(AW58,3)</f>
        <v>42916</v>
      </c>
      <c r="AY58" s="69">
        <f t="shared" ref="AY58" si="207">EOMONTH(AX58,3)</f>
        <v>43008</v>
      </c>
      <c r="AZ58" s="69">
        <f t="shared" ref="AZ58" si="208">EOMONTH(AY58,3)</f>
        <v>43100</v>
      </c>
      <c r="BA58" s="69">
        <f t="shared" ref="BA58" si="209">EOMONTH(AZ58,3)</f>
        <v>43190</v>
      </c>
      <c r="BB58" s="69">
        <f t="shared" ref="BB58" si="210">EOMONTH(BA58,3)</f>
        <v>43281</v>
      </c>
      <c r="BC58" s="69">
        <f t="shared" ref="BC58" si="211">EOMONTH(BB58,3)</f>
        <v>43373</v>
      </c>
      <c r="BD58" s="69">
        <f t="shared" ref="BD58" si="212">EOMONTH(BC58,3)</f>
        <v>43465</v>
      </c>
      <c r="BE58" s="69">
        <f t="shared" ref="BE58" si="213">EOMONTH(BD58,3)</f>
        <v>43555</v>
      </c>
      <c r="BF58" s="69">
        <f t="shared" ref="BF58" si="214">EOMONTH(BE58,3)</f>
        <v>43646</v>
      </c>
      <c r="BG58" s="69">
        <f t="shared" ref="BG58" si="215">EOMONTH(BF58,3)</f>
        <v>43738</v>
      </c>
      <c r="BH58" s="69">
        <f t="shared" ref="BH58" si="216">EOMONTH(BG58,3)</f>
        <v>43830</v>
      </c>
      <c r="BI58" s="69">
        <f t="shared" ref="BI58" si="217">EOMONTH(BH58,3)</f>
        <v>43921</v>
      </c>
      <c r="BJ58" s="69">
        <f t="shared" ref="BJ58" si="218">EOMONTH(BI58,3)</f>
        <v>44012</v>
      </c>
      <c r="BK58" s="69">
        <f t="shared" ref="BK58" si="219">EOMONTH(BJ58,3)</f>
        <v>44104</v>
      </c>
      <c r="BL58" s="69">
        <f t="shared" ref="BL58" si="220">EOMONTH(BK58,3)</f>
        <v>44196</v>
      </c>
      <c r="BM58" s="69">
        <f t="shared" ref="BM58" si="221">EOMONTH(BL58,3)</f>
        <v>44286</v>
      </c>
      <c r="BN58" s="69">
        <f t="shared" ref="BN58" si="222">EOMONTH(BM58,3)</f>
        <v>44377</v>
      </c>
      <c r="BO58" s="69">
        <f t="shared" ref="BO58" si="223">EOMONTH(BN58,3)</f>
        <v>44469</v>
      </c>
      <c r="BP58" s="69">
        <f t="shared" ref="BP58" si="224">EOMONTH(BO58,3)</f>
        <v>44561</v>
      </c>
      <c r="BQ58" s="69">
        <f t="shared" ref="BQ58" si="225">EOMONTH(BP58,3)</f>
        <v>44651</v>
      </c>
      <c r="BR58" s="69">
        <f t="shared" ref="BR58:CB58" si="226">EOMONTH(BQ58,3)</f>
        <v>44742</v>
      </c>
      <c r="BS58" s="69">
        <f t="shared" si="226"/>
        <v>44834</v>
      </c>
      <c r="BT58" s="69">
        <f t="shared" si="226"/>
        <v>44926</v>
      </c>
      <c r="BU58" s="69">
        <f t="shared" si="226"/>
        <v>45016</v>
      </c>
      <c r="BV58" s="69">
        <f t="shared" si="226"/>
        <v>45107</v>
      </c>
      <c r="BW58" s="69">
        <f t="shared" si="226"/>
        <v>45199</v>
      </c>
      <c r="BX58" s="69">
        <f t="shared" si="226"/>
        <v>45291</v>
      </c>
      <c r="BY58" s="69">
        <f t="shared" si="226"/>
        <v>45382</v>
      </c>
      <c r="BZ58" s="69">
        <f t="shared" si="226"/>
        <v>45473</v>
      </c>
      <c r="CA58" s="69">
        <f t="shared" si="226"/>
        <v>45565</v>
      </c>
      <c r="CB58" s="69">
        <f t="shared" si="226"/>
        <v>45657</v>
      </c>
      <c r="CC58" s="512"/>
    </row>
    <row r="59" spans="2:81" ht="16.350000000000001" customHeight="1">
      <c r="B59" s="76" t="s">
        <v>431</v>
      </c>
      <c r="C59" s="76" t="s">
        <v>432</v>
      </c>
      <c r="D59" s="119"/>
      <c r="E59" s="119"/>
      <c r="F59" s="119"/>
      <c r="G59" s="119"/>
      <c r="H59" s="119"/>
      <c r="I59" s="119"/>
      <c r="J59" s="119"/>
      <c r="K59" s="119"/>
      <c r="L59" s="119"/>
      <c r="M59" s="119"/>
      <c r="N59" s="119"/>
      <c r="O59" s="119"/>
      <c r="P59" s="119"/>
      <c r="Q59" s="119"/>
      <c r="R59" s="119"/>
      <c r="S59" s="119"/>
      <c r="T59" s="119"/>
      <c r="U59" s="119"/>
      <c r="V59" s="119"/>
      <c r="W59" s="119"/>
      <c r="X59" s="119"/>
      <c r="Y59" s="119"/>
      <c r="Z59" s="119"/>
      <c r="AA59" s="119"/>
      <c r="AB59" s="119"/>
      <c r="AC59" s="119"/>
      <c r="AD59" s="119"/>
      <c r="AE59" s="119"/>
      <c r="AF59" s="119"/>
      <c r="AG59" s="119"/>
      <c r="AH59" s="119"/>
      <c r="AI59" s="119"/>
      <c r="AJ59" s="119"/>
      <c r="AK59" s="119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209"/>
      <c r="CC59" s="512"/>
    </row>
    <row r="60" spans="2:81" ht="16.350000000000001" customHeight="1">
      <c r="B60" s="158" t="s">
        <v>52</v>
      </c>
      <c r="C60" s="158" t="s">
        <v>52</v>
      </c>
      <c r="D60" s="126">
        <f t="shared" ref="D60:AI60" si="227">IFERROR((-D16-D27)/(D14+D25),"-")</f>
        <v>5.17282489866248E-2</v>
      </c>
      <c r="E60" s="126">
        <f t="shared" si="227"/>
        <v>5.8527742123301266E-2</v>
      </c>
      <c r="F60" s="126">
        <f t="shared" si="227"/>
        <v>6.6351624571355586E-2</v>
      </c>
      <c r="G60" s="126">
        <f t="shared" si="227"/>
        <v>6.3193015653706178E-2</v>
      </c>
      <c r="H60" s="126">
        <f t="shared" si="227"/>
        <v>5.7642104036215724E-2</v>
      </c>
      <c r="I60" s="126">
        <f t="shared" si="227"/>
        <v>6.7139840303897441E-2</v>
      </c>
      <c r="J60" s="126">
        <f t="shared" si="227"/>
        <v>8.783094598254676E-2</v>
      </c>
      <c r="K60" s="126">
        <f t="shared" si="227"/>
        <v>8.9736998220288702E-2</v>
      </c>
      <c r="L60" s="126">
        <f t="shared" si="227"/>
        <v>8.0308437208077024E-2</v>
      </c>
      <c r="M60" s="126">
        <f t="shared" si="227"/>
        <v>8.2863103177045927E-2</v>
      </c>
      <c r="N60" s="126">
        <f t="shared" si="227"/>
        <v>9.7844322366518868E-2</v>
      </c>
      <c r="O60" s="126">
        <f t="shared" si="227"/>
        <v>0.10246838306912393</v>
      </c>
      <c r="P60" s="126">
        <f t="shared" si="227"/>
        <v>8.7261759035289072E-2</v>
      </c>
      <c r="Q60" s="126">
        <f t="shared" si="227"/>
        <v>5.81587891816518E-2</v>
      </c>
      <c r="R60" s="126">
        <f t="shared" si="227"/>
        <v>7.3638244574597722E-2</v>
      </c>
      <c r="S60" s="126">
        <f t="shared" si="227"/>
        <v>7.8853571602949077E-2</v>
      </c>
      <c r="T60" s="126">
        <f t="shared" si="227"/>
        <v>6.9773914564040543E-2</v>
      </c>
      <c r="U60" s="126">
        <f t="shared" si="227"/>
        <v>8.1939592379389845E-2</v>
      </c>
      <c r="V60" s="126">
        <f t="shared" si="227"/>
        <v>9.5402821430218693E-2</v>
      </c>
      <c r="W60" s="126">
        <f t="shared" si="227"/>
        <v>9.028687695077392E-2</v>
      </c>
      <c r="X60" s="126">
        <f t="shared" si="227"/>
        <v>5.8076644656260577E-2</v>
      </c>
      <c r="Y60" s="126">
        <f t="shared" si="227"/>
        <v>6.1641599550783355E-2</v>
      </c>
      <c r="Z60" s="126">
        <f t="shared" si="227"/>
        <v>6.9484591232245499E-2</v>
      </c>
      <c r="AA60" s="126">
        <f t="shared" si="227"/>
        <v>6.5826628971233467E-2</v>
      </c>
      <c r="AB60" s="126">
        <f t="shared" si="227"/>
        <v>6.1776567561483413E-2</v>
      </c>
      <c r="AC60" s="126">
        <f t="shared" si="227"/>
        <v>5.8484185100775125E-2</v>
      </c>
      <c r="AD60" s="126">
        <f t="shared" si="227"/>
        <v>6.4736893892706773E-2</v>
      </c>
      <c r="AE60" s="126">
        <f t="shared" si="227"/>
        <v>6.0947789950099855E-2</v>
      </c>
      <c r="AF60" s="126">
        <f t="shared" si="227"/>
        <v>5.6700408783503034E-2</v>
      </c>
      <c r="AG60" s="126">
        <f t="shared" si="227"/>
        <v>5.5318465491923645E-2</v>
      </c>
      <c r="AH60" s="126">
        <f t="shared" si="227"/>
        <v>6.1995547665840603E-2</v>
      </c>
      <c r="AI60" s="126">
        <f t="shared" si="227"/>
        <v>5.7857338217076296E-2</v>
      </c>
      <c r="AJ60" s="126">
        <f t="shared" ref="AJ60:BO60" si="228">IFERROR((-AJ16-AJ27)/(AJ14+AJ25),"-")</f>
        <v>4.9078618243992018E-2</v>
      </c>
      <c r="AK60" s="126">
        <f t="shared" si="228"/>
        <v>4.541120339157282E-2</v>
      </c>
      <c r="AL60" s="126">
        <f t="shared" si="228"/>
        <v>6.1516481821781287E-2</v>
      </c>
      <c r="AM60" s="126">
        <f t="shared" si="228"/>
        <v>6.1376373364031157E-2</v>
      </c>
      <c r="AN60" s="126">
        <f t="shared" si="228"/>
        <v>4.6637851196772946E-2</v>
      </c>
      <c r="AO60" s="126">
        <f t="shared" si="228"/>
        <v>4.6259347289524994E-2</v>
      </c>
      <c r="AP60" s="126">
        <f t="shared" si="228"/>
        <v>6.0424846389324785E-2</v>
      </c>
      <c r="AQ60" s="126">
        <f t="shared" si="228"/>
        <v>5.9999993371966466E-2</v>
      </c>
      <c r="AR60" s="126">
        <f t="shared" si="228"/>
        <v>5.5878819565811234E-2</v>
      </c>
      <c r="AS60" s="126">
        <f t="shared" si="228"/>
        <v>5.2740158602380398E-2</v>
      </c>
      <c r="AT60" s="126">
        <f t="shared" si="228"/>
        <v>6.1264239789581482E-2</v>
      </c>
      <c r="AU60" s="126">
        <f t="shared" si="228"/>
        <v>5.9884990512651913E-2</v>
      </c>
      <c r="AV60" s="126">
        <f t="shared" si="228"/>
        <v>4.6426412055800045E-2</v>
      </c>
      <c r="AW60" s="126">
        <f t="shared" si="228"/>
        <v>4.3181717277784991E-2</v>
      </c>
      <c r="AX60" s="126">
        <f t="shared" si="228"/>
        <v>4.6659653931517282E-2</v>
      </c>
      <c r="AY60" s="126">
        <f t="shared" si="228"/>
        <v>7.5544096648340234E-2</v>
      </c>
      <c r="AZ60" s="126">
        <f t="shared" si="228"/>
        <v>8.8320379985715014E-2</v>
      </c>
      <c r="BA60" s="126">
        <f t="shared" si="228"/>
        <v>0.11986248286595232</v>
      </c>
      <c r="BB60" s="126">
        <f t="shared" si="228"/>
        <v>0.12823784995431381</v>
      </c>
      <c r="BC60" s="126">
        <f t="shared" si="228"/>
        <v>0.12825605525101952</v>
      </c>
      <c r="BD60" s="126">
        <f t="shared" si="228"/>
        <v>0.1080817574069585</v>
      </c>
      <c r="BE60" s="126">
        <f t="shared" si="228"/>
        <v>0.1197351253665125</v>
      </c>
      <c r="BF60" s="126">
        <f t="shared" si="228"/>
        <v>0.1287591146433977</v>
      </c>
      <c r="BG60" s="126">
        <f t="shared" si="228"/>
        <v>0.13052616179601856</v>
      </c>
      <c r="BH60" s="126">
        <f t="shared" si="228"/>
        <v>0.12112929805594878</v>
      </c>
      <c r="BI60" s="126">
        <f t="shared" si="228"/>
        <v>0.17228393839750641</v>
      </c>
      <c r="BJ60" s="126">
        <f t="shared" si="228"/>
        <v>0.23615109128324457</v>
      </c>
      <c r="BK60" s="126">
        <f t="shared" si="228"/>
        <v>0.22265397414072882</v>
      </c>
      <c r="BL60" s="126">
        <f t="shared" si="228"/>
        <v>0.15501529901218322</v>
      </c>
      <c r="BM60" s="126">
        <f t="shared" si="228"/>
        <v>0.14196313235064439</v>
      </c>
      <c r="BN60" s="126">
        <f t="shared" si="228"/>
        <v>0.12682526204981642</v>
      </c>
      <c r="BO60" s="126">
        <f t="shared" si="228"/>
        <v>0.132500757893457</v>
      </c>
      <c r="BP60" s="126">
        <f t="shared" ref="BP60:BY60" si="229">IFERROR((-BP16-BP27)/(BP14+BP25),"-")</f>
        <v>0.12119273816285711</v>
      </c>
      <c r="BQ60" s="126">
        <f t="shared" si="229"/>
        <v>0.12867610857150499</v>
      </c>
      <c r="BR60" s="126">
        <f t="shared" si="229"/>
        <v>0.14936760297562998</v>
      </c>
      <c r="BS60" s="126">
        <f t="shared" si="229"/>
        <v>0.17496896343861262</v>
      </c>
      <c r="BT60" s="126">
        <f t="shared" si="229"/>
        <v>0.17714586469480337</v>
      </c>
      <c r="BU60" s="126">
        <f t="shared" si="229"/>
        <v>0.18883102329791765</v>
      </c>
      <c r="BV60" s="126">
        <f t="shared" si="229"/>
        <v>0.19833507484343044</v>
      </c>
      <c r="BW60" s="126">
        <f t="shared" si="229"/>
        <v>0.21022139671165516</v>
      </c>
      <c r="BX60" s="126">
        <f t="shared" si="229"/>
        <v>0.19091072863471056</v>
      </c>
      <c r="BY60" s="126">
        <f t="shared" si="229"/>
        <v>0.18654913686911884</v>
      </c>
      <c r="BZ60" s="126">
        <f t="shared" ref="BZ60:CA60" si="230">IFERROR((-BZ16-BZ27)/(BZ14+BZ25),"-")</f>
        <v>0.17423843085640217</v>
      </c>
      <c r="CA60" s="126">
        <f t="shared" si="230"/>
        <v>0.16342374793052492</v>
      </c>
      <c r="CB60" s="219">
        <f t="shared" ref="CB60" si="231">IFERROR((-CB16-CB27)/(CB14+CB25),"-")</f>
        <v>0.14613740979284126</v>
      </c>
      <c r="CC60" s="512"/>
    </row>
    <row r="61" spans="2:81" ht="16.350000000000001" customHeight="1">
      <c r="B61" s="158" t="s">
        <v>504</v>
      </c>
      <c r="C61" s="158" t="s">
        <v>182</v>
      </c>
      <c r="D61" s="204">
        <f t="shared" ref="D61:AI61" si="232">IFERROR((-D16-D27)/(D9+D21),"-")</f>
        <v>0.51786960927823444</v>
      </c>
      <c r="E61" s="204">
        <f t="shared" si="232"/>
        <v>0.29639607038987842</v>
      </c>
      <c r="F61" s="204">
        <f t="shared" si="232"/>
        <v>0.32789501262325538</v>
      </c>
      <c r="G61" s="204">
        <f t="shared" si="232"/>
        <v>0.32781925598909306</v>
      </c>
      <c r="H61" s="204">
        <f t="shared" si="232"/>
        <v>0.5959030337397222</v>
      </c>
      <c r="I61" s="204">
        <f t="shared" si="232"/>
        <v>0.36423826094816286</v>
      </c>
      <c r="J61" s="204">
        <f t="shared" si="232"/>
        <v>0.4646370213803756</v>
      </c>
      <c r="K61" s="204">
        <f t="shared" si="232"/>
        <v>0.43913743226174468</v>
      </c>
      <c r="L61" s="204">
        <f t="shared" si="232"/>
        <v>0.7122542700612311</v>
      </c>
      <c r="M61" s="204">
        <f t="shared" si="232"/>
        <v>0.4465969500601451</v>
      </c>
      <c r="N61" s="204">
        <f t="shared" si="232"/>
        <v>0.51277537836170295</v>
      </c>
      <c r="O61" s="204">
        <f t="shared" si="232"/>
        <v>0.47342451676912994</v>
      </c>
      <c r="P61" s="204">
        <f t="shared" si="232"/>
        <v>0.66954080847082231</v>
      </c>
      <c r="Q61" s="204">
        <f t="shared" si="232"/>
        <v>0.28146440220447644</v>
      </c>
      <c r="R61" s="204">
        <f t="shared" si="232"/>
        <v>0.38348593121929431</v>
      </c>
      <c r="S61" s="204">
        <f t="shared" si="232"/>
        <v>0.4015375282195105</v>
      </c>
      <c r="T61" s="204">
        <f t="shared" si="232"/>
        <v>0.69897668715238748</v>
      </c>
      <c r="U61" s="204">
        <f t="shared" si="232"/>
        <v>0.46532198148631554</v>
      </c>
      <c r="V61" s="204">
        <f t="shared" si="232"/>
        <v>0.54750335595848065</v>
      </c>
      <c r="W61" s="204">
        <f t="shared" si="232"/>
        <v>0.48878785839925415</v>
      </c>
      <c r="X61" s="204">
        <f t="shared" si="232"/>
        <v>0.54492394307998249</v>
      </c>
      <c r="Y61" s="204">
        <f t="shared" si="232"/>
        <v>0.33126891530330277</v>
      </c>
      <c r="Z61" s="204">
        <f t="shared" si="232"/>
        <v>0.3682900502642093</v>
      </c>
      <c r="AA61" s="204">
        <f t="shared" si="232"/>
        <v>0.30050015701713401</v>
      </c>
      <c r="AB61" s="204">
        <f t="shared" si="232"/>
        <v>0.49525877890615438</v>
      </c>
      <c r="AC61" s="204">
        <f t="shared" si="232"/>
        <v>0.30802193899696168</v>
      </c>
      <c r="AD61" s="204">
        <f t="shared" si="232"/>
        <v>0.33972904295362205</v>
      </c>
      <c r="AE61" s="204">
        <f t="shared" si="232"/>
        <v>0.29046687168017893</v>
      </c>
      <c r="AF61" s="204">
        <f t="shared" si="232"/>
        <v>0.43586350604214674</v>
      </c>
      <c r="AG61" s="204">
        <f t="shared" si="232"/>
        <v>0.2881575723531275</v>
      </c>
      <c r="AH61" s="204">
        <f t="shared" si="232"/>
        <v>0.32192280097574977</v>
      </c>
      <c r="AI61" s="204">
        <f t="shared" si="232"/>
        <v>0.29438120081640673</v>
      </c>
      <c r="AJ61" s="204">
        <f t="shared" ref="AJ61:BO61" si="233">IFERROR((-AJ16-AJ27)/(AJ9+AJ21),"-")</f>
        <v>0.39815825637995916</v>
      </c>
      <c r="AK61" s="204">
        <f t="shared" si="233"/>
        <v>0.24521593492044502</v>
      </c>
      <c r="AL61" s="204">
        <f t="shared" si="233"/>
        <v>0.2845994131888217</v>
      </c>
      <c r="AM61" s="204">
        <f t="shared" si="233"/>
        <v>0.28372407592650339</v>
      </c>
      <c r="AN61" s="204">
        <f t="shared" si="233"/>
        <v>0.35156606883950031</v>
      </c>
      <c r="AO61" s="204">
        <f t="shared" si="233"/>
        <v>0.22198575222414768</v>
      </c>
      <c r="AP61" s="204">
        <f t="shared" si="233"/>
        <v>0.27834381697011734</v>
      </c>
      <c r="AQ61" s="204">
        <f t="shared" si="233"/>
        <v>0.27258072439149472</v>
      </c>
      <c r="AR61" s="204">
        <f t="shared" si="233"/>
        <v>0.39137801196266969</v>
      </c>
      <c r="AS61" s="204">
        <f t="shared" si="233"/>
        <v>0.2506832292986918</v>
      </c>
      <c r="AT61" s="204">
        <f t="shared" si="233"/>
        <v>0.28723803373933809</v>
      </c>
      <c r="AU61" s="204">
        <f t="shared" si="233"/>
        <v>0.26870837140217124</v>
      </c>
      <c r="AV61" s="204">
        <f t="shared" si="233"/>
        <v>0.33753168678068879</v>
      </c>
      <c r="AW61" s="204">
        <f t="shared" si="233"/>
        <v>0.22780919852150161</v>
      </c>
      <c r="AX61" s="204">
        <f t="shared" si="233"/>
        <v>0.20520910178280893</v>
      </c>
      <c r="AY61" s="204">
        <f t="shared" si="233"/>
        <v>0.36677126545992073</v>
      </c>
      <c r="AZ61" s="204">
        <f t="shared" si="233"/>
        <v>0.51184907912103805</v>
      </c>
      <c r="BA61" s="204">
        <f t="shared" si="233"/>
        <v>0.55121517952544075</v>
      </c>
      <c r="BB61" s="204">
        <f t="shared" si="233"/>
        <v>0.59181052812927182</v>
      </c>
      <c r="BC61" s="204">
        <f t="shared" si="233"/>
        <v>0.60479021150294809</v>
      </c>
      <c r="BD61" s="204">
        <f t="shared" si="233"/>
        <v>0.71503507705110214</v>
      </c>
      <c r="BE61" s="204">
        <f t="shared" si="233"/>
        <v>0.62126931367500338</v>
      </c>
      <c r="BF61" s="204">
        <f t="shared" si="233"/>
        <v>0.62385886735135587</v>
      </c>
      <c r="BG61" s="204">
        <f t="shared" si="233"/>
        <v>0.63674007205411787</v>
      </c>
      <c r="BH61" s="204">
        <f t="shared" si="233"/>
        <v>0.73985612371773257</v>
      </c>
      <c r="BI61" s="204">
        <f t="shared" si="233"/>
        <v>0.72353135626456078</v>
      </c>
      <c r="BJ61" s="204">
        <f t="shared" si="233"/>
        <v>0.73560443500593087</v>
      </c>
      <c r="BK61" s="204">
        <f t="shared" si="233"/>
        <v>0.97592736162586557</v>
      </c>
      <c r="BL61" s="204">
        <f t="shared" si="233"/>
        <v>0.98255706289645306</v>
      </c>
      <c r="BM61" s="204">
        <f t="shared" si="233"/>
        <v>0.74731278508939003</v>
      </c>
      <c r="BN61" s="204">
        <f t="shared" si="233"/>
        <v>0.72885797302711608</v>
      </c>
      <c r="BO61" s="204">
        <f t="shared" si="233"/>
        <v>0.68681999762962131</v>
      </c>
      <c r="BP61" s="204">
        <f t="shared" ref="BP61:BY61" si="234">IFERROR((-BP16-BP27)/(BP9+BP21),"-")</f>
        <v>0.71329323694979263</v>
      </c>
      <c r="BQ61" s="204">
        <f t="shared" si="234"/>
        <v>0.58347196455330785</v>
      </c>
      <c r="BR61" s="204">
        <f t="shared" si="234"/>
        <v>0.61746424691145674</v>
      </c>
      <c r="BS61" s="204">
        <f t="shared" si="234"/>
        <v>0.64503110234467864</v>
      </c>
      <c r="BT61" s="204">
        <f t="shared" si="234"/>
        <v>0.69196337189248391</v>
      </c>
      <c r="BU61" s="204">
        <f t="shared" si="234"/>
        <v>0.66996321759304478</v>
      </c>
      <c r="BV61" s="204">
        <f t="shared" si="234"/>
        <v>0.69661951371236086</v>
      </c>
      <c r="BW61" s="204">
        <f t="shared" si="234"/>
        <v>0.727936592539011</v>
      </c>
      <c r="BX61" s="204">
        <f t="shared" si="234"/>
        <v>0.76706391984427247</v>
      </c>
      <c r="BY61" s="204">
        <f t="shared" si="234"/>
        <v>0.73001683812896045</v>
      </c>
      <c r="BZ61" s="204">
        <f t="shared" ref="BZ61:CA61" si="235">IFERROR((-BZ16-BZ27)/(BZ9+BZ21),"-")</f>
        <v>0.74450652825365549</v>
      </c>
      <c r="CA61" s="204">
        <f t="shared" si="235"/>
        <v>0.74106544848107681</v>
      </c>
      <c r="CB61" s="220">
        <f t="shared" ref="CB61" si="236">IFERROR((-CB16-CB27)/(CB9+CB21),"-")</f>
        <v>0.76331298178925666</v>
      </c>
      <c r="CC61" s="512"/>
    </row>
    <row r="62" spans="2:81" ht="16.350000000000001" customHeight="1">
      <c r="B62" s="158" t="s">
        <v>510</v>
      </c>
      <c r="C62" s="158" t="s">
        <v>466</v>
      </c>
      <c r="D62" s="204" t="str">
        <f t="shared" ref="D62:AI62" si="237">IFERROR((-D16-D27)/(D12+D11+D23+D24),"-")</f>
        <v>-</v>
      </c>
      <c r="E62" s="204" t="str">
        <f t="shared" si="237"/>
        <v>-</v>
      </c>
      <c r="F62" s="204" t="str">
        <f t="shared" si="237"/>
        <v>-</v>
      </c>
      <c r="G62" s="204" t="str">
        <f t="shared" si="237"/>
        <v>-</v>
      </c>
      <c r="H62" s="204" t="str">
        <f t="shared" si="237"/>
        <v>-</v>
      </c>
      <c r="I62" s="204" t="str">
        <f t="shared" si="237"/>
        <v>-</v>
      </c>
      <c r="J62" s="204" t="str">
        <f t="shared" si="237"/>
        <v>-</v>
      </c>
      <c r="K62" s="204" t="str">
        <f t="shared" si="237"/>
        <v>-</v>
      </c>
      <c r="L62" s="204" t="str">
        <f t="shared" si="237"/>
        <v>-</v>
      </c>
      <c r="M62" s="204" t="str">
        <f t="shared" si="237"/>
        <v>-</v>
      </c>
      <c r="N62" s="204" t="str">
        <f t="shared" si="237"/>
        <v>-</v>
      </c>
      <c r="O62" s="204" t="str">
        <f t="shared" si="237"/>
        <v>-</v>
      </c>
      <c r="P62" s="204" t="str">
        <f t="shared" si="237"/>
        <v>-</v>
      </c>
      <c r="Q62" s="204" t="str">
        <f t="shared" si="237"/>
        <v>-</v>
      </c>
      <c r="R62" s="204" t="str">
        <f t="shared" si="237"/>
        <v>-</v>
      </c>
      <c r="S62" s="204" t="str">
        <f t="shared" si="237"/>
        <v>-</v>
      </c>
      <c r="T62" s="204">
        <f t="shared" si="237"/>
        <v>1.9406638835974548</v>
      </c>
      <c r="U62" s="204">
        <f t="shared" si="237"/>
        <v>2.4711810183950949</v>
      </c>
      <c r="V62" s="204">
        <f t="shared" si="237"/>
        <v>2.0035285570968968</v>
      </c>
      <c r="W62" s="204">
        <f t="shared" si="237"/>
        <v>1.7059612868596732</v>
      </c>
      <c r="X62" s="204">
        <f t="shared" si="237"/>
        <v>1.5899329364780348</v>
      </c>
      <c r="Y62" s="204">
        <f t="shared" si="237"/>
        <v>1.6399444130802971</v>
      </c>
      <c r="Z62" s="204">
        <f t="shared" si="237"/>
        <v>1.3084451821537932</v>
      </c>
      <c r="AA62" s="204">
        <f t="shared" si="237"/>
        <v>1.0122294176836348</v>
      </c>
      <c r="AB62" s="204">
        <f t="shared" si="237"/>
        <v>1.2916289953730788</v>
      </c>
      <c r="AC62" s="204">
        <f t="shared" si="237"/>
        <v>1.2705817246655164</v>
      </c>
      <c r="AD62" s="204">
        <f t="shared" si="237"/>
        <v>1.2771902937420179</v>
      </c>
      <c r="AE62" s="204">
        <f t="shared" si="237"/>
        <v>1.1413958938554305</v>
      </c>
      <c r="AF62" s="204">
        <f t="shared" si="237"/>
        <v>1.4601294201569346</v>
      </c>
      <c r="AG62" s="204">
        <f t="shared" si="237"/>
        <v>1.4122953460445773</v>
      </c>
      <c r="AH62" s="204">
        <f t="shared" si="237"/>
        <v>1.3292018200777325</v>
      </c>
      <c r="AI62" s="204">
        <f t="shared" si="237"/>
        <v>1.2244467143343547</v>
      </c>
      <c r="AJ62" s="204">
        <f t="shared" ref="AJ62:BO62" si="238">IFERROR((-AJ16-AJ27)/(AJ12+AJ11+AJ23+AJ24),"-")</f>
        <v>1.3804297005454749</v>
      </c>
      <c r="AK62" s="204">
        <f t="shared" si="238"/>
        <v>1.3320855753983727</v>
      </c>
      <c r="AL62" s="204">
        <f t="shared" si="238"/>
        <v>1.3211581043112592</v>
      </c>
      <c r="AM62" s="204">
        <f t="shared" si="238"/>
        <v>1.1844125105663568</v>
      </c>
      <c r="AN62" s="204">
        <f t="shared" si="238"/>
        <v>1.3663977768343047</v>
      </c>
      <c r="AO62" s="204">
        <f t="shared" si="238"/>
        <v>1.0117500152047441</v>
      </c>
      <c r="AP62" s="204">
        <f t="shared" si="238"/>
        <v>0.92429017403945368</v>
      </c>
      <c r="AQ62" s="204">
        <f t="shared" si="238"/>
        <v>0.8739242726923393</v>
      </c>
      <c r="AR62" s="204">
        <f t="shared" si="238"/>
        <v>1.0612821613214727</v>
      </c>
      <c r="AS62" s="204">
        <f t="shared" si="238"/>
        <v>0.98150801709743174</v>
      </c>
      <c r="AT62" s="204">
        <f t="shared" si="238"/>
        <v>0.93171919643255119</v>
      </c>
      <c r="AU62" s="204">
        <f t="shared" si="238"/>
        <v>0.86634599647588773</v>
      </c>
      <c r="AV62" s="204">
        <f t="shared" si="238"/>
        <v>0.9380966649293907</v>
      </c>
      <c r="AW62" s="204">
        <f t="shared" si="238"/>
        <v>1.0136684621565315</v>
      </c>
      <c r="AX62" s="204">
        <f t="shared" si="238"/>
        <v>1.1944554093536446</v>
      </c>
      <c r="AY62" s="204">
        <f t="shared" si="238"/>
        <v>0.86974462059801338</v>
      </c>
      <c r="AZ62" s="204">
        <f t="shared" si="238"/>
        <v>0.94510290967347987</v>
      </c>
      <c r="BA62" s="204">
        <f t="shared" si="238"/>
        <v>1.2532349252696253</v>
      </c>
      <c r="BB62" s="204">
        <f t="shared" si="238"/>
        <v>1.2190539435236716</v>
      </c>
      <c r="BC62" s="204">
        <f t="shared" si="238"/>
        <v>1.1912906712466689</v>
      </c>
      <c r="BD62" s="204">
        <f t="shared" si="238"/>
        <v>1.2939823766098197</v>
      </c>
      <c r="BE62" s="204">
        <f t="shared" si="238"/>
        <v>1.4362770122418067</v>
      </c>
      <c r="BF62" s="204">
        <f t="shared" si="238"/>
        <v>1.3570198210271407</v>
      </c>
      <c r="BG62" s="204">
        <f t="shared" si="238"/>
        <v>1.1967012614306816</v>
      </c>
      <c r="BH62" s="204">
        <f t="shared" si="238"/>
        <v>1.1739727303693628</v>
      </c>
      <c r="BI62" s="204">
        <f t="shared" si="238"/>
        <v>1.3775819739149884</v>
      </c>
      <c r="BJ62" s="204">
        <f t="shared" si="238"/>
        <v>0.98824000962655645</v>
      </c>
      <c r="BK62" s="204">
        <f t="shared" si="238"/>
        <v>1.1898171065841274</v>
      </c>
      <c r="BL62" s="204">
        <f t="shared" si="238"/>
        <v>1.293241411671068</v>
      </c>
      <c r="BM62" s="204">
        <f t="shared" si="238"/>
        <v>1.4644332064993684</v>
      </c>
      <c r="BN62" s="204">
        <f t="shared" si="238"/>
        <v>1.1172359193483195</v>
      </c>
      <c r="BO62" s="204">
        <f t="shared" si="238"/>
        <v>1.1150179054069349</v>
      </c>
      <c r="BP62" s="204">
        <f t="shared" ref="BP62:BY62" si="239">IFERROR((-BP16-BP27)/(BP12+BP11+BP23+BP24),"-")</f>
        <v>1.1000026376908811</v>
      </c>
      <c r="BQ62" s="204">
        <f t="shared" si="239"/>
        <v>1.0263294353970649</v>
      </c>
      <c r="BR62" s="204">
        <f t="shared" si="239"/>
        <v>0.96039820184308688</v>
      </c>
      <c r="BS62" s="204">
        <f t="shared" si="239"/>
        <v>0.94358316328732272</v>
      </c>
      <c r="BT62" s="204">
        <f t="shared" si="239"/>
        <v>0.94364375966013503</v>
      </c>
      <c r="BU62" s="204">
        <f t="shared" si="239"/>
        <v>0.96440291915746712</v>
      </c>
      <c r="BV62" s="204">
        <f t="shared" si="239"/>
        <v>0.95343024864375614</v>
      </c>
      <c r="BW62" s="204">
        <f t="shared" si="239"/>
        <v>0.96433626170639986</v>
      </c>
      <c r="BX62" s="204">
        <f t="shared" si="239"/>
        <v>0.98006812103360508</v>
      </c>
      <c r="BY62" s="204">
        <f t="shared" si="239"/>
        <v>1.0106862642988801</v>
      </c>
      <c r="BZ62" s="204">
        <f t="shared" ref="BZ62:CA62" si="240">IFERROR((-BZ16-BZ27)/(BZ12+BZ11+BZ23+BZ24),"-")</f>
        <v>0.99280441429481592</v>
      </c>
      <c r="CA62" s="204">
        <f t="shared" si="240"/>
        <v>1.0020765189757692</v>
      </c>
      <c r="CB62" s="220">
        <f t="shared" ref="CB62" si="241">IFERROR((-CB16-CB27)/(CB12+CB11+CB23+CB24),"-")</f>
        <v>1.0260469809112849</v>
      </c>
      <c r="CC62" s="512"/>
    </row>
    <row r="63" spans="2:81" ht="16.350000000000001" customHeight="1">
      <c r="B63" s="167" t="s">
        <v>415</v>
      </c>
      <c r="C63" s="167" t="s">
        <v>416</v>
      </c>
      <c r="D63" s="184"/>
      <c r="E63" s="184"/>
      <c r="F63" s="184"/>
      <c r="G63" s="184"/>
      <c r="H63" s="184"/>
      <c r="I63" s="184"/>
      <c r="J63" s="184"/>
      <c r="K63" s="184"/>
      <c r="L63" s="184"/>
      <c r="M63" s="184"/>
      <c r="N63" s="184"/>
      <c r="O63" s="184"/>
      <c r="P63" s="184"/>
      <c r="Q63" s="184"/>
      <c r="R63" s="184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  <c r="AC63" s="184"/>
      <c r="AD63" s="184"/>
      <c r="AE63" s="184"/>
      <c r="AF63" s="184"/>
      <c r="AG63" s="184"/>
      <c r="AH63" s="184"/>
      <c r="AI63" s="184"/>
      <c r="AJ63" s="184"/>
      <c r="AK63" s="184"/>
      <c r="AL63" s="184"/>
      <c r="AM63" s="184"/>
      <c r="AN63" s="184"/>
      <c r="AO63" s="184"/>
      <c r="AP63" s="184"/>
      <c r="AQ63" s="184"/>
      <c r="AR63" s="184"/>
      <c r="AS63" s="184"/>
      <c r="AT63" s="184"/>
      <c r="AU63" s="184"/>
      <c r="AV63" s="184"/>
      <c r="AW63" s="184"/>
      <c r="AX63" s="184"/>
      <c r="AY63" s="184"/>
      <c r="AZ63" s="184"/>
      <c r="BA63" s="184"/>
      <c r="BB63" s="184"/>
      <c r="BC63" s="184"/>
      <c r="BD63" s="184"/>
      <c r="BE63" s="184"/>
      <c r="BF63" s="184"/>
      <c r="BG63" s="184"/>
      <c r="BH63" s="184"/>
      <c r="BI63" s="184"/>
      <c r="BJ63" s="184"/>
      <c r="BK63" s="184"/>
      <c r="BL63" s="184"/>
      <c r="BM63" s="184"/>
      <c r="BN63" s="184"/>
      <c r="BO63" s="184"/>
      <c r="BP63" s="184"/>
      <c r="BQ63" s="184"/>
      <c r="BR63" s="184"/>
      <c r="BS63" s="184"/>
      <c r="BT63" s="184"/>
      <c r="BU63" s="184"/>
      <c r="BV63" s="184"/>
      <c r="BW63" s="184"/>
      <c r="BX63" s="184"/>
      <c r="BY63" s="184"/>
      <c r="BZ63" s="184"/>
      <c r="CA63" s="184"/>
      <c r="CB63" s="221"/>
      <c r="CC63" s="512"/>
    </row>
    <row r="64" spans="2:81" ht="16.350000000000001" customHeight="1">
      <c r="B64" s="158" t="s">
        <v>52</v>
      </c>
      <c r="C64" s="158" t="s">
        <v>52</v>
      </c>
      <c r="D64" s="126">
        <f t="shared" ref="D64:AI64" si="242">IFERROR(-D16/D14,"-")</f>
        <v>5.17282489866248E-2</v>
      </c>
      <c r="E64" s="126">
        <f t="shared" si="242"/>
        <v>5.8527742123301266E-2</v>
      </c>
      <c r="F64" s="126">
        <f t="shared" si="242"/>
        <v>6.6351624571355586E-2</v>
      </c>
      <c r="G64" s="126">
        <f t="shared" si="242"/>
        <v>6.3193015653706178E-2</v>
      </c>
      <c r="H64" s="126">
        <f t="shared" si="242"/>
        <v>5.7642104036215724E-2</v>
      </c>
      <c r="I64" s="126">
        <f t="shared" si="242"/>
        <v>6.7139840303897441E-2</v>
      </c>
      <c r="J64" s="126">
        <f t="shared" si="242"/>
        <v>8.783094598254676E-2</v>
      </c>
      <c r="K64" s="126">
        <f t="shared" si="242"/>
        <v>8.9736998220288702E-2</v>
      </c>
      <c r="L64" s="126">
        <f t="shared" si="242"/>
        <v>8.0308437208077024E-2</v>
      </c>
      <c r="M64" s="126">
        <f t="shared" si="242"/>
        <v>8.2863103177045927E-2</v>
      </c>
      <c r="N64" s="126">
        <f t="shared" si="242"/>
        <v>9.7844322366518868E-2</v>
      </c>
      <c r="O64" s="126">
        <f t="shared" si="242"/>
        <v>0.10246838306912393</v>
      </c>
      <c r="P64" s="126">
        <f t="shared" si="242"/>
        <v>8.7261759035289072E-2</v>
      </c>
      <c r="Q64" s="126">
        <f t="shared" si="242"/>
        <v>5.81587891816518E-2</v>
      </c>
      <c r="R64" s="126">
        <f t="shared" si="242"/>
        <v>7.3638244574597722E-2</v>
      </c>
      <c r="S64" s="126">
        <f t="shared" si="242"/>
        <v>7.8853571602949077E-2</v>
      </c>
      <c r="T64" s="126">
        <f t="shared" si="242"/>
        <v>6.9773914564040543E-2</v>
      </c>
      <c r="U64" s="126">
        <f t="shared" si="242"/>
        <v>8.1939592379389845E-2</v>
      </c>
      <c r="V64" s="126">
        <f t="shared" si="242"/>
        <v>9.5402821430218693E-2</v>
      </c>
      <c r="W64" s="126">
        <f t="shared" si="242"/>
        <v>9.028687695077392E-2</v>
      </c>
      <c r="X64" s="126">
        <f t="shared" si="242"/>
        <v>5.8076644656260577E-2</v>
      </c>
      <c r="Y64" s="126">
        <f t="shared" si="242"/>
        <v>6.1641599550783355E-2</v>
      </c>
      <c r="Z64" s="126">
        <f t="shared" si="242"/>
        <v>6.9484591232245499E-2</v>
      </c>
      <c r="AA64" s="126">
        <f t="shared" si="242"/>
        <v>6.5826628971233467E-2</v>
      </c>
      <c r="AB64" s="126">
        <f t="shared" si="242"/>
        <v>6.013590768553765E-2</v>
      </c>
      <c r="AC64" s="126">
        <f t="shared" si="242"/>
        <v>5.617664378604597E-2</v>
      </c>
      <c r="AD64" s="126">
        <f t="shared" si="242"/>
        <v>6.6892647725959931E-2</v>
      </c>
      <c r="AE64" s="126">
        <f t="shared" si="242"/>
        <v>6.2923845124424976E-2</v>
      </c>
      <c r="AF64" s="126">
        <f t="shared" si="242"/>
        <v>5.6593315226428693E-2</v>
      </c>
      <c r="AG64" s="126">
        <f t="shared" si="242"/>
        <v>5.4638265451890419E-2</v>
      </c>
      <c r="AH64" s="126">
        <f t="shared" si="242"/>
        <v>6.3012499152129545E-2</v>
      </c>
      <c r="AI64" s="126">
        <f t="shared" si="242"/>
        <v>6.1412655317179266E-2</v>
      </c>
      <c r="AJ64" s="126">
        <f t="shared" ref="AJ64:BO64" si="243">IFERROR(-AJ16/AJ14,"-")</f>
        <v>5.1315563325070562E-2</v>
      </c>
      <c r="AK64" s="126">
        <f t="shared" si="243"/>
        <v>4.7671813858090474E-2</v>
      </c>
      <c r="AL64" s="126">
        <f t="shared" si="243"/>
        <v>6.5640174822783448E-2</v>
      </c>
      <c r="AM64" s="126">
        <f t="shared" si="243"/>
        <v>6.6985483929344933E-2</v>
      </c>
      <c r="AN64" s="126">
        <f t="shared" si="243"/>
        <v>4.9889803170923286E-2</v>
      </c>
      <c r="AO64" s="126">
        <f t="shared" si="243"/>
        <v>4.9673292909149701E-2</v>
      </c>
      <c r="AP64" s="126">
        <f t="shared" si="243"/>
        <v>6.5171749789057168E-2</v>
      </c>
      <c r="AQ64" s="126">
        <f t="shared" si="243"/>
        <v>6.5803185639496331E-2</v>
      </c>
      <c r="AR64" s="126">
        <f t="shared" si="243"/>
        <v>6.0118040464142805E-2</v>
      </c>
      <c r="AS64" s="126">
        <f t="shared" si="243"/>
        <v>5.5874462716783181E-2</v>
      </c>
      <c r="AT64" s="126">
        <f t="shared" si="243"/>
        <v>6.5361669501880826E-2</v>
      </c>
      <c r="AU64" s="126">
        <f t="shared" si="243"/>
        <v>6.586781187362642E-2</v>
      </c>
      <c r="AV64" s="126">
        <f t="shared" si="243"/>
        <v>4.6823852164166721E-2</v>
      </c>
      <c r="AW64" s="126">
        <f t="shared" si="243"/>
        <v>4.6881614327651283E-2</v>
      </c>
      <c r="AX64" s="126">
        <f t="shared" si="243"/>
        <v>5.8378326410928022E-2</v>
      </c>
      <c r="AY64" s="126">
        <f t="shared" si="243"/>
        <v>5.4664837529126251E-2</v>
      </c>
      <c r="AZ64" s="126">
        <f t="shared" si="243"/>
        <v>4.5499817695709641E-2</v>
      </c>
      <c r="BA64" s="126">
        <f t="shared" si="243"/>
        <v>6.843057128347349E-2</v>
      </c>
      <c r="BB64" s="126">
        <f t="shared" si="243"/>
        <v>8.281934379533204E-2</v>
      </c>
      <c r="BC64" s="126">
        <f t="shared" si="243"/>
        <v>6.9405018461207141E-2</v>
      </c>
      <c r="BD64" s="126">
        <f t="shared" si="243"/>
        <v>4.9946037558539526E-2</v>
      </c>
      <c r="BE64" s="126">
        <f t="shared" si="243"/>
        <v>6.3106413118475174E-2</v>
      </c>
      <c r="BF64" s="126">
        <f t="shared" si="243"/>
        <v>8.273284322432739E-2</v>
      </c>
      <c r="BG64" s="126">
        <f t="shared" si="243"/>
        <v>8.9534657981219887E-2</v>
      </c>
      <c r="BH64" s="126">
        <f t="shared" si="243"/>
        <v>9.5219302507733541E-2</v>
      </c>
      <c r="BI64" s="126">
        <f t="shared" si="243"/>
        <v>0.16893421513422532</v>
      </c>
      <c r="BJ64" s="126">
        <f t="shared" si="243"/>
        <v>0.31771385019642312</v>
      </c>
      <c r="BK64" s="126">
        <f t="shared" si="243"/>
        <v>0.29165153440110797</v>
      </c>
      <c r="BL64" s="126">
        <f t="shared" si="243"/>
        <v>0.17520171972676116</v>
      </c>
      <c r="BM64" s="126">
        <f t="shared" si="243"/>
        <v>0.16747346664648682</v>
      </c>
      <c r="BN64" s="126">
        <f t="shared" si="243"/>
        <v>0.17309484198236941</v>
      </c>
      <c r="BO64" s="126">
        <f t="shared" si="243"/>
        <v>0.19029879433073146</v>
      </c>
      <c r="BP64" s="126">
        <f t="shared" ref="BP64:BY64" si="244">IFERROR(-BP16/BP14,"-")</f>
        <v>0.15912428709180582</v>
      </c>
      <c r="BQ64" s="126">
        <f t="shared" si="244"/>
        <v>0.16478928769756401</v>
      </c>
      <c r="BR64" s="126">
        <f t="shared" si="244"/>
        <v>0.18292659658690558</v>
      </c>
      <c r="BS64" s="126">
        <f t="shared" si="244"/>
        <v>0.22762860103938642</v>
      </c>
      <c r="BT64" s="126">
        <f t="shared" si="244"/>
        <v>0.21465967503580419</v>
      </c>
      <c r="BU64" s="126">
        <f t="shared" si="244"/>
        <v>0.22574856919322056</v>
      </c>
      <c r="BV64" s="126">
        <f t="shared" si="244"/>
        <v>0.21624671896514497</v>
      </c>
      <c r="BW64" s="126">
        <f t="shared" si="244"/>
        <v>0.2213686106700653</v>
      </c>
      <c r="BX64" s="126">
        <f t="shared" si="244"/>
        <v>0.17698558005165763</v>
      </c>
      <c r="BY64" s="126">
        <f t="shared" si="244"/>
        <v>0.17948985353360022</v>
      </c>
      <c r="BZ64" s="126">
        <f t="shared" ref="BZ64:CA64" si="245">IFERROR(-BZ16/BZ14,"-")</f>
        <v>0.15470292775665412</v>
      </c>
      <c r="CA64" s="126">
        <f t="shared" si="245"/>
        <v>0.14807465508526929</v>
      </c>
      <c r="CB64" s="219">
        <f t="shared" ref="CB64" si="246">IFERROR(-CB16/CB14,"-")</f>
        <v>0.12206006829346717</v>
      </c>
      <c r="CC64" s="512"/>
    </row>
    <row r="65" spans="2:81" ht="16.350000000000001" customHeight="1">
      <c r="B65" s="158" t="s">
        <v>504</v>
      </c>
      <c r="C65" s="158" t="s">
        <v>182</v>
      </c>
      <c r="D65" s="204">
        <f t="shared" ref="D65:AI65" si="247">IFERROR(-D16/D9,"-")</f>
        <v>0.51786960927823444</v>
      </c>
      <c r="E65" s="204">
        <f t="shared" si="247"/>
        <v>0.29639607038987842</v>
      </c>
      <c r="F65" s="204">
        <f t="shared" si="247"/>
        <v>0.32789501262325538</v>
      </c>
      <c r="G65" s="204">
        <f t="shared" si="247"/>
        <v>0.32781925598909306</v>
      </c>
      <c r="H65" s="204">
        <f t="shared" si="247"/>
        <v>0.5959030337397222</v>
      </c>
      <c r="I65" s="204">
        <f t="shared" si="247"/>
        <v>0.36423826094816286</v>
      </c>
      <c r="J65" s="204">
        <f t="shared" si="247"/>
        <v>0.4646370213803756</v>
      </c>
      <c r="K65" s="204">
        <f t="shared" si="247"/>
        <v>0.43913743226174468</v>
      </c>
      <c r="L65" s="204">
        <f t="shared" si="247"/>
        <v>0.7122542700612311</v>
      </c>
      <c r="M65" s="204">
        <f t="shared" si="247"/>
        <v>0.4465969500601451</v>
      </c>
      <c r="N65" s="204">
        <f t="shared" si="247"/>
        <v>0.51277537836170295</v>
      </c>
      <c r="O65" s="204">
        <f t="shared" si="247"/>
        <v>0.47342451676912994</v>
      </c>
      <c r="P65" s="204">
        <f t="shared" si="247"/>
        <v>0.66954080847082231</v>
      </c>
      <c r="Q65" s="204">
        <f t="shared" si="247"/>
        <v>0.28146440220447644</v>
      </c>
      <c r="R65" s="204">
        <f t="shared" si="247"/>
        <v>0.38348593121929431</v>
      </c>
      <c r="S65" s="204">
        <f t="shared" si="247"/>
        <v>0.4015375282195105</v>
      </c>
      <c r="T65" s="204">
        <f t="shared" si="247"/>
        <v>0.69897668715238748</v>
      </c>
      <c r="U65" s="204">
        <f t="shared" si="247"/>
        <v>0.46532198148631554</v>
      </c>
      <c r="V65" s="204">
        <f t="shared" si="247"/>
        <v>0.54750335595848065</v>
      </c>
      <c r="W65" s="204">
        <f t="shared" si="247"/>
        <v>0.48878785839925415</v>
      </c>
      <c r="X65" s="204">
        <f t="shared" si="247"/>
        <v>0.54492394307998249</v>
      </c>
      <c r="Y65" s="204">
        <f t="shared" si="247"/>
        <v>0.33126891530330277</v>
      </c>
      <c r="Z65" s="204">
        <f t="shared" si="247"/>
        <v>0.3682900502642093</v>
      </c>
      <c r="AA65" s="204">
        <f t="shared" si="247"/>
        <v>0.30050015701713401</v>
      </c>
      <c r="AB65" s="204">
        <f t="shared" si="247"/>
        <v>0.48210571393613116</v>
      </c>
      <c r="AC65" s="204">
        <f t="shared" si="247"/>
        <v>0.29586868168725095</v>
      </c>
      <c r="AD65" s="204">
        <f t="shared" si="247"/>
        <v>0.35210275349099351</v>
      </c>
      <c r="AE65" s="204">
        <f t="shared" si="247"/>
        <v>0.30493631135104621</v>
      </c>
      <c r="AF65" s="204">
        <f t="shared" si="247"/>
        <v>0.46832756217115618</v>
      </c>
      <c r="AG65" s="204">
        <f t="shared" si="247"/>
        <v>0.29171016772199099</v>
      </c>
      <c r="AH65" s="204">
        <f t="shared" si="247"/>
        <v>0.32746476616526415</v>
      </c>
      <c r="AI65" s="204">
        <f t="shared" si="247"/>
        <v>0.30630597084396122</v>
      </c>
      <c r="AJ65" s="204">
        <f t="shared" ref="AJ65:BO65" si="248">IFERROR(-AJ16/AJ9,"-")</f>
        <v>0.44052043143102865</v>
      </c>
      <c r="AK65" s="204">
        <f t="shared" si="248"/>
        <v>0.25803075294740246</v>
      </c>
      <c r="AL65" s="204">
        <f t="shared" si="248"/>
        <v>0.30451158601490214</v>
      </c>
      <c r="AM65" s="204">
        <f t="shared" si="248"/>
        <v>0.30940016070494464</v>
      </c>
      <c r="AN65" s="204">
        <f t="shared" si="248"/>
        <v>0.40771979391723451</v>
      </c>
      <c r="AO65" s="204">
        <f t="shared" si="248"/>
        <v>0.24764181547767586</v>
      </c>
      <c r="AP65" s="204">
        <f t="shared" si="248"/>
        <v>0.31147713713192959</v>
      </c>
      <c r="AQ65" s="204">
        <f t="shared" si="248"/>
        <v>0.30299668089141774</v>
      </c>
      <c r="AR65" s="204">
        <f t="shared" si="248"/>
        <v>0.46211266650640137</v>
      </c>
      <c r="AS65" s="204">
        <f t="shared" si="248"/>
        <v>0.28018403220563598</v>
      </c>
      <c r="AT65" s="204">
        <f t="shared" si="248"/>
        <v>0.32630486060275493</v>
      </c>
      <c r="AU65" s="204">
        <f t="shared" si="248"/>
        <v>0.30187962787165368</v>
      </c>
      <c r="AV65" s="204">
        <f t="shared" si="248"/>
        <v>0.39349836779107727</v>
      </c>
      <c r="AW65" s="204">
        <f t="shared" si="248"/>
        <v>0.25574485264432784</v>
      </c>
      <c r="AX65" s="204">
        <f t="shared" si="248"/>
        <v>0.29700646786102686</v>
      </c>
      <c r="AY65" s="204">
        <f t="shared" si="248"/>
        <v>0.263426570586618</v>
      </c>
      <c r="AZ65" s="204">
        <f t="shared" si="248"/>
        <v>0.36129096046187109</v>
      </c>
      <c r="BA65" s="204">
        <f t="shared" si="248"/>
        <v>0.34083223641264199</v>
      </c>
      <c r="BB65" s="204">
        <f t="shared" si="248"/>
        <v>0.41291658609098059</v>
      </c>
      <c r="BC65" s="204">
        <f t="shared" si="248"/>
        <v>0.36252044483338275</v>
      </c>
      <c r="BD65" s="204">
        <f t="shared" si="248"/>
        <v>0.44401724766982675</v>
      </c>
      <c r="BE65" s="204">
        <f t="shared" si="248"/>
        <v>0.3559963931909027</v>
      </c>
      <c r="BF65" s="204">
        <f t="shared" si="248"/>
        <v>0.41055754765276437</v>
      </c>
      <c r="BG65" s="204">
        <f t="shared" si="248"/>
        <v>0.41878674378478115</v>
      </c>
      <c r="BH65" s="204">
        <f t="shared" si="248"/>
        <v>0.65280227806124369</v>
      </c>
      <c r="BI65" s="204">
        <f t="shared" si="248"/>
        <v>0.57843724223914772</v>
      </c>
      <c r="BJ65" s="204">
        <f t="shared" si="248"/>
        <v>0.67693176346316208</v>
      </c>
      <c r="BK65" s="204">
        <f t="shared" si="248"/>
        <v>0.91870402227369952</v>
      </c>
      <c r="BL65" s="204">
        <f t="shared" si="248"/>
        <v>0.88943606992368929</v>
      </c>
      <c r="BM65" s="204">
        <f t="shared" si="248"/>
        <v>0.57095411306047539</v>
      </c>
      <c r="BN65" s="204">
        <f t="shared" si="248"/>
        <v>0.71911675765671035</v>
      </c>
      <c r="BO65" s="204">
        <f t="shared" si="248"/>
        <v>0.72469527553291802</v>
      </c>
      <c r="BP65" s="204">
        <f t="shared" ref="BP65:BY65" si="249">IFERROR(-BP16/BP9,"-")</f>
        <v>0.78260812835123827</v>
      </c>
      <c r="BQ65" s="204">
        <f t="shared" si="249"/>
        <v>0.61059599691644673</v>
      </c>
      <c r="BR65" s="204">
        <f t="shared" si="249"/>
        <v>0.64561179627756737</v>
      </c>
      <c r="BS65" s="204">
        <f t="shared" si="249"/>
        <v>0.68223342505145523</v>
      </c>
      <c r="BT65" s="204">
        <f t="shared" si="249"/>
        <v>0.76125320393145535</v>
      </c>
      <c r="BU65" s="204">
        <f t="shared" si="249"/>
        <v>0.67384674521237442</v>
      </c>
      <c r="BV65" s="204">
        <f t="shared" si="249"/>
        <v>0.68514190750272685</v>
      </c>
      <c r="BW65" s="204">
        <f t="shared" si="249"/>
        <v>0.73669070884948207</v>
      </c>
      <c r="BX65" s="204">
        <f t="shared" si="249"/>
        <v>0.79349423005022846</v>
      </c>
      <c r="BY65" s="204">
        <f t="shared" si="249"/>
        <v>0.69945634645534704</v>
      </c>
      <c r="BZ65" s="204">
        <f t="shared" ref="BZ65:CA65" si="250">IFERROR(-BZ16/BZ9,"-")</f>
        <v>0.66916091703476088</v>
      </c>
      <c r="CA65" s="204">
        <f t="shared" si="250"/>
        <v>0.66830480669712955</v>
      </c>
      <c r="CB65" s="220">
        <f t="shared" ref="CB65" si="251">IFERROR(-CB16/CB9,"-")</f>
        <v>0.7463582724361677</v>
      </c>
      <c r="CC65" s="512"/>
    </row>
    <row r="66" spans="2:81" ht="16.350000000000001" customHeight="1">
      <c r="B66" s="158" t="s">
        <v>510</v>
      </c>
      <c r="C66" s="158" t="s">
        <v>466</v>
      </c>
      <c r="D66" s="204" t="str">
        <f t="shared" ref="D66:AI66" si="252">IFERROR(-D16/(D11+D12),"-")</f>
        <v>-</v>
      </c>
      <c r="E66" s="204" t="str">
        <f t="shared" si="252"/>
        <v>-</v>
      </c>
      <c r="F66" s="204" t="str">
        <f t="shared" si="252"/>
        <v>-</v>
      </c>
      <c r="G66" s="204" t="str">
        <f t="shared" si="252"/>
        <v>-</v>
      </c>
      <c r="H66" s="204" t="str">
        <f t="shared" si="252"/>
        <v>-</v>
      </c>
      <c r="I66" s="204" t="str">
        <f t="shared" si="252"/>
        <v>-</v>
      </c>
      <c r="J66" s="204" t="str">
        <f t="shared" si="252"/>
        <v>-</v>
      </c>
      <c r="K66" s="204" t="str">
        <f t="shared" si="252"/>
        <v>-</v>
      </c>
      <c r="L66" s="204" t="str">
        <f t="shared" si="252"/>
        <v>-</v>
      </c>
      <c r="M66" s="204" t="str">
        <f t="shared" si="252"/>
        <v>-</v>
      </c>
      <c r="N66" s="204" t="str">
        <f t="shared" si="252"/>
        <v>-</v>
      </c>
      <c r="O66" s="204" t="str">
        <f t="shared" si="252"/>
        <v>-</v>
      </c>
      <c r="P66" s="204" t="str">
        <f t="shared" si="252"/>
        <v>-</v>
      </c>
      <c r="Q66" s="204" t="str">
        <f t="shared" si="252"/>
        <v>-</v>
      </c>
      <c r="R66" s="204" t="str">
        <f t="shared" si="252"/>
        <v>-</v>
      </c>
      <c r="S66" s="204" t="str">
        <f t="shared" si="252"/>
        <v>-</v>
      </c>
      <c r="T66" s="204">
        <f t="shared" si="252"/>
        <v>1.9406638835974548</v>
      </c>
      <c r="U66" s="204">
        <f t="shared" si="252"/>
        <v>2.4711810183950949</v>
      </c>
      <c r="V66" s="204">
        <f t="shared" si="252"/>
        <v>2.0035285570968968</v>
      </c>
      <c r="W66" s="204">
        <f t="shared" si="252"/>
        <v>1.7059612868596732</v>
      </c>
      <c r="X66" s="204">
        <f t="shared" si="252"/>
        <v>1.5899329364780348</v>
      </c>
      <c r="Y66" s="204">
        <f t="shared" si="252"/>
        <v>1.6399444130802971</v>
      </c>
      <c r="Z66" s="204">
        <f t="shared" si="252"/>
        <v>1.3084451821537932</v>
      </c>
      <c r="AA66" s="204">
        <f t="shared" si="252"/>
        <v>1.0122294176836348</v>
      </c>
      <c r="AB66" s="204">
        <f t="shared" si="252"/>
        <v>1.2573259586236238</v>
      </c>
      <c r="AC66" s="204">
        <f t="shared" si="252"/>
        <v>1.2204498844363423</v>
      </c>
      <c r="AD66" s="204">
        <f t="shared" si="252"/>
        <v>1.2127713920817369</v>
      </c>
      <c r="AE66" s="204">
        <f t="shared" si="252"/>
        <v>1.054878793057149</v>
      </c>
      <c r="AF66" s="204">
        <f t="shared" si="252"/>
        <v>1.3265820849893</v>
      </c>
      <c r="AG66" s="204">
        <f t="shared" si="252"/>
        <v>1.2602583252789736</v>
      </c>
      <c r="AH66" s="204">
        <f t="shared" si="252"/>
        <v>1.2108730685373021</v>
      </c>
      <c r="AI66" s="204">
        <f t="shared" si="252"/>
        <v>1.1203268641470889</v>
      </c>
      <c r="AJ66" s="204">
        <f t="shared" ref="AJ66:BO66" si="253">IFERROR(-AJ16/(AJ11+AJ12),"-")</f>
        <v>1.2430591116553491</v>
      </c>
      <c r="AK66" s="204">
        <f t="shared" si="253"/>
        <v>1.1407107021237879</v>
      </c>
      <c r="AL66" s="204">
        <f t="shared" si="253"/>
        <v>1.1071953556742273</v>
      </c>
      <c r="AM66" s="204">
        <f t="shared" si="253"/>
        <v>0.96995773457311918</v>
      </c>
      <c r="AN66" s="204">
        <f t="shared" si="253"/>
        <v>1.1362460920915511</v>
      </c>
      <c r="AO66" s="204">
        <f t="shared" si="253"/>
        <v>1.107517521539217</v>
      </c>
      <c r="AP66" s="204">
        <f t="shared" si="253"/>
        <v>1.0041984743901091</v>
      </c>
      <c r="AQ66" s="204">
        <f t="shared" si="253"/>
        <v>0.92426740721455636</v>
      </c>
      <c r="AR66" s="204">
        <f t="shared" si="253"/>
        <v>1.1886256976154237</v>
      </c>
      <c r="AS66" s="204">
        <f t="shared" si="253"/>
        <v>1.0637162765088948</v>
      </c>
      <c r="AT66" s="204">
        <f t="shared" si="253"/>
        <v>1.045851863211164</v>
      </c>
      <c r="AU66" s="204">
        <f t="shared" si="253"/>
        <v>0.93901903478353044</v>
      </c>
      <c r="AV66" s="204">
        <f t="shared" si="253"/>
        <v>1.0551654964894683</v>
      </c>
      <c r="AW66" s="204">
        <f t="shared" si="253"/>
        <v>1.1431355565179731</v>
      </c>
      <c r="AX66" s="204">
        <f t="shared" si="253"/>
        <v>1.4927687841619375</v>
      </c>
      <c r="AY66" s="204">
        <f t="shared" si="253"/>
        <v>0.81789855321561666</v>
      </c>
      <c r="AZ66" s="204">
        <f t="shared" si="253"/>
        <v>1.0010957999761783</v>
      </c>
      <c r="BA66" s="204">
        <f t="shared" si="253"/>
        <v>1.4146409394474186</v>
      </c>
      <c r="BB66" s="204">
        <f t="shared" si="253"/>
        <v>1.2557252685388496</v>
      </c>
      <c r="BC66" s="204">
        <f t="shared" si="253"/>
        <v>1.0357937661710377</v>
      </c>
      <c r="BD66" s="204">
        <f t="shared" si="253"/>
        <v>1.231818655110529</v>
      </c>
      <c r="BE66" s="204">
        <f t="shared" si="253"/>
        <v>1.5304913404906251</v>
      </c>
      <c r="BF66" s="204">
        <f t="shared" si="253"/>
        <v>1.3503807454735319</v>
      </c>
      <c r="BG66" s="204">
        <f t="shared" si="253"/>
        <v>0.95387314211210472</v>
      </c>
      <c r="BH66" s="204">
        <f t="shared" si="253"/>
        <v>1.0512802505411791</v>
      </c>
      <c r="BI66" s="204">
        <f t="shared" si="253"/>
        <v>1.2706242947554878</v>
      </c>
      <c r="BJ66" s="204">
        <f t="shared" si="253"/>
        <v>0.84358336352497976</v>
      </c>
      <c r="BK66" s="204">
        <f t="shared" si="253"/>
        <v>1.0671771453591161</v>
      </c>
      <c r="BL66" s="204">
        <f t="shared" si="253"/>
        <v>1.1290411893256649</v>
      </c>
      <c r="BM66" s="204">
        <f t="shared" si="253"/>
        <v>1.1358267173045049</v>
      </c>
      <c r="BN66" s="204">
        <f t="shared" si="253"/>
        <v>0.97244316232030248</v>
      </c>
      <c r="BO66" s="204">
        <f t="shared" si="253"/>
        <v>1.0337167668752725</v>
      </c>
      <c r="BP66" s="204">
        <f t="shared" ref="BP66:BY66" si="254">IFERROR(-BP16/(BP11+BP12),"-")</f>
        <v>1.0266235776170214</v>
      </c>
      <c r="BQ66" s="204">
        <f t="shared" si="254"/>
        <v>0.98929620817691399</v>
      </c>
      <c r="BR66" s="204">
        <f t="shared" si="254"/>
        <v>0.89767320731480027</v>
      </c>
      <c r="BS66" s="204">
        <f t="shared" si="254"/>
        <v>0.89197489978020872</v>
      </c>
      <c r="BT66" s="204">
        <f t="shared" si="254"/>
        <v>0.90447583163969514</v>
      </c>
      <c r="BU66" s="204">
        <f t="shared" si="254"/>
        <v>0.92991437593518389</v>
      </c>
      <c r="BV66" s="204">
        <f t="shared" si="254"/>
        <v>0.88539803123153382</v>
      </c>
      <c r="BW66" s="204">
        <f t="shared" si="254"/>
        <v>0.93799590903331298</v>
      </c>
      <c r="BX66" s="204">
        <f t="shared" si="254"/>
        <v>0.96294145890605864</v>
      </c>
      <c r="BY66" s="204">
        <f t="shared" si="254"/>
        <v>1.0014191990477455</v>
      </c>
      <c r="BZ66" s="204">
        <f t="shared" ref="BZ66:CA66" si="255">IFERROR(-BZ16/(BZ11+BZ12),"-")</f>
        <v>0.9005958695037618</v>
      </c>
      <c r="CA66" s="204">
        <f t="shared" si="255"/>
        <v>0.94445881673996535</v>
      </c>
      <c r="CB66" s="220">
        <f t="shared" ref="CB66" si="256">IFERROR(-CB16/(CB11+CB12),"-")</f>
        <v>0.99996303329390224</v>
      </c>
      <c r="CC66" s="512"/>
    </row>
    <row r="67" spans="2:81" ht="16.350000000000001" customHeight="1">
      <c r="B67" s="167" t="s">
        <v>424</v>
      </c>
      <c r="C67" s="167" t="s">
        <v>424</v>
      </c>
      <c r="D67" s="184"/>
      <c r="E67" s="184"/>
      <c r="F67" s="184"/>
      <c r="G67" s="184"/>
      <c r="H67" s="184"/>
      <c r="I67" s="184"/>
      <c r="J67" s="184"/>
      <c r="K67" s="184"/>
      <c r="L67" s="184"/>
      <c r="M67" s="184"/>
      <c r="N67" s="184"/>
      <c r="O67" s="184"/>
      <c r="P67" s="184"/>
      <c r="Q67" s="184"/>
      <c r="R67" s="184"/>
      <c r="S67" s="184"/>
      <c r="T67" s="184"/>
      <c r="U67" s="184"/>
      <c r="V67" s="184"/>
      <c r="W67" s="184"/>
      <c r="X67" s="184"/>
      <c r="Y67" s="184"/>
      <c r="Z67" s="184"/>
      <c r="AA67" s="184"/>
      <c r="AB67" s="184"/>
      <c r="AC67" s="184"/>
      <c r="AD67" s="184"/>
      <c r="AE67" s="184"/>
      <c r="AF67" s="184"/>
      <c r="AG67" s="184"/>
      <c r="AH67" s="184"/>
      <c r="AI67" s="184"/>
      <c r="AJ67" s="184"/>
      <c r="AK67" s="184"/>
      <c r="AL67" s="184"/>
      <c r="AM67" s="184"/>
      <c r="AN67" s="184"/>
      <c r="AO67" s="184"/>
      <c r="AP67" s="184"/>
      <c r="AQ67" s="184"/>
      <c r="AR67" s="184"/>
      <c r="AS67" s="184"/>
      <c r="AT67" s="184"/>
      <c r="AU67" s="184"/>
      <c r="AV67" s="184"/>
      <c r="AW67" s="184"/>
      <c r="AX67" s="184"/>
      <c r="AY67" s="184"/>
      <c r="AZ67" s="184"/>
      <c r="BA67" s="184"/>
      <c r="BB67" s="184"/>
      <c r="BC67" s="184"/>
      <c r="BD67" s="184"/>
      <c r="BE67" s="184"/>
      <c r="BF67" s="184"/>
      <c r="BG67" s="184"/>
      <c r="BH67" s="184"/>
      <c r="BI67" s="184"/>
      <c r="BJ67" s="184"/>
      <c r="BK67" s="184"/>
      <c r="BL67" s="184"/>
      <c r="BM67" s="184"/>
      <c r="BN67" s="184"/>
      <c r="BO67" s="184"/>
      <c r="BP67" s="184"/>
      <c r="BQ67" s="184"/>
      <c r="BR67" s="184"/>
      <c r="BS67" s="184"/>
      <c r="BT67" s="184"/>
      <c r="BU67" s="184"/>
      <c r="BV67" s="184"/>
      <c r="BW67" s="184"/>
      <c r="BX67" s="184"/>
      <c r="BY67" s="184"/>
      <c r="BZ67" s="184"/>
      <c r="CA67" s="184"/>
      <c r="CB67" s="221"/>
      <c r="CC67" s="512"/>
    </row>
    <row r="68" spans="2:81" ht="16.350000000000001" customHeight="1">
      <c r="B68" s="158" t="s">
        <v>52</v>
      </c>
      <c r="C68" s="158" t="s">
        <v>52</v>
      </c>
      <c r="D68" s="126" t="str">
        <f t="shared" ref="D68:AI68" si="257">IFERROR(-D27/D25,"-")</f>
        <v>-</v>
      </c>
      <c r="E68" s="126" t="str">
        <f t="shared" si="257"/>
        <v>-</v>
      </c>
      <c r="F68" s="126" t="str">
        <f t="shared" si="257"/>
        <v>-</v>
      </c>
      <c r="G68" s="126" t="str">
        <f t="shared" si="257"/>
        <v>-</v>
      </c>
      <c r="H68" s="126" t="str">
        <f t="shared" si="257"/>
        <v>-</v>
      </c>
      <c r="I68" s="126" t="str">
        <f t="shared" si="257"/>
        <v>-</v>
      </c>
      <c r="J68" s="126" t="str">
        <f t="shared" si="257"/>
        <v>-</v>
      </c>
      <c r="K68" s="126" t="str">
        <f t="shared" si="257"/>
        <v>-</v>
      </c>
      <c r="L68" s="126" t="str">
        <f t="shared" si="257"/>
        <v>-</v>
      </c>
      <c r="M68" s="126" t="str">
        <f t="shared" si="257"/>
        <v>-</v>
      </c>
      <c r="N68" s="126" t="str">
        <f t="shared" si="257"/>
        <v>-</v>
      </c>
      <c r="O68" s="126" t="str">
        <f t="shared" si="257"/>
        <v>-</v>
      </c>
      <c r="P68" s="126" t="str">
        <f t="shared" si="257"/>
        <v>-</v>
      </c>
      <c r="Q68" s="126" t="str">
        <f t="shared" si="257"/>
        <v>-</v>
      </c>
      <c r="R68" s="126" t="str">
        <f t="shared" si="257"/>
        <v>-</v>
      </c>
      <c r="S68" s="126" t="str">
        <f t="shared" si="257"/>
        <v>-</v>
      </c>
      <c r="T68" s="126" t="str">
        <f t="shared" si="257"/>
        <v>-</v>
      </c>
      <c r="U68" s="126" t="str">
        <f t="shared" si="257"/>
        <v>-</v>
      </c>
      <c r="V68" s="126" t="str">
        <f t="shared" si="257"/>
        <v>-</v>
      </c>
      <c r="W68" s="126" t="str">
        <f t="shared" si="257"/>
        <v>-</v>
      </c>
      <c r="X68" s="126" t="str">
        <f t="shared" si="257"/>
        <v>-</v>
      </c>
      <c r="Y68" s="126" t="str">
        <f t="shared" si="257"/>
        <v>-</v>
      </c>
      <c r="Z68" s="126" t="str">
        <f t="shared" si="257"/>
        <v>-</v>
      </c>
      <c r="AA68" s="126" t="str">
        <f t="shared" si="257"/>
        <v>-</v>
      </c>
      <c r="AB68" s="126" t="str">
        <f t="shared" si="257"/>
        <v>-</v>
      </c>
      <c r="AC68" s="126" t="str">
        <f t="shared" si="257"/>
        <v>-</v>
      </c>
      <c r="AD68" s="126">
        <f t="shared" si="257"/>
        <v>4.0291401731795379E-2</v>
      </c>
      <c r="AE68" s="126">
        <f t="shared" si="257"/>
        <v>4.407247584345815E-2</v>
      </c>
      <c r="AF68" s="126">
        <f t="shared" si="257"/>
        <v>5.7786645794979774E-2</v>
      </c>
      <c r="AG68" s="126">
        <f t="shared" si="257"/>
        <v>6.1683797754144142E-2</v>
      </c>
      <c r="AH68" s="126">
        <f t="shared" si="257"/>
        <v>5.3208154392097105E-2</v>
      </c>
      <c r="AI68" s="126">
        <f t="shared" si="257"/>
        <v>3.5650166709412671E-2</v>
      </c>
      <c r="AJ68" s="126">
        <f t="shared" ref="AJ68:BO68" si="258">IFERROR(-AJ27/AJ25,"-")</f>
        <v>3.5195400069592202E-2</v>
      </c>
      <c r="AK68" s="126">
        <f t="shared" si="258"/>
        <v>3.5404103067201431E-2</v>
      </c>
      <c r="AL68" s="126">
        <f t="shared" si="258"/>
        <v>4.6424404403838625E-2</v>
      </c>
      <c r="AM68" s="126">
        <f t="shared" si="258"/>
        <v>4.4516581856466043E-2</v>
      </c>
      <c r="AN68" s="126">
        <f t="shared" si="258"/>
        <v>3.5283501723347287E-2</v>
      </c>
      <c r="AO68" s="126">
        <f t="shared" si="258"/>
        <v>3.6465333240028819E-2</v>
      </c>
      <c r="AP68" s="126">
        <f t="shared" si="258"/>
        <v>4.7789575039882626E-2</v>
      </c>
      <c r="AQ68" s="126">
        <f t="shared" si="258"/>
        <v>4.6196748666406724E-2</v>
      </c>
      <c r="AR68" s="126">
        <f t="shared" si="258"/>
        <v>4.4266022296666485E-2</v>
      </c>
      <c r="AS68" s="126">
        <f t="shared" si="258"/>
        <v>4.5716898864310559E-2</v>
      </c>
      <c r="AT68" s="126">
        <f t="shared" si="258"/>
        <v>5.2333405897099165E-2</v>
      </c>
      <c r="AU68" s="126">
        <f t="shared" si="258"/>
        <v>4.8438937305539505E-2</v>
      </c>
      <c r="AV68" s="126">
        <f t="shared" si="258"/>
        <v>4.5498842407462728E-2</v>
      </c>
      <c r="AW68" s="126">
        <f t="shared" si="258"/>
        <v>3.6647328711108623E-2</v>
      </c>
      <c r="AX68" s="126">
        <f t="shared" si="258"/>
        <v>3.2897777396783255E-2</v>
      </c>
      <c r="AY68" s="126">
        <f t="shared" si="258"/>
        <v>9.6520770336613604E-2</v>
      </c>
      <c r="AZ68" s="126">
        <f t="shared" si="258"/>
        <v>0.13445441387377671</v>
      </c>
      <c r="BA68" s="126">
        <f t="shared" si="258"/>
        <v>0.16655803663099056</v>
      </c>
      <c r="BB68" s="126">
        <f t="shared" si="258"/>
        <v>0.16724987255473328</v>
      </c>
      <c r="BC68" s="126">
        <f t="shared" si="258"/>
        <v>0.1739480996470846</v>
      </c>
      <c r="BD68" s="126">
        <f t="shared" si="258"/>
        <v>0.15918969357973159</v>
      </c>
      <c r="BE68" s="126">
        <f t="shared" si="258"/>
        <v>0.1625944833696514</v>
      </c>
      <c r="BF68" s="126">
        <f t="shared" si="258"/>
        <v>0.15976564922456829</v>
      </c>
      <c r="BG68" s="126">
        <f t="shared" si="258"/>
        <v>0.15529254041043031</v>
      </c>
      <c r="BH68" s="126">
        <f t="shared" si="258"/>
        <v>0.1385176837595376</v>
      </c>
      <c r="BI68" s="126">
        <f t="shared" si="258"/>
        <v>0.17416616728192785</v>
      </c>
      <c r="BJ68" s="126">
        <f t="shared" si="258"/>
        <v>0.20164528638772644</v>
      </c>
      <c r="BK68" s="126">
        <f t="shared" si="258"/>
        <v>0.19315641977386513</v>
      </c>
      <c r="BL68" s="126">
        <f t="shared" si="258"/>
        <v>0.1449052792878622</v>
      </c>
      <c r="BM68" s="126">
        <f t="shared" si="258"/>
        <v>0.13215941397072245</v>
      </c>
      <c r="BN68" s="126">
        <f t="shared" si="258"/>
        <v>0.11050270061680566</v>
      </c>
      <c r="BO68" s="126">
        <f t="shared" si="258"/>
        <v>0.11445603029664464</v>
      </c>
      <c r="BP68" s="126">
        <f t="shared" ref="BP68:BY68" si="259">IFERROR(-BP27/BP25,"-")</f>
        <v>0.10971265327811489</v>
      </c>
      <c r="BQ68" s="126">
        <f t="shared" si="259"/>
        <v>0.11999843191534755</v>
      </c>
      <c r="BR68" s="126">
        <f t="shared" si="259"/>
        <v>0.141838051571476</v>
      </c>
      <c r="BS68" s="126">
        <f t="shared" si="259"/>
        <v>0.1650955932606103</v>
      </c>
      <c r="BT68" s="126">
        <f t="shared" si="259"/>
        <v>0.17030196415843779</v>
      </c>
      <c r="BU68" s="126">
        <f t="shared" si="259"/>
        <v>0.18315320753955508</v>
      </c>
      <c r="BV68" s="126">
        <f t="shared" si="259"/>
        <v>0.19572185539916473</v>
      </c>
      <c r="BW68" s="126">
        <f t="shared" si="259"/>
        <v>0.20869211703760979</v>
      </c>
      <c r="BX68" s="126">
        <f t="shared" si="259"/>
        <v>0.19297581075632336</v>
      </c>
      <c r="BY68" s="126">
        <f t="shared" si="259"/>
        <v>0.18747732130230738</v>
      </c>
      <c r="BZ68" s="126">
        <f t="shared" ref="BZ68:CA68" si="260">IFERROR(-BZ27/BZ25,"-")</f>
        <v>0.1767273368968289</v>
      </c>
      <c r="CA68" s="126">
        <f t="shared" si="260"/>
        <v>0.16535545766207169</v>
      </c>
      <c r="CB68" s="219">
        <f t="shared" ref="CB68" si="261">IFERROR(-CB27/CB25,"-")</f>
        <v>0.14957241350108799</v>
      </c>
      <c r="CC68" s="512"/>
    </row>
    <row r="69" spans="2:81" ht="16.350000000000001" customHeight="1">
      <c r="B69" s="158" t="s">
        <v>504</v>
      </c>
      <c r="C69" s="158" t="s">
        <v>182</v>
      </c>
      <c r="D69" s="204" t="str">
        <f t="shared" ref="D69:AI69" si="262">IFERROR(-D27/D21,"-")</f>
        <v>-</v>
      </c>
      <c r="E69" s="204" t="str">
        <f t="shared" si="262"/>
        <v>-</v>
      </c>
      <c r="F69" s="204" t="str">
        <f t="shared" si="262"/>
        <v>-</v>
      </c>
      <c r="G69" s="204" t="str">
        <f t="shared" si="262"/>
        <v>-</v>
      </c>
      <c r="H69" s="204" t="str">
        <f t="shared" si="262"/>
        <v>-</v>
      </c>
      <c r="I69" s="204" t="str">
        <f t="shared" si="262"/>
        <v>-</v>
      </c>
      <c r="J69" s="204" t="str">
        <f t="shared" si="262"/>
        <v>-</v>
      </c>
      <c r="K69" s="204" t="str">
        <f t="shared" si="262"/>
        <v>-</v>
      </c>
      <c r="L69" s="204" t="str">
        <f t="shared" si="262"/>
        <v>-</v>
      </c>
      <c r="M69" s="204" t="str">
        <f t="shared" si="262"/>
        <v>-</v>
      </c>
      <c r="N69" s="204" t="str">
        <f t="shared" si="262"/>
        <v>-</v>
      </c>
      <c r="O69" s="204" t="str">
        <f t="shared" si="262"/>
        <v>-</v>
      </c>
      <c r="P69" s="204" t="str">
        <f t="shared" si="262"/>
        <v>-</v>
      </c>
      <c r="Q69" s="204" t="str">
        <f t="shared" si="262"/>
        <v>-</v>
      </c>
      <c r="R69" s="204" t="str">
        <f t="shared" si="262"/>
        <v>-</v>
      </c>
      <c r="S69" s="204" t="str">
        <f t="shared" si="262"/>
        <v>-</v>
      </c>
      <c r="T69" s="204" t="str">
        <f t="shared" si="262"/>
        <v>-</v>
      </c>
      <c r="U69" s="204" t="str">
        <f t="shared" si="262"/>
        <v>-</v>
      </c>
      <c r="V69" s="204" t="str">
        <f t="shared" si="262"/>
        <v>-</v>
      </c>
      <c r="W69" s="204" t="str">
        <f t="shared" si="262"/>
        <v>-</v>
      </c>
      <c r="X69" s="204" t="str">
        <f t="shared" si="262"/>
        <v>-</v>
      </c>
      <c r="Y69" s="204" t="str">
        <f t="shared" si="262"/>
        <v>-</v>
      </c>
      <c r="Z69" s="204" t="str">
        <f t="shared" si="262"/>
        <v>-</v>
      </c>
      <c r="AA69" s="204" t="str">
        <f t="shared" si="262"/>
        <v>-</v>
      </c>
      <c r="AB69" s="204" t="str">
        <f t="shared" si="262"/>
        <v>-</v>
      </c>
      <c r="AC69" s="204" t="str">
        <f t="shared" si="262"/>
        <v>-</v>
      </c>
      <c r="AD69" s="204">
        <f t="shared" si="262"/>
        <v>0.20445885691122823</v>
      </c>
      <c r="AE69" s="204">
        <f t="shared" si="262"/>
        <v>0.18400830737279336</v>
      </c>
      <c r="AF69" s="204">
        <f t="shared" si="262"/>
        <v>0.2581248768958046</v>
      </c>
      <c r="AG69" s="204">
        <f t="shared" si="262"/>
        <v>0.26173549135279583</v>
      </c>
      <c r="AH69" s="204">
        <f t="shared" si="262"/>
        <v>0.27440096724554847</v>
      </c>
      <c r="AI69" s="204">
        <f t="shared" si="262"/>
        <v>0.20747207019765707</v>
      </c>
      <c r="AJ69" s="204">
        <f t="shared" ref="AJ69:BO69" si="263">IFERROR(-AJ27/AJ21,"-")</f>
        <v>0.21289810565542941</v>
      </c>
      <c r="AK69" s="204">
        <f t="shared" si="263"/>
        <v>0.18920585967617579</v>
      </c>
      <c r="AL69" s="204">
        <f t="shared" si="263"/>
        <v>0.21264516606257861</v>
      </c>
      <c r="AM69" s="204">
        <f t="shared" si="263"/>
        <v>0.2062937062937063</v>
      </c>
      <c r="AN69" s="204">
        <f t="shared" si="263"/>
        <v>0.20927212746543131</v>
      </c>
      <c r="AO69" s="204">
        <f t="shared" si="263"/>
        <v>0.15801187706416731</v>
      </c>
      <c r="AP69" s="204">
        <f t="shared" si="263"/>
        <v>0.20080570498877595</v>
      </c>
      <c r="AQ69" s="204">
        <f t="shared" si="263"/>
        <v>0.20340247398691169</v>
      </c>
      <c r="AR69" s="204">
        <f t="shared" si="263"/>
        <v>0.24936982567056851</v>
      </c>
      <c r="AS69" s="204">
        <f t="shared" si="263"/>
        <v>0.19457649158983556</v>
      </c>
      <c r="AT69" s="204">
        <f t="shared" si="263"/>
        <v>0.21663322313670466</v>
      </c>
      <c r="AU69" s="204">
        <f t="shared" si="263"/>
        <v>0.20897138689882236</v>
      </c>
      <c r="AV69" s="204">
        <f t="shared" si="263"/>
        <v>0.25158738202492609</v>
      </c>
      <c r="AW69" s="204">
        <f t="shared" si="263"/>
        <v>0.18271658031529844</v>
      </c>
      <c r="AX69" s="204">
        <f t="shared" si="263"/>
        <v>0.12481598736700589</v>
      </c>
      <c r="AY69" s="204">
        <f t="shared" si="263"/>
        <v>0.47217013228301763</v>
      </c>
      <c r="AZ69" s="204">
        <f t="shared" si="263"/>
        <v>0.60354758449098067</v>
      </c>
      <c r="BA69" s="204">
        <f t="shared" si="263"/>
        <v>0.71609521421661082</v>
      </c>
      <c r="BB69" s="204">
        <f t="shared" si="263"/>
        <v>0.72550193443642508</v>
      </c>
      <c r="BC69" s="204">
        <f t="shared" si="263"/>
        <v>0.76268581765181287</v>
      </c>
      <c r="BD69" s="204">
        <f t="shared" si="263"/>
        <v>0.85978537153463674</v>
      </c>
      <c r="BE69" s="204">
        <f t="shared" si="263"/>
        <v>0.79536625821573748</v>
      </c>
      <c r="BF69" s="204">
        <f t="shared" si="263"/>
        <v>0.76195860644045388</v>
      </c>
      <c r="BG69" s="204">
        <f t="shared" si="263"/>
        <v>0.77773816211097013</v>
      </c>
      <c r="BH69" s="204">
        <f t="shared" si="263"/>
        <v>0.78835597001713065</v>
      </c>
      <c r="BI69" s="204">
        <f t="shared" si="263"/>
        <v>0.83811251252930541</v>
      </c>
      <c r="BJ69" s="204">
        <f t="shared" si="263"/>
        <v>0.78070988022592869</v>
      </c>
      <c r="BK69" s="204">
        <f t="shared" si="263"/>
        <v>1.0168105755410675</v>
      </c>
      <c r="BL69" s="204">
        <f t="shared" si="263"/>
        <v>1.0490664094563626</v>
      </c>
      <c r="BM69" s="204">
        <f t="shared" si="263"/>
        <v>0.87963067390037208</v>
      </c>
      <c r="BN69" s="204">
        <f t="shared" si="263"/>
        <v>0.73435494789230238</v>
      </c>
      <c r="BO69" s="204">
        <f t="shared" si="263"/>
        <v>0.66867934488973579</v>
      </c>
      <c r="BP69" s="204">
        <f t="shared" ref="BP69:BY69" si="264">IFERROR(-BP27/BP21,"-")</f>
        <v>0.68659946604252819</v>
      </c>
      <c r="BQ69" s="204">
        <f t="shared" si="264"/>
        <v>0.57504266445029162</v>
      </c>
      <c r="BR69" s="204">
        <f t="shared" si="264"/>
        <v>0.60977151606371616</v>
      </c>
      <c r="BS69" s="204">
        <f t="shared" si="264"/>
        <v>0.63606471962955358</v>
      </c>
      <c r="BT69" s="204">
        <f t="shared" si="264"/>
        <v>0.67777702613336255</v>
      </c>
      <c r="BU69" s="204">
        <f t="shared" si="264"/>
        <v>0.66923207688993902</v>
      </c>
      <c r="BV69" s="204">
        <f t="shared" si="264"/>
        <v>0.69850572957316581</v>
      </c>
      <c r="BW69" s="204">
        <f t="shared" si="264"/>
        <v>0.72667998144275758</v>
      </c>
      <c r="BX69" s="204">
        <f t="shared" si="264"/>
        <v>0.76360453019373564</v>
      </c>
      <c r="BY69" s="204">
        <f t="shared" si="264"/>
        <v>0.73405415329317947</v>
      </c>
      <c r="BZ69" s="204">
        <f t="shared" ref="BZ69:CA69" si="265">IFERROR(-BZ27/BZ21,"-")</f>
        <v>0.7539746280226346</v>
      </c>
      <c r="CA69" s="204">
        <f t="shared" si="265"/>
        <v>0.7502712496726297</v>
      </c>
      <c r="CB69" s="220">
        <f t="shared" ref="CB69" si="266">IFERROR(-CB27/CB21,"-")</f>
        <v>0.76533710316594206</v>
      </c>
      <c r="CC69" s="512"/>
    </row>
    <row r="70" spans="2:81" ht="16.350000000000001" customHeight="1">
      <c r="B70" s="208" t="s">
        <v>510</v>
      </c>
      <c r="C70" s="208" t="s">
        <v>466</v>
      </c>
      <c r="D70" s="207" t="str">
        <f t="shared" ref="D70:AI70" si="267">IFERROR(-D27/SUM(D23:D24),"-")</f>
        <v>-</v>
      </c>
      <c r="E70" s="207" t="str">
        <f t="shared" si="267"/>
        <v>-</v>
      </c>
      <c r="F70" s="207" t="str">
        <f t="shared" si="267"/>
        <v>-</v>
      </c>
      <c r="G70" s="207" t="str">
        <f t="shared" si="267"/>
        <v>-</v>
      </c>
      <c r="H70" s="207" t="str">
        <f t="shared" si="267"/>
        <v>-</v>
      </c>
      <c r="I70" s="207" t="str">
        <f t="shared" si="267"/>
        <v>-</v>
      </c>
      <c r="J70" s="207" t="str">
        <f t="shared" si="267"/>
        <v>-</v>
      </c>
      <c r="K70" s="207" t="str">
        <f t="shared" si="267"/>
        <v>-</v>
      </c>
      <c r="L70" s="207" t="str">
        <f t="shared" si="267"/>
        <v>-</v>
      </c>
      <c r="M70" s="207" t="str">
        <f t="shared" si="267"/>
        <v>-</v>
      </c>
      <c r="N70" s="207" t="str">
        <f t="shared" si="267"/>
        <v>-</v>
      </c>
      <c r="O70" s="207" t="str">
        <f t="shared" si="267"/>
        <v>-</v>
      </c>
      <c r="P70" s="207" t="str">
        <f t="shared" si="267"/>
        <v>-</v>
      </c>
      <c r="Q70" s="207" t="str">
        <f t="shared" si="267"/>
        <v>-</v>
      </c>
      <c r="R70" s="207" t="str">
        <f t="shared" si="267"/>
        <v>-</v>
      </c>
      <c r="S70" s="207" t="str">
        <f t="shared" si="267"/>
        <v>-</v>
      </c>
      <c r="T70" s="207" t="str">
        <f t="shared" si="267"/>
        <v>-</v>
      </c>
      <c r="U70" s="207" t="str">
        <f t="shared" si="267"/>
        <v>-</v>
      </c>
      <c r="V70" s="207" t="str">
        <f t="shared" si="267"/>
        <v>-</v>
      </c>
      <c r="W70" s="207" t="str">
        <f t="shared" si="267"/>
        <v>-</v>
      </c>
      <c r="X70" s="207" t="str">
        <f t="shared" si="267"/>
        <v>-</v>
      </c>
      <c r="Y70" s="207" t="str">
        <f t="shared" si="267"/>
        <v>-</v>
      </c>
      <c r="Z70" s="207" t="str">
        <f t="shared" si="267"/>
        <v>-</v>
      </c>
      <c r="AA70" s="207" t="str">
        <f t="shared" si="267"/>
        <v>-</v>
      </c>
      <c r="AB70" s="207" t="str">
        <f t="shared" si="267"/>
        <v>-</v>
      </c>
      <c r="AC70" s="207" t="str">
        <f t="shared" si="267"/>
        <v>-</v>
      </c>
      <c r="AD70" s="207" t="str">
        <f t="shared" si="267"/>
        <v>-</v>
      </c>
      <c r="AE70" s="207" t="str">
        <f t="shared" si="267"/>
        <v>-</v>
      </c>
      <c r="AF70" s="207" t="str">
        <f t="shared" si="267"/>
        <v>-</v>
      </c>
      <c r="AG70" s="207" t="str">
        <f t="shared" si="267"/>
        <v>-</v>
      </c>
      <c r="AH70" s="207" t="str">
        <f t="shared" si="267"/>
        <v>-</v>
      </c>
      <c r="AI70" s="207" t="str">
        <f t="shared" si="267"/>
        <v>-</v>
      </c>
      <c r="AJ70" s="207" t="str">
        <f t="shared" ref="AJ70:BO70" si="268">IFERROR(-AJ27/SUM(AJ23:AJ24),"-")</f>
        <v>-</v>
      </c>
      <c r="AK70" s="207" t="str">
        <f t="shared" si="268"/>
        <v>-</v>
      </c>
      <c r="AL70" s="207" t="str">
        <f t="shared" si="268"/>
        <v>-</v>
      </c>
      <c r="AM70" s="207" t="str">
        <f t="shared" si="268"/>
        <v>-</v>
      </c>
      <c r="AN70" s="207" t="str">
        <f t="shared" si="268"/>
        <v>-</v>
      </c>
      <c r="AO70" s="207">
        <f t="shared" si="268"/>
        <v>0.75621089672136166</v>
      </c>
      <c r="AP70" s="207">
        <f t="shared" si="268"/>
        <v>0.71714319286027095</v>
      </c>
      <c r="AQ70" s="207">
        <f t="shared" si="268"/>
        <v>0.73777474622414552</v>
      </c>
      <c r="AR70" s="207">
        <f t="shared" si="268"/>
        <v>0.75882765694804399</v>
      </c>
      <c r="AS70" s="207">
        <f t="shared" si="268"/>
        <v>0.81005720981109242</v>
      </c>
      <c r="AT70" s="207">
        <f t="shared" si="268"/>
        <v>0.71832393767219005</v>
      </c>
      <c r="AU70" s="207">
        <f t="shared" si="268"/>
        <v>0.7211504891210303</v>
      </c>
      <c r="AV70" s="207">
        <f t="shared" si="268"/>
        <v>0.74071260885325652</v>
      </c>
      <c r="AW70" s="207">
        <f t="shared" si="268"/>
        <v>0.8071376608322085</v>
      </c>
      <c r="AX70" s="207">
        <f t="shared" si="268"/>
        <v>0.8432730312397726</v>
      </c>
      <c r="AY70" s="207">
        <f t="shared" si="268"/>
        <v>0.90228860112975062</v>
      </c>
      <c r="AZ70" s="207">
        <f t="shared" si="268"/>
        <v>0.9262154766450299</v>
      </c>
      <c r="BA70" s="207">
        <f t="shared" si="268"/>
        <v>1.2020747072230464</v>
      </c>
      <c r="BB70" s="207">
        <f t="shared" si="268"/>
        <v>1.204097605487038</v>
      </c>
      <c r="BC70" s="207">
        <f t="shared" si="268"/>
        <v>1.2493946336549415</v>
      </c>
      <c r="BD70" s="207">
        <f t="shared" si="268"/>
        <v>1.3122481293131063</v>
      </c>
      <c r="BE70" s="207">
        <f t="shared" si="268"/>
        <v>1.4107665747859917</v>
      </c>
      <c r="BF70" s="207">
        <f t="shared" si="268"/>
        <v>1.3593512653431001</v>
      </c>
      <c r="BG70" s="207">
        <f t="shared" si="268"/>
        <v>1.3131491603923382</v>
      </c>
      <c r="BH70" s="207">
        <f t="shared" si="268"/>
        <v>1.2407771064133655</v>
      </c>
      <c r="BI70" s="207">
        <f t="shared" si="268"/>
        <v>1.4438228478916297</v>
      </c>
      <c r="BJ70" s="207">
        <f t="shared" si="268"/>
        <v>1.1157769846556873</v>
      </c>
      <c r="BK70" s="207">
        <f t="shared" si="268"/>
        <v>1.2851533027171858</v>
      </c>
      <c r="BL70" s="207">
        <f t="shared" si="268"/>
        <v>1.4181312871264187</v>
      </c>
      <c r="BM70" s="207">
        <f t="shared" si="268"/>
        <v>1.7045975302493606</v>
      </c>
      <c r="BN70" s="207">
        <f t="shared" si="268"/>
        <v>1.2174019825397147</v>
      </c>
      <c r="BO70" s="207">
        <f t="shared" si="268"/>
        <v>1.1624763837254741</v>
      </c>
      <c r="BP70" s="207">
        <f t="shared" ref="BP70:BY70" si="269">IFERROR(-BP27/SUM(BP23:BP24),"-")</f>
        <v>1.1356332499164745</v>
      </c>
      <c r="BQ70" s="207">
        <f t="shared" si="269"/>
        <v>1.0391657749642362</v>
      </c>
      <c r="BR70" s="207">
        <f t="shared" si="269"/>
        <v>0.98021753825439584</v>
      </c>
      <c r="BS70" s="207">
        <f t="shared" si="269"/>
        <v>0.95791066682930315</v>
      </c>
      <c r="BT70" s="207">
        <f t="shared" si="269"/>
        <v>0.95313518541552644</v>
      </c>
      <c r="BU70" s="207">
        <f t="shared" si="269"/>
        <v>0.97123123307595738</v>
      </c>
      <c r="BV70" s="207">
        <f t="shared" si="269"/>
        <v>0.9653874168882145</v>
      </c>
      <c r="BW70" s="207">
        <f t="shared" si="269"/>
        <v>0.96829318919938034</v>
      </c>
      <c r="BX70" s="207">
        <f t="shared" si="269"/>
        <v>0.98244470662625638</v>
      </c>
      <c r="BY70" s="207">
        <f t="shared" si="269"/>
        <v>1.0118649925950889</v>
      </c>
      <c r="BZ70" s="207">
        <f t="shared" ref="BZ70:CA70" si="270">IFERROR(-BZ27/SUM(BZ23:BZ24),"-")</f>
        <v>1.0042719807258635</v>
      </c>
      <c r="CA70" s="207">
        <f t="shared" si="270"/>
        <v>1.0090138334309713</v>
      </c>
      <c r="CB70" s="222">
        <f t="shared" ref="CB70" si="271">IFERROR(-CB27/SUM(CB23:CB24),"-")</f>
        <v>1.029172472398407</v>
      </c>
      <c r="CC70" s="513"/>
    </row>
    <row r="71" spans="2:81" ht="16.350000000000001" customHeight="1">
      <c r="BU71" s="5"/>
      <c r="BV71" s="5"/>
      <c r="BW71" s="5"/>
      <c r="BX71" s="5"/>
      <c r="BY71" s="5"/>
      <c r="BZ71" s="5"/>
      <c r="CA71" s="5"/>
      <c r="CB71" s="5"/>
    </row>
  </sheetData>
  <customSheetViews>
    <customSheetView guid="{E88E1926-5DA8-417A-8DB1-2CA24C2C419E}" scale="115" showGridLines="0" fitToPage="1" hiddenRows="1" hiddenColumns="1">
      <pane xSplit="11" ySplit="3" topLeftCell="GN4" activePane="bottomRight" state="frozen"/>
      <selection pane="bottomRight" activeCell="GT46" sqref="GT46"/>
      <colBreaks count="5" manualBreakCount="5">
        <brk id="15" max="1048575" man="1"/>
        <brk id="27" max="1048575" man="1"/>
        <brk id="39" max="1048575" man="1"/>
        <brk id="51" max="1048575" man="1"/>
        <brk id="63" max="1048575" man="1"/>
      </colBreaks>
      <pageMargins left="0.25" right="0.25" top="0.75" bottom="0.75" header="0.3" footer="0.3"/>
      <printOptions horizontalCentered="1"/>
      <pageSetup paperSize="9" scale="10" orientation="landscape" horizontalDpi="300" verticalDpi="300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115" showGridLines="0" fitToPage="1" hiddenRows="1" hiddenColumns="1">
      <pane xSplit="11" ySplit="3" topLeftCell="GO27" activePane="bottomRight" state="frozen"/>
      <selection pane="bottomRight" activeCell="GV51" sqref="GV51"/>
      <colBreaks count="5" manualBreakCount="5">
        <brk id="15" max="1048575" man="1"/>
        <brk id="27" max="1048575" man="1"/>
        <brk id="39" max="1048575" man="1"/>
        <brk id="51" max="1048575" man="1"/>
        <brk id="63" max="1048575" man="1"/>
      </colBreaks>
      <pageMargins left="0.25" right="0.25" top="0.75" bottom="0.75" header="0.3" footer="0.3"/>
      <printOptions horizontalCentered="1"/>
      <pageSetup paperSize="9" scale="10" orientation="landscape" horizontalDpi="300" verticalDpi="300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cale="115" showGridLines="0" fitToPage="1" hiddenRows="1" hiddenColumns="1">
      <pane xSplit="11" ySplit="3" topLeftCell="GN4" activePane="bottomRight" state="frozen"/>
      <selection pane="bottomRight" activeCell="GT47" sqref="GT47"/>
      <colBreaks count="5" manualBreakCount="5">
        <brk id="15" max="1048575" man="1"/>
        <brk id="27" max="1048575" man="1"/>
        <brk id="39" max="1048575" man="1"/>
        <brk id="51" max="1048575" man="1"/>
        <brk id="63" max="1048575" man="1"/>
      </colBreaks>
      <pageMargins left="0.25" right="0.25" top="0.75" bottom="0.75" header="0.3" footer="0.3"/>
      <printOptions horizontalCentered="1"/>
      <pageSetup paperSize="9" scale="10" orientation="landscape" horizontalDpi="300" verticalDpi="300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mergeCells count="1">
    <mergeCell ref="CC7:CC70"/>
  </mergeCells>
  <phoneticPr fontId="29" type="noConversion"/>
  <conditionalFormatting sqref="BQ29:BV29">
    <cfRule type="cellIs" dxfId="5" priority="9" operator="notEqual">
      <formula>0</formula>
    </cfRule>
    <cfRule type="cellIs" dxfId="4" priority="10" operator="equal">
      <formula>0</formula>
    </cfRule>
  </conditionalFormatting>
  <conditionalFormatting sqref="BQ57:BV57">
    <cfRule type="cellIs" dxfId="3" priority="3" operator="notEqual">
      <formula>0</formula>
    </cfRule>
    <cfRule type="cellIs" dxfId="2" priority="4" operator="equal">
      <formula>0</formula>
    </cfRule>
  </conditionalFormatting>
  <conditionalFormatting sqref="BQ41:CB41 BQ43:BV43">
    <cfRule type="cellIs" dxfId="1" priority="7" operator="notEqual">
      <formula>0</formula>
    </cfRule>
    <cfRule type="cellIs" dxfId="0" priority="8" operator="equal">
      <formula>0</formula>
    </cfRule>
  </conditionalFormatting>
  <printOptions horizontalCentered="1"/>
  <pageMargins left="0.25" right="0.25" top="0.75" bottom="0.75" header="0.3" footer="0.3"/>
  <pageSetup paperSize="9" scale="36" orientation="landscape" horizontalDpi="300" verticalDpi="300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olBreaks count="5" manualBreakCount="5">
    <brk id="4" max="1048575" man="1"/>
    <brk id="8" max="1048575" man="1"/>
    <brk id="12" max="1048575" man="1"/>
    <brk id="16" max="1048575" man="1"/>
    <brk id="20" max="1048575" man="1"/>
  </colBreaks>
  <ignoredErrors>
    <ignoredError sqref="T9:AZ9 BD9:BT9 BH14:BS14 BH21:BO21 BQ21:BS21 BT16 BU9:BU12 BU21:BW21 BV9:BW9 BV14:BW14 AJ14:BD14 T14:AF14 D21:AB21 D70:BX70 BD21 AR21:AZ21 BT13:BT14 BU13:BU14 BT18:BT21 BX9:CA9 BY70:CB70" formulaRange="1"/>
    <ignoredError sqref="BP21" formula="1" formulaRange="1"/>
  </ignoredErrors>
  <drawing r:id="rId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Planilha10"/>
  <dimension ref="A1:E30"/>
  <sheetViews>
    <sheetView workbookViewId="0">
      <selection activeCell="D15" sqref="D15"/>
    </sheetView>
  </sheetViews>
  <sheetFormatPr defaultColWidth="9.42578125" defaultRowHeight="14.25"/>
  <cols>
    <col min="1" max="1" width="4" style="1" bestFit="1" customWidth="1"/>
    <col min="2" max="2" width="21" style="1" bestFit="1" customWidth="1"/>
    <col min="3" max="3" width="9.42578125" style="1"/>
    <col min="4" max="4" width="14.42578125" style="1" bestFit="1" customWidth="1"/>
    <col min="5" max="16384" width="9.42578125" style="1"/>
  </cols>
  <sheetData>
    <row r="1" spans="1:5">
      <c r="A1" s="1" t="s">
        <v>284</v>
      </c>
      <c r="B1" s="1" t="s">
        <v>285</v>
      </c>
      <c r="C1" s="1" t="s">
        <v>167</v>
      </c>
      <c r="D1" s="1" t="s">
        <v>75</v>
      </c>
      <c r="E1" s="1" t="s">
        <v>1506</v>
      </c>
    </row>
    <row r="2" spans="1:5">
      <c r="A2" s="1" t="s">
        <v>164</v>
      </c>
      <c r="B2" s="1" t="s">
        <v>286</v>
      </c>
      <c r="C2" s="1" t="s">
        <v>173</v>
      </c>
      <c r="D2" s="1" t="s">
        <v>178</v>
      </c>
      <c r="E2" s="1" t="s">
        <v>1506</v>
      </c>
    </row>
    <row r="3" spans="1:5">
      <c r="A3" s="1" t="s">
        <v>165</v>
      </c>
      <c r="B3" s="1" t="s">
        <v>287</v>
      </c>
      <c r="C3" s="1" t="s">
        <v>173</v>
      </c>
      <c r="D3" s="1" t="s">
        <v>170</v>
      </c>
      <c r="E3" s="1" t="s">
        <v>1506</v>
      </c>
    </row>
    <row r="4" spans="1:5">
      <c r="A4" s="1" t="s">
        <v>157</v>
      </c>
      <c r="B4" s="1" t="s">
        <v>288</v>
      </c>
      <c r="C4" s="1" t="s">
        <v>173</v>
      </c>
      <c r="D4" s="1" t="s">
        <v>138</v>
      </c>
      <c r="E4" s="1" t="s">
        <v>1506</v>
      </c>
    </row>
    <row r="5" spans="1:5">
      <c r="A5" s="1" t="s">
        <v>155</v>
      </c>
      <c r="B5" s="1" t="s">
        <v>289</v>
      </c>
      <c r="C5" s="1" t="s">
        <v>173</v>
      </c>
      <c r="D5" s="1" t="s">
        <v>137</v>
      </c>
      <c r="E5" s="1" t="s">
        <v>1506</v>
      </c>
    </row>
    <row r="6" spans="1:5">
      <c r="A6" s="1" t="s">
        <v>150</v>
      </c>
      <c r="B6" s="1" t="s">
        <v>290</v>
      </c>
      <c r="C6" s="1" t="s">
        <v>173</v>
      </c>
      <c r="D6" s="1" t="s">
        <v>131</v>
      </c>
      <c r="E6" s="1" t="s">
        <v>1506</v>
      </c>
    </row>
    <row r="7" spans="1:5">
      <c r="A7" s="1" t="s">
        <v>162</v>
      </c>
      <c r="B7" s="1" t="s">
        <v>291</v>
      </c>
      <c r="C7" s="1" t="s">
        <v>173</v>
      </c>
      <c r="D7" s="1" t="s">
        <v>143</v>
      </c>
      <c r="E7" s="1" t="s">
        <v>1506</v>
      </c>
    </row>
    <row r="8" spans="1:5">
      <c r="A8" s="1" t="s">
        <v>166</v>
      </c>
      <c r="B8" s="1" t="s">
        <v>292</v>
      </c>
      <c r="C8" s="1" t="s">
        <v>173</v>
      </c>
      <c r="D8" s="1" t="s">
        <v>177</v>
      </c>
      <c r="E8" s="1" t="s">
        <v>1506</v>
      </c>
    </row>
    <row r="9" spans="1:5">
      <c r="A9" s="1" t="s">
        <v>154</v>
      </c>
      <c r="B9" s="1" t="s">
        <v>293</v>
      </c>
      <c r="C9" s="1" t="s">
        <v>294</v>
      </c>
      <c r="D9" s="1" t="s">
        <v>171</v>
      </c>
      <c r="E9" s="1" t="s">
        <v>1506</v>
      </c>
    </row>
    <row r="10" spans="1:5">
      <c r="A10" s="1" t="s">
        <v>151</v>
      </c>
      <c r="B10" s="1" t="s">
        <v>295</v>
      </c>
      <c r="C10" s="1" t="s">
        <v>294</v>
      </c>
      <c r="D10" s="1" t="s">
        <v>132</v>
      </c>
      <c r="E10" s="1" t="s">
        <v>1506</v>
      </c>
    </row>
    <row r="11" spans="1:5">
      <c r="A11" s="1" t="s">
        <v>148</v>
      </c>
      <c r="B11" s="1" t="s">
        <v>296</v>
      </c>
      <c r="C11" s="1" t="s">
        <v>294</v>
      </c>
      <c r="D11" s="1" t="s">
        <v>130</v>
      </c>
      <c r="E11" s="1" t="s">
        <v>1506</v>
      </c>
    </row>
    <row r="12" spans="1:5">
      <c r="A12" s="1" t="s">
        <v>153</v>
      </c>
      <c r="B12" s="1" t="s">
        <v>297</v>
      </c>
      <c r="C12" s="1" t="s">
        <v>294</v>
      </c>
      <c r="D12" s="1" t="s">
        <v>145</v>
      </c>
      <c r="E12" s="1" t="s">
        <v>1506</v>
      </c>
    </row>
    <row r="13" spans="1:5">
      <c r="A13" s="1" t="s">
        <v>158</v>
      </c>
      <c r="B13" s="1" t="s">
        <v>298</v>
      </c>
      <c r="C13" s="1" t="s">
        <v>294</v>
      </c>
      <c r="D13" s="1" t="s">
        <v>139</v>
      </c>
      <c r="E13" s="1" t="s">
        <v>1506</v>
      </c>
    </row>
    <row r="14" spans="1:5">
      <c r="A14" s="1" t="s">
        <v>121</v>
      </c>
      <c r="B14" s="1" t="s">
        <v>299</v>
      </c>
      <c r="C14" s="1" t="s">
        <v>294</v>
      </c>
      <c r="D14" s="1" t="s">
        <v>125</v>
      </c>
      <c r="E14" s="1" t="s">
        <v>1506</v>
      </c>
    </row>
    <row r="15" spans="1:5">
      <c r="A15" s="1" t="s">
        <v>159</v>
      </c>
      <c r="B15" s="1" t="s">
        <v>300</v>
      </c>
      <c r="C15" s="1" t="s">
        <v>294</v>
      </c>
      <c r="D15" s="1" t="s">
        <v>144</v>
      </c>
      <c r="E15" s="1" t="s">
        <v>1506</v>
      </c>
    </row>
    <row r="16" spans="1:5">
      <c r="A16" s="1" t="s">
        <v>163</v>
      </c>
      <c r="B16" s="1" t="s">
        <v>301</v>
      </c>
      <c r="C16" s="1" t="s">
        <v>294</v>
      </c>
      <c r="D16" s="1" t="s">
        <v>169</v>
      </c>
      <c r="E16" s="1" t="s">
        <v>1506</v>
      </c>
    </row>
    <row r="17" spans="1:5">
      <c r="A17" s="1" t="s">
        <v>120</v>
      </c>
      <c r="B17" s="1" t="s">
        <v>302</v>
      </c>
      <c r="C17" s="1" t="s">
        <v>294</v>
      </c>
      <c r="D17" s="1" t="s">
        <v>134</v>
      </c>
      <c r="E17" s="1" t="s">
        <v>1506</v>
      </c>
    </row>
    <row r="18" spans="1:5">
      <c r="A18" s="1" t="s">
        <v>149</v>
      </c>
      <c r="B18" s="1" t="s">
        <v>303</v>
      </c>
      <c r="C18" s="1" t="s">
        <v>304</v>
      </c>
      <c r="D18" s="1" t="s">
        <v>136</v>
      </c>
      <c r="E18" s="1" t="s">
        <v>1506</v>
      </c>
    </row>
    <row r="19" spans="1:5">
      <c r="A19" s="1" t="s">
        <v>152</v>
      </c>
      <c r="B19" s="1" t="s">
        <v>305</v>
      </c>
      <c r="C19" s="1" t="s">
        <v>304</v>
      </c>
      <c r="D19" s="1" t="s">
        <v>168</v>
      </c>
      <c r="E19" s="1" t="s">
        <v>1506</v>
      </c>
    </row>
    <row r="20" spans="1:5">
      <c r="A20" s="1" t="s">
        <v>122</v>
      </c>
      <c r="B20" s="1" t="s">
        <v>128</v>
      </c>
      <c r="C20" s="1" t="s">
        <v>304</v>
      </c>
      <c r="D20" s="1" t="s">
        <v>128</v>
      </c>
      <c r="E20" s="1" t="s">
        <v>1506</v>
      </c>
    </row>
    <row r="21" spans="1:5">
      <c r="A21" s="1" t="s">
        <v>118</v>
      </c>
      <c r="B21" s="1" t="s">
        <v>124</v>
      </c>
      <c r="C21" s="1" t="s">
        <v>304</v>
      </c>
      <c r="D21" s="1" t="s">
        <v>124</v>
      </c>
      <c r="E21" s="1" t="s">
        <v>1506</v>
      </c>
    </row>
    <row r="22" spans="1:5">
      <c r="A22" s="1" t="s">
        <v>161</v>
      </c>
      <c r="B22" s="1" t="s">
        <v>306</v>
      </c>
      <c r="C22" s="1" t="s">
        <v>172</v>
      </c>
      <c r="D22" s="1" t="s">
        <v>146</v>
      </c>
      <c r="E22" s="1" t="s">
        <v>1506</v>
      </c>
    </row>
    <row r="23" spans="1:5">
      <c r="A23" s="1" t="s">
        <v>147</v>
      </c>
      <c r="B23" s="1" t="s">
        <v>307</v>
      </c>
      <c r="C23" s="1" t="s">
        <v>172</v>
      </c>
      <c r="D23" s="1" t="s">
        <v>135</v>
      </c>
      <c r="E23" s="1" t="s">
        <v>1506</v>
      </c>
    </row>
    <row r="24" spans="1:5">
      <c r="A24" s="1" t="s">
        <v>117</v>
      </c>
      <c r="B24" s="1" t="s">
        <v>308</v>
      </c>
      <c r="C24" s="1" t="s">
        <v>172</v>
      </c>
      <c r="D24" s="1" t="s">
        <v>129</v>
      </c>
      <c r="E24" s="1" t="s">
        <v>1506</v>
      </c>
    </row>
    <row r="25" spans="1:5">
      <c r="A25" s="1" t="s">
        <v>160</v>
      </c>
      <c r="B25" s="1" t="s">
        <v>309</v>
      </c>
      <c r="C25" s="1" t="s">
        <v>174</v>
      </c>
      <c r="D25" s="1" t="s">
        <v>141</v>
      </c>
      <c r="E25" s="1" t="s">
        <v>1506</v>
      </c>
    </row>
    <row r="26" spans="1:5">
      <c r="A26" s="1" t="s">
        <v>119</v>
      </c>
      <c r="B26" s="1" t="s">
        <v>310</v>
      </c>
      <c r="C26" s="1" t="s">
        <v>174</v>
      </c>
      <c r="D26" s="1" t="s">
        <v>133</v>
      </c>
      <c r="E26" s="1" t="s">
        <v>1506</v>
      </c>
    </row>
    <row r="27" spans="1:5">
      <c r="A27" s="1" t="s">
        <v>123</v>
      </c>
      <c r="B27" s="1" t="s">
        <v>311</v>
      </c>
      <c r="C27" s="1" t="s">
        <v>174</v>
      </c>
      <c r="D27" s="1" t="s">
        <v>140</v>
      </c>
      <c r="E27" s="1" t="s">
        <v>1506</v>
      </c>
    </row>
    <row r="28" spans="1:5">
      <c r="A28" s="1" t="s">
        <v>156</v>
      </c>
      <c r="B28" s="1" t="s">
        <v>312</v>
      </c>
      <c r="C28" s="1" t="s">
        <v>174</v>
      </c>
      <c r="D28" s="1" t="s">
        <v>142</v>
      </c>
      <c r="E28" s="1" t="s">
        <v>1506</v>
      </c>
    </row>
    <row r="29" spans="1:5">
      <c r="A29" s="1" t="s">
        <v>319</v>
      </c>
      <c r="B29" s="1" t="s">
        <v>222</v>
      </c>
      <c r="C29" s="1" t="s">
        <v>222</v>
      </c>
    </row>
    <row r="30" spans="1:5">
      <c r="A30" s="1" t="s">
        <v>318</v>
      </c>
      <c r="B30" s="1" t="s">
        <v>202</v>
      </c>
      <c r="C30" s="1" t="s">
        <v>202</v>
      </c>
    </row>
  </sheetData>
  <customSheetViews>
    <customSheetView guid="{E88E1926-5DA8-417A-8DB1-2CA24C2C419E}">
      <selection activeCell="B3" sqref="B3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1"/>
      <headerFooter>
        <oddFooter>&amp;L&amp;1#&amp;"Calibri"&amp;10&amp;K317100Classificação: Público</oddFooter>
      </headerFooter>
    </customSheetView>
    <customSheetView guid="{A3D29705-44C4-4B42-97EB-2B18742850C7}">
      <selection activeCell="B3" sqref="B3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2"/>
      <headerFooter>
        <oddFooter>&amp;L&amp;1#&amp;"Calibri"&amp;10&amp;K317100Classificação: Público</oddFooter>
      </headerFooter>
    </customSheetView>
    <customSheetView guid="{EAB4FDA2-937E-4CE5-8DA8-79E156FA8C1F}">
      <selection activeCell="B3" sqref="B3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3"/>
      <headerFooter>
        <oddFooter>&amp;L&amp;1#&amp;"Calibri"&amp;10&amp;K317100Classificação: Público</oddFooter>
      </headerFooter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1200" verticalDpi="1200" r:id="rId4"/>
  <headerFooter>
    <oddFooter>&amp;L_x000D_&amp;1#&amp;"Calibri"&amp;10&amp;KA80000 Classificação: Confidencial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Planilha11"/>
  <dimension ref="A1:C13"/>
  <sheetViews>
    <sheetView workbookViewId="0">
      <selection activeCell="A5" sqref="A5"/>
    </sheetView>
  </sheetViews>
  <sheetFormatPr defaultColWidth="9.42578125" defaultRowHeight="12.75"/>
  <cols>
    <col min="3" max="3" width="10.42578125" bestFit="1" customWidth="1"/>
  </cols>
  <sheetData>
    <row r="1" spans="1:3">
      <c r="A1" t="s">
        <v>313</v>
      </c>
      <c r="B1" t="s">
        <v>191</v>
      </c>
    </row>
    <row r="2" spans="1:3">
      <c r="A2">
        <v>1</v>
      </c>
      <c r="B2" t="s">
        <v>314</v>
      </c>
    </row>
    <row r="3" spans="1:3">
      <c r="A3">
        <v>2</v>
      </c>
      <c r="B3" t="s">
        <v>314</v>
      </c>
    </row>
    <row r="4" spans="1:3">
      <c r="A4">
        <v>3</v>
      </c>
      <c r="B4" t="s">
        <v>314</v>
      </c>
    </row>
    <row r="5" spans="1:3">
      <c r="A5">
        <v>4</v>
      </c>
      <c r="B5" t="s">
        <v>315</v>
      </c>
    </row>
    <row r="6" spans="1:3">
      <c r="A6">
        <v>5</v>
      </c>
      <c r="B6" t="s">
        <v>315</v>
      </c>
    </row>
    <row r="7" spans="1:3">
      <c r="A7">
        <v>6</v>
      </c>
      <c r="B7" t="s">
        <v>315</v>
      </c>
    </row>
    <row r="8" spans="1:3">
      <c r="A8">
        <v>7</v>
      </c>
      <c r="B8" t="s">
        <v>316</v>
      </c>
    </row>
    <row r="9" spans="1:3">
      <c r="A9">
        <v>8</v>
      </c>
      <c r="B9" t="s">
        <v>316</v>
      </c>
    </row>
    <row r="10" spans="1:3">
      <c r="A10">
        <v>9</v>
      </c>
      <c r="B10" t="s">
        <v>316</v>
      </c>
    </row>
    <row r="11" spans="1:3">
      <c r="A11">
        <v>10</v>
      </c>
      <c r="B11" t="s">
        <v>317</v>
      </c>
    </row>
    <row r="12" spans="1:3">
      <c r="A12">
        <v>11</v>
      </c>
      <c r="B12" t="s">
        <v>317</v>
      </c>
    </row>
    <row r="13" spans="1:3">
      <c r="A13">
        <v>12</v>
      </c>
      <c r="B13" t="s">
        <v>317</v>
      </c>
      <c r="C13" s="2"/>
    </row>
  </sheetData>
  <customSheetViews>
    <customSheetView guid="{E88E1926-5DA8-417A-8DB1-2CA24C2C419E}" state="hidden">
      <selection activeCell="A10" sqref="A10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1"/>
      <headerFooter>
        <oddFooter>&amp;L&amp;1#&amp;"Calibri"&amp;10&amp;K317100Classificação: Público</oddFooter>
      </headerFooter>
    </customSheetView>
    <customSheetView guid="{A3D29705-44C4-4B42-97EB-2B18742850C7}" state="hidden">
      <selection activeCell="A10" sqref="A10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2"/>
      <headerFooter>
        <oddFooter>&amp;L&amp;1#&amp;"Calibri"&amp;10&amp;K317100Classificação: Público</oddFooter>
      </headerFooter>
    </customSheetView>
    <customSheetView guid="{EAB4FDA2-937E-4CE5-8DA8-79E156FA8C1F}" state="hidden">
      <selection activeCell="A10" sqref="A10"/>
      <pageMargins left="0.511811024" right="0.511811024" top="0.78740157499999996" bottom="0.78740157499999996" header="0.31496062000000002" footer="0.31496062000000002"/>
      <pageSetup paperSize="9" orientation="portrait" horizontalDpi="1200" verticalDpi="1200" r:id="rId3"/>
      <headerFooter>
        <oddFooter>&amp;L&amp;1#&amp;"Calibri"&amp;10&amp;K317100Classificação: Público</oddFooter>
      </headerFooter>
    </customSheetView>
  </customSheetViews>
  <pageMargins left="0.511811024" right="0.511811024" top="0.78740157499999996" bottom="0.78740157499999996" header="0.31496062000000002" footer="0.31496062000000002"/>
  <pageSetup paperSize="9" orientation="portrait" horizontalDpi="1200" verticalDpi="1200" r:id="rId4"/>
  <headerFooter>
    <oddFooter>&amp;L_x000D_&amp;1#&amp;"Calibri"&amp;10&amp;KA80000 Classificação: Confidencial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2">
    <pageSetUpPr fitToPage="1"/>
  </sheetPr>
  <dimension ref="A4:CN74"/>
  <sheetViews>
    <sheetView showGridLines="0" zoomScaleNormal="100" zoomScaleSheetLayoutView="100" workbookViewId="0">
      <pane xSplit="4" ySplit="8" topLeftCell="CJ9" activePane="bottomRight" state="frozen"/>
      <selection pane="topRight"/>
      <selection pane="bottomLeft"/>
      <selection pane="bottomRight" activeCell="CL7" sqref="CL7"/>
    </sheetView>
  </sheetViews>
  <sheetFormatPr defaultColWidth="9.42578125" defaultRowHeight="16.350000000000001" customHeight="1" outlineLevelRow="1" outlineLevelCol="1"/>
  <cols>
    <col min="1" max="1" width="6.5703125" customWidth="1"/>
    <col min="2" max="2" width="9.5703125" hidden="1" customWidth="1" outlineLevel="1"/>
    <col min="3" max="3" width="42.42578125" bestFit="1" customWidth="1" collapsed="1"/>
    <col min="4" max="4" width="44.5703125" bestFit="1" customWidth="1"/>
    <col min="5" max="7" width="12.5703125" hidden="1" customWidth="1" outlineLevel="1"/>
    <col min="8" max="8" width="12.5703125" customWidth="1" collapsed="1"/>
    <col min="9" max="11" width="12.5703125" hidden="1" customWidth="1" outlineLevel="1"/>
    <col min="12" max="12" width="12.5703125" customWidth="1" collapsed="1"/>
    <col min="13" max="15" width="12.5703125" hidden="1" customWidth="1" outlineLevel="1"/>
    <col min="16" max="16" width="12.5703125" customWidth="1" collapsed="1"/>
    <col min="17" max="19" width="12.5703125" hidden="1" customWidth="1" outlineLevel="1"/>
    <col min="20" max="20" width="12.5703125" customWidth="1" collapsed="1"/>
    <col min="21" max="23" width="12.5703125" hidden="1" customWidth="1" outlineLevel="1"/>
    <col min="24" max="24" width="12.5703125" customWidth="1" collapsed="1"/>
    <col min="25" max="27" width="12.5703125" hidden="1" customWidth="1" outlineLevel="1"/>
    <col min="28" max="28" width="12.5703125" customWidth="1" collapsed="1"/>
    <col min="29" max="29" width="11" hidden="1" customWidth="1" outlineLevel="1" collapsed="1"/>
    <col min="30" max="30" width="12.5703125" hidden="1" customWidth="1" outlineLevel="1" collapsed="1"/>
    <col min="31" max="31" width="12.5703125" hidden="1" customWidth="1" outlineLevel="1"/>
    <col min="32" max="32" width="12.5703125" customWidth="1" collapsed="1"/>
    <col min="33" max="33" width="12.5703125" hidden="1" customWidth="1" outlineLevel="1"/>
    <col min="34" max="35" width="12.5703125" hidden="1" customWidth="1" outlineLevel="1" collapsed="1"/>
    <col min="36" max="36" width="12.5703125" customWidth="1" collapsed="1"/>
    <col min="37" max="37" width="12.5703125" hidden="1" customWidth="1" outlineLevel="1" collapsed="1"/>
    <col min="38" max="39" width="12.5703125" hidden="1" customWidth="1" outlineLevel="1"/>
    <col min="40" max="40" width="12.5703125" customWidth="1" collapsed="1"/>
    <col min="41" max="43" width="12.5703125" hidden="1" customWidth="1" outlineLevel="1"/>
    <col min="44" max="44" width="12.5703125" customWidth="1" collapsed="1"/>
    <col min="45" max="47" width="12.5703125" hidden="1" customWidth="1" outlineLevel="1"/>
    <col min="48" max="48" width="12.5703125" customWidth="1" collapsed="1"/>
    <col min="49" max="51" width="12.5703125" hidden="1" customWidth="1" outlineLevel="1"/>
    <col min="52" max="52" width="12.5703125" customWidth="1" collapsed="1"/>
    <col min="53" max="55" width="12.5703125" hidden="1" customWidth="1" outlineLevel="1"/>
    <col min="56" max="56" width="12.5703125" customWidth="1" collapsed="1"/>
    <col min="57" max="59" width="12.5703125" hidden="1" customWidth="1" outlineLevel="1"/>
    <col min="60" max="60" width="12.5703125" customWidth="1" collapsed="1"/>
    <col min="61" max="63" width="12.5703125" hidden="1" customWidth="1" outlineLevel="1"/>
    <col min="64" max="64" width="12.5703125" customWidth="1" collapsed="1"/>
    <col min="65" max="67" width="12.5703125" hidden="1" customWidth="1" outlineLevel="1"/>
    <col min="68" max="68" width="12.5703125" customWidth="1" collapsed="1"/>
    <col min="69" max="71" width="12.5703125" hidden="1" customWidth="1" outlineLevel="1"/>
    <col min="72" max="72" width="12.5703125" customWidth="1" collapsed="1"/>
    <col min="73" max="75" width="12.5703125" hidden="1" customWidth="1" outlineLevel="1"/>
    <col min="76" max="76" width="12.5703125" customWidth="1" collapsed="1"/>
    <col min="77" max="78" width="12.5703125" hidden="1" customWidth="1" outlineLevel="1"/>
    <col min="79" max="79" width="11.5703125" hidden="1" customWidth="1" outlineLevel="1"/>
    <col min="80" max="80" width="12.5703125" customWidth="1" collapsed="1"/>
    <col min="81" max="83" width="12.5703125" hidden="1" customWidth="1" outlineLevel="1"/>
    <col min="84" max="84" width="12.5703125" customWidth="1" collapsed="1"/>
    <col min="85" max="86" width="12.5703125" hidden="1" customWidth="1" outlineLevel="1" collapsed="1"/>
    <col min="87" max="87" width="13.42578125" hidden="1" customWidth="1" outlineLevel="1"/>
    <col min="88" max="88" width="13.42578125" customWidth="1" collapsed="1"/>
    <col min="89" max="90" width="13.42578125" customWidth="1"/>
    <col min="91" max="91" width="10.42578125" bestFit="1" customWidth="1"/>
    <col min="119" max="119" width="11.42578125" customWidth="1"/>
    <col min="120" max="120" width="12.5703125" customWidth="1"/>
    <col min="147" max="147" width="12.42578125" customWidth="1"/>
    <col min="148" max="148" width="12.5703125" customWidth="1"/>
  </cols>
  <sheetData>
    <row r="4" spans="1:92" ht="16.350000000000001" customHeight="1">
      <c r="C4" s="8"/>
      <c r="E4" s="397">
        <f t="shared" ref="E4:AJ4" si="0">E7-E35</f>
        <v>0</v>
      </c>
      <c r="F4" s="397">
        <f t="shared" si="0"/>
        <v>0</v>
      </c>
      <c r="G4" s="397">
        <f t="shared" si="0"/>
        <v>0</v>
      </c>
      <c r="H4" s="397">
        <f t="shared" si="0"/>
        <v>0</v>
      </c>
      <c r="I4" s="397">
        <f t="shared" si="0"/>
        <v>0</v>
      </c>
      <c r="J4" s="397">
        <f t="shared" si="0"/>
        <v>0</v>
      </c>
      <c r="K4" s="397">
        <f t="shared" si="0"/>
        <v>0</v>
      </c>
      <c r="L4" s="397">
        <f t="shared" si="0"/>
        <v>0</v>
      </c>
      <c r="M4" s="397">
        <f t="shared" si="0"/>
        <v>0</v>
      </c>
      <c r="N4" s="397">
        <f t="shared" si="0"/>
        <v>0</v>
      </c>
      <c r="O4" s="397">
        <f t="shared" si="0"/>
        <v>0</v>
      </c>
      <c r="P4" s="397">
        <f t="shared" si="0"/>
        <v>0</v>
      </c>
      <c r="Q4" s="397">
        <f t="shared" si="0"/>
        <v>0</v>
      </c>
      <c r="R4" s="397">
        <f t="shared" si="0"/>
        <v>0</v>
      </c>
      <c r="S4" s="397">
        <f t="shared" si="0"/>
        <v>0</v>
      </c>
      <c r="T4" s="397">
        <f t="shared" si="0"/>
        <v>0</v>
      </c>
      <c r="U4" s="397">
        <f t="shared" si="0"/>
        <v>0</v>
      </c>
      <c r="V4" s="397">
        <f t="shared" si="0"/>
        <v>0</v>
      </c>
      <c r="W4" s="397">
        <f t="shared" si="0"/>
        <v>0</v>
      </c>
      <c r="X4" s="397">
        <f t="shared" si="0"/>
        <v>0</v>
      </c>
      <c r="Y4" s="397">
        <f t="shared" si="0"/>
        <v>0</v>
      </c>
      <c r="Z4" s="397">
        <f t="shared" si="0"/>
        <v>0</v>
      </c>
      <c r="AA4" s="397">
        <f t="shared" si="0"/>
        <v>0</v>
      </c>
      <c r="AB4" s="397">
        <f t="shared" si="0"/>
        <v>0</v>
      </c>
      <c r="AC4" s="397">
        <f t="shared" si="0"/>
        <v>0</v>
      </c>
      <c r="AD4" s="397">
        <f t="shared" si="0"/>
        <v>0</v>
      </c>
      <c r="AE4" s="397">
        <f t="shared" si="0"/>
        <v>0</v>
      </c>
      <c r="AF4" s="397">
        <f t="shared" si="0"/>
        <v>0</v>
      </c>
      <c r="AG4" s="397">
        <f t="shared" si="0"/>
        <v>0</v>
      </c>
      <c r="AH4" s="397">
        <f t="shared" si="0"/>
        <v>0</v>
      </c>
      <c r="AI4" s="397">
        <f t="shared" si="0"/>
        <v>0</v>
      </c>
      <c r="AJ4" s="397">
        <f t="shared" si="0"/>
        <v>0</v>
      </c>
      <c r="AK4" s="397">
        <f t="shared" ref="AK4:BP4" si="1">AK7-AK35</f>
        <v>0</v>
      </c>
      <c r="AL4" s="397">
        <f t="shared" si="1"/>
        <v>0</v>
      </c>
      <c r="AM4" s="397">
        <f t="shared" si="1"/>
        <v>0</v>
      </c>
      <c r="AN4" s="397">
        <f t="shared" si="1"/>
        <v>0</v>
      </c>
      <c r="AO4" s="397">
        <f t="shared" si="1"/>
        <v>0</v>
      </c>
      <c r="AP4" s="397">
        <f t="shared" si="1"/>
        <v>0</v>
      </c>
      <c r="AQ4" s="397">
        <f t="shared" si="1"/>
        <v>0</v>
      </c>
      <c r="AR4" s="397">
        <f t="shared" si="1"/>
        <v>0</v>
      </c>
      <c r="AS4" s="397">
        <f t="shared" si="1"/>
        <v>0</v>
      </c>
      <c r="AT4" s="397">
        <f t="shared" si="1"/>
        <v>0</v>
      </c>
      <c r="AU4" s="397">
        <f t="shared" si="1"/>
        <v>0</v>
      </c>
      <c r="AV4" s="397">
        <f t="shared" si="1"/>
        <v>0</v>
      </c>
      <c r="AW4" s="397">
        <f t="shared" si="1"/>
        <v>0</v>
      </c>
      <c r="AX4" s="397">
        <f t="shared" si="1"/>
        <v>0</v>
      </c>
      <c r="AY4" s="397">
        <f t="shared" si="1"/>
        <v>0</v>
      </c>
      <c r="AZ4" s="397">
        <f t="shared" si="1"/>
        <v>0</v>
      </c>
      <c r="BA4" s="397">
        <f t="shared" si="1"/>
        <v>0</v>
      </c>
      <c r="BB4" s="397">
        <f t="shared" si="1"/>
        <v>0</v>
      </c>
      <c r="BC4" s="397">
        <f t="shared" si="1"/>
        <v>0</v>
      </c>
      <c r="BD4" s="397">
        <f t="shared" si="1"/>
        <v>0</v>
      </c>
      <c r="BE4" s="397">
        <f t="shared" si="1"/>
        <v>0</v>
      </c>
      <c r="BF4" s="397">
        <f t="shared" si="1"/>
        <v>0</v>
      </c>
      <c r="BG4" s="397">
        <f t="shared" si="1"/>
        <v>0</v>
      </c>
      <c r="BH4" s="397">
        <f t="shared" si="1"/>
        <v>0</v>
      </c>
      <c r="BI4" s="397">
        <f t="shared" si="1"/>
        <v>0</v>
      </c>
      <c r="BJ4" s="397">
        <f t="shared" si="1"/>
        <v>0</v>
      </c>
      <c r="BK4" s="397">
        <f t="shared" si="1"/>
        <v>0</v>
      </c>
      <c r="BL4" s="397">
        <f t="shared" si="1"/>
        <v>0</v>
      </c>
      <c r="BM4" s="397">
        <f t="shared" si="1"/>
        <v>0</v>
      </c>
      <c r="BN4" s="397">
        <f t="shared" si="1"/>
        <v>0</v>
      </c>
      <c r="BO4" s="397">
        <f t="shared" si="1"/>
        <v>0</v>
      </c>
      <c r="BP4" s="397">
        <f t="shared" si="1"/>
        <v>0</v>
      </c>
      <c r="BQ4" s="397">
        <f t="shared" ref="BQ4:CI4" si="2">BQ7-BQ35</f>
        <v>0</v>
      </c>
      <c r="BR4" s="397">
        <f t="shared" si="2"/>
        <v>0</v>
      </c>
      <c r="BS4" s="397">
        <f t="shared" si="2"/>
        <v>0</v>
      </c>
      <c r="BT4" s="397">
        <f t="shared" si="2"/>
        <v>0</v>
      </c>
      <c r="BU4" s="397">
        <f t="shared" si="2"/>
        <v>0</v>
      </c>
      <c r="BV4" s="397">
        <f t="shared" si="2"/>
        <v>0</v>
      </c>
      <c r="BW4" s="397">
        <f t="shared" si="2"/>
        <v>0</v>
      </c>
      <c r="BX4" s="397">
        <f t="shared" si="2"/>
        <v>0</v>
      </c>
      <c r="BY4" s="397">
        <f t="shared" si="2"/>
        <v>0</v>
      </c>
      <c r="BZ4" s="397">
        <f t="shared" si="2"/>
        <v>0</v>
      </c>
      <c r="CA4" s="397">
        <f t="shared" si="2"/>
        <v>0</v>
      </c>
      <c r="CB4" s="397">
        <f t="shared" si="2"/>
        <v>0</v>
      </c>
      <c r="CC4" s="397">
        <f t="shared" si="2"/>
        <v>0</v>
      </c>
      <c r="CD4" s="397">
        <f t="shared" si="2"/>
        <v>0</v>
      </c>
      <c r="CE4" s="397">
        <f t="shared" si="2"/>
        <v>0</v>
      </c>
      <c r="CF4" s="397">
        <f t="shared" si="2"/>
        <v>0</v>
      </c>
      <c r="CG4" s="397">
        <f t="shared" si="2"/>
        <v>0</v>
      </c>
      <c r="CH4" s="397">
        <f t="shared" si="2"/>
        <v>0</v>
      </c>
      <c r="CI4" s="397">
        <f t="shared" si="2"/>
        <v>0</v>
      </c>
      <c r="CJ4" s="397">
        <f t="shared" ref="CJ4:CK4" si="3">CJ7-CJ35</f>
        <v>0</v>
      </c>
      <c r="CK4" s="397">
        <f t="shared" si="3"/>
        <v>0</v>
      </c>
      <c r="CL4" s="397">
        <f t="shared" ref="CL4" si="4">CL7-CL35</f>
        <v>0</v>
      </c>
    </row>
    <row r="5" spans="1:92" ht="16.350000000000001" customHeight="1">
      <c r="A5" s="68"/>
      <c r="B5" s="68"/>
      <c r="C5" s="68"/>
      <c r="D5" s="68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BW5" s="7"/>
      <c r="BX5" s="7"/>
      <c r="BY5" s="7"/>
      <c r="BZ5" s="7"/>
      <c r="CA5" s="7"/>
      <c r="CB5" s="7"/>
      <c r="CC5" s="7"/>
      <c r="CD5" s="7"/>
      <c r="CE5" s="7"/>
      <c r="CF5" s="7"/>
      <c r="CG5" s="7"/>
      <c r="CH5" s="7"/>
      <c r="CI5" s="7"/>
      <c r="CJ5" s="7"/>
      <c r="CK5" s="7"/>
      <c r="CL5" s="7"/>
    </row>
    <row r="6" spans="1:92" ht="16.350000000000001" customHeight="1">
      <c r="A6" s="68"/>
      <c r="B6" s="68"/>
      <c r="C6" s="437" t="s">
        <v>356</v>
      </c>
      <c r="D6" s="437" t="s">
        <v>352</v>
      </c>
      <c r="E6" s="438">
        <v>38442</v>
      </c>
      <c r="F6" s="438">
        <f>EOMONTH(E6,3)</f>
        <v>38533</v>
      </c>
      <c r="G6" s="438">
        <f t="shared" ref="G6:BR6" si="5">EOMONTH(F6,3)</f>
        <v>38625</v>
      </c>
      <c r="H6" s="438">
        <f t="shared" si="5"/>
        <v>38717</v>
      </c>
      <c r="I6" s="438">
        <f t="shared" si="5"/>
        <v>38807</v>
      </c>
      <c r="J6" s="438">
        <f t="shared" si="5"/>
        <v>38898</v>
      </c>
      <c r="K6" s="438">
        <f t="shared" si="5"/>
        <v>38990</v>
      </c>
      <c r="L6" s="438">
        <f t="shared" si="5"/>
        <v>39082</v>
      </c>
      <c r="M6" s="438">
        <f t="shared" si="5"/>
        <v>39172</v>
      </c>
      <c r="N6" s="438">
        <f t="shared" si="5"/>
        <v>39263</v>
      </c>
      <c r="O6" s="438">
        <f t="shared" si="5"/>
        <v>39355</v>
      </c>
      <c r="P6" s="438">
        <f t="shared" si="5"/>
        <v>39447</v>
      </c>
      <c r="Q6" s="438">
        <f t="shared" si="5"/>
        <v>39538</v>
      </c>
      <c r="R6" s="438">
        <f t="shared" si="5"/>
        <v>39629</v>
      </c>
      <c r="S6" s="438">
        <f t="shared" si="5"/>
        <v>39721</v>
      </c>
      <c r="T6" s="438">
        <f t="shared" si="5"/>
        <v>39813</v>
      </c>
      <c r="U6" s="438">
        <f t="shared" si="5"/>
        <v>39903</v>
      </c>
      <c r="V6" s="438">
        <f t="shared" si="5"/>
        <v>39994</v>
      </c>
      <c r="W6" s="438">
        <f t="shared" si="5"/>
        <v>40086</v>
      </c>
      <c r="X6" s="438">
        <f t="shared" si="5"/>
        <v>40178</v>
      </c>
      <c r="Y6" s="438">
        <f t="shared" si="5"/>
        <v>40268</v>
      </c>
      <c r="Z6" s="438">
        <f t="shared" si="5"/>
        <v>40359</v>
      </c>
      <c r="AA6" s="438">
        <f t="shared" si="5"/>
        <v>40451</v>
      </c>
      <c r="AB6" s="438">
        <f t="shared" si="5"/>
        <v>40543</v>
      </c>
      <c r="AC6" s="438">
        <f t="shared" si="5"/>
        <v>40633</v>
      </c>
      <c r="AD6" s="438">
        <f t="shared" si="5"/>
        <v>40724</v>
      </c>
      <c r="AE6" s="438">
        <f t="shared" si="5"/>
        <v>40816</v>
      </c>
      <c r="AF6" s="438">
        <f t="shared" si="5"/>
        <v>40908</v>
      </c>
      <c r="AG6" s="438">
        <f t="shared" si="5"/>
        <v>40999</v>
      </c>
      <c r="AH6" s="438">
        <f t="shared" si="5"/>
        <v>41090</v>
      </c>
      <c r="AI6" s="438">
        <f t="shared" si="5"/>
        <v>41182</v>
      </c>
      <c r="AJ6" s="438">
        <f t="shared" si="5"/>
        <v>41274</v>
      </c>
      <c r="AK6" s="438">
        <f t="shared" si="5"/>
        <v>41364</v>
      </c>
      <c r="AL6" s="438">
        <f t="shared" si="5"/>
        <v>41455</v>
      </c>
      <c r="AM6" s="438">
        <f t="shared" si="5"/>
        <v>41547</v>
      </c>
      <c r="AN6" s="438">
        <f t="shared" si="5"/>
        <v>41639</v>
      </c>
      <c r="AO6" s="438">
        <f t="shared" si="5"/>
        <v>41729</v>
      </c>
      <c r="AP6" s="438">
        <f t="shared" si="5"/>
        <v>41820</v>
      </c>
      <c r="AQ6" s="438">
        <f t="shared" si="5"/>
        <v>41912</v>
      </c>
      <c r="AR6" s="438">
        <f t="shared" si="5"/>
        <v>42004</v>
      </c>
      <c r="AS6" s="438">
        <f t="shared" si="5"/>
        <v>42094</v>
      </c>
      <c r="AT6" s="438">
        <f t="shared" si="5"/>
        <v>42185</v>
      </c>
      <c r="AU6" s="438">
        <f t="shared" si="5"/>
        <v>42277</v>
      </c>
      <c r="AV6" s="438">
        <f t="shared" si="5"/>
        <v>42369</v>
      </c>
      <c r="AW6" s="438">
        <f t="shared" si="5"/>
        <v>42460</v>
      </c>
      <c r="AX6" s="438">
        <f t="shared" si="5"/>
        <v>42551</v>
      </c>
      <c r="AY6" s="438">
        <f t="shared" si="5"/>
        <v>42643</v>
      </c>
      <c r="AZ6" s="438">
        <f t="shared" si="5"/>
        <v>42735</v>
      </c>
      <c r="BA6" s="438">
        <f t="shared" si="5"/>
        <v>42825</v>
      </c>
      <c r="BB6" s="438">
        <f t="shared" si="5"/>
        <v>42916</v>
      </c>
      <c r="BC6" s="438">
        <f t="shared" si="5"/>
        <v>43008</v>
      </c>
      <c r="BD6" s="438">
        <f t="shared" si="5"/>
        <v>43100</v>
      </c>
      <c r="BE6" s="438">
        <f t="shared" si="5"/>
        <v>43190</v>
      </c>
      <c r="BF6" s="438">
        <f t="shared" si="5"/>
        <v>43281</v>
      </c>
      <c r="BG6" s="438">
        <f t="shared" si="5"/>
        <v>43373</v>
      </c>
      <c r="BH6" s="438">
        <f t="shared" si="5"/>
        <v>43465</v>
      </c>
      <c r="BI6" s="438">
        <f t="shared" si="5"/>
        <v>43555</v>
      </c>
      <c r="BJ6" s="438">
        <f t="shared" si="5"/>
        <v>43646</v>
      </c>
      <c r="BK6" s="438">
        <f t="shared" si="5"/>
        <v>43738</v>
      </c>
      <c r="BL6" s="438">
        <f t="shared" si="5"/>
        <v>43830</v>
      </c>
      <c r="BM6" s="438">
        <f t="shared" si="5"/>
        <v>43921</v>
      </c>
      <c r="BN6" s="438">
        <f t="shared" si="5"/>
        <v>44012</v>
      </c>
      <c r="BO6" s="438">
        <f t="shared" si="5"/>
        <v>44104</v>
      </c>
      <c r="BP6" s="438">
        <f t="shared" si="5"/>
        <v>44196</v>
      </c>
      <c r="BQ6" s="438">
        <f t="shared" si="5"/>
        <v>44286</v>
      </c>
      <c r="BR6" s="438">
        <f t="shared" si="5"/>
        <v>44377</v>
      </c>
      <c r="BS6" s="438">
        <f t="shared" ref="BS6:CL6" si="6">EOMONTH(BR6,3)</f>
        <v>44469</v>
      </c>
      <c r="BT6" s="438">
        <f t="shared" si="6"/>
        <v>44561</v>
      </c>
      <c r="BU6" s="438">
        <f t="shared" si="6"/>
        <v>44651</v>
      </c>
      <c r="BV6" s="438">
        <f t="shared" si="6"/>
        <v>44742</v>
      </c>
      <c r="BW6" s="438">
        <f t="shared" si="6"/>
        <v>44834</v>
      </c>
      <c r="BX6" s="438">
        <f t="shared" si="6"/>
        <v>44926</v>
      </c>
      <c r="BY6" s="438">
        <f t="shared" si="6"/>
        <v>45016</v>
      </c>
      <c r="BZ6" s="438">
        <f t="shared" si="6"/>
        <v>45107</v>
      </c>
      <c r="CA6" s="438">
        <f t="shared" si="6"/>
        <v>45199</v>
      </c>
      <c r="CB6" s="438">
        <f t="shared" si="6"/>
        <v>45291</v>
      </c>
      <c r="CC6" s="438">
        <f t="shared" si="6"/>
        <v>45382</v>
      </c>
      <c r="CD6" s="438">
        <f t="shared" si="6"/>
        <v>45473</v>
      </c>
      <c r="CE6" s="438">
        <f t="shared" si="6"/>
        <v>45565</v>
      </c>
      <c r="CF6" s="438">
        <f t="shared" si="6"/>
        <v>45657</v>
      </c>
      <c r="CG6" s="438">
        <f t="shared" si="6"/>
        <v>45747</v>
      </c>
      <c r="CH6" s="438">
        <f t="shared" si="6"/>
        <v>45838</v>
      </c>
      <c r="CI6" s="438">
        <f t="shared" si="6"/>
        <v>45930</v>
      </c>
      <c r="CJ6" s="438">
        <f t="shared" si="6"/>
        <v>46022</v>
      </c>
      <c r="CK6" s="438">
        <f t="shared" si="6"/>
        <v>46112</v>
      </c>
      <c r="CL6" s="438">
        <f t="shared" si="6"/>
        <v>46203</v>
      </c>
    </row>
    <row r="7" spans="1:92" ht="16.350000000000001" customHeight="1">
      <c r="A7" s="70"/>
      <c r="B7" s="70"/>
      <c r="C7" s="19" t="s">
        <v>2</v>
      </c>
      <c r="D7" s="19" t="s">
        <v>3</v>
      </c>
      <c r="E7" s="71">
        <v>672486</v>
      </c>
      <c r="F7" s="71">
        <v>702874</v>
      </c>
      <c r="G7" s="71">
        <v>873847</v>
      </c>
      <c r="H7" s="71">
        <v>1067284</v>
      </c>
      <c r="I7" s="71">
        <v>923259</v>
      </c>
      <c r="J7" s="71">
        <v>1058938</v>
      </c>
      <c r="K7" s="71">
        <v>1114516</v>
      </c>
      <c r="L7" s="71">
        <v>1426122</v>
      </c>
      <c r="M7" s="71">
        <v>1267399</v>
      </c>
      <c r="N7" s="71">
        <v>1319883</v>
      </c>
      <c r="O7" s="71">
        <v>1356469</v>
      </c>
      <c r="P7" s="71">
        <v>1608356</v>
      </c>
      <c r="Q7" s="71">
        <v>1458016</v>
      </c>
      <c r="R7" s="71">
        <v>1505928</v>
      </c>
      <c r="S7" s="71">
        <v>1435204</v>
      </c>
      <c r="T7" s="71">
        <v>1626355</v>
      </c>
      <c r="U7" s="71">
        <v>1452186</v>
      </c>
      <c r="V7" s="71">
        <f>V9+V20</f>
        <v>1586345</v>
      </c>
      <c r="W7" s="71">
        <v>1629790</v>
      </c>
      <c r="X7" s="71">
        <v>1921197</v>
      </c>
      <c r="Y7" s="71">
        <v>1832162</v>
      </c>
      <c r="Z7" s="71">
        <v>1871880</v>
      </c>
      <c r="AA7" s="71">
        <v>1905562</v>
      </c>
      <c r="AB7" s="71">
        <v>1871880</v>
      </c>
      <c r="AC7" s="71">
        <v>1905562</v>
      </c>
      <c r="AD7" s="71">
        <v>2228907</v>
      </c>
      <c r="AE7" s="71">
        <v>2661532</v>
      </c>
      <c r="AF7" s="71">
        <v>2983504</v>
      </c>
      <c r="AG7" s="71">
        <v>2859507</v>
      </c>
      <c r="AH7" s="71">
        <v>2909729</v>
      </c>
      <c r="AI7" s="71">
        <v>3322175</v>
      </c>
      <c r="AJ7" s="71">
        <v>3770028</v>
      </c>
      <c r="AK7" s="71">
        <v>3485527</v>
      </c>
      <c r="AL7" s="71">
        <v>3513137</v>
      </c>
      <c r="AM7" s="71">
        <v>4015436.0360000003</v>
      </c>
      <c r="AN7" s="71">
        <v>4515524</v>
      </c>
      <c r="AO7" s="71">
        <v>4300689</v>
      </c>
      <c r="AP7" s="71">
        <v>4404998</v>
      </c>
      <c r="AQ7" s="71">
        <v>4509147</v>
      </c>
      <c r="AR7" s="71">
        <v>5318884</v>
      </c>
      <c r="AS7" s="71">
        <v>5075915</v>
      </c>
      <c r="AT7" s="71">
        <v>5231713</v>
      </c>
      <c r="AU7" s="71">
        <v>5292745</v>
      </c>
      <c r="AV7" s="71">
        <v>5863719</v>
      </c>
      <c r="AW7" s="71">
        <v>5571244</v>
      </c>
      <c r="AX7" s="71">
        <v>5812619</v>
      </c>
      <c r="AY7" s="71">
        <v>5674332</v>
      </c>
      <c r="AZ7" s="71">
        <v>6475212</v>
      </c>
      <c r="BA7" s="71">
        <v>6251926</v>
      </c>
      <c r="BB7" s="71">
        <v>6596513</v>
      </c>
      <c r="BC7" s="71">
        <v>6486567</v>
      </c>
      <c r="BD7" s="71">
        <v>7547658</v>
      </c>
      <c r="BE7" s="71">
        <v>7026755</v>
      </c>
      <c r="BF7" s="71">
        <v>7305307</v>
      </c>
      <c r="BG7" s="71">
        <v>7547252</v>
      </c>
      <c r="BH7" s="71">
        <v>8821048</v>
      </c>
      <c r="BI7" s="71">
        <v>10063113</v>
      </c>
      <c r="BJ7" s="71">
        <v>9923908</v>
      </c>
      <c r="BK7" s="71">
        <v>10202306</v>
      </c>
      <c r="BL7" s="71">
        <v>11552902</v>
      </c>
      <c r="BM7" s="71">
        <v>11504459</v>
      </c>
      <c r="BN7" s="71">
        <v>12828071</v>
      </c>
      <c r="BO7" s="71">
        <v>12982090</v>
      </c>
      <c r="BP7" s="71">
        <v>14642583</v>
      </c>
      <c r="BQ7" s="71">
        <v>14736953</v>
      </c>
      <c r="BR7" s="71">
        <v>18744462</v>
      </c>
      <c r="BS7" s="71">
        <v>19462761</v>
      </c>
      <c r="BT7" s="71">
        <v>21411985</v>
      </c>
      <c r="BU7" s="71">
        <v>21060632</v>
      </c>
      <c r="BV7" s="71">
        <v>20949309</v>
      </c>
      <c r="BW7" s="71">
        <v>20816608</v>
      </c>
      <c r="BX7" s="71">
        <v>21148892</v>
      </c>
      <c r="BY7" s="71">
        <v>19691820</v>
      </c>
      <c r="BZ7" s="71">
        <v>19953683</v>
      </c>
      <c r="CA7" s="72">
        <v>19959761</v>
      </c>
      <c r="CB7" s="71">
        <v>20490638</v>
      </c>
      <c r="CC7" s="71">
        <f t="shared" ref="CC7:CD7" si="7">CC9+CC20</f>
        <v>19050366</v>
      </c>
      <c r="CD7" s="71">
        <f t="shared" si="7"/>
        <v>19244851</v>
      </c>
      <c r="CE7" s="71">
        <f t="shared" ref="CE7:CF7" si="8">CE9+CE20</f>
        <v>19171858</v>
      </c>
      <c r="CF7" s="71">
        <f t="shared" si="8"/>
        <v>20364590</v>
      </c>
      <c r="CG7" s="71">
        <f t="shared" ref="CG7:CH7" si="9">CG9+CG20</f>
        <v>18457504</v>
      </c>
      <c r="CH7" s="71">
        <f t="shared" si="9"/>
        <v>18735315</v>
      </c>
      <c r="CI7" s="71">
        <f>CI9+CI20</f>
        <v>18348667</v>
      </c>
      <c r="CJ7" s="71">
        <f>CJ9+CJ20</f>
        <v>19626027</v>
      </c>
      <c r="CK7" s="71">
        <f>CK9+CK20</f>
        <v>18872967</v>
      </c>
      <c r="CL7" s="71">
        <f>CL9+CL20</f>
        <v>19107201</v>
      </c>
    </row>
    <row r="8" spans="1:92" ht="16.350000000000001" customHeight="1">
      <c r="A8" s="70"/>
      <c r="B8" s="70"/>
      <c r="C8" s="73"/>
      <c r="D8" s="73"/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  <c r="R8" s="74"/>
      <c r="S8" s="74"/>
      <c r="T8" s="74"/>
      <c r="U8" s="74"/>
      <c r="V8" s="7"/>
      <c r="W8" s="74"/>
      <c r="X8" s="74"/>
      <c r="Y8" s="74"/>
      <c r="Z8" s="74"/>
      <c r="AA8" s="74"/>
      <c r="AB8" s="74"/>
      <c r="AC8" s="74"/>
      <c r="AD8" s="74"/>
      <c r="AE8" s="74"/>
      <c r="AF8" s="74"/>
      <c r="AG8" s="74"/>
      <c r="AH8" s="74"/>
      <c r="AI8" s="74"/>
      <c r="AJ8" s="74"/>
      <c r="AK8" s="74"/>
      <c r="AL8" s="74"/>
      <c r="AM8" s="74"/>
      <c r="AN8" s="74"/>
      <c r="AO8" s="74"/>
      <c r="AP8" s="74"/>
      <c r="AQ8" s="74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4"/>
      <c r="CA8" s="7"/>
      <c r="CB8" s="75"/>
      <c r="CC8" s="75"/>
      <c r="CD8" s="75"/>
      <c r="CE8" s="75"/>
      <c r="CF8" s="75"/>
      <c r="CG8" s="75"/>
      <c r="CH8" s="75"/>
      <c r="CI8" s="7"/>
      <c r="CJ8" s="7"/>
      <c r="CK8" s="7"/>
      <c r="CL8" s="7"/>
    </row>
    <row r="9" spans="1:92" ht="16.350000000000001" customHeight="1">
      <c r="A9" s="70"/>
      <c r="B9" s="70"/>
      <c r="C9" s="76" t="s">
        <v>80</v>
      </c>
      <c r="D9" s="76" t="s">
        <v>73</v>
      </c>
      <c r="E9" s="77">
        <v>465338</v>
      </c>
      <c r="F9" s="77">
        <v>484529</v>
      </c>
      <c r="G9" s="77">
        <v>650524</v>
      </c>
      <c r="H9" s="77">
        <v>811611</v>
      </c>
      <c r="I9" s="77">
        <v>666781</v>
      </c>
      <c r="J9" s="77">
        <v>773039</v>
      </c>
      <c r="K9" s="77">
        <v>814675</v>
      </c>
      <c r="L9" s="77">
        <v>1073136</v>
      </c>
      <c r="M9" s="77">
        <v>918019</v>
      </c>
      <c r="N9" s="77">
        <v>948706</v>
      </c>
      <c r="O9" s="77">
        <v>989448</v>
      </c>
      <c r="P9" s="77">
        <v>1187704</v>
      </c>
      <c r="Q9" s="77">
        <v>1041938</v>
      </c>
      <c r="R9" s="77">
        <v>1072154</v>
      </c>
      <c r="S9" s="77">
        <v>983179</v>
      </c>
      <c r="T9" s="77">
        <v>1131360</v>
      </c>
      <c r="U9" s="77">
        <v>974785</v>
      </c>
      <c r="V9" s="77">
        <f t="shared" ref="V9" si="10">SUM(V10:V18)</f>
        <v>1103490</v>
      </c>
      <c r="W9" s="77">
        <v>1152474</v>
      </c>
      <c r="X9" s="77">
        <v>1428305</v>
      </c>
      <c r="Y9" s="77">
        <v>1348005</v>
      </c>
      <c r="Z9" s="77">
        <v>1379239</v>
      </c>
      <c r="AA9" s="77">
        <v>1404589</v>
      </c>
      <c r="AB9" s="77">
        <v>1379239</v>
      </c>
      <c r="AC9" s="77">
        <v>1404589</v>
      </c>
      <c r="AD9" s="77">
        <v>1441844</v>
      </c>
      <c r="AE9" s="77">
        <v>1838263</v>
      </c>
      <c r="AF9" s="77">
        <v>2035555</v>
      </c>
      <c r="AG9" s="77">
        <v>1876789</v>
      </c>
      <c r="AH9" s="77">
        <v>1864842</v>
      </c>
      <c r="AI9" s="77">
        <v>2188443</v>
      </c>
      <c r="AJ9" s="77">
        <v>2496890</v>
      </c>
      <c r="AK9" s="77">
        <v>2221684</v>
      </c>
      <c r="AL9" s="77">
        <v>2241864</v>
      </c>
      <c r="AM9" s="77">
        <v>2657264.0360000003</v>
      </c>
      <c r="AN9" s="77">
        <v>3001262</v>
      </c>
      <c r="AO9" s="77">
        <v>2757108</v>
      </c>
      <c r="AP9" s="77">
        <v>2777918</v>
      </c>
      <c r="AQ9" s="77">
        <v>2808122</v>
      </c>
      <c r="AR9" s="77">
        <v>3496489</v>
      </c>
      <c r="AS9" s="77">
        <v>3274070</v>
      </c>
      <c r="AT9" s="77">
        <v>3314883</v>
      </c>
      <c r="AU9" s="77">
        <v>3304091</v>
      </c>
      <c r="AV9" s="77">
        <v>3721211</v>
      </c>
      <c r="AW9" s="77">
        <v>3385396</v>
      </c>
      <c r="AX9" s="77">
        <v>3512408</v>
      </c>
      <c r="AY9" s="77">
        <v>3356909</v>
      </c>
      <c r="AZ9" s="77">
        <v>4085477</v>
      </c>
      <c r="BA9" s="77">
        <v>3890929</v>
      </c>
      <c r="BB9" s="77">
        <v>4205998</v>
      </c>
      <c r="BC9" s="77">
        <v>4010903</v>
      </c>
      <c r="BD9" s="77">
        <v>4907941</v>
      </c>
      <c r="BE9" s="77">
        <v>4360150</v>
      </c>
      <c r="BF9" s="77">
        <v>4609391</v>
      </c>
      <c r="BG9" s="77">
        <v>4779355</v>
      </c>
      <c r="BH9" s="77">
        <v>5930335</v>
      </c>
      <c r="BI9" s="77">
        <v>5573986</v>
      </c>
      <c r="BJ9" s="77">
        <v>5376263</v>
      </c>
      <c r="BK9" s="77">
        <v>5524786</v>
      </c>
      <c r="BL9" s="77">
        <v>6656209</v>
      </c>
      <c r="BM9" s="77">
        <v>6598661</v>
      </c>
      <c r="BN9" s="77">
        <v>7203646</v>
      </c>
      <c r="BO9" s="77">
        <v>7265876</v>
      </c>
      <c r="BP9" s="77">
        <v>8896766</v>
      </c>
      <c r="BQ9" s="77">
        <v>8217276</v>
      </c>
      <c r="BR9" s="77">
        <v>12010484</v>
      </c>
      <c r="BS9" s="77">
        <v>12473226</v>
      </c>
      <c r="BT9" s="77">
        <v>13984780</v>
      </c>
      <c r="BU9" s="77">
        <v>13818020</v>
      </c>
      <c r="BV9" s="77">
        <v>13452844</v>
      </c>
      <c r="BW9" s="77">
        <v>13171312</v>
      </c>
      <c r="BX9" s="77">
        <v>13043405</v>
      </c>
      <c r="BY9" s="77">
        <v>11681244</v>
      </c>
      <c r="BZ9" s="77">
        <v>11838578</v>
      </c>
      <c r="CA9" s="78">
        <v>11701873</v>
      </c>
      <c r="CB9" s="77">
        <v>12191644</v>
      </c>
      <c r="CC9" s="77">
        <f t="shared" ref="CC9:CD9" si="11">SUM(CC10:CC18)</f>
        <v>10827084</v>
      </c>
      <c r="CD9" s="77">
        <f t="shared" si="11"/>
        <v>11159253</v>
      </c>
      <c r="CE9" s="77">
        <f t="shared" ref="CE9:CF9" si="12">SUM(CE10:CE18)</f>
        <v>11223346</v>
      </c>
      <c r="CF9" s="77">
        <f t="shared" si="12"/>
        <v>12316659</v>
      </c>
      <c r="CG9" s="77">
        <f t="shared" ref="CG9" si="13">SUM(CG10:CG18)</f>
        <v>10556391</v>
      </c>
      <c r="CH9" s="77">
        <v>10994642</v>
      </c>
      <c r="CI9" s="77">
        <f t="shared" ref="CI9" si="14">SUM(CI10:CI18)</f>
        <v>10617415</v>
      </c>
      <c r="CJ9" s="77">
        <f t="shared" ref="CJ9:CK9" si="15">SUM(CJ10:CJ18)</f>
        <v>11633757</v>
      </c>
      <c r="CK9" s="77">
        <f t="shared" si="15"/>
        <v>10955027</v>
      </c>
      <c r="CL9" s="77">
        <f t="shared" ref="CL9" si="16">SUM(CL10:CL18)</f>
        <v>11276420</v>
      </c>
    </row>
    <row r="10" spans="1:92" ht="16.350000000000001" customHeight="1">
      <c r="A10" s="68"/>
      <c r="B10" s="68"/>
      <c r="C10" s="79" t="s">
        <v>204</v>
      </c>
      <c r="D10" s="79" t="s">
        <v>482</v>
      </c>
      <c r="E10" s="80">
        <v>85882</v>
      </c>
      <c r="F10" s="80">
        <v>110154</v>
      </c>
      <c r="G10" s="80">
        <v>266326</v>
      </c>
      <c r="H10" s="80">
        <v>276529</v>
      </c>
      <c r="I10" s="80">
        <v>167087</v>
      </c>
      <c r="J10" s="80">
        <v>219862</v>
      </c>
      <c r="K10" s="81">
        <v>217485</v>
      </c>
      <c r="L10" s="80">
        <v>287203</v>
      </c>
      <c r="M10" s="80">
        <v>168508</v>
      </c>
      <c r="N10" s="80">
        <v>220800</v>
      </c>
      <c r="O10" s="80">
        <v>261762</v>
      </c>
      <c r="P10" s="80">
        <v>296432</v>
      </c>
      <c r="Q10" s="80">
        <v>190600</v>
      </c>
      <c r="R10" s="80">
        <v>210317</v>
      </c>
      <c r="S10" s="80">
        <v>157877</v>
      </c>
      <c r="T10" s="80">
        <v>178700</v>
      </c>
      <c r="U10" s="80">
        <v>83339</v>
      </c>
      <c r="V10" s="80">
        <v>194402</v>
      </c>
      <c r="W10" s="80">
        <v>297666</v>
      </c>
      <c r="X10" s="80">
        <v>411370</v>
      </c>
      <c r="Y10" s="80">
        <v>390846</v>
      </c>
      <c r="Z10" s="80">
        <v>359077</v>
      </c>
      <c r="AA10" s="80">
        <v>399221</v>
      </c>
      <c r="AB10" s="80">
        <v>359077</v>
      </c>
      <c r="AC10" s="80">
        <v>399221</v>
      </c>
      <c r="AD10" s="80">
        <v>242212</v>
      </c>
      <c r="AE10" s="80">
        <v>659093</v>
      </c>
      <c r="AF10" s="80">
        <v>578264</v>
      </c>
      <c r="AG10" s="80">
        <v>499359</v>
      </c>
      <c r="AH10" s="80">
        <v>356209</v>
      </c>
      <c r="AI10" s="80">
        <v>643715</v>
      </c>
      <c r="AJ10" s="80">
        <v>683270</v>
      </c>
      <c r="AK10" s="80">
        <v>518146</v>
      </c>
      <c r="AL10" s="80">
        <v>448708</v>
      </c>
      <c r="AM10" s="80">
        <v>815695</v>
      </c>
      <c r="AN10" s="80">
        <v>801592</v>
      </c>
      <c r="AO10" s="80">
        <v>753394</v>
      </c>
      <c r="AP10" s="80">
        <v>719629</v>
      </c>
      <c r="AQ10" s="80">
        <v>626461</v>
      </c>
      <c r="AR10" s="80">
        <v>834340</v>
      </c>
      <c r="AS10" s="80">
        <v>748236</v>
      </c>
      <c r="AT10" s="80">
        <v>696597</v>
      </c>
      <c r="AU10" s="80">
        <v>559617</v>
      </c>
      <c r="AV10" s="80">
        <v>737527</v>
      </c>
      <c r="AW10" s="80">
        <v>827183</v>
      </c>
      <c r="AX10" s="80">
        <v>784706</v>
      </c>
      <c r="AY10" s="80">
        <v>717775</v>
      </c>
      <c r="AZ10" s="80">
        <v>894881</v>
      </c>
      <c r="BA10" s="80">
        <v>905490</v>
      </c>
      <c r="BB10" s="80">
        <v>970338</v>
      </c>
      <c r="BC10" s="80">
        <v>770949</v>
      </c>
      <c r="BD10" s="80">
        <v>1059873</v>
      </c>
      <c r="BE10" s="80">
        <v>788850</v>
      </c>
      <c r="BF10" s="80">
        <v>757693</v>
      </c>
      <c r="BG10" s="80">
        <v>555121</v>
      </c>
      <c r="BH10" s="80">
        <v>944671</v>
      </c>
      <c r="BI10" s="80">
        <v>540242</v>
      </c>
      <c r="BJ10" s="80">
        <v>646706</v>
      </c>
      <c r="BK10" s="80">
        <v>504388</v>
      </c>
      <c r="BL10" s="80">
        <v>980954</v>
      </c>
      <c r="BM10" s="80">
        <v>1243035</v>
      </c>
      <c r="BN10" s="80">
        <v>1716249</v>
      </c>
      <c r="BO10" s="80">
        <v>1303377</v>
      </c>
      <c r="BP10" s="80">
        <v>2066781</v>
      </c>
      <c r="BQ10" s="80">
        <v>2351690</v>
      </c>
      <c r="BR10" s="80">
        <v>4940478</v>
      </c>
      <c r="BS10" s="80">
        <v>5276525</v>
      </c>
      <c r="BT10" s="80">
        <v>5489417</v>
      </c>
      <c r="BU10" s="80">
        <v>5312889</v>
      </c>
      <c r="BV10" s="80">
        <v>4365617</v>
      </c>
      <c r="BW10" s="80">
        <v>3940208</v>
      </c>
      <c r="BX10" s="80">
        <v>2848351.3102200003</v>
      </c>
      <c r="BY10" s="80">
        <v>2209804</v>
      </c>
      <c r="BZ10" s="80">
        <v>2319961</v>
      </c>
      <c r="CA10" s="80">
        <v>2647874</v>
      </c>
      <c r="CB10" s="80">
        <v>2532187</v>
      </c>
      <c r="CC10" s="80">
        <v>1965873.8107</v>
      </c>
      <c r="CD10" s="80">
        <v>1832734</v>
      </c>
      <c r="CE10" s="80">
        <v>1784367</v>
      </c>
      <c r="CF10" s="80">
        <v>1926110</v>
      </c>
      <c r="CG10" s="80">
        <v>915570</v>
      </c>
      <c r="CH10" s="80">
        <v>833472</v>
      </c>
      <c r="CI10" s="80">
        <v>866881</v>
      </c>
      <c r="CJ10" s="80">
        <v>978066</v>
      </c>
      <c r="CK10" s="80">
        <v>1013229</v>
      </c>
      <c r="CL10" s="80">
        <v>1215940</v>
      </c>
      <c r="CM10" s="181"/>
      <c r="CN10" s="181"/>
    </row>
    <row r="11" spans="1:92" ht="16.350000000000001" customHeight="1">
      <c r="A11" s="68"/>
      <c r="B11" s="68"/>
      <c r="C11" s="79" t="s">
        <v>205</v>
      </c>
      <c r="D11" s="79" t="s">
        <v>483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1">
        <v>0</v>
      </c>
      <c r="L11" s="80">
        <v>0</v>
      </c>
      <c r="M11" s="80">
        <v>0</v>
      </c>
      <c r="N11" s="80">
        <v>0</v>
      </c>
      <c r="O11" s="80">
        <v>0</v>
      </c>
      <c r="P11" s="80">
        <v>0</v>
      </c>
      <c r="Q11" s="80">
        <v>0</v>
      </c>
      <c r="R11" s="80">
        <v>0</v>
      </c>
      <c r="S11" s="80">
        <v>0</v>
      </c>
      <c r="T11" s="80">
        <v>0</v>
      </c>
      <c r="U11" s="80">
        <v>0</v>
      </c>
      <c r="V11" s="80">
        <v>0</v>
      </c>
      <c r="W11" s="80">
        <v>0</v>
      </c>
      <c r="X11" s="80">
        <v>0</v>
      </c>
      <c r="Y11" s="80">
        <v>0</v>
      </c>
      <c r="Z11" s="80">
        <v>0</v>
      </c>
      <c r="AA11" s="80">
        <v>0</v>
      </c>
      <c r="AB11" s="80">
        <v>0</v>
      </c>
      <c r="AC11" s="80">
        <v>0</v>
      </c>
      <c r="AD11" s="80">
        <v>0</v>
      </c>
      <c r="AE11" s="80">
        <v>0</v>
      </c>
      <c r="AF11" s="80">
        <v>0</v>
      </c>
      <c r="AG11" s="80">
        <v>0</v>
      </c>
      <c r="AH11" s="80">
        <v>0</v>
      </c>
      <c r="AI11" s="80">
        <v>0</v>
      </c>
      <c r="AJ11" s="80">
        <v>0</v>
      </c>
      <c r="AK11" s="80">
        <v>0</v>
      </c>
      <c r="AL11" s="80">
        <v>0</v>
      </c>
      <c r="AM11" s="80">
        <v>0</v>
      </c>
      <c r="AN11" s="80">
        <v>0</v>
      </c>
      <c r="AO11" s="80">
        <v>0</v>
      </c>
      <c r="AP11" s="80">
        <v>0</v>
      </c>
      <c r="AQ11" s="80">
        <v>0</v>
      </c>
      <c r="AR11" s="80">
        <v>0</v>
      </c>
      <c r="AS11" s="80">
        <v>0</v>
      </c>
      <c r="AT11" s="80">
        <v>0</v>
      </c>
      <c r="AU11" s="80">
        <v>0</v>
      </c>
      <c r="AV11" s="80">
        <v>0</v>
      </c>
      <c r="AW11" s="81" t="s">
        <v>53</v>
      </c>
      <c r="AX11" s="81">
        <v>0</v>
      </c>
      <c r="AY11" s="81">
        <v>0</v>
      </c>
      <c r="AZ11" s="81">
        <v>0</v>
      </c>
      <c r="BA11" s="81">
        <v>0</v>
      </c>
      <c r="BB11" s="80" t="s">
        <v>53</v>
      </c>
      <c r="BC11" s="80">
        <v>91875</v>
      </c>
      <c r="BD11" s="80">
        <v>82360</v>
      </c>
      <c r="BE11" s="80">
        <v>96005</v>
      </c>
      <c r="BF11" s="80">
        <v>88181</v>
      </c>
      <c r="BG11" s="80">
        <v>399440</v>
      </c>
      <c r="BH11" s="80">
        <v>439693</v>
      </c>
      <c r="BI11" s="80">
        <v>785136</v>
      </c>
      <c r="BJ11" s="80">
        <v>300983</v>
      </c>
      <c r="BK11" s="80">
        <v>533838</v>
      </c>
      <c r="BL11" s="80">
        <v>391348</v>
      </c>
      <c r="BM11" s="80">
        <v>500605</v>
      </c>
      <c r="BN11" s="82">
        <v>622923</v>
      </c>
      <c r="BO11" s="80">
        <v>627971</v>
      </c>
      <c r="BP11" s="80">
        <v>605572</v>
      </c>
      <c r="BQ11" s="80">
        <v>520544</v>
      </c>
      <c r="BR11" s="80">
        <v>674287</v>
      </c>
      <c r="BS11" s="80">
        <v>514194</v>
      </c>
      <c r="BT11" s="80">
        <v>458085</v>
      </c>
      <c r="BU11" s="80">
        <v>344359</v>
      </c>
      <c r="BV11" s="80">
        <v>354679</v>
      </c>
      <c r="BW11" s="80">
        <v>466108</v>
      </c>
      <c r="BX11" s="80">
        <v>655130.6897799999</v>
      </c>
      <c r="BY11" s="80">
        <v>553724</v>
      </c>
      <c r="BZ11" s="80">
        <v>581479</v>
      </c>
      <c r="CA11" s="80">
        <v>625935</v>
      </c>
      <c r="CB11" s="80">
        <v>571655</v>
      </c>
      <c r="CC11" s="80">
        <v>468663.18929999997</v>
      </c>
      <c r="CD11" s="80">
        <v>569157</v>
      </c>
      <c r="CE11" s="80">
        <v>795234</v>
      </c>
      <c r="CF11" s="80">
        <v>845197</v>
      </c>
      <c r="CG11" s="80">
        <v>715237</v>
      </c>
      <c r="CH11" s="80">
        <v>957314</v>
      </c>
      <c r="CI11" s="80">
        <v>767289</v>
      </c>
      <c r="CJ11" s="80">
        <v>924745</v>
      </c>
      <c r="CK11" s="80">
        <v>840299</v>
      </c>
      <c r="CL11" s="80">
        <v>701045</v>
      </c>
      <c r="CM11" s="181"/>
      <c r="CN11" s="181"/>
    </row>
    <row r="12" spans="1:92" ht="16.350000000000001" customHeight="1">
      <c r="A12" s="68"/>
      <c r="B12" s="68"/>
      <c r="C12" s="79" t="s">
        <v>4</v>
      </c>
      <c r="D12" s="79" t="s">
        <v>484</v>
      </c>
      <c r="E12" s="80">
        <v>264021</v>
      </c>
      <c r="F12" s="80">
        <v>272545</v>
      </c>
      <c r="G12" s="80">
        <v>266782</v>
      </c>
      <c r="H12" s="80">
        <v>419245</v>
      </c>
      <c r="I12" s="80">
        <v>350391</v>
      </c>
      <c r="J12" s="80">
        <v>409400</v>
      </c>
      <c r="K12" s="81">
        <v>426329</v>
      </c>
      <c r="L12" s="80">
        <v>627846</v>
      </c>
      <c r="M12" s="80">
        <v>532336</v>
      </c>
      <c r="N12" s="80">
        <v>576674</v>
      </c>
      <c r="O12" s="80">
        <v>541526</v>
      </c>
      <c r="P12" s="80">
        <v>716372</v>
      </c>
      <c r="Q12" s="80">
        <v>601020</v>
      </c>
      <c r="R12" s="80">
        <v>633877</v>
      </c>
      <c r="S12" s="80">
        <v>567228</v>
      </c>
      <c r="T12" s="80">
        <v>714069</v>
      </c>
      <c r="U12" s="80">
        <v>573501</v>
      </c>
      <c r="V12" s="80">
        <v>634261</v>
      </c>
      <c r="W12" s="80">
        <v>573833</v>
      </c>
      <c r="X12" s="80">
        <v>768412</v>
      </c>
      <c r="Y12" s="80">
        <v>625256</v>
      </c>
      <c r="Z12" s="80">
        <v>690169</v>
      </c>
      <c r="AA12" s="80">
        <v>641468</v>
      </c>
      <c r="AB12" s="80">
        <v>690169</v>
      </c>
      <c r="AC12" s="80">
        <v>641468</v>
      </c>
      <c r="AD12" s="80">
        <v>824958</v>
      </c>
      <c r="AE12" s="80">
        <v>743768</v>
      </c>
      <c r="AF12" s="80">
        <v>1006315</v>
      </c>
      <c r="AG12" s="80">
        <v>849027</v>
      </c>
      <c r="AH12" s="80">
        <v>960925</v>
      </c>
      <c r="AI12" s="80">
        <v>951897</v>
      </c>
      <c r="AJ12" s="80">
        <v>1279698</v>
      </c>
      <c r="AK12" s="80">
        <v>1068236</v>
      </c>
      <c r="AL12" s="80">
        <v>1131856</v>
      </c>
      <c r="AM12" s="80">
        <v>1146038</v>
      </c>
      <c r="AN12" s="80">
        <v>1572443</v>
      </c>
      <c r="AO12" s="80">
        <v>1347943</v>
      </c>
      <c r="AP12" s="80">
        <v>1414358</v>
      </c>
      <c r="AQ12" s="80">
        <v>1395168</v>
      </c>
      <c r="AR12" s="80">
        <v>1908518</v>
      </c>
      <c r="AS12" s="80">
        <v>1610505</v>
      </c>
      <c r="AT12" s="80">
        <v>1746081</v>
      </c>
      <c r="AU12" s="80">
        <v>1670761</v>
      </c>
      <c r="AV12" s="80">
        <v>2119836</v>
      </c>
      <c r="AW12" s="80">
        <v>1699613</v>
      </c>
      <c r="AX12" s="80">
        <v>1857269</v>
      </c>
      <c r="AY12" s="80">
        <v>1702339</v>
      </c>
      <c r="AZ12" s="80">
        <v>2209271</v>
      </c>
      <c r="BA12" s="80">
        <v>1861232</v>
      </c>
      <c r="BB12" s="80">
        <v>2141703</v>
      </c>
      <c r="BC12" s="80">
        <v>2024917</v>
      </c>
      <c r="BD12" s="80">
        <v>2644258</v>
      </c>
      <c r="BE12" s="80">
        <v>2168299</v>
      </c>
      <c r="BF12" s="80">
        <v>2359387</v>
      </c>
      <c r="BG12" s="80">
        <v>2281306</v>
      </c>
      <c r="BH12" s="80">
        <v>3162670</v>
      </c>
      <c r="BI12" s="80">
        <v>2703346</v>
      </c>
      <c r="BJ12" s="80">
        <v>2896784</v>
      </c>
      <c r="BK12" s="80">
        <v>2891747</v>
      </c>
      <c r="BL12" s="80">
        <v>3825961</v>
      </c>
      <c r="BM12" s="80">
        <v>3012644</v>
      </c>
      <c r="BN12" s="80">
        <v>2231722</v>
      </c>
      <c r="BO12" s="80">
        <v>2678827</v>
      </c>
      <c r="BP12" s="80">
        <v>3811668</v>
      </c>
      <c r="BQ12" s="80">
        <v>2686095</v>
      </c>
      <c r="BR12" s="80">
        <v>3693841</v>
      </c>
      <c r="BS12" s="80">
        <v>3883599</v>
      </c>
      <c r="BT12" s="80">
        <v>5412881</v>
      </c>
      <c r="BU12" s="80">
        <v>5041367</v>
      </c>
      <c r="BV12" s="80">
        <v>5715658</v>
      </c>
      <c r="BW12" s="80">
        <v>5489568</v>
      </c>
      <c r="BX12" s="80">
        <v>6524832</v>
      </c>
      <c r="BY12" s="80">
        <v>5790083</v>
      </c>
      <c r="BZ12" s="80">
        <v>6134588</v>
      </c>
      <c r="CA12" s="80">
        <v>5691095</v>
      </c>
      <c r="CB12" s="80">
        <v>6639188</v>
      </c>
      <c r="CC12" s="80">
        <v>5621292</v>
      </c>
      <c r="CD12" s="80">
        <v>5980130</v>
      </c>
      <c r="CE12" s="80">
        <v>5818624</v>
      </c>
      <c r="CF12" s="80">
        <v>6902933</v>
      </c>
      <c r="CG12" s="80">
        <v>5979425</v>
      </c>
      <c r="CH12" s="80">
        <v>6495889</v>
      </c>
      <c r="CI12" s="80">
        <v>6060703</v>
      </c>
      <c r="CJ12" s="80">
        <v>7175248</v>
      </c>
      <c r="CK12" s="80">
        <v>6154959</v>
      </c>
      <c r="CL12" s="80">
        <v>6503710</v>
      </c>
    </row>
    <row r="13" spans="1:92" ht="16.350000000000001" customHeight="1">
      <c r="A13" s="68"/>
      <c r="B13" s="68"/>
      <c r="C13" s="79" t="s">
        <v>5</v>
      </c>
      <c r="D13" s="79" t="s">
        <v>6</v>
      </c>
      <c r="E13" s="80">
        <v>100774</v>
      </c>
      <c r="F13" s="80">
        <v>84761</v>
      </c>
      <c r="G13" s="80">
        <v>96368</v>
      </c>
      <c r="H13" s="80">
        <v>92616</v>
      </c>
      <c r="I13" s="80">
        <v>129547</v>
      </c>
      <c r="J13" s="80">
        <v>116212</v>
      </c>
      <c r="K13" s="80">
        <v>139932</v>
      </c>
      <c r="L13" s="80">
        <v>123022</v>
      </c>
      <c r="M13" s="80">
        <v>174524</v>
      </c>
      <c r="N13" s="80">
        <v>127446</v>
      </c>
      <c r="O13" s="80">
        <v>159013</v>
      </c>
      <c r="P13" s="80">
        <v>150594</v>
      </c>
      <c r="Q13" s="80">
        <v>223444</v>
      </c>
      <c r="R13" s="80">
        <v>201221</v>
      </c>
      <c r="S13" s="80">
        <v>231287</v>
      </c>
      <c r="T13" s="80">
        <v>189345</v>
      </c>
      <c r="U13" s="80">
        <v>268458</v>
      </c>
      <c r="V13" s="80">
        <v>231175</v>
      </c>
      <c r="W13" s="80">
        <v>231765</v>
      </c>
      <c r="X13" s="80">
        <v>203318</v>
      </c>
      <c r="Y13" s="80">
        <v>281529</v>
      </c>
      <c r="Z13" s="80">
        <v>284167</v>
      </c>
      <c r="AA13" s="80">
        <v>311665</v>
      </c>
      <c r="AB13" s="80">
        <v>284167</v>
      </c>
      <c r="AC13" s="80">
        <v>311665</v>
      </c>
      <c r="AD13" s="80">
        <v>336763</v>
      </c>
      <c r="AE13" s="80">
        <v>378940</v>
      </c>
      <c r="AF13" s="80">
        <v>393152</v>
      </c>
      <c r="AG13" s="80">
        <v>465443</v>
      </c>
      <c r="AH13" s="80">
        <v>461742</v>
      </c>
      <c r="AI13" s="80">
        <v>515020</v>
      </c>
      <c r="AJ13" s="80">
        <v>454011</v>
      </c>
      <c r="AK13" s="80">
        <v>533648</v>
      </c>
      <c r="AL13" s="80">
        <v>542758</v>
      </c>
      <c r="AM13" s="80">
        <v>585049</v>
      </c>
      <c r="AN13" s="80">
        <v>506990</v>
      </c>
      <c r="AO13" s="80">
        <v>581743</v>
      </c>
      <c r="AP13" s="80">
        <v>568293</v>
      </c>
      <c r="AQ13" s="80">
        <v>674462</v>
      </c>
      <c r="AR13" s="80">
        <v>612300</v>
      </c>
      <c r="AS13" s="80">
        <v>705073</v>
      </c>
      <c r="AT13" s="80">
        <v>688231</v>
      </c>
      <c r="AU13" s="80">
        <v>763646</v>
      </c>
      <c r="AV13" s="80">
        <v>622534</v>
      </c>
      <c r="AW13" s="80">
        <v>674815</v>
      </c>
      <c r="AX13" s="80">
        <v>701042</v>
      </c>
      <c r="AY13" s="80">
        <v>788558</v>
      </c>
      <c r="AZ13" s="80">
        <v>782266</v>
      </c>
      <c r="BA13" s="80">
        <v>920794</v>
      </c>
      <c r="BB13" s="80">
        <v>874699</v>
      </c>
      <c r="BC13" s="80">
        <v>948666</v>
      </c>
      <c r="BD13" s="80">
        <v>923176</v>
      </c>
      <c r="BE13" s="80">
        <v>1096172</v>
      </c>
      <c r="BF13" s="80">
        <v>1085675</v>
      </c>
      <c r="BG13" s="80">
        <v>1212285</v>
      </c>
      <c r="BH13" s="80">
        <v>1110305</v>
      </c>
      <c r="BI13" s="80">
        <v>1247414</v>
      </c>
      <c r="BJ13" s="80">
        <v>1148162</v>
      </c>
      <c r="BK13" s="80">
        <v>1246374</v>
      </c>
      <c r="BL13" s="80">
        <v>1124506</v>
      </c>
      <c r="BM13" s="80">
        <v>1405648</v>
      </c>
      <c r="BN13" s="80">
        <v>1578963</v>
      </c>
      <c r="BO13" s="80">
        <v>1523235</v>
      </c>
      <c r="BP13" s="80">
        <v>1381662</v>
      </c>
      <c r="BQ13" s="80">
        <v>1761926</v>
      </c>
      <c r="BR13" s="80">
        <v>1611275</v>
      </c>
      <c r="BS13" s="80">
        <v>1696046</v>
      </c>
      <c r="BT13" s="80">
        <v>1609560</v>
      </c>
      <c r="BU13" s="80">
        <v>1976500</v>
      </c>
      <c r="BV13" s="80">
        <v>1866990</v>
      </c>
      <c r="BW13" s="80">
        <v>2047062</v>
      </c>
      <c r="BX13" s="80">
        <v>1836947</v>
      </c>
      <c r="BY13" s="80">
        <v>2175568</v>
      </c>
      <c r="BZ13" s="80">
        <v>1938976</v>
      </c>
      <c r="CA13" s="80">
        <v>1979654</v>
      </c>
      <c r="CB13" s="80">
        <v>1774209</v>
      </c>
      <c r="CC13" s="80">
        <v>1975900</v>
      </c>
      <c r="CD13" s="80">
        <v>1880129</v>
      </c>
      <c r="CE13" s="80">
        <v>2020146</v>
      </c>
      <c r="CF13" s="80">
        <v>1929908</v>
      </c>
      <c r="CG13" s="80">
        <v>2225198</v>
      </c>
      <c r="CH13" s="80">
        <v>1957598</v>
      </c>
      <c r="CI13" s="80">
        <v>2123327</v>
      </c>
      <c r="CJ13" s="80">
        <v>1860415</v>
      </c>
      <c r="CK13" s="80">
        <v>2195486</v>
      </c>
      <c r="CL13" s="80">
        <v>2084572</v>
      </c>
    </row>
    <row r="14" spans="1:92" ht="16.350000000000001" customHeight="1">
      <c r="A14" s="68"/>
      <c r="B14" s="68"/>
      <c r="C14" s="79" t="s">
        <v>7</v>
      </c>
      <c r="D14" s="79" t="s">
        <v>485</v>
      </c>
      <c r="E14" s="80">
        <v>10402</v>
      </c>
      <c r="F14" s="80">
        <v>10972</v>
      </c>
      <c r="G14" s="80">
        <v>15128</v>
      </c>
      <c r="H14" s="80">
        <v>19483</v>
      </c>
      <c r="I14" s="80">
        <v>7450</v>
      </c>
      <c r="J14" s="80">
        <v>16893</v>
      </c>
      <c r="K14" s="81">
        <v>24379</v>
      </c>
      <c r="L14" s="80">
        <v>28432</v>
      </c>
      <c r="M14" s="80">
        <v>34818</v>
      </c>
      <c r="N14" s="80">
        <v>14683</v>
      </c>
      <c r="O14" s="80">
        <v>17775</v>
      </c>
      <c r="P14" s="80">
        <v>14951</v>
      </c>
      <c r="Q14" s="80">
        <v>14760</v>
      </c>
      <c r="R14" s="80">
        <v>14597</v>
      </c>
      <c r="S14" s="80">
        <v>14872</v>
      </c>
      <c r="T14" s="80">
        <v>21991</v>
      </c>
      <c r="U14" s="80">
        <v>22547</v>
      </c>
      <c r="V14" s="80">
        <v>17779</v>
      </c>
      <c r="W14" s="80">
        <v>22251</v>
      </c>
      <c r="X14" s="80">
        <v>16025</v>
      </c>
      <c r="Y14" s="80">
        <v>19574</v>
      </c>
      <c r="Z14" s="80">
        <v>13757</v>
      </c>
      <c r="AA14" s="80">
        <v>20204</v>
      </c>
      <c r="AB14" s="80">
        <v>13757</v>
      </c>
      <c r="AC14" s="80">
        <v>20204</v>
      </c>
      <c r="AD14" s="80">
        <v>22084</v>
      </c>
      <c r="AE14" s="80">
        <v>23469</v>
      </c>
      <c r="AF14" s="80">
        <v>30445</v>
      </c>
      <c r="AG14" s="80">
        <v>33972</v>
      </c>
      <c r="AH14" s="80">
        <v>41445</v>
      </c>
      <c r="AI14" s="80">
        <v>47609</v>
      </c>
      <c r="AJ14" s="80">
        <v>47598</v>
      </c>
      <c r="AK14" s="80">
        <v>71551</v>
      </c>
      <c r="AL14" s="80">
        <v>58603</v>
      </c>
      <c r="AM14" s="80">
        <v>57062</v>
      </c>
      <c r="AN14" s="80">
        <v>68374</v>
      </c>
      <c r="AO14" s="80">
        <v>36603</v>
      </c>
      <c r="AP14" s="80">
        <v>38489</v>
      </c>
      <c r="AQ14" s="80">
        <v>54425</v>
      </c>
      <c r="AR14" s="80">
        <v>68127</v>
      </c>
      <c r="AS14" s="80">
        <v>80577</v>
      </c>
      <c r="AT14" s="80">
        <v>92741</v>
      </c>
      <c r="AU14" s="80">
        <v>87838</v>
      </c>
      <c r="AV14" s="80">
        <v>87630</v>
      </c>
      <c r="AW14" s="80">
        <v>114862</v>
      </c>
      <c r="AX14" s="80">
        <v>106496</v>
      </c>
      <c r="AY14" s="80">
        <v>90497</v>
      </c>
      <c r="AZ14" s="80">
        <v>135841</v>
      </c>
      <c r="BA14" s="80">
        <v>127100</v>
      </c>
      <c r="BB14" s="80">
        <v>139690</v>
      </c>
      <c r="BC14" s="80">
        <v>124320</v>
      </c>
      <c r="BD14" s="80">
        <v>140273</v>
      </c>
      <c r="BE14" s="80">
        <v>133218</v>
      </c>
      <c r="BF14" s="80">
        <v>209967</v>
      </c>
      <c r="BG14" s="80">
        <v>253836</v>
      </c>
      <c r="BH14" s="80">
        <v>208840</v>
      </c>
      <c r="BI14" s="80">
        <v>201784</v>
      </c>
      <c r="BJ14" s="80">
        <v>234288</v>
      </c>
      <c r="BK14" s="80">
        <v>237499</v>
      </c>
      <c r="BL14" s="80">
        <v>258396</v>
      </c>
      <c r="BM14" s="80">
        <v>246096</v>
      </c>
      <c r="BN14" s="80">
        <v>924520</v>
      </c>
      <c r="BO14" s="80">
        <v>1028428</v>
      </c>
      <c r="BP14" s="80">
        <v>961997</v>
      </c>
      <c r="BQ14" s="80">
        <v>780154</v>
      </c>
      <c r="BR14" s="80">
        <v>1004878</v>
      </c>
      <c r="BS14" s="80">
        <v>928688</v>
      </c>
      <c r="BT14" s="80">
        <v>849389</v>
      </c>
      <c r="BU14" s="80">
        <v>974477</v>
      </c>
      <c r="BV14" s="80">
        <v>949217</v>
      </c>
      <c r="BW14" s="80">
        <v>990408</v>
      </c>
      <c r="BX14" s="80">
        <v>1003849</v>
      </c>
      <c r="BY14" s="80">
        <v>791490</v>
      </c>
      <c r="BZ14" s="80">
        <v>713793</v>
      </c>
      <c r="CA14" s="80">
        <v>587445</v>
      </c>
      <c r="CB14" s="80">
        <v>546172</v>
      </c>
      <c r="CC14" s="80">
        <v>642749</v>
      </c>
      <c r="CD14" s="80">
        <v>726335</v>
      </c>
      <c r="CE14" s="80">
        <v>690226</v>
      </c>
      <c r="CF14" s="80">
        <v>414167</v>
      </c>
      <c r="CG14" s="80">
        <f>581930-CG15</f>
        <v>390832</v>
      </c>
      <c r="CH14" s="80">
        <v>445688</v>
      </c>
      <c r="CI14" s="80">
        <v>535559</v>
      </c>
      <c r="CJ14" s="80">
        <v>470036</v>
      </c>
      <c r="CK14" s="80">
        <v>489490</v>
      </c>
      <c r="CL14" s="80">
        <v>514214</v>
      </c>
    </row>
    <row r="15" spans="1:92" ht="16.350000000000001" customHeight="1">
      <c r="A15" s="68"/>
      <c r="B15" s="68"/>
      <c r="C15" s="79" t="s">
        <v>2430</v>
      </c>
      <c r="D15" s="79" t="s">
        <v>2429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  <c r="K15" s="81">
        <v>0</v>
      </c>
      <c r="L15" s="80">
        <v>0</v>
      </c>
      <c r="M15" s="80">
        <v>0</v>
      </c>
      <c r="N15" s="80">
        <v>0</v>
      </c>
      <c r="O15" s="80">
        <v>0</v>
      </c>
      <c r="P15" s="80">
        <v>0</v>
      </c>
      <c r="Q15" s="80">
        <v>0</v>
      </c>
      <c r="R15" s="80">
        <v>0</v>
      </c>
      <c r="S15" s="80">
        <v>0</v>
      </c>
      <c r="T15" s="80">
        <v>0</v>
      </c>
      <c r="U15" s="80">
        <v>0</v>
      </c>
      <c r="V15" s="80">
        <v>0</v>
      </c>
      <c r="W15" s="80">
        <v>0</v>
      </c>
      <c r="X15" s="80">
        <v>0</v>
      </c>
      <c r="Y15" s="80">
        <v>0</v>
      </c>
      <c r="Z15" s="80">
        <v>0</v>
      </c>
      <c r="AA15" s="80">
        <v>0</v>
      </c>
      <c r="AB15" s="80">
        <v>0</v>
      </c>
      <c r="AC15" s="80">
        <v>0</v>
      </c>
      <c r="AD15" s="80">
        <v>0</v>
      </c>
      <c r="AE15" s="80">
        <v>0</v>
      </c>
      <c r="AF15" s="80">
        <v>0</v>
      </c>
      <c r="AG15" s="80">
        <v>0</v>
      </c>
      <c r="AH15" s="80">
        <v>0</v>
      </c>
      <c r="AI15" s="80">
        <v>0</v>
      </c>
      <c r="AJ15" s="80">
        <v>0</v>
      </c>
      <c r="AK15" s="80">
        <v>0</v>
      </c>
      <c r="AL15" s="80">
        <v>0</v>
      </c>
      <c r="AM15" s="80">
        <v>0</v>
      </c>
      <c r="AN15" s="80">
        <v>0</v>
      </c>
      <c r="AO15" s="80">
        <v>0</v>
      </c>
      <c r="AP15" s="80">
        <v>0</v>
      </c>
      <c r="AQ15" s="80">
        <v>0</v>
      </c>
      <c r="AR15" s="80">
        <v>0</v>
      </c>
      <c r="AS15" s="80">
        <v>0</v>
      </c>
      <c r="AT15" s="80">
        <v>0</v>
      </c>
      <c r="AU15" s="80">
        <v>0</v>
      </c>
      <c r="AV15" s="80">
        <v>0</v>
      </c>
      <c r="AW15" s="80">
        <v>0</v>
      </c>
      <c r="AX15" s="80">
        <v>0</v>
      </c>
      <c r="AY15" s="80">
        <v>0</v>
      </c>
      <c r="AZ15" s="80">
        <v>0</v>
      </c>
      <c r="BA15" s="80">
        <v>0</v>
      </c>
      <c r="BB15" s="80">
        <v>0</v>
      </c>
      <c r="BC15" s="80">
        <v>0</v>
      </c>
      <c r="BD15" s="80">
        <v>0</v>
      </c>
      <c r="BE15" s="80">
        <v>0</v>
      </c>
      <c r="BF15" s="80">
        <v>0</v>
      </c>
      <c r="BG15" s="80">
        <v>0</v>
      </c>
      <c r="BH15" s="80">
        <v>0</v>
      </c>
      <c r="BI15" s="80">
        <v>0</v>
      </c>
      <c r="BJ15" s="80">
        <v>0</v>
      </c>
      <c r="BK15" s="80">
        <v>0</v>
      </c>
      <c r="BL15" s="80">
        <v>0</v>
      </c>
      <c r="BM15" s="80">
        <v>0</v>
      </c>
      <c r="BN15" s="80">
        <v>0</v>
      </c>
      <c r="BO15" s="80">
        <v>0</v>
      </c>
      <c r="BP15" s="80">
        <v>0</v>
      </c>
      <c r="BQ15" s="80">
        <v>0</v>
      </c>
      <c r="BR15" s="80">
        <v>0</v>
      </c>
      <c r="BS15" s="80">
        <v>0</v>
      </c>
      <c r="BT15" s="80">
        <v>0</v>
      </c>
      <c r="BU15" s="80">
        <v>0</v>
      </c>
      <c r="BV15" s="80">
        <v>0</v>
      </c>
      <c r="BW15" s="80">
        <v>0</v>
      </c>
      <c r="BX15" s="80">
        <v>0</v>
      </c>
      <c r="BY15" s="80">
        <v>0</v>
      </c>
      <c r="BZ15" s="80">
        <v>0</v>
      </c>
      <c r="CA15" s="80">
        <v>0</v>
      </c>
      <c r="CB15" s="80">
        <v>0</v>
      </c>
      <c r="CC15" s="80">
        <v>0</v>
      </c>
      <c r="CD15" s="80">
        <v>0</v>
      </c>
      <c r="CE15" s="80">
        <v>0</v>
      </c>
      <c r="CF15" s="80">
        <v>164067</v>
      </c>
      <c r="CG15" s="80">
        <v>191098</v>
      </c>
      <c r="CH15" s="80">
        <v>196570</v>
      </c>
      <c r="CI15" s="80">
        <v>151290</v>
      </c>
      <c r="CJ15" s="80">
        <v>122690</v>
      </c>
      <c r="CK15" s="80">
        <v>134409</v>
      </c>
      <c r="CL15" s="80">
        <v>135748</v>
      </c>
    </row>
    <row r="16" spans="1:92" ht="16.350000000000001" customHeight="1">
      <c r="A16" s="68"/>
      <c r="B16" s="68"/>
      <c r="C16" s="79" t="s">
        <v>96</v>
      </c>
      <c r="D16" s="79" t="s">
        <v>486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  <c r="K16" s="81">
        <v>0</v>
      </c>
      <c r="L16" s="80">
        <v>0</v>
      </c>
      <c r="M16" s="80">
        <v>0</v>
      </c>
      <c r="N16" s="80">
        <v>0</v>
      </c>
      <c r="O16" s="80">
        <v>0</v>
      </c>
      <c r="P16" s="80">
        <v>0</v>
      </c>
      <c r="Q16" s="80">
        <v>0</v>
      </c>
      <c r="R16" s="80">
        <v>0</v>
      </c>
      <c r="S16" s="80">
        <v>0</v>
      </c>
      <c r="T16" s="80">
        <v>0</v>
      </c>
      <c r="U16" s="80">
        <v>0</v>
      </c>
      <c r="V16" s="80">
        <v>0</v>
      </c>
      <c r="W16" s="80">
        <v>0</v>
      </c>
      <c r="X16" s="80">
        <v>375</v>
      </c>
      <c r="Y16" s="80">
        <v>1447</v>
      </c>
      <c r="Z16" s="80">
        <v>1675</v>
      </c>
      <c r="AA16" s="80">
        <v>2697</v>
      </c>
      <c r="AB16" s="80">
        <v>1675</v>
      </c>
      <c r="AC16" s="80">
        <v>2697</v>
      </c>
      <c r="AD16" s="80">
        <v>710</v>
      </c>
      <c r="AE16" s="80">
        <v>16020</v>
      </c>
      <c r="AF16" s="80">
        <v>10665</v>
      </c>
      <c r="AG16" s="80">
        <v>8701</v>
      </c>
      <c r="AH16" s="80">
        <v>24265</v>
      </c>
      <c r="AI16" s="80">
        <v>9251</v>
      </c>
      <c r="AJ16" s="80">
        <v>3828</v>
      </c>
      <c r="AK16" s="80">
        <v>2545.5649999999996</v>
      </c>
      <c r="AL16" s="80">
        <v>28959.41367110498</v>
      </c>
      <c r="AM16" s="80">
        <v>6874.9110000000001</v>
      </c>
      <c r="AN16" s="80">
        <v>8800.4562723295239</v>
      </c>
      <c r="AO16" s="80">
        <v>65</v>
      </c>
      <c r="AP16" s="80">
        <v>0</v>
      </c>
      <c r="AQ16" s="80">
        <v>17332.488000000001</v>
      </c>
      <c r="AR16" s="80">
        <v>30470</v>
      </c>
      <c r="AS16" s="80">
        <v>80243</v>
      </c>
      <c r="AT16" s="80">
        <v>35510</v>
      </c>
      <c r="AU16" s="80">
        <v>170840</v>
      </c>
      <c r="AV16" s="80">
        <v>99469</v>
      </c>
      <c r="AW16" s="80">
        <v>6362</v>
      </c>
      <c r="AX16" s="80">
        <v>0</v>
      </c>
      <c r="AY16" s="80">
        <v>438</v>
      </c>
      <c r="AZ16" s="80">
        <v>366</v>
      </c>
      <c r="BA16" s="80">
        <v>80</v>
      </c>
      <c r="BB16" s="80">
        <v>7713</v>
      </c>
      <c r="BC16" s="80">
        <v>654</v>
      </c>
      <c r="BD16" s="80">
        <v>6917</v>
      </c>
      <c r="BE16" s="80">
        <v>3381</v>
      </c>
      <c r="BF16" s="80">
        <v>44610</v>
      </c>
      <c r="BG16" s="80">
        <v>25915</v>
      </c>
      <c r="BH16" s="80">
        <v>10860</v>
      </c>
      <c r="BI16" s="80">
        <v>15121</v>
      </c>
      <c r="BJ16" s="80">
        <v>5417</v>
      </c>
      <c r="BK16" s="80">
        <v>24068</v>
      </c>
      <c r="BL16" s="80">
        <v>4382</v>
      </c>
      <c r="BM16" s="80">
        <v>94964</v>
      </c>
      <c r="BN16" s="80">
        <v>41594</v>
      </c>
      <c r="BO16" s="80">
        <v>29724</v>
      </c>
      <c r="BP16" s="80">
        <v>5435</v>
      </c>
      <c r="BQ16" s="80">
        <v>32498</v>
      </c>
      <c r="BR16" s="80">
        <v>568</v>
      </c>
      <c r="BS16" s="80">
        <v>38304</v>
      </c>
      <c r="BT16" s="80">
        <v>24364</v>
      </c>
      <c r="BU16" s="80">
        <v>69</v>
      </c>
      <c r="BV16" s="80">
        <v>25144</v>
      </c>
      <c r="BW16" s="80">
        <v>43377</v>
      </c>
      <c r="BX16" s="80">
        <v>8204</v>
      </c>
      <c r="BY16" s="80">
        <v>164</v>
      </c>
      <c r="BZ16" s="80">
        <v>15</v>
      </c>
      <c r="CA16" s="80">
        <v>15917</v>
      </c>
      <c r="CB16" s="80">
        <v>222</v>
      </c>
      <c r="CC16" s="80">
        <v>5733</v>
      </c>
      <c r="CD16" s="80">
        <v>28809</v>
      </c>
      <c r="CE16" s="80">
        <v>542</v>
      </c>
      <c r="CF16" s="80">
        <v>27763</v>
      </c>
      <c r="CG16" s="80">
        <v>427</v>
      </c>
      <c r="CH16" s="80">
        <v>0</v>
      </c>
      <c r="CI16" s="80">
        <v>181</v>
      </c>
      <c r="CJ16" s="80">
        <v>7937</v>
      </c>
      <c r="CK16" s="80">
        <v>139</v>
      </c>
      <c r="CL16" s="80">
        <v>5999</v>
      </c>
    </row>
    <row r="17" spans="1:90" ht="16.350000000000001" customHeight="1">
      <c r="A17" s="68"/>
      <c r="B17" s="68"/>
      <c r="C17" s="79" t="s">
        <v>471</v>
      </c>
      <c r="D17" s="79" t="s">
        <v>470</v>
      </c>
      <c r="E17" s="80">
        <v>2912</v>
      </c>
      <c r="F17" s="80">
        <v>4845</v>
      </c>
      <c r="G17" s="80">
        <v>5237</v>
      </c>
      <c r="H17" s="80">
        <v>3211</v>
      </c>
      <c r="I17" s="80">
        <v>7557</v>
      </c>
      <c r="J17" s="80">
        <v>8998</v>
      </c>
      <c r="K17" s="81">
        <v>5503</v>
      </c>
      <c r="L17" s="80">
        <v>5595</v>
      </c>
      <c r="M17" s="80">
        <v>4908</v>
      </c>
      <c r="N17" s="80">
        <v>6593</v>
      </c>
      <c r="O17" s="80">
        <v>7293</v>
      </c>
      <c r="P17" s="80">
        <v>7541</v>
      </c>
      <c r="Q17" s="80">
        <v>8080</v>
      </c>
      <c r="R17" s="80">
        <v>9250</v>
      </c>
      <c r="S17" s="80">
        <v>7768</v>
      </c>
      <c r="T17" s="80">
        <v>26632</v>
      </c>
      <c r="U17" s="80">
        <v>23670</v>
      </c>
      <c r="V17" s="80">
        <v>22683</v>
      </c>
      <c r="W17" s="80">
        <v>24937</v>
      </c>
      <c r="X17" s="80">
        <v>24812</v>
      </c>
      <c r="Y17" s="80">
        <v>25877</v>
      </c>
      <c r="Z17" s="80">
        <v>27076</v>
      </c>
      <c r="AA17" s="80">
        <v>25950</v>
      </c>
      <c r="AB17" s="80">
        <v>27076</v>
      </c>
      <c r="AC17" s="80">
        <v>25950</v>
      </c>
      <c r="AD17" s="80">
        <v>13302</v>
      </c>
      <c r="AE17" s="80">
        <v>14174</v>
      </c>
      <c r="AF17" s="80">
        <v>15067</v>
      </c>
      <c r="AG17" s="80">
        <v>16428</v>
      </c>
      <c r="AH17" s="80">
        <v>16622</v>
      </c>
      <c r="AI17" s="80">
        <v>17253</v>
      </c>
      <c r="AJ17" s="80">
        <v>26629</v>
      </c>
      <c r="AK17" s="80">
        <v>24007.435000000001</v>
      </c>
      <c r="AL17" s="80">
        <v>27232.586328894831</v>
      </c>
      <c r="AM17" s="80">
        <v>38859.125000000313</v>
      </c>
      <c r="AN17" s="80">
        <v>39886.543727670476</v>
      </c>
      <c r="AO17" s="80">
        <v>26574</v>
      </c>
      <c r="AP17" s="80">
        <v>29081</v>
      </c>
      <c r="AQ17" s="80">
        <v>33582.512000000002</v>
      </c>
      <c r="AR17" s="80">
        <v>39337</v>
      </c>
      <c r="AS17" s="80">
        <v>40546</v>
      </c>
      <c r="AT17" s="80">
        <v>46291</v>
      </c>
      <c r="AU17" s="80">
        <v>43116</v>
      </c>
      <c r="AV17" s="80">
        <v>48879</v>
      </c>
      <c r="AW17" s="80">
        <v>50907</v>
      </c>
      <c r="AX17" s="80">
        <v>51689</v>
      </c>
      <c r="AY17" s="80">
        <v>48609</v>
      </c>
      <c r="AZ17" s="80">
        <v>56654</v>
      </c>
      <c r="BA17" s="80">
        <v>60420</v>
      </c>
      <c r="BB17" s="80">
        <v>55194</v>
      </c>
      <c r="BC17" s="80">
        <v>39413</v>
      </c>
      <c r="BD17" s="80">
        <v>51084</v>
      </c>
      <c r="BE17" s="80">
        <v>55641</v>
      </c>
      <c r="BF17" s="80">
        <v>46288</v>
      </c>
      <c r="BG17" s="80">
        <v>38713</v>
      </c>
      <c r="BH17" s="80">
        <v>53296</v>
      </c>
      <c r="BI17" s="80">
        <v>80943</v>
      </c>
      <c r="BJ17" s="80">
        <v>143923</v>
      </c>
      <c r="BK17" s="80">
        <v>86872</v>
      </c>
      <c r="BL17" s="80">
        <v>70662</v>
      </c>
      <c r="BM17" s="80">
        <v>95669</v>
      </c>
      <c r="BN17" s="80">
        <v>87675</v>
      </c>
      <c r="BO17" s="80">
        <v>74314</v>
      </c>
      <c r="BP17" s="80">
        <v>63651</v>
      </c>
      <c r="BQ17" s="80">
        <v>84369</v>
      </c>
      <c r="BR17" s="80">
        <v>85157</v>
      </c>
      <c r="BS17" s="80">
        <v>135870</v>
      </c>
      <c r="BT17" s="80">
        <v>141084</v>
      </c>
      <c r="BU17" s="80">
        <v>168359</v>
      </c>
      <c r="BV17" s="80">
        <v>175539</v>
      </c>
      <c r="BW17" s="80">
        <v>194581</v>
      </c>
      <c r="BX17" s="80">
        <v>166091</v>
      </c>
      <c r="BY17" s="80">
        <v>160411</v>
      </c>
      <c r="BZ17" s="80">
        <v>149766</v>
      </c>
      <c r="CA17" s="80">
        <v>153953</v>
      </c>
      <c r="CB17" s="80">
        <v>128011</v>
      </c>
      <c r="CC17" s="80">
        <v>146873</v>
      </c>
      <c r="CD17" s="80">
        <v>141959</v>
      </c>
      <c r="CE17" s="80">
        <v>114207</v>
      </c>
      <c r="CF17" s="80">
        <v>106514</v>
      </c>
      <c r="CG17" s="80">
        <v>138604</v>
      </c>
      <c r="CH17" s="80">
        <v>108111</v>
      </c>
      <c r="CI17" s="80">
        <v>112185</v>
      </c>
      <c r="CJ17" s="80">
        <v>94620</v>
      </c>
      <c r="CK17" s="80">
        <v>127016</v>
      </c>
      <c r="CL17" s="80">
        <v>115192</v>
      </c>
    </row>
    <row r="18" spans="1:90" ht="16.350000000000001" customHeight="1">
      <c r="A18" s="68"/>
      <c r="B18" s="68"/>
      <c r="C18" s="84" t="s">
        <v>10</v>
      </c>
      <c r="D18" s="84" t="s">
        <v>11</v>
      </c>
      <c r="E18" s="85">
        <v>1347</v>
      </c>
      <c r="F18" s="85">
        <v>1252</v>
      </c>
      <c r="G18" s="85">
        <v>683</v>
      </c>
      <c r="H18" s="85">
        <v>527</v>
      </c>
      <c r="I18" s="85">
        <v>4749</v>
      </c>
      <c r="J18" s="85">
        <v>1674</v>
      </c>
      <c r="K18" s="86">
        <v>1047</v>
      </c>
      <c r="L18" s="85">
        <v>1038</v>
      </c>
      <c r="M18" s="85">
        <v>2925</v>
      </c>
      <c r="N18" s="85">
        <v>2510</v>
      </c>
      <c r="O18" s="85">
        <v>2079</v>
      </c>
      <c r="P18" s="85">
        <v>1814</v>
      </c>
      <c r="Q18" s="85">
        <v>4034</v>
      </c>
      <c r="R18" s="85">
        <v>2892</v>
      </c>
      <c r="S18" s="85">
        <v>4147</v>
      </c>
      <c r="T18" s="85">
        <v>623</v>
      </c>
      <c r="U18" s="85">
        <v>3270</v>
      </c>
      <c r="V18" s="85">
        <v>3190</v>
      </c>
      <c r="W18" s="85">
        <v>2022</v>
      </c>
      <c r="X18" s="85">
        <v>3993</v>
      </c>
      <c r="Y18" s="85">
        <v>3476</v>
      </c>
      <c r="Z18" s="85">
        <v>3318</v>
      </c>
      <c r="AA18" s="85">
        <v>3384</v>
      </c>
      <c r="AB18" s="85">
        <v>3318</v>
      </c>
      <c r="AC18" s="85">
        <v>3384</v>
      </c>
      <c r="AD18" s="85">
        <v>1815</v>
      </c>
      <c r="AE18" s="85">
        <v>2799</v>
      </c>
      <c r="AF18" s="85">
        <v>1647</v>
      </c>
      <c r="AG18" s="85">
        <v>3859</v>
      </c>
      <c r="AH18" s="85">
        <v>3634</v>
      </c>
      <c r="AI18" s="85">
        <v>3698</v>
      </c>
      <c r="AJ18" s="85">
        <v>1856</v>
      </c>
      <c r="AK18" s="85">
        <v>3550</v>
      </c>
      <c r="AL18" s="85">
        <v>3747</v>
      </c>
      <c r="AM18" s="85">
        <v>7686</v>
      </c>
      <c r="AN18" s="85">
        <v>3176</v>
      </c>
      <c r="AO18" s="85">
        <v>10786</v>
      </c>
      <c r="AP18" s="85">
        <v>8068</v>
      </c>
      <c r="AQ18" s="85">
        <v>6691</v>
      </c>
      <c r="AR18" s="85">
        <v>3397</v>
      </c>
      <c r="AS18" s="85">
        <v>8890</v>
      </c>
      <c r="AT18" s="85">
        <v>9432</v>
      </c>
      <c r="AU18" s="85">
        <v>8273</v>
      </c>
      <c r="AV18" s="85">
        <v>5336</v>
      </c>
      <c r="AW18" s="85">
        <v>11654</v>
      </c>
      <c r="AX18" s="85">
        <v>11206</v>
      </c>
      <c r="AY18" s="85">
        <v>8693</v>
      </c>
      <c r="AZ18" s="85">
        <v>6198</v>
      </c>
      <c r="BA18" s="85">
        <v>15813</v>
      </c>
      <c r="BB18" s="85">
        <v>16661</v>
      </c>
      <c r="BC18" s="85">
        <v>10109</v>
      </c>
      <c r="BD18" s="85">
        <v>0</v>
      </c>
      <c r="BE18" s="85">
        <v>18584</v>
      </c>
      <c r="BF18" s="85">
        <v>17590</v>
      </c>
      <c r="BG18" s="85">
        <v>12739</v>
      </c>
      <c r="BH18" s="85">
        <v>0</v>
      </c>
      <c r="BI18" s="85">
        <v>0</v>
      </c>
      <c r="BJ18" s="85">
        <v>0</v>
      </c>
      <c r="BK18" s="85">
        <v>0</v>
      </c>
      <c r="BL18" s="85">
        <v>0</v>
      </c>
      <c r="BM18" s="85">
        <v>0</v>
      </c>
      <c r="BN18" s="85">
        <v>0</v>
      </c>
      <c r="BO18" s="85">
        <v>0</v>
      </c>
      <c r="BP18" s="85">
        <v>0</v>
      </c>
      <c r="BQ18" s="85">
        <v>0</v>
      </c>
      <c r="BR18" s="85">
        <v>0</v>
      </c>
      <c r="BS18" s="85">
        <v>0</v>
      </c>
      <c r="BT18" s="85">
        <v>0</v>
      </c>
      <c r="BU18" s="85">
        <v>0</v>
      </c>
      <c r="BV18" s="85">
        <v>0</v>
      </c>
      <c r="BW18" s="85">
        <v>0</v>
      </c>
      <c r="BX18" s="85">
        <v>0</v>
      </c>
      <c r="BY18" s="85">
        <v>0</v>
      </c>
      <c r="BZ18" s="85">
        <v>0</v>
      </c>
      <c r="CA18" s="85">
        <v>0</v>
      </c>
      <c r="CB18" s="85">
        <v>0</v>
      </c>
      <c r="CC18" s="85">
        <v>0</v>
      </c>
      <c r="CD18" s="85">
        <v>0</v>
      </c>
      <c r="CE18" s="85">
        <v>0</v>
      </c>
      <c r="CF18" s="85">
        <v>0</v>
      </c>
      <c r="CG18" s="85">
        <v>0</v>
      </c>
      <c r="CH18" s="85">
        <v>0</v>
      </c>
      <c r="CI18" s="85">
        <v>0</v>
      </c>
      <c r="CJ18" s="85">
        <v>0</v>
      </c>
      <c r="CK18" s="85">
        <v>0</v>
      </c>
      <c r="CL18" s="85">
        <v>0</v>
      </c>
    </row>
    <row r="19" spans="1:90" ht="16.350000000000001" customHeight="1">
      <c r="A19" s="68"/>
      <c r="B19" s="68"/>
      <c r="C19" s="87"/>
      <c r="D19" s="87"/>
      <c r="E19" s="88"/>
      <c r="F19" s="88"/>
      <c r="G19" s="88"/>
      <c r="H19" s="88"/>
      <c r="I19" s="88"/>
      <c r="J19" s="88"/>
      <c r="K19" s="89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7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7"/>
      <c r="CB19" s="75"/>
      <c r="CC19" s="75"/>
      <c r="CD19" s="75"/>
      <c r="CE19" s="75"/>
      <c r="CF19" s="75"/>
      <c r="CG19" s="75"/>
      <c r="CH19" s="75"/>
      <c r="CI19" s="7"/>
      <c r="CJ19" s="7"/>
      <c r="CK19" s="7"/>
      <c r="CL19" s="7"/>
    </row>
    <row r="20" spans="1:90" ht="16.350000000000001" customHeight="1">
      <c r="A20" s="70"/>
      <c r="B20" s="70"/>
      <c r="C20" s="76" t="s">
        <v>353</v>
      </c>
      <c r="D20" s="76" t="s">
        <v>74</v>
      </c>
      <c r="E20" s="77">
        <v>207148</v>
      </c>
      <c r="F20" s="77">
        <v>218345</v>
      </c>
      <c r="G20" s="77">
        <v>223323</v>
      </c>
      <c r="H20" s="77">
        <v>255673</v>
      </c>
      <c r="I20" s="77">
        <v>256478</v>
      </c>
      <c r="J20" s="77">
        <v>285899</v>
      </c>
      <c r="K20" s="77">
        <v>299841</v>
      </c>
      <c r="L20" s="77">
        <v>352986</v>
      </c>
      <c r="M20" s="77">
        <v>349380</v>
      </c>
      <c r="N20" s="77">
        <v>371177</v>
      </c>
      <c r="O20" s="77">
        <v>367021</v>
      </c>
      <c r="P20" s="77">
        <v>420652</v>
      </c>
      <c r="Q20" s="77">
        <v>416078</v>
      </c>
      <c r="R20" s="77">
        <v>433774</v>
      </c>
      <c r="S20" s="77">
        <v>452025</v>
      </c>
      <c r="T20" s="77">
        <v>494995</v>
      </c>
      <c r="U20" s="77">
        <v>477401</v>
      </c>
      <c r="V20" s="77">
        <f t="shared" ref="V20" si="17">SUM(V21:V32)</f>
        <v>482855</v>
      </c>
      <c r="W20" s="77">
        <v>477316</v>
      </c>
      <c r="X20" s="77">
        <v>492892</v>
      </c>
      <c r="Y20" s="77">
        <v>484157</v>
      </c>
      <c r="Z20" s="77">
        <v>492641</v>
      </c>
      <c r="AA20" s="77">
        <v>500973</v>
      </c>
      <c r="AB20" s="77">
        <v>492641</v>
      </c>
      <c r="AC20" s="77">
        <v>500973</v>
      </c>
      <c r="AD20" s="77">
        <v>787063</v>
      </c>
      <c r="AE20" s="77">
        <v>823269</v>
      </c>
      <c r="AF20" s="77">
        <v>947949</v>
      </c>
      <c r="AG20" s="77">
        <v>982718</v>
      </c>
      <c r="AH20" s="77">
        <v>1044887</v>
      </c>
      <c r="AI20" s="77">
        <v>1133732</v>
      </c>
      <c r="AJ20" s="77">
        <v>1273138</v>
      </c>
      <c r="AK20" s="77">
        <v>1263843</v>
      </c>
      <c r="AL20" s="77">
        <v>1271273</v>
      </c>
      <c r="AM20" s="77">
        <v>1358172</v>
      </c>
      <c r="AN20" s="77">
        <v>1514262</v>
      </c>
      <c r="AO20" s="77">
        <v>1543581</v>
      </c>
      <c r="AP20" s="77">
        <v>1627080</v>
      </c>
      <c r="AQ20" s="77">
        <v>1701025</v>
      </c>
      <c r="AR20" s="77">
        <v>1822395</v>
      </c>
      <c r="AS20" s="77">
        <v>1801845</v>
      </c>
      <c r="AT20" s="77">
        <v>1916830</v>
      </c>
      <c r="AU20" s="77">
        <v>1988654</v>
      </c>
      <c r="AV20" s="77">
        <v>2142508</v>
      </c>
      <c r="AW20" s="77">
        <v>2185848</v>
      </c>
      <c r="AX20" s="77">
        <v>2300211</v>
      </c>
      <c r="AY20" s="77">
        <v>2317423</v>
      </c>
      <c r="AZ20" s="77">
        <v>2389735</v>
      </c>
      <c r="BA20" s="77">
        <v>2360997</v>
      </c>
      <c r="BB20" s="77">
        <v>2390515</v>
      </c>
      <c r="BC20" s="77">
        <v>2475664</v>
      </c>
      <c r="BD20" s="77">
        <v>2639717</v>
      </c>
      <c r="BE20" s="77">
        <v>2666605</v>
      </c>
      <c r="BF20" s="77">
        <v>2695916</v>
      </c>
      <c r="BG20" s="77">
        <v>2767897</v>
      </c>
      <c r="BH20" s="77">
        <v>2890713</v>
      </c>
      <c r="BI20" s="77">
        <v>4489127</v>
      </c>
      <c r="BJ20" s="77">
        <v>4547645</v>
      </c>
      <c r="BK20" s="77">
        <v>4677520</v>
      </c>
      <c r="BL20" s="77">
        <v>4896693</v>
      </c>
      <c r="BM20" s="77">
        <v>4905798</v>
      </c>
      <c r="BN20" s="77">
        <v>5624425</v>
      </c>
      <c r="BO20" s="77">
        <v>5716214</v>
      </c>
      <c r="BP20" s="77">
        <v>5745817</v>
      </c>
      <c r="BQ20" s="77">
        <v>6519677</v>
      </c>
      <c r="BR20" s="77">
        <v>6733978</v>
      </c>
      <c r="BS20" s="77">
        <v>6989535</v>
      </c>
      <c r="BT20" s="77">
        <v>7427205</v>
      </c>
      <c r="BU20" s="77">
        <v>7242612</v>
      </c>
      <c r="BV20" s="77">
        <v>7496465</v>
      </c>
      <c r="BW20" s="77">
        <v>7645296</v>
      </c>
      <c r="BX20" s="77">
        <v>8105487</v>
      </c>
      <c r="BY20" s="77">
        <v>8010576</v>
      </c>
      <c r="BZ20" s="77">
        <v>8115105</v>
      </c>
      <c r="CA20" s="78">
        <v>8257888</v>
      </c>
      <c r="CB20" s="77">
        <v>8298994</v>
      </c>
      <c r="CC20" s="77">
        <f t="shared" ref="CC20:CD20" si="18">SUM(CC21:CC32)</f>
        <v>8223282</v>
      </c>
      <c r="CD20" s="77">
        <f t="shared" si="18"/>
        <v>8085598</v>
      </c>
      <c r="CE20" s="77">
        <f t="shared" ref="CE20:CF20" si="19">SUM(CE21:CE32)</f>
        <v>7948512</v>
      </c>
      <c r="CF20" s="77">
        <f t="shared" si="19"/>
        <v>8047931</v>
      </c>
      <c r="CG20" s="77">
        <f t="shared" ref="CG20" si="20">SUM(CG21:CG32)</f>
        <v>7901113</v>
      </c>
      <c r="CH20" s="77">
        <v>7740673</v>
      </c>
      <c r="CI20" s="77">
        <f t="shared" ref="CI20" si="21">SUM(CI21:CI32)</f>
        <v>7731252</v>
      </c>
      <c r="CJ20" s="77">
        <f t="shared" ref="CJ20:CK20" si="22">SUM(CJ21:CJ32)</f>
        <v>7992270</v>
      </c>
      <c r="CK20" s="77">
        <f t="shared" si="22"/>
        <v>7917940</v>
      </c>
      <c r="CL20" s="77">
        <f t="shared" ref="CL20" si="23">SUM(CL21:CL32)</f>
        <v>7830781</v>
      </c>
    </row>
    <row r="21" spans="1:90" ht="16.350000000000001" customHeight="1">
      <c r="A21" s="68"/>
      <c r="B21" s="68"/>
      <c r="C21" s="79" t="s">
        <v>7</v>
      </c>
      <c r="D21" s="79" t="s">
        <v>494</v>
      </c>
      <c r="E21" s="80">
        <v>5072</v>
      </c>
      <c r="F21" s="80">
        <v>4469</v>
      </c>
      <c r="G21" s="80">
        <v>9070</v>
      </c>
      <c r="H21" s="80">
        <v>10176</v>
      </c>
      <c r="I21" s="80">
        <v>10495</v>
      </c>
      <c r="J21" s="80">
        <v>11791</v>
      </c>
      <c r="K21" s="80">
        <v>12231</v>
      </c>
      <c r="L21" s="80">
        <v>13453</v>
      </c>
      <c r="M21" s="80">
        <v>13965</v>
      </c>
      <c r="N21" s="80">
        <v>14676</v>
      </c>
      <c r="O21" s="80">
        <v>14253</v>
      </c>
      <c r="P21" s="80">
        <v>9325</v>
      </c>
      <c r="Q21" s="80">
        <v>9996</v>
      </c>
      <c r="R21" s="80">
        <v>10655</v>
      </c>
      <c r="S21" s="80">
        <v>11328</v>
      </c>
      <c r="T21" s="80">
        <v>13017</v>
      </c>
      <c r="U21" s="80">
        <v>12283</v>
      </c>
      <c r="V21" s="80">
        <v>12429</v>
      </c>
      <c r="W21" s="80">
        <v>11979</v>
      </c>
      <c r="X21" s="80">
        <v>11726</v>
      </c>
      <c r="Y21" s="80">
        <v>11042</v>
      </c>
      <c r="Z21" s="80">
        <v>10764</v>
      </c>
      <c r="AA21" s="80">
        <v>10252</v>
      </c>
      <c r="AB21" s="80">
        <v>10764</v>
      </c>
      <c r="AC21" s="80">
        <v>10252</v>
      </c>
      <c r="AD21" s="80">
        <v>13510</v>
      </c>
      <c r="AE21" s="80">
        <v>13081</v>
      </c>
      <c r="AF21" s="80">
        <v>17277</v>
      </c>
      <c r="AG21" s="80">
        <v>19222</v>
      </c>
      <c r="AH21" s="80">
        <v>22158</v>
      </c>
      <c r="AI21" s="80">
        <v>23889</v>
      </c>
      <c r="AJ21" s="80">
        <v>28456</v>
      </c>
      <c r="AK21" s="80">
        <v>26259</v>
      </c>
      <c r="AL21" s="80">
        <v>26525</v>
      </c>
      <c r="AM21" s="80">
        <v>27495</v>
      </c>
      <c r="AN21" s="80">
        <v>31581</v>
      </c>
      <c r="AO21" s="80">
        <v>30874</v>
      </c>
      <c r="AP21" s="80">
        <v>35671</v>
      </c>
      <c r="AQ21" s="80">
        <v>37312</v>
      </c>
      <c r="AR21" s="80">
        <v>39984</v>
      </c>
      <c r="AS21" s="80">
        <v>37601</v>
      </c>
      <c r="AT21" s="80">
        <v>42164</v>
      </c>
      <c r="AU21" s="80">
        <v>48232</v>
      </c>
      <c r="AV21" s="80">
        <v>59108</v>
      </c>
      <c r="AW21" s="80">
        <v>56978</v>
      </c>
      <c r="AX21" s="80">
        <v>63482</v>
      </c>
      <c r="AY21" s="80">
        <v>64341</v>
      </c>
      <c r="AZ21" s="80">
        <v>66624</v>
      </c>
      <c r="BA21" s="80">
        <v>64915</v>
      </c>
      <c r="BB21" s="80">
        <v>69737</v>
      </c>
      <c r="BC21" s="80">
        <v>73126</v>
      </c>
      <c r="BD21" s="80">
        <v>80331</v>
      </c>
      <c r="BE21" s="80">
        <v>80330</v>
      </c>
      <c r="BF21" s="80">
        <v>85231</v>
      </c>
      <c r="BG21" s="80">
        <v>85418</v>
      </c>
      <c r="BH21" s="80">
        <v>78327</v>
      </c>
      <c r="BI21" s="80">
        <v>82380</v>
      </c>
      <c r="BJ21" s="80">
        <v>82027</v>
      </c>
      <c r="BK21" s="80">
        <v>71198</v>
      </c>
      <c r="BL21" s="80">
        <v>73345</v>
      </c>
      <c r="BM21" s="80">
        <v>80468</v>
      </c>
      <c r="BN21" s="80">
        <v>817499</v>
      </c>
      <c r="BO21" s="80">
        <v>670286</v>
      </c>
      <c r="BP21" s="80">
        <v>661111</v>
      </c>
      <c r="BQ21" s="80">
        <v>759905</v>
      </c>
      <c r="BR21" s="80">
        <v>529815</v>
      </c>
      <c r="BS21" s="80">
        <v>549137</v>
      </c>
      <c r="BT21" s="80">
        <v>551243</v>
      </c>
      <c r="BU21" s="80">
        <v>296948</v>
      </c>
      <c r="BV21" s="80">
        <v>220533</v>
      </c>
      <c r="BW21" s="80">
        <v>232644</v>
      </c>
      <c r="BX21" s="80">
        <v>234726</v>
      </c>
      <c r="BY21" s="80">
        <v>233074</v>
      </c>
      <c r="BZ21" s="80">
        <v>221957</v>
      </c>
      <c r="CA21" s="90">
        <v>311525</v>
      </c>
      <c r="CB21" s="80">
        <v>377111</v>
      </c>
      <c r="CC21" s="80">
        <v>357055</v>
      </c>
      <c r="CD21" s="80">
        <v>352664</v>
      </c>
      <c r="CE21" s="80">
        <v>302270</v>
      </c>
      <c r="CF21" s="80">
        <v>305673</v>
      </c>
      <c r="CG21" s="80">
        <f>324002-CG22</f>
        <v>298496</v>
      </c>
      <c r="CH21" s="80">
        <v>295766</v>
      </c>
      <c r="CI21" s="80">
        <v>301499</v>
      </c>
      <c r="CJ21" s="80">
        <v>368725</v>
      </c>
      <c r="CK21" s="80">
        <v>354520</v>
      </c>
      <c r="CL21" s="80">
        <v>342861</v>
      </c>
    </row>
    <row r="22" spans="1:90" ht="16.350000000000001" customHeight="1">
      <c r="A22" s="68"/>
      <c r="B22" s="68"/>
      <c r="C22" s="79" t="s">
        <v>2430</v>
      </c>
      <c r="D22" s="79" t="s">
        <v>2431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80">
        <v>0</v>
      </c>
      <c r="O22" s="80">
        <v>0</v>
      </c>
      <c r="P22" s="80">
        <v>0</v>
      </c>
      <c r="Q22" s="80">
        <v>0</v>
      </c>
      <c r="R22" s="80">
        <v>0</v>
      </c>
      <c r="S22" s="80">
        <v>0</v>
      </c>
      <c r="T22" s="80">
        <v>0</v>
      </c>
      <c r="U22" s="80">
        <v>0</v>
      </c>
      <c r="V22" s="80">
        <v>0</v>
      </c>
      <c r="W22" s="80">
        <v>0</v>
      </c>
      <c r="X22" s="80">
        <v>0</v>
      </c>
      <c r="Y22" s="80">
        <v>0</v>
      </c>
      <c r="Z22" s="80">
        <v>0</v>
      </c>
      <c r="AA22" s="80">
        <v>0</v>
      </c>
      <c r="AB22" s="80">
        <v>0</v>
      </c>
      <c r="AC22" s="80">
        <v>0</v>
      </c>
      <c r="AD22" s="80">
        <v>0</v>
      </c>
      <c r="AE22" s="80">
        <v>0</v>
      </c>
      <c r="AF22" s="80">
        <v>0</v>
      </c>
      <c r="AG22" s="80">
        <v>0</v>
      </c>
      <c r="AH22" s="80">
        <v>0</v>
      </c>
      <c r="AI22" s="80">
        <v>0</v>
      </c>
      <c r="AJ22" s="80">
        <v>0</v>
      </c>
      <c r="AK22" s="80">
        <v>0</v>
      </c>
      <c r="AL22" s="80">
        <v>0</v>
      </c>
      <c r="AM22" s="80">
        <v>0</v>
      </c>
      <c r="AN22" s="80">
        <v>0</v>
      </c>
      <c r="AO22" s="80">
        <v>0</v>
      </c>
      <c r="AP22" s="80">
        <v>0</v>
      </c>
      <c r="AQ22" s="80">
        <v>0</v>
      </c>
      <c r="AR22" s="80">
        <v>0</v>
      </c>
      <c r="AS22" s="80">
        <v>0</v>
      </c>
      <c r="AT22" s="80">
        <v>0</v>
      </c>
      <c r="AU22" s="80">
        <v>0</v>
      </c>
      <c r="AV22" s="80">
        <v>0</v>
      </c>
      <c r="AW22" s="80">
        <v>0</v>
      </c>
      <c r="AX22" s="80">
        <v>0</v>
      </c>
      <c r="AY22" s="80">
        <v>0</v>
      </c>
      <c r="AZ22" s="80">
        <v>0</v>
      </c>
      <c r="BA22" s="80">
        <v>0</v>
      </c>
      <c r="BB22" s="80">
        <v>0</v>
      </c>
      <c r="BC22" s="80">
        <v>0</v>
      </c>
      <c r="BD22" s="80">
        <v>0</v>
      </c>
      <c r="BE22" s="80">
        <v>0</v>
      </c>
      <c r="BF22" s="80">
        <v>0</v>
      </c>
      <c r="BG22" s="80">
        <v>0</v>
      </c>
      <c r="BH22" s="80">
        <v>0</v>
      </c>
      <c r="BI22" s="80">
        <v>0</v>
      </c>
      <c r="BJ22" s="80">
        <v>0</v>
      </c>
      <c r="BK22" s="80">
        <v>0</v>
      </c>
      <c r="BL22" s="80">
        <v>0</v>
      </c>
      <c r="BM22" s="80">
        <v>0</v>
      </c>
      <c r="BN22" s="80">
        <v>0</v>
      </c>
      <c r="BO22" s="80">
        <v>0</v>
      </c>
      <c r="BP22" s="80">
        <v>0</v>
      </c>
      <c r="BQ22" s="80">
        <v>0</v>
      </c>
      <c r="BR22" s="80">
        <v>0</v>
      </c>
      <c r="BS22" s="80">
        <v>0</v>
      </c>
      <c r="BT22" s="80">
        <v>0</v>
      </c>
      <c r="BU22" s="80">
        <v>0</v>
      </c>
      <c r="BV22" s="80">
        <v>0</v>
      </c>
      <c r="BW22" s="80">
        <v>0</v>
      </c>
      <c r="BX22" s="80">
        <v>0</v>
      </c>
      <c r="BY22" s="80">
        <v>0</v>
      </c>
      <c r="BZ22" s="80">
        <v>0</v>
      </c>
      <c r="CA22" s="90">
        <v>0</v>
      </c>
      <c r="CB22" s="80">
        <v>0</v>
      </c>
      <c r="CC22" s="80">
        <v>0</v>
      </c>
      <c r="CD22" s="80">
        <v>0</v>
      </c>
      <c r="CE22" s="80">
        <v>0</v>
      </c>
      <c r="CF22" s="80">
        <v>31323</v>
      </c>
      <c r="CG22" s="80">
        <v>25506</v>
      </c>
      <c r="CH22" s="80">
        <v>20908</v>
      </c>
      <c r="CI22" s="80">
        <v>29434</v>
      </c>
      <c r="CJ22" s="80">
        <v>32341</v>
      </c>
      <c r="CK22" s="80">
        <v>18759</v>
      </c>
      <c r="CL22" s="80">
        <v>15314</v>
      </c>
    </row>
    <row r="23" spans="1:90" ht="16.350000000000001" customHeight="1">
      <c r="A23" s="68"/>
      <c r="B23" s="68"/>
      <c r="C23" s="79" t="s">
        <v>190</v>
      </c>
      <c r="D23" s="79" t="s">
        <v>209</v>
      </c>
      <c r="E23" s="80">
        <v>36041</v>
      </c>
      <c r="F23" s="80">
        <v>30148</v>
      </c>
      <c r="G23" s="80">
        <v>29962</v>
      </c>
      <c r="H23" s="80">
        <v>39532</v>
      </c>
      <c r="I23" s="80">
        <v>32661</v>
      </c>
      <c r="J23" s="80">
        <v>38046</v>
      </c>
      <c r="K23" s="80">
        <v>37054</v>
      </c>
      <c r="L23" s="80">
        <v>51379</v>
      </c>
      <c r="M23" s="80">
        <v>47564</v>
      </c>
      <c r="N23" s="80">
        <v>56060</v>
      </c>
      <c r="O23" s="80">
        <v>49178</v>
      </c>
      <c r="P23" s="80">
        <v>57956</v>
      </c>
      <c r="Q23" s="80">
        <v>46686</v>
      </c>
      <c r="R23" s="80">
        <v>49911</v>
      </c>
      <c r="S23" s="80">
        <v>45842</v>
      </c>
      <c r="T23" s="80">
        <v>53860</v>
      </c>
      <c r="U23" s="80">
        <v>48987</v>
      </c>
      <c r="V23" s="80">
        <v>51090</v>
      </c>
      <c r="W23" s="80">
        <v>51321</v>
      </c>
      <c r="X23" s="80">
        <v>62977</v>
      </c>
      <c r="Y23" s="80">
        <v>56591</v>
      </c>
      <c r="Z23" s="80">
        <v>63787</v>
      </c>
      <c r="AA23" s="80">
        <v>64597</v>
      </c>
      <c r="AB23" s="80">
        <v>63787</v>
      </c>
      <c r="AC23" s="80">
        <v>64597</v>
      </c>
      <c r="AD23" s="80">
        <v>68047</v>
      </c>
      <c r="AE23" s="80">
        <v>57399</v>
      </c>
      <c r="AF23" s="80">
        <v>115517</v>
      </c>
      <c r="AG23" s="80">
        <v>110253</v>
      </c>
      <c r="AH23" s="80">
        <v>115765</v>
      </c>
      <c r="AI23" s="80">
        <v>80138</v>
      </c>
      <c r="AJ23" s="80">
        <v>133187</v>
      </c>
      <c r="AK23" s="80">
        <v>127375</v>
      </c>
      <c r="AL23" s="80">
        <v>111012</v>
      </c>
      <c r="AM23" s="80">
        <v>74698</v>
      </c>
      <c r="AN23" s="80">
        <v>84925</v>
      </c>
      <c r="AO23" s="80">
        <v>85953</v>
      </c>
      <c r="AP23" s="80">
        <v>100119</v>
      </c>
      <c r="AQ23" s="80">
        <v>95289</v>
      </c>
      <c r="AR23" s="80">
        <v>95670</v>
      </c>
      <c r="AS23" s="80">
        <v>68031</v>
      </c>
      <c r="AT23" s="80">
        <v>94156</v>
      </c>
      <c r="AU23" s="80">
        <v>56606</v>
      </c>
      <c r="AV23" s="80">
        <v>97899</v>
      </c>
      <c r="AW23" s="80">
        <v>130728</v>
      </c>
      <c r="AX23" s="80">
        <v>158017</v>
      </c>
      <c r="AY23" s="80">
        <v>155916</v>
      </c>
      <c r="AZ23" s="80">
        <v>156616</v>
      </c>
      <c r="BA23" s="80">
        <v>142727</v>
      </c>
      <c r="BB23" s="80">
        <v>128431</v>
      </c>
      <c r="BC23" s="80">
        <v>163752</v>
      </c>
      <c r="BD23" s="80">
        <v>199211</v>
      </c>
      <c r="BE23" s="80">
        <v>207201</v>
      </c>
      <c r="BF23" s="80">
        <v>173568</v>
      </c>
      <c r="BG23" s="80">
        <v>169552</v>
      </c>
      <c r="BH23" s="80">
        <v>153458</v>
      </c>
      <c r="BI23" s="80">
        <v>141273</v>
      </c>
      <c r="BJ23" s="80">
        <v>164604</v>
      </c>
      <c r="BK23" s="80">
        <v>176196</v>
      </c>
      <c r="BL23" s="80">
        <v>214505</v>
      </c>
      <c r="BM23" s="80">
        <v>236498</v>
      </c>
      <c r="BN23" s="80">
        <v>239731</v>
      </c>
      <c r="BO23" s="80">
        <v>284453</v>
      </c>
      <c r="BP23" s="80">
        <v>276925</v>
      </c>
      <c r="BQ23" s="80">
        <v>399170</v>
      </c>
      <c r="BR23" s="80">
        <v>463769</v>
      </c>
      <c r="BS23" s="80">
        <v>430030</v>
      </c>
      <c r="BT23" s="80">
        <v>457537</v>
      </c>
      <c r="BU23" s="80">
        <v>576296</v>
      </c>
      <c r="BV23" s="80">
        <v>539285</v>
      </c>
      <c r="BW23" s="80">
        <v>492003</v>
      </c>
      <c r="BX23" s="80">
        <v>555595</v>
      </c>
      <c r="BY23" s="80">
        <v>658805</v>
      </c>
      <c r="BZ23" s="80">
        <v>698845</v>
      </c>
      <c r="CA23" s="90">
        <v>729301</v>
      </c>
      <c r="CB23" s="80">
        <v>799610</v>
      </c>
      <c r="CC23" s="80">
        <v>832587</v>
      </c>
      <c r="CD23" s="80">
        <v>772205</v>
      </c>
      <c r="CE23" s="80">
        <v>780852</v>
      </c>
      <c r="CF23" s="80">
        <v>790229</v>
      </c>
      <c r="CG23" s="80">
        <v>846891</v>
      </c>
      <c r="CH23" s="80">
        <v>821403</v>
      </c>
      <c r="CI23" s="80">
        <v>810056</v>
      </c>
      <c r="CJ23" s="80">
        <v>741858</v>
      </c>
      <c r="CK23" s="80">
        <v>769706</v>
      </c>
      <c r="CL23" s="80">
        <v>681909</v>
      </c>
    </row>
    <row r="24" spans="1:90" ht="16.350000000000001" customHeight="1">
      <c r="A24" s="68"/>
      <c r="B24" s="68"/>
      <c r="C24" s="79" t="s">
        <v>471</v>
      </c>
      <c r="D24" s="79" t="s">
        <v>500</v>
      </c>
      <c r="E24" s="80">
        <v>0</v>
      </c>
      <c r="F24" s="80">
        <v>0</v>
      </c>
      <c r="G24" s="80">
        <v>2567</v>
      </c>
      <c r="H24" s="80">
        <v>2201</v>
      </c>
      <c r="I24" s="80">
        <v>1834</v>
      </c>
      <c r="J24" s="80">
        <v>1467</v>
      </c>
      <c r="K24" s="80">
        <v>4027</v>
      </c>
      <c r="L24" s="80">
        <v>5445</v>
      </c>
      <c r="M24" s="80">
        <v>5368</v>
      </c>
      <c r="N24" s="80">
        <v>6542</v>
      </c>
      <c r="O24" s="80">
        <v>7396</v>
      </c>
      <c r="P24" s="80">
        <v>10027</v>
      </c>
      <c r="Q24" s="80">
        <v>10152</v>
      </c>
      <c r="R24" s="80">
        <v>8397</v>
      </c>
      <c r="S24" s="80">
        <v>8553</v>
      </c>
      <c r="T24" s="80">
        <v>6657</v>
      </c>
      <c r="U24" s="80">
        <v>6449</v>
      </c>
      <c r="V24" s="80">
        <v>6063</v>
      </c>
      <c r="W24" s="80">
        <v>5428</v>
      </c>
      <c r="X24" s="80">
        <v>4998</v>
      </c>
      <c r="Y24" s="80">
        <v>6861</v>
      </c>
      <c r="Z24" s="80">
        <v>6230</v>
      </c>
      <c r="AA24" s="80">
        <v>5707</v>
      </c>
      <c r="AB24" s="80">
        <v>6230</v>
      </c>
      <c r="AC24" s="80">
        <v>5707</v>
      </c>
      <c r="AD24" s="80">
        <v>5428</v>
      </c>
      <c r="AE24" s="80">
        <v>4700</v>
      </c>
      <c r="AF24" s="80">
        <v>4564</v>
      </c>
      <c r="AG24" s="80">
        <v>3490</v>
      </c>
      <c r="AH24" s="80">
        <v>2642</v>
      </c>
      <c r="AI24" s="80">
        <v>1964</v>
      </c>
      <c r="AJ24" s="80">
        <v>2042</v>
      </c>
      <c r="AK24" s="80">
        <v>3408</v>
      </c>
      <c r="AL24" s="80">
        <v>2878</v>
      </c>
      <c r="AM24" s="80">
        <v>4028</v>
      </c>
      <c r="AN24" s="80">
        <v>5249</v>
      </c>
      <c r="AO24" s="80">
        <v>5283</v>
      </c>
      <c r="AP24" s="80">
        <v>5434</v>
      </c>
      <c r="AQ24" s="80">
        <v>7101</v>
      </c>
      <c r="AR24" s="80">
        <v>7498</v>
      </c>
      <c r="AS24" s="80">
        <v>8576</v>
      </c>
      <c r="AT24" s="80">
        <v>8576</v>
      </c>
      <c r="AU24" s="80">
        <v>9223</v>
      </c>
      <c r="AV24" s="80">
        <v>8563</v>
      </c>
      <c r="AW24" s="80">
        <v>7468</v>
      </c>
      <c r="AX24" s="80">
        <v>8293</v>
      </c>
      <c r="AY24" s="80">
        <v>10936</v>
      </c>
      <c r="AZ24" s="80">
        <v>10692</v>
      </c>
      <c r="BA24" s="80">
        <v>10619</v>
      </c>
      <c r="BB24" s="80">
        <v>11449</v>
      </c>
      <c r="BC24" s="80">
        <v>9798</v>
      </c>
      <c r="BD24" s="80">
        <v>20267</v>
      </c>
      <c r="BE24" s="80">
        <v>8302</v>
      </c>
      <c r="BF24" s="80">
        <v>7712</v>
      </c>
      <c r="BG24" s="80">
        <v>8144</v>
      </c>
      <c r="BH24" s="80">
        <v>29403</v>
      </c>
      <c r="BI24" s="80">
        <v>24606</v>
      </c>
      <c r="BJ24" s="80">
        <v>23705</v>
      </c>
      <c r="BK24" s="80">
        <v>21180</v>
      </c>
      <c r="BL24" s="80">
        <v>16208</v>
      </c>
      <c r="BM24" s="80">
        <v>16944</v>
      </c>
      <c r="BN24" s="80">
        <v>16958</v>
      </c>
      <c r="BO24" s="80">
        <v>16092</v>
      </c>
      <c r="BP24" s="80">
        <v>12847</v>
      </c>
      <c r="BQ24" s="80">
        <v>13050</v>
      </c>
      <c r="BR24" s="80">
        <v>80673</v>
      </c>
      <c r="BS24" s="80">
        <v>116547</v>
      </c>
      <c r="BT24" s="80">
        <v>125738</v>
      </c>
      <c r="BU24" s="80">
        <v>125217</v>
      </c>
      <c r="BV24" s="80">
        <v>179759</v>
      </c>
      <c r="BW24" s="80">
        <v>201838</v>
      </c>
      <c r="BX24" s="80">
        <v>225345</v>
      </c>
      <c r="BY24" s="80">
        <v>217974</v>
      </c>
      <c r="BZ24" s="80">
        <v>202662</v>
      </c>
      <c r="CA24" s="90">
        <v>192705</v>
      </c>
      <c r="CB24" s="80">
        <v>107723</v>
      </c>
      <c r="CC24" s="80">
        <v>116424</v>
      </c>
      <c r="CD24" s="80">
        <v>112397</v>
      </c>
      <c r="CE24" s="80">
        <v>101765</v>
      </c>
      <c r="CF24" s="80">
        <v>97709</v>
      </c>
      <c r="CG24" s="80">
        <v>105622</v>
      </c>
      <c r="CH24" s="80">
        <v>103815</v>
      </c>
      <c r="CI24" s="80">
        <v>103155</v>
      </c>
      <c r="CJ24" s="80">
        <v>177476</v>
      </c>
      <c r="CK24" s="80">
        <v>179801</v>
      </c>
      <c r="CL24" s="80">
        <v>186140</v>
      </c>
    </row>
    <row r="25" spans="1:90" ht="16.350000000000001" hidden="1" customHeight="1" outlineLevel="1">
      <c r="A25" s="68"/>
      <c r="B25" s="68"/>
      <c r="C25" s="79" t="s">
        <v>12</v>
      </c>
      <c r="D25" s="79" t="s">
        <v>13</v>
      </c>
      <c r="E25" s="80">
        <v>4510</v>
      </c>
      <c r="F25" s="80">
        <v>4498</v>
      </c>
      <c r="G25" s="80">
        <v>4185</v>
      </c>
      <c r="H25" s="80">
        <v>2178</v>
      </c>
      <c r="I25" s="80">
        <v>2176</v>
      </c>
      <c r="J25" s="80">
        <v>2106</v>
      </c>
      <c r="K25" s="80">
        <v>2374</v>
      </c>
      <c r="L25" s="80">
        <v>2276</v>
      </c>
      <c r="M25" s="80">
        <v>2232</v>
      </c>
      <c r="N25" s="80">
        <v>2182</v>
      </c>
      <c r="O25" s="80">
        <v>2417</v>
      </c>
      <c r="P25" s="80">
        <v>8104</v>
      </c>
      <c r="Q25" s="80">
        <v>10468</v>
      </c>
      <c r="R25" s="80">
        <v>11173</v>
      </c>
      <c r="S25" s="80">
        <v>12141</v>
      </c>
      <c r="T25" s="80">
        <v>12290</v>
      </c>
      <c r="U25" s="80">
        <v>12263</v>
      </c>
      <c r="V25" s="80">
        <v>12790</v>
      </c>
      <c r="W25" s="80">
        <v>12826</v>
      </c>
      <c r="X25" s="80">
        <v>9443</v>
      </c>
      <c r="Y25" s="80">
        <v>9281</v>
      </c>
      <c r="Z25" s="80">
        <v>9332</v>
      </c>
      <c r="AA25" s="80">
        <v>9486</v>
      </c>
      <c r="AB25" s="80">
        <v>9332</v>
      </c>
      <c r="AC25" s="80">
        <v>9486</v>
      </c>
      <c r="AD25" s="80">
        <v>10089</v>
      </c>
      <c r="AE25" s="80">
        <v>26654</v>
      </c>
      <c r="AF25" s="80">
        <v>6189</v>
      </c>
      <c r="AG25" s="80">
        <v>6598</v>
      </c>
      <c r="AH25" s="80">
        <v>6653</v>
      </c>
      <c r="AI25" s="80">
        <v>6844</v>
      </c>
      <c r="AJ25" s="80">
        <v>7021</v>
      </c>
      <c r="AK25" s="80">
        <v>6919</v>
      </c>
      <c r="AL25" s="80">
        <v>7125</v>
      </c>
      <c r="AM25" s="80">
        <v>7111</v>
      </c>
      <c r="AN25" s="80">
        <v>6893</v>
      </c>
      <c r="AO25" s="80">
        <v>6941</v>
      </c>
      <c r="AP25" s="80">
        <v>7072</v>
      </c>
      <c r="AQ25" s="80">
        <v>6194</v>
      </c>
      <c r="AR25" s="80">
        <v>6833</v>
      </c>
      <c r="AS25" s="80">
        <v>5267</v>
      </c>
      <c r="AT25" s="80">
        <v>8151</v>
      </c>
      <c r="AU25" s="80">
        <v>10844</v>
      </c>
      <c r="AV25" s="80">
        <v>10825</v>
      </c>
      <c r="AW25" s="80">
        <v>10799</v>
      </c>
      <c r="AX25" s="80">
        <v>10481</v>
      </c>
      <c r="AY25" s="80">
        <v>10293</v>
      </c>
      <c r="AZ25" s="80">
        <v>10444</v>
      </c>
      <c r="BA25" s="80">
        <v>10524</v>
      </c>
      <c r="BB25" s="80">
        <v>10583</v>
      </c>
      <c r="BC25" s="80">
        <v>10521</v>
      </c>
      <c r="BD25" s="80">
        <v>0</v>
      </c>
      <c r="BE25" s="80">
        <v>10012</v>
      </c>
      <c r="BF25" s="80">
        <v>10007</v>
      </c>
      <c r="BG25" s="80">
        <v>10091</v>
      </c>
      <c r="BH25" s="80">
        <v>0</v>
      </c>
      <c r="BI25" s="80">
        <v>0</v>
      </c>
      <c r="BJ25" s="80">
        <v>0</v>
      </c>
      <c r="BK25" s="80">
        <v>0</v>
      </c>
      <c r="BL25" s="80">
        <v>0</v>
      </c>
      <c r="BM25" s="80">
        <v>0</v>
      </c>
      <c r="BN25" s="80">
        <v>0</v>
      </c>
      <c r="BO25" s="80">
        <v>0</v>
      </c>
      <c r="BP25" s="80">
        <v>0</v>
      </c>
      <c r="BQ25" s="80">
        <v>0</v>
      </c>
      <c r="BR25" s="80">
        <v>0</v>
      </c>
      <c r="BS25" s="80">
        <v>0</v>
      </c>
      <c r="BT25" s="80">
        <v>0</v>
      </c>
      <c r="BU25" s="80">
        <v>0</v>
      </c>
      <c r="BV25" s="80">
        <v>0</v>
      </c>
      <c r="BW25" s="80">
        <v>0</v>
      </c>
      <c r="BX25" s="80">
        <v>0</v>
      </c>
      <c r="BY25" s="80">
        <v>0</v>
      </c>
      <c r="BZ25" s="80">
        <v>0</v>
      </c>
      <c r="CA25" s="90">
        <v>0</v>
      </c>
      <c r="CB25" s="80">
        <v>0</v>
      </c>
      <c r="CC25" s="80">
        <v>0</v>
      </c>
      <c r="CD25" s="80">
        <v>0</v>
      </c>
      <c r="CE25" s="80">
        <v>0</v>
      </c>
      <c r="CF25" s="80">
        <v>0</v>
      </c>
      <c r="CG25" s="80">
        <v>0</v>
      </c>
      <c r="CH25" s="80">
        <v>0</v>
      </c>
      <c r="CI25" s="80">
        <v>0</v>
      </c>
      <c r="CJ25" s="80">
        <v>0</v>
      </c>
      <c r="CK25" s="80">
        <v>0</v>
      </c>
      <c r="CL25" s="80">
        <v>0</v>
      </c>
    </row>
    <row r="26" spans="1:90" ht="16.350000000000001" hidden="1" customHeight="1" outlineLevel="1">
      <c r="A26" s="68"/>
      <c r="B26" s="68"/>
      <c r="C26" s="79" t="s">
        <v>10</v>
      </c>
      <c r="D26" s="79" t="s">
        <v>11</v>
      </c>
      <c r="E26" s="80">
        <v>0</v>
      </c>
      <c r="F26" s="80">
        <v>0</v>
      </c>
      <c r="G26" s="80">
        <v>0</v>
      </c>
      <c r="H26" s="80">
        <v>0</v>
      </c>
      <c r="I26" s="80">
        <v>0</v>
      </c>
      <c r="J26" s="80">
        <v>0</v>
      </c>
      <c r="K26" s="80">
        <v>0</v>
      </c>
      <c r="L26" s="80">
        <v>0</v>
      </c>
      <c r="M26" s="80">
        <v>0</v>
      </c>
      <c r="N26" s="80">
        <v>0</v>
      </c>
      <c r="O26" s="80">
        <v>0</v>
      </c>
      <c r="P26" s="80">
        <v>0</v>
      </c>
      <c r="Q26" s="80">
        <v>0</v>
      </c>
      <c r="R26" s="80">
        <v>0</v>
      </c>
      <c r="S26" s="80">
        <v>0</v>
      </c>
      <c r="T26" s="80">
        <v>0</v>
      </c>
      <c r="U26" s="80">
        <v>0</v>
      </c>
      <c r="V26" s="80">
        <v>0</v>
      </c>
      <c r="W26" s="80">
        <v>0</v>
      </c>
      <c r="X26" s="80">
        <v>0</v>
      </c>
      <c r="Y26" s="80">
        <v>0</v>
      </c>
      <c r="Z26" s="80">
        <v>0</v>
      </c>
      <c r="AA26" s="80">
        <v>0</v>
      </c>
      <c r="AB26" s="80">
        <v>0</v>
      </c>
      <c r="AC26" s="80">
        <v>0</v>
      </c>
      <c r="AD26" s="80">
        <v>0</v>
      </c>
      <c r="AE26" s="80">
        <v>0</v>
      </c>
      <c r="AF26" s="80">
        <v>0</v>
      </c>
      <c r="AG26" s="80">
        <v>0</v>
      </c>
      <c r="AH26" s="80">
        <v>0</v>
      </c>
      <c r="AI26" s="80">
        <v>0</v>
      </c>
      <c r="AJ26" s="80">
        <v>0</v>
      </c>
      <c r="AK26" s="80">
        <v>0</v>
      </c>
      <c r="AL26" s="80">
        <v>0</v>
      </c>
      <c r="AM26" s="80">
        <v>0</v>
      </c>
      <c r="AN26" s="80">
        <v>0</v>
      </c>
      <c r="AO26" s="80">
        <v>0</v>
      </c>
      <c r="AP26" s="80">
        <v>0</v>
      </c>
      <c r="AQ26" s="80">
        <v>0</v>
      </c>
      <c r="AR26" s="80">
        <v>0</v>
      </c>
      <c r="AS26" s="80">
        <v>0</v>
      </c>
      <c r="AT26" s="80">
        <v>0</v>
      </c>
      <c r="AU26" s="80">
        <v>0</v>
      </c>
      <c r="AV26" s="80">
        <v>0</v>
      </c>
      <c r="AW26" s="80">
        <v>0</v>
      </c>
      <c r="AX26" s="80" t="s">
        <v>53</v>
      </c>
      <c r="AY26" s="80">
        <v>0</v>
      </c>
      <c r="AZ26" s="80">
        <v>0</v>
      </c>
      <c r="BA26" s="80">
        <v>0</v>
      </c>
      <c r="BB26" s="80">
        <v>0</v>
      </c>
      <c r="BC26" s="80">
        <v>250</v>
      </c>
      <c r="BD26" s="80">
        <v>0</v>
      </c>
      <c r="BE26" s="80">
        <v>326</v>
      </c>
      <c r="BF26" s="80">
        <v>295</v>
      </c>
      <c r="BG26" s="80">
        <v>1421</v>
      </c>
      <c r="BH26" s="80">
        <v>0</v>
      </c>
      <c r="BI26" s="80">
        <v>0</v>
      </c>
      <c r="BJ26" s="80">
        <v>0</v>
      </c>
      <c r="BK26" s="80">
        <v>0</v>
      </c>
      <c r="BL26" s="80">
        <v>0</v>
      </c>
      <c r="BM26" s="80">
        <v>0</v>
      </c>
      <c r="BN26" s="80">
        <v>0</v>
      </c>
      <c r="BO26" s="80">
        <v>0</v>
      </c>
      <c r="BP26" s="80">
        <v>0</v>
      </c>
      <c r="BQ26" s="80">
        <v>0</v>
      </c>
      <c r="BR26" s="80">
        <v>0</v>
      </c>
      <c r="BS26" s="80">
        <v>0</v>
      </c>
      <c r="BT26" s="80">
        <v>0</v>
      </c>
      <c r="BU26" s="80">
        <v>0</v>
      </c>
      <c r="BV26" s="80">
        <v>0</v>
      </c>
      <c r="BW26" s="80">
        <v>0</v>
      </c>
      <c r="BX26" s="80">
        <v>0</v>
      </c>
      <c r="BY26" s="80">
        <v>0</v>
      </c>
      <c r="BZ26" s="80">
        <v>0</v>
      </c>
      <c r="CA26" s="90">
        <v>0</v>
      </c>
      <c r="CB26" s="80">
        <v>0</v>
      </c>
      <c r="CC26" s="80">
        <v>0</v>
      </c>
      <c r="CD26" s="80">
        <v>0</v>
      </c>
      <c r="CE26" s="80">
        <v>0</v>
      </c>
      <c r="CF26" s="80">
        <v>0</v>
      </c>
      <c r="CG26" s="80">
        <v>0</v>
      </c>
      <c r="CH26" s="80">
        <v>0</v>
      </c>
      <c r="CI26" s="80">
        <v>0</v>
      </c>
      <c r="CJ26" s="80">
        <v>0</v>
      </c>
      <c r="CK26" s="80">
        <v>0</v>
      </c>
      <c r="CL26" s="80">
        <v>0</v>
      </c>
    </row>
    <row r="27" spans="1:90" ht="16.350000000000001" hidden="1" customHeight="1" outlineLevel="1">
      <c r="A27" s="68"/>
      <c r="B27" s="68"/>
      <c r="C27" s="79" t="s">
        <v>96</v>
      </c>
      <c r="D27" s="79" t="s">
        <v>98</v>
      </c>
      <c r="E27" s="80">
        <v>0</v>
      </c>
      <c r="F27" s="80">
        <v>0</v>
      </c>
      <c r="G27" s="80">
        <v>0</v>
      </c>
      <c r="H27" s="80">
        <v>0</v>
      </c>
      <c r="I27" s="80">
        <v>0</v>
      </c>
      <c r="J27" s="80">
        <v>0</v>
      </c>
      <c r="K27" s="80">
        <v>0</v>
      </c>
      <c r="L27" s="80">
        <v>0</v>
      </c>
      <c r="M27" s="80">
        <v>0</v>
      </c>
      <c r="N27" s="80">
        <v>0</v>
      </c>
      <c r="O27" s="80">
        <v>0</v>
      </c>
      <c r="P27" s="80">
        <v>0</v>
      </c>
      <c r="Q27" s="80">
        <v>0</v>
      </c>
      <c r="R27" s="80">
        <v>0</v>
      </c>
      <c r="S27" s="80">
        <v>0</v>
      </c>
      <c r="T27" s="80">
        <v>0</v>
      </c>
      <c r="U27" s="80">
        <v>0</v>
      </c>
      <c r="V27" s="80">
        <v>0</v>
      </c>
      <c r="W27" s="80">
        <v>0</v>
      </c>
      <c r="X27" s="80">
        <v>0</v>
      </c>
      <c r="Y27" s="80">
        <v>0</v>
      </c>
      <c r="Z27" s="80">
        <v>0</v>
      </c>
      <c r="AA27" s="80">
        <v>0</v>
      </c>
      <c r="AB27" s="80">
        <v>0</v>
      </c>
      <c r="AC27" s="80">
        <v>0</v>
      </c>
      <c r="AD27" s="80">
        <v>0</v>
      </c>
      <c r="AE27" s="80">
        <v>0</v>
      </c>
      <c r="AF27" s="80">
        <v>0</v>
      </c>
      <c r="AG27" s="80">
        <v>0</v>
      </c>
      <c r="AH27" s="80">
        <v>0</v>
      </c>
      <c r="AI27" s="80">
        <v>0</v>
      </c>
      <c r="AJ27" s="80">
        <v>0</v>
      </c>
      <c r="AK27" s="80">
        <v>0</v>
      </c>
      <c r="AL27" s="80">
        <v>0</v>
      </c>
      <c r="AM27" s="80">
        <v>0</v>
      </c>
      <c r="AN27" s="80">
        <v>0</v>
      </c>
      <c r="AO27" s="80">
        <v>0</v>
      </c>
      <c r="AP27" s="80">
        <v>0</v>
      </c>
      <c r="AQ27" s="80">
        <v>0</v>
      </c>
      <c r="AR27" s="80">
        <v>198</v>
      </c>
      <c r="AS27" s="80">
        <v>440</v>
      </c>
      <c r="AT27" s="80">
        <v>0</v>
      </c>
      <c r="AU27" s="80">
        <v>1911</v>
      </c>
      <c r="AV27" s="80">
        <v>51</v>
      </c>
      <c r="AW27" s="80">
        <v>0</v>
      </c>
      <c r="AX27" s="80" t="s">
        <v>53</v>
      </c>
      <c r="AY27" s="80">
        <v>0</v>
      </c>
      <c r="AZ27" s="80">
        <v>0</v>
      </c>
      <c r="BA27" s="80">
        <v>0</v>
      </c>
      <c r="BB27" s="80">
        <v>0</v>
      </c>
      <c r="BC27" s="80">
        <v>0</v>
      </c>
      <c r="BD27" s="80" t="s">
        <v>53</v>
      </c>
      <c r="BE27" s="80" t="s">
        <v>53</v>
      </c>
      <c r="BF27" s="80" t="s">
        <v>53</v>
      </c>
      <c r="BG27" s="80">
        <v>0</v>
      </c>
      <c r="BH27" s="80">
        <v>0</v>
      </c>
      <c r="BI27" s="80">
        <v>0</v>
      </c>
      <c r="BJ27" s="80">
        <v>0</v>
      </c>
      <c r="BK27" s="80">
        <v>0</v>
      </c>
      <c r="BL27" s="80">
        <v>0</v>
      </c>
      <c r="BM27" s="80">
        <v>0</v>
      </c>
      <c r="BN27" s="80">
        <v>0</v>
      </c>
      <c r="BO27" s="80">
        <v>0</v>
      </c>
      <c r="BP27" s="80">
        <v>0</v>
      </c>
      <c r="BQ27" s="80">
        <v>0</v>
      </c>
      <c r="BR27" s="80">
        <v>0</v>
      </c>
      <c r="BS27" s="80">
        <v>0</v>
      </c>
      <c r="BT27" s="80">
        <v>0</v>
      </c>
      <c r="BU27" s="80">
        <v>0</v>
      </c>
      <c r="BV27" s="80">
        <v>0</v>
      </c>
      <c r="BW27" s="80">
        <v>0</v>
      </c>
      <c r="BX27" s="80">
        <v>0</v>
      </c>
      <c r="BY27" s="80">
        <v>0</v>
      </c>
      <c r="BZ27" s="80">
        <v>0</v>
      </c>
      <c r="CA27" s="90">
        <v>0</v>
      </c>
      <c r="CB27" s="80">
        <v>0</v>
      </c>
      <c r="CC27" s="80">
        <v>0</v>
      </c>
      <c r="CD27" s="80">
        <v>0</v>
      </c>
      <c r="CE27" s="80">
        <v>0</v>
      </c>
      <c r="CF27" s="80">
        <v>0</v>
      </c>
      <c r="CG27" s="80">
        <v>0</v>
      </c>
      <c r="CH27" s="80">
        <v>0</v>
      </c>
      <c r="CI27" s="80">
        <v>0</v>
      </c>
      <c r="CJ27" s="80">
        <v>0</v>
      </c>
      <c r="CK27" s="80">
        <v>0</v>
      </c>
      <c r="CL27" s="80">
        <v>0</v>
      </c>
    </row>
    <row r="28" spans="1:90" ht="16.350000000000001" hidden="1" customHeight="1" outlineLevel="1">
      <c r="A28" s="68"/>
      <c r="B28" s="68"/>
      <c r="C28" s="79" t="s">
        <v>61</v>
      </c>
      <c r="D28" s="79" t="s">
        <v>14</v>
      </c>
      <c r="E28" s="80">
        <v>0</v>
      </c>
      <c r="F28" s="80">
        <v>0</v>
      </c>
      <c r="G28" s="80">
        <v>0</v>
      </c>
      <c r="H28" s="80">
        <v>0</v>
      </c>
      <c r="I28" s="80">
        <v>0</v>
      </c>
      <c r="J28" s="80">
        <v>0</v>
      </c>
      <c r="K28" s="80">
        <v>0</v>
      </c>
      <c r="L28" s="80" t="s">
        <v>53</v>
      </c>
      <c r="M28" s="80">
        <v>0</v>
      </c>
      <c r="N28" s="80">
        <v>0</v>
      </c>
      <c r="O28" s="80" t="s">
        <v>53</v>
      </c>
      <c r="P28" s="80">
        <v>0</v>
      </c>
      <c r="Q28" s="80">
        <v>0</v>
      </c>
      <c r="R28" s="80" t="s">
        <v>53</v>
      </c>
      <c r="S28" s="80">
        <v>0</v>
      </c>
      <c r="T28" s="80">
        <v>0</v>
      </c>
      <c r="U28" s="80">
        <v>0</v>
      </c>
      <c r="V28" s="80">
        <v>0</v>
      </c>
      <c r="W28" s="80">
        <v>0</v>
      </c>
      <c r="X28" s="80">
        <v>0</v>
      </c>
      <c r="Y28" s="80">
        <v>0</v>
      </c>
      <c r="Z28" s="80">
        <v>0</v>
      </c>
      <c r="AA28" s="80">
        <v>5569</v>
      </c>
      <c r="AB28" s="80">
        <v>0</v>
      </c>
      <c r="AC28" s="80">
        <v>5569</v>
      </c>
      <c r="AD28" s="80">
        <v>0</v>
      </c>
      <c r="AE28" s="80">
        <v>0</v>
      </c>
      <c r="AF28" s="80">
        <v>0</v>
      </c>
      <c r="AG28" s="80">
        <v>0</v>
      </c>
      <c r="AH28" s="80" t="s">
        <v>53</v>
      </c>
      <c r="AI28" s="80" t="s">
        <v>53</v>
      </c>
      <c r="AJ28" s="80" t="s">
        <v>53</v>
      </c>
      <c r="AK28" s="80" t="s">
        <v>53</v>
      </c>
      <c r="AL28" s="80">
        <v>0</v>
      </c>
      <c r="AM28" s="80">
        <v>0</v>
      </c>
      <c r="AN28" s="80">
        <v>0</v>
      </c>
      <c r="AO28" s="80">
        <v>0</v>
      </c>
      <c r="AP28" s="80">
        <v>0</v>
      </c>
      <c r="AQ28" s="80">
        <v>0</v>
      </c>
      <c r="AR28" s="80">
        <v>0</v>
      </c>
      <c r="AS28" s="80">
        <v>0</v>
      </c>
      <c r="AT28" s="80">
        <v>0</v>
      </c>
      <c r="AU28" s="80">
        <v>0</v>
      </c>
      <c r="AV28" s="80">
        <v>0</v>
      </c>
      <c r="AW28" s="80">
        <v>0</v>
      </c>
      <c r="AX28" s="80">
        <v>0</v>
      </c>
      <c r="AY28" s="80">
        <v>0</v>
      </c>
      <c r="AZ28" s="80">
        <v>0</v>
      </c>
      <c r="BA28" s="80">
        <v>0</v>
      </c>
      <c r="BB28" s="80">
        <v>0</v>
      </c>
      <c r="BC28" s="80">
        <v>0</v>
      </c>
      <c r="BD28" s="80" t="s">
        <v>53</v>
      </c>
      <c r="BE28" s="80" t="s">
        <v>53</v>
      </c>
      <c r="BF28" s="80" t="s">
        <v>53</v>
      </c>
      <c r="BG28" s="80">
        <v>0</v>
      </c>
      <c r="BH28" s="80">
        <v>0</v>
      </c>
      <c r="BI28" s="80">
        <v>0</v>
      </c>
      <c r="BJ28" s="80">
        <v>0</v>
      </c>
      <c r="BK28" s="80">
        <v>0</v>
      </c>
      <c r="BL28" s="80">
        <v>0</v>
      </c>
      <c r="BM28" s="80">
        <v>0</v>
      </c>
      <c r="BN28" s="80">
        <v>0</v>
      </c>
      <c r="BO28" s="80">
        <v>0</v>
      </c>
      <c r="BP28" s="80">
        <v>0</v>
      </c>
      <c r="BQ28" s="80">
        <v>0</v>
      </c>
      <c r="BR28" s="80">
        <v>0</v>
      </c>
      <c r="BS28" s="80">
        <v>0</v>
      </c>
      <c r="BT28" s="80">
        <v>0</v>
      </c>
      <c r="BU28" s="80">
        <v>0</v>
      </c>
      <c r="BV28" s="80">
        <v>0</v>
      </c>
      <c r="BW28" s="80">
        <v>0</v>
      </c>
      <c r="BX28" s="80">
        <v>0</v>
      </c>
      <c r="BY28" s="80">
        <v>0</v>
      </c>
      <c r="BZ28" s="80">
        <v>0</v>
      </c>
      <c r="CA28" s="90">
        <v>0</v>
      </c>
      <c r="CB28" s="80">
        <v>0</v>
      </c>
      <c r="CC28" s="80">
        <v>0</v>
      </c>
      <c r="CD28" s="80">
        <v>0</v>
      </c>
      <c r="CE28" s="80">
        <v>0</v>
      </c>
      <c r="CF28" s="80">
        <v>0</v>
      </c>
      <c r="CG28" s="80">
        <v>0</v>
      </c>
      <c r="CH28" s="80">
        <v>0</v>
      </c>
      <c r="CI28" s="80">
        <v>0</v>
      </c>
      <c r="CJ28" s="80">
        <v>0</v>
      </c>
      <c r="CK28" s="80">
        <v>0</v>
      </c>
      <c r="CL28" s="80">
        <v>0</v>
      </c>
    </row>
    <row r="29" spans="1:90" ht="16.350000000000001" customHeight="1" collapsed="1">
      <c r="A29" s="68"/>
      <c r="B29" s="68"/>
      <c r="C29" s="79" t="s">
        <v>15</v>
      </c>
      <c r="D29" s="79" t="s">
        <v>16</v>
      </c>
      <c r="E29" s="80">
        <v>76</v>
      </c>
      <c r="F29" s="80">
        <v>63</v>
      </c>
      <c r="G29" s="80">
        <v>63</v>
      </c>
      <c r="H29" s="80">
        <v>63</v>
      </c>
      <c r="I29" s="80">
        <v>63</v>
      </c>
      <c r="J29" s="80">
        <v>63</v>
      </c>
      <c r="K29" s="80">
        <v>63</v>
      </c>
      <c r="L29" s="80">
        <v>63</v>
      </c>
      <c r="M29" s="80">
        <v>63</v>
      </c>
      <c r="N29" s="80">
        <v>63</v>
      </c>
      <c r="O29" s="80">
        <v>63</v>
      </c>
      <c r="P29" s="80">
        <v>63</v>
      </c>
      <c r="Q29" s="80">
        <v>63</v>
      </c>
      <c r="R29" s="80">
        <v>63</v>
      </c>
      <c r="S29" s="80">
        <v>63</v>
      </c>
      <c r="T29" s="80">
        <v>63</v>
      </c>
      <c r="U29" s="80">
        <v>63</v>
      </c>
      <c r="V29" s="80">
        <v>63</v>
      </c>
      <c r="W29" s="80">
        <v>63</v>
      </c>
      <c r="X29" s="80">
        <v>63</v>
      </c>
      <c r="Y29" s="80">
        <v>63</v>
      </c>
      <c r="Z29" s="80">
        <v>63</v>
      </c>
      <c r="AA29" s="80">
        <v>63</v>
      </c>
      <c r="AB29" s="80">
        <v>63</v>
      </c>
      <c r="AC29" s="80">
        <v>63</v>
      </c>
      <c r="AD29" s="80">
        <v>63</v>
      </c>
      <c r="AE29" s="80">
        <v>63</v>
      </c>
      <c r="AF29" s="80">
        <v>63</v>
      </c>
      <c r="AG29" s="80">
        <v>63</v>
      </c>
      <c r="AH29" s="80">
        <v>63</v>
      </c>
      <c r="AI29" s="80">
        <v>63</v>
      </c>
      <c r="AJ29" s="80">
        <v>63</v>
      </c>
      <c r="AK29" s="80">
        <v>63</v>
      </c>
      <c r="AL29" s="80">
        <v>63</v>
      </c>
      <c r="AM29" s="80">
        <v>63</v>
      </c>
      <c r="AN29" s="80">
        <v>63</v>
      </c>
      <c r="AO29" s="80">
        <v>63</v>
      </c>
      <c r="AP29" s="80">
        <v>63</v>
      </c>
      <c r="AQ29" s="80">
        <v>63</v>
      </c>
      <c r="AR29" s="80">
        <v>63</v>
      </c>
      <c r="AS29" s="80">
        <v>63</v>
      </c>
      <c r="AT29" s="80">
        <v>63</v>
      </c>
      <c r="AU29" s="80">
        <v>63</v>
      </c>
      <c r="AV29" s="80">
        <v>63</v>
      </c>
      <c r="AW29" s="80">
        <v>63</v>
      </c>
      <c r="AX29" s="80">
        <v>50</v>
      </c>
      <c r="AY29" s="80">
        <v>50</v>
      </c>
      <c r="AZ29" s="80">
        <v>46</v>
      </c>
      <c r="BA29" s="80">
        <v>46</v>
      </c>
      <c r="BB29" s="80">
        <v>46</v>
      </c>
      <c r="BC29" s="80">
        <v>46</v>
      </c>
      <c r="BD29" s="80">
        <v>46</v>
      </c>
      <c r="BE29" s="80">
        <v>46</v>
      </c>
      <c r="BF29" s="80">
        <v>46</v>
      </c>
      <c r="BG29" s="80">
        <v>46</v>
      </c>
      <c r="BH29" s="80">
        <v>0</v>
      </c>
      <c r="BI29" s="80">
        <v>0</v>
      </c>
      <c r="BJ29" s="80">
        <v>0</v>
      </c>
      <c r="BK29" s="80">
        <v>0</v>
      </c>
      <c r="BL29" s="80">
        <v>0</v>
      </c>
      <c r="BM29" s="80">
        <v>0</v>
      </c>
      <c r="BN29" s="80">
        <v>0</v>
      </c>
      <c r="BO29" s="80">
        <v>0</v>
      </c>
      <c r="BP29" s="80">
        <v>0</v>
      </c>
      <c r="BQ29" s="80">
        <v>0</v>
      </c>
      <c r="BR29" s="80">
        <v>0</v>
      </c>
      <c r="BS29" s="80">
        <v>0</v>
      </c>
      <c r="BT29" s="80">
        <v>0</v>
      </c>
      <c r="BU29" s="80">
        <v>0</v>
      </c>
      <c r="BV29" s="80">
        <v>0</v>
      </c>
      <c r="BW29" s="80">
        <v>0</v>
      </c>
      <c r="BX29" s="80">
        <v>10365</v>
      </c>
      <c r="BY29" s="80">
        <v>0</v>
      </c>
      <c r="BZ29" s="80">
        <v>0</v>
      </c>
      <c r="CA29" s="90">
        <v>0</v>
      </c>
      <c r="CB29" s="80">
        <v>25996</v>
      </c>
      <c r="CC29" s="80">
        <v>25850</v>
      </c>
      <c r="CD29" s="80">
        <v>37959</v>
      </c>
      <c r="CE29" s="80">
        <v>43862</v>
      </c>
      <c r="CF29" s="80">
        <v>56582</v>
      </c>
      <c r="CG29" s="80">
        <v>55397</v>
      </c>
      <c r="CH29" s="80">
        <v>54689</v>
      </c>
      <c r="CI29" s="80">
        <v>54414</v>
      </c>
      <c r="CJ29" s="80">
        <v>55124</v>
      </c>
      <c r="CK29" s="80">
        <v>55740</v>
      </c>
      <c r="CL29" s="80">
        <v>60969</v>
      </c>
    </row>
    <row r="30" spans="1:90" ht="16.350000000000001" customHeight="1">
      <c r="A30" s="68"/>
      <c r="B30" s="68"/>
      <c r="C30" s="79" t="s">
        <v>67</v>
      </c>
      <c r="D30" s="79" t="s">
        <v>69</v>
      </c>
      <c r="E30" s="80">
        <v>139857</v>
      </c>
      <c r="F30" s="80">
        <v>150146</v>
      </c>
      <c r="G30" s="80">
        <v>149895</v>
      </c>
      <c r="H30" s="80">
        <v>166813</v>
      </c>
      <c r="I30" s="80">
        <v>172994</v>
      </c>
      <c r="J30" s="80">
        <v>194615</v>
      </c>
      <c r="K30" s="80">
        <v>205646</v>
      </c>
      <c r="L30" s="80">
        <v>241062</v>
      </c>
      <c r="M30" s="80">
        <v>240716</v>
      </c>
      <c r="N30" s="80">
        <v>252846</v>
      </c>
      <c r="O30" s="80">
        <v>254146</v>
      </c>
      <c r="P30" s="80">
        <v>283768</v>
      </c>
      <c r="Q30" s="80">
        <v>289734</v>
      </c>
      <c r="R30" s="80">
        <v>305779</v>
      </c>
      <c r="S30" s="80">
        <v>324554</v>
      </c>
      <c r="T30" s="80">
        <v>358628</v>
      </c>
      <c r="U30" s="80">
        <v>350828</v>
      </c>
      <c r="V30" s="80">
        <v>356578</v>
      </c>
      <c r="W30" s="80">
        <v>354209</v>
      </c>
      <c r="X30" s="80">
        <v>357572</v>
      </c>
      <c r="Y30" s="80">
        <v>356790</v>
      </c>
      <c r="Z30" s="80">
        <v>360491</v>
      </c>
      <c r="AA30" s="80">
        <v>364293</v>
      </c>
      <c r="AB30" s="80">
        <v>360491</v>
      </c>
      <c r="AC30" s="80">
        <v>364293</v>
      </c>
      <c r="AD30" s="80">
        <v>453996</v>
      </c>
      <c r="AE30" s="80">
        <v>473940</v>
      </c>
      <c r="AF30" s="80">
        <v>599481</v>
      </c>
      <c r="AG30" s="80">
        <v>633359</v>
      </c>
      <c r="AH30" s="80">
        <v>671099</v>
      </c>
      <c r="AI30" s="80">
        <v>745619</v>
      </c>
      <c r="AJ30" s="80">
        <v>846204</v>
      </c>
      <c r="AK30" s="80">
        <v>843189</v>
      </c>
      <c r="AL30" s="80">
        <v>865645</v>
      </c>
      <c r="AM30" s="80">
        <v>936726</v>
      </c>
      <c r="AN30" s="80">
        <v>1063348</v>
      </c>
      <c r="AO30" s="80">
        <v>1101156</v>
      </c>
      <c r="AP30" s="80">
        <v>1138162</v>
      </c>
      <c r="AQ30" s="80">
        <v>1204275</v>
      </c>
      <c r="AR30" s="80">
        <v>1304065</v>
      </c>
      <c r="AS30" s="80">
        <v>1320473</v>
      </c>
      <c r="AT30" s="80">
        <v>1391883</v>
      </c>
      <c r="AU30" s="80">
        <v>1475060</v>
      </c>
      <c r="AV30" s="80">
        <v>1544202</v>
      </c>
      <c r="AW30" s="80">
        <v>1559316</v>
      </c>
      <c r="AX30" s="80">
        <v>1589602</v>
      </c>
      <c r="AY30" s="80">
        <v>1603876</v>
      </c>
      <c r="AZ30" s="80">
        <v>1645069</v>
      </c>
      <c r="BA30" s="80">
        <v>1636648</v>
      </c>
      <c r="BB30" s="80">
        <v>1668458</v>
      </c>
      <c r="BC30" s="80">
        <v>1716613</v>
      </c>
      <c r="BD30" s="80">
        <v>1813627</v>
      </c>
      <c r="BE30" s="80">
        <v>1822018</v>
      </c>
      <c r="BF30" s="80">
        <v>1853263</v>
      </c>
      <c r="BG30" s="80">
        <v>1910603</v>
      </c>
      <c r="BH30" s="80">
        <v>1994449</v>
      </c>
      <c r="BI30" s="80">
        <v>1955428</v>
      </c>
      <c r="BJ30" s="80">
        <v>1976762</v>
      </c>
      <c r="BK30" s="80">
        <v>2109143</v>
      </c>
      <c r="BL30" s="80">
        <v>2173710</v>
      </c>
      <c r="BM30" s="80">
        <v>2186193</v>
      </c>
      <c r="BN30" s="80">
        <v>2147040</v>
      </c>
      <c r="BO30" s="80">
        <v>2182428</v>
      </c>
      <c r="BP30" s="80">
        <v>2154260</v>
      </c>
      <c r="BQ30" s="80">
        <v>2333938</v>
      </c>
      <c r="BR30" s="80">
        <v>2418037</v>
      </c>
      <c r="BS30" s="80">
        <v>2489041</v>
      </c>
      <c r="BT30" s="80">
        <v>2650859</v>
      </c>
      <c r="BU30" s="80">
        <v>2618691</v>
      </c>
      <c r="BV30" s="80">
        <v>2686734</v>
      </c>
      <c r="BW30" s="80">
        <v>2742625</v>
      </c>
      <c r="BX30" s="80">
        <v>2830784</v>
      </c>
      <c r="BY30" s="80">
        <v>2768896</v>
      </c>
      <c r="BZ30" s="80">
        <v>2793931</v>
      </c>
      <c r="CA30" s="90">
        <v>2844936</v>
      </c>
      <c r="CB30" s="80">
        <v>2889666</v>
      </c>
      <c r="CC30" s="80">
        <v>2851411</v>
      </c>
      <c r="CD30" s="80">
        <v>2846313</v>
      </c>
      <c r="CE30" s="80">
        <v>2847026</v>
      </c>
      <c r="CF30" s="80">
        <v>2900445</v>
      </c>
      <c r="CG30" s="80">
        <v>2824192</v>
      </c>
      <c r="CH30" s="80">
        <v>2789254</v>
      </c>
      <c r="CI30" s="80">
        <v>2816087</v>
      </c>
      <c r="CJ30" s="80">
        <v>2929217</v>
      </c>
      <c r="CK30" s="80">
        <v>2865428</v>
      </c>
      <c r="CL30" s="80">
        <v>2858161</v>
      </c>
    </row>
    <row r="31" spans="1:90" ht="16.350000000000001" customHeight="1">
      <c r="A31" s="68"/>
      <c r="B31" s="68"/>
      <c r="C31" s="79" t="s">
        <v>216</v>
      </c>
      <c r="D31" s="79" t="s">
        <v>354</v>
      </c>
      <c r="E31" s="80">
        <v>0</v>
      </c>
      <c r="F31" s="80">
        <v>0</v>
      </c>
      <c r="G31" s="80">
        <v>0</v>
      </c>
      <c r="H31" s="80">
        <v>0</v>
      </c>
      <c r="I31" s="80">
        <v>0</v>
      </c>
      <c r="J31" s="80">
        <v>0</v>
      </c>
      <c r="K31" s="80">
        <v>0</v>
      </c>
      <c r="L31" s="80">
        <v>0</v>
      </c>
      <c r="M31" s="80">
        <v>0</v>
      </c>
      <c r="N31" s="80">
        <v>0</v>
      </c>
      <c r="O31" s="80">
        <v>0</v>
      </c>
      <c r="P31" s="80">
        <v>0</v>
      </c>
      <c r="Q31" s="80">
        <v>0</v>
      </c>
      <c r="R31" s="80">
        <v>0</v>
      </c>
      <c r="S31" s="80">
        <v>0</v>
      </c>
      <c r="T31" s="80">
        <v>0</v>
      </c>
      <c r="U31" s="80">
        <v>0</v>
      </c>
      <c r="V31" s="80">
        <v>0</v>
      </c>
      <c r="W31" s="80">
        <v>0</v>
      </c>
      <c r="X31" s="80">
        <v>0</v>
      </c>
      <c r="Y31" s="80">
        <v>0</v>
      </c>
      <c r="Z31" s="80">
        <v>0</v>
      </c>
      <c r="AA31" s="80">
        <v>0</v>
      </c>
      <c r="AB31" s="80">
        <v>0</v>
      </c>
      <c r="AC31" s="80">
        <v>0</v>
      </c>
      <c r="AD31" s="80">
        <v>0</v>
      </c>
      <c r="AE31" s="80">
        <v>0</v>
      </c>
      <c r="AF31" s="80">
        <v>0</v>
      </c>
      <c r="AG31" s="80">
        <v>0</v>
      </c>
      <c r="AH31" s="80">
        <v>0</v>
      </c>
      <c r="AI31" s="80">
        <v>0</v>
      </c>
      <c r="AJ31" s="80">
        <v>0</v>
      </c>
      <c r="AK31" s="80">
        <v>0</v>
      </c>
      <c r="AL31" s="80">
        <v>0</v>
      </c>
      <c r="AM31" s="80">
        <v>0</v>
      </c>
      <c r="AN31" s="80">
        <v>0</v>
      </c>
      <c r="AO31" s="80">
        <v>0</v>
      </c>
      <c r="AP31" s="80">
        <v>0</v>
      </c>
      <c r="AQ31" s="80">
        <v>0</v>
      </c>
      <c r="AR31" s="80">
        <v>0</v>
      </c>
      <c r="AS31" s="80">
        <v>0</v>
      </c>
      <c r="AT31" s="80">
        <v>0</v>
      </c>
      <c r="AU31" s="80">
        <v>0</v>
      </c>
      <c r="AV31" s="80">
        <v>0</v>
      </c>
      <c r="AW31" s="80">
        <v>0</v>
      </c>
      <c r="AX31" s="80">
        <v>0</v>
      </c>
      <c r="AY31" s="80">
        <v>0</v>
      </c>
      <c r="AZ31" s="80">
        <v>0</v>
      </c>
      <c r="BA31" s="80">
        <v>0</v>
      </c>
      <c r="BB31" s="80">
        <v>0</v>
      </c>
      <c r="BC31" s="80">
        <v>0</v>
      </c>
      <c r="BD31" s="80">
        <v>0</v>
      </c>
      <c r="BE31" s="80">
        <v>0</v>
      </c>
      <c r="BF31" s="80">
        <v>0</v>
      </c>
      <c r="BG31" s="80">
        <v>0</v>
      </c>
      <c r="BH31" s="80">
        <v>0</v>
      </c>
      <c r="BI31" s="80">
        <v>1652588</v>
      </c>
      <c r="BJ31" s="80">
        <v>1618840</v>
      </c>
      <c r="BK31" s="80">
        <v>1586325</v>
      </c>
      <c r="BL31" s="80">
        <v>1634690</v>
      </c>
      <c r="BM31" s="80">
        <v>1589206</v>
      </c>
      <c r="BN31" s="80">
        <v>1528457</v>
      </c>
      <c r="BO31" s="80">
        <v>1649238</v>
      </c>
      <c r="BP31" s="80">
        <v>1700038</v>
      </c>
      <c r="BQ31" s="80">
        <v>2083471</v>
      </c>
      <c r="BR31" s="80">
        <v>2295135</v>
      </c>
      <c r="BS31" s="80">
        <v>2304064</v>
      </c>
      <c r="BT31" s="80">
        <v>2434188</v>
      </c>
      <c r="BU31" s="80">
        <v>2404390</v>
      </c>
      <c r="BV31" s="80">
        <v>2504735</v>
      </c>
      <c r="BW31" s="80">
        <v>2526365</v>
      </c>
      <c r="BX31" s="80">
        <v>2609505</v>
      </c>
      <c r="BY31" s="80">
        <v>2504986</v>
      </c>
      <c r="BZ31" s="80">
        <v>2506144</v>
      </c>
      <c r="CA31" s="90">
        <v>2440966</v>
      </c>
      <c r="CB31" s="80">
        <v>2396687</v>
      </c>
      <c r="CC31" s="80">
        <v>2366436</v>
      </c>
      <c r="CD31" s="80">
        <v>2309000</v>
      </c>
      <c r="CE31" s="80">
        <v>2227942</v>
      </c>
      <c r="CF31" s="80">
        <v>2252543</v>
      </c>
      <c r="CG31" s="80">
        <v>2177453</v>
      </c>
      <c r="CH31" s="80">
        <v>2077925</v>
      </c>
      <c r="CI31" s="80">
        <v>2057707</v>
      </c>
      <c r="CJ31" s="80">
        <v>2076567</v>
      </c>
      <c r="CK31" s="80">
        <v>2082506</v>
      </c>
      <c r="CL31" s="80">
        <v>2108441</v>
      </c>
    </row>
    <row r="32" spans="1:90" ht="16.350000000000001" customHeight="1">
      <c r="A32" s="68"/>
      <c r="B32" s="68"/>
      <c r="C32" s="84" t="s">
        <v>68</v>
      </c>
      <c r="D32" s="84" t="s">
        <v>70</v>
      </c>
      <c r="E32" s="85">
        <v>21592</v>
      </c>
      <c r="F32" s="85">
        <v>29021</v>
      </c>
      <c r="G32" s="85">
        <v>27581</v>
      </c>
      <c r="H32" s="85">
        <v>34710</v>
      </c>
      <c r="I32" s="85">
        <v>36255</v>
      </c>
      <c r="J32" s="85">
        <v>37811</v>
      </c>
      <c r="K32" s="85">
        <v>38446</v>
      </c>
      <c r="L32" s="85">
        <v>39308</v>
      </c>
      <c r="M32" s="85">
        <v>39472</v>
      </c>
      <c r="N32" s="85">
        <v>38808</v>
      </c>
      <c r="O32" s="85">
        <v>39568</v>
      </c>
      <c r="P32" s="85">
        <v>51409</v>
      </c>
      <c r="Q32" s="85">
        <v>48979</v>
      </c>
      <c r="R32" s="85">
        <v>47796</v>
      </c>
      <c r="S32" s="85">
        <v>49544</v>
      </c>
      <c r="T32" s="85">
        <v>50480</v>
      </c>
      <c r="U32" s="85">
        <v>46528</v>
      </c>
      <c r="V32" s="80">
        <v>43842</v>
      </c>
      <c r="W32" s="85">
        <v>41490</v>
      </c>
      <c r="X32" s="85">
        <v>46113</v>
      </c>
      <c r="Y32" s="85">
        <v>43529</v>
      </c>
      <c r="Z32" s="85">
        <v>41974</v>
      </c>
      <c r="AA32" s="85">
        <v>41006</v>
      </c>
      <c r="AB32" s="85">
        <v>41974</v>
      </c>
      <c r="AC32" s="85">
        <v>41006</v>
      </c>
      <c r="AD32" s="85">
        <v>235930</v>
      </c>
      <c r="AE32" s="85">
        <v>247432</v>
      </c>
      <c r="AF32" s="85">
        <v>204858</v>
      </c>
      <c r="AG32" s="85">
        <v>209733</v>
      </c>
      <c r="AH32" s="85">
        <v>226507</v>
      </c>
      <c r="AI32" s="85">
        <v>275215</v>
      </c>
      <c r="AJ32" s="85">
        <v>256165</v>
      </c>
      <c r="AK32" s="85">
        <v>256630</v>
      </c>
      <c r="AL32" s="85">
        <v>258025</v>
      </c>
      <c r="AM32" s="85">
        <v>308051</v>
      </c>
      <c r="AN32" s="85">
        <v>322203</v>
      </c>
      <c r="AO32" s="85">
        <v>313311</v>
      </c>
      <c r="AP32" s="85">
        <v>340559</v>
      </c>
      <c r="AQ32" s="85">
        <v>350791</v>
      </c>
      <c r="AR32" s="85">
        <v>368084</v>
      </c>
      <c r="AS32" s="85">
        <v>361394</v>
      </c>
      <c r="AT32" s="85">
        <v>371837</v>
      </c>
      <c r="AU32" s="85">
        <v>386715</v>
      </c>
      <c r="AV32" s="85">
        <v>421797</v>
      </c>
      <c r="AW32" s="85">
        <v>420496</v>
      </c>
      <c r="AX32" s="85">
        <v>470286</v>
      </c>
      <c r="AY32" s="85">
        <v>472011</v>
      </c>
      <c r="AZ32" s="85">
        <v>500244</v>
      </c>
      <c r="BA32" s="85">
        <v>495518</v>
      </c>
      <c r="BB32" s="85">
        <v>501811</v>
      </c>
      <c r="BC32" s="85">
        <v>501558</v>
      </c>
      <c r="BD32" s="85">
        <v>526235</v>
      </c>
      <c r="BE32" s="85">
        <v>538370</v>
      </c>
      <c r="BF32" s="85">
        <v>565794</v>
      </c>
      <c r="BG32" s="85">
        <v>582622</v>
      </c>
      <c r="BH32" s="85">
        <v>635076</v>
      </c>
      <c r="BI32" s="85">
        <v>632852</v>
      </c>
      <c r="BJ32" s="85">
        <v>681707</v>
      </c>
      <c r="BK32" s="85">
        <v>713478</v>
      </c>
      <c r="BL32" s="85">
        <v>784235</v>
      </c>
      <c r="BM32" s="85">
        <v>796489</v>
      </c>
      <c r="BN32" s="85">
        <v>874740</v>
      </c>
      <c r="BO32" s="85">
        <v>913717</v>
      </c>
      <c r="BP32" s="85">
        <v>940636</v>
      </c>
      <c r="BQ32" s="85">
        <v>930143</v>
      </c>
      <c r="BR32" s="85">
        <v>946549</v>
      </c>
      <c r="BS32" s="85">
        <v>1100716</v>
      </c>
      <c r="BT32" s="85">
        <v>1207640</v>
      </c>
      <c r="BU32" s="85">
        <v>1221070</v>
      </c>
      <c r="BV32" s="85">
        <v>1365419</v>
      </c>
      <c r="BW32" s="85">
        <v>1449821</v>
      </c>
      <c r="BX32" s="85">
        <v>1639167</v>
      </c>
      <c r="BY32" s="85">
        <v>1626841</v>
      </c>
      <c r="BZ32" s="80">
        <v>1691566</v>
      </c>
      <c r="CA32" s="90">
        <v>1738455</v>
      </c>
      <c r="CB32" s="80">
        <v>1702201</v>
      </c>
      <c r="CC32" s="80">
        <v>1673519</v>
      </c>
      <c r="CD32" s="80">
        <v>1655060</v>
      </c>
      <c r="CE32" s="80">
        <v>1644795</v>
      </c>
      <c r="CF32" s="80">
        <v>1613427</v>
      </c>
      <c r="CG32" s="80">
        <v>1567556</v>
      </c>
      <c r="CH32" s="80">
        <v>1576913</v>
      </c>
      <c r="CI32" s="80">
        <v>1558900</v>
      </c>
      <c r="CJ32" s="80">
        <v>1610962</v>
      </c>
      <c r="CK32" s="80">
        <v>1591480</v>
      </c>
      <c r="CL32" s="80">
        <v>1576986</v>
      </c>
    </row>
    <row r="33" spans="1:90" ht="16.350000000000001" customHeight="1">
      <c r="A33" s="68"/>
      <c r="B33" s="68"/>
      <c r="C33" s="91"/>
      <c r="D33" s="91"/>
      <c r="E33" s="92"/>
      <c r="F33" s="92"/>
      <c r="G33" s="92"/>
      <c r="H33" s="92"/>
      <c r="I33" s="92"/>
      <c r="J33" s="92"/>
      <c r="K33" s="92"/>
      <c r="L33" s="92"/>
      <c r="M33" s="92"/>
      <c r="N33" s="92"/>
      <c r="O33" s="92"/>
      <c r="P33" s="92"/>
      <c r="Q33" s="92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  <c r="AQ33" s="92"/>
      <c r="AR33" s="92"/>
      <c r="AS33" s="92"/>
      <c r="AT33" s="92"/>
      <c r="AU33" s="92"/>
      <c r="AV33" s="92"/>
      <c r="AW33" s="92"/>
      <c r="AX33" s="92"/>
      <c r="AY33" s="92"/>
      <c r="AZ33" s="92"/>
      <c r="BA33" s="92"/>
      <c r="BB33" s="92"/>
      <c r="BC33" s="92"/>
      <c r="BD33" s="92"/>
      <c r="BE33" s="92"/>
      <c r="BF33" s="92"/>
      <c r="BG33" s="92"/>
      <c r="BH33" s="92"/>
      <c r="BI33" s="92"/>
      <c r="BJ33" s="92"/>
      <c r="BK33" s="92"/>
      <c r="BL33" s="92"/>
      <c r="BM33" s="92"/>
      <c r="BN33" s="92"/>
      <c r="BO33" s="92"/>
      <c r="BP33" s="92"/>
      <c r="BQ33" s="92"/>
      <c r="BR33" s="92"/>
      <c r="BS33" s="92"/>
      <c r="BT33" s="92"/>
      <c r="BU33" s="92"/>
      <c r="BV33" s="92"/>
      <c r="BW33" s="92"/>
      <c r="BX33" s="92"/>
      <c r="BY33" s="92"/>
      <c r="BZ33" s="92"/>
      <c r="CA33" s="93"/>
      <c r="CB33" s="92"/>
      <c r="CC33" s="92"/>
      <c r="CD33" s="92"/>
      <c r="CE33" s="92"/>
      <c r="CF33" s="92"/>
      <c r="CG33" s="92"/>
      <c r="CH33" s="92"/>
      <c r="CI33" s="92"/>
      <c r="CJ33" s="92"/>
      <c r="CK33" s="92"/>
      <c r="CL33" s="92"/>
    </row>
    <row r="34" spans="1:90" ht="16.350000000000001" customHeight="1">
      <c r="A34" s="68"/>
      <c r="B34" s="68"/>
      <c r="C34" s="443"/>
      <c r="D34" s="443"/>
      <c r="E34" s="444"/>
      <c r="F34" s="444"/>
      <c r="G34" s="444"/>
      <c r="H34" s="444"/>
      <c r="I34" s="444"/>
      <c r="J34" s="444"/>
      <c r="K34" s="444"/>
      <c r="L34" s="444"/>
      <c r="M34" s="444"/>
      <c r="N34" s="444"/>
      <c r="O34" s="444"/>
      <c r="P34" s="444"/>
      <c r="Q34" s="444"/>
      <c r="R34" s="444"/>
      <c r="S34" s="444"/>
      <c r="T34" s="444"/>
      <c r="U34" s="444"/>
      <c r="V34" s="445"/>
      <c r="W34" s="444"/>
      <c r="X34" s="444"/>
      <c r="Y34" s="444"/>
      <c r="Z34" s="444"/>
      <c r="AA34" s="444"/>
      <c r="AB34" s="444"/>
      <c r="AC34" s="444"/>
      <c r="AD34" s="444"/>
      <c r="AE34" s="444"/>
      <c r="AF34" s="444"/>
      <c r="AG34" s="444"/>
      <c r="AH34" s="444"/>
      <c r="AI34" s="444"/>
      <c r="AJ34" s="444"/>
      <c r="AK34" s="444"/>
      <c r="AL34" s="444"/>
      <c r="AM34" s="444"/>
      <c r="AN34" s="444"/>
      <c r="AO34" s="444"/>
      <c r="AP34" s="444"/>
      <c r="AQ34" s="444"/>
      <c r="AR34" s="444"/>
      <c r="AS34" s="444"/>
      <c r="AT34" s="444"/>
      <c r="AU34" s="444"/>
      <c r="AV34" s="444"/>
      <c r="AW34" s="444"/>
      <c r="AX34" s="444"/>
      <c r="AY34" s="444"/>
      <c r="AZ34" s="444"/>
      <c r="BA34" s="444"/>
      <c r="BB34" s="444"/>
      <c r="BC34" s="444"/>
      <c r="BD34" s="444"/>
      <c r="BE34" s="444"/>
      <c r="BF34" s="444"/>
      <c r="BG34" s="444"/>
      <c r="BH34" s="444"/>
      <c r="BI34" s="444"/>
      <c r="BJ34" s="444"/>
      <c r="BK34" s="444"/>
      <c r="BL34" s="444"/>
      <c r="BM34" s="444"/>
      <c r="BN34" s="444"/>
      <c r="BO34" s="444"/>
      <c r="BP34" s="444"/>
      <c r="BQ34" s="444"/>
      <c r="BR34" s="444"/>
      <c r="BS34" s="444"/>
      <c r="BT34" s="444"/>
      <c r="BU34" s="444"/>
      <c r="BV34" s="444"/>
      <c r="BW34" s="444"/>
      <c r="BX34" s="444"/>
      <c r="BY34" s="444"/>
      <c r="BZ34" s="444"/>
      <c r="CA34" s="446"/>
      <c r="CB34" s="444"/>
      <c r="CC34" s="444"/>
      <c r="CD34" s="444"/>
      <c r="CE34" s="444"/>
      <c r="CF34" s="444"/>
      <c r="CG34" s="444"/>
      <c r="CH34" s="444"/>
      <c r="CI34" s="445"/>
      <c r="CJ34" s="445"/>
      <c r="CK34" s="445"/>
      <c r="CL34" s="445"/>
    </row>
    <row r="35" spans="1:90" ht="16.350000000000001" customHeight="1">
      <c r="A35" s="68"/>
      <c r="B35" s="68"/>
      <c r="C35" s="19" t="s">
        <v>1</v>
      </c>
      <c r="D35" s="19" t="s">
        <v>64</v>
      </c>
      <c r="E35" s="71">
        <v>672486</v>
      </c>
      <c r="F35" s="71">
        <v>702874</v>
      </c>
      <c r="G35" s="71">
        <v>873847</v>
      </c>
      <c r="H35" s="71">
        <v>1067284</v>
      </c>
      <c r="I35" s="71">
        <v>923259</v>
      </c>
      <c r="J35" s="71">
        <v>1058938</v>
      </c>
      <c r="K35" s="71">
        <v>1114516</v>
      </c>
      <c r="L35" s="71">
        <v>1426122</v>
      </c>
      <c r="M35" s="71">
        <v>1267399</v>
      </c>
      <c r="N35" s="71">
        <v>1319883</v>
      </c>
      <c r="O35" s="71">
        <v>1356469</v>
      </c>
      <c r="P35" s="71">
        <v>1608356</v>
      </c>
      <c r="Q35" s="71">
        <v>1458016</v>
      </c>
      <c r="R35" s="71">
        <v>1505928</v>
      </c>
      <c r="S35" s="71">
        <v>1435204</v>
      </c>
      <c r="T35" s="71">
        <v>1626355</v>
      </c>
      <c r="U35" s="71">
        <v>1452186</v>
      </c>
      <c r="V35" s="94">
        <f>V37+V66</f>
        <v>1586345</v>
      </c>
      <c r="W35" s="71">
        <v>1629790</v>
      </c>
      <c r="X35" s="71">
        <v>1921197</v>
      </c>
      <c r="Y35" s="71">
        <v>1832162</v>
      </c>
      <c r="Z35" s="71">
        <v>1871880</v>
      </c>
      <c r="AA35" s="71">
        <v>1905562</v>
      </c>
      <c r="AB35" s="71">
        <v>1871880</v>
      </c>
      <c r="AC35" s="71">
        <v>1905562</v>
      </c>
      <c r="AD35" s="71">
        <v>2228907</v>
      </c>
      <c r="AE35" s="71">
        <v>2661532</v>
      </c>
      <c r="AF35" s="71">
        <v>2983504</v>
      </c>
      <c r="AG35" s="71">
        <v>2859507</v>
      </c>
      <c r="AH35" s="71">
        <v>2909729</v>
      </c>
      <c r="AI35" s="71">
        <v>3322175</v>
      </c>
      <c r="AJ35" s="71">
        <v>3770028</v>
      </c>
      <c r="AK35" s="71">
        <v>3485527</v>
      </c>
      <c r="AL35" s="71">
        <v>3513137</v>
      </c>
      <c r="AM35" s="71">
        <v>4015436.0360000003</v>
      </c>
      <c r="AN35" s="71">
        <v>4515524</v>
      </c>
      <c r="AO35" s="71">
        <v>4300689</v>
      </c>
      <c r="AP35" s="71">
        <v>4404998</v>
      </c>
      <c r="AQ35" s="71">
        <v>4509147</v>
      </c>
      <c r="AR35" s="71">
        <v>5318884</v>
      </c>
      <c r="AS35" s="71">
        <v>5075915</v>
      </c>
      <c r="AT35" s="71">
        <v>5231713</v>
      </c>
      <c r="AU35" s="71">
        <v>5292745</v>
      </c>
      <c r="AV35" s="71">
        <v>5863719</v>
      </c>
      <c r="AW35" s="71">
        <v>5571244</v>
      </c>
      <c r="AX35" s="71">
        <v>5812619</v>
      </c>
      <c r="AY35" s="71">
        <v>5674332</v>
      </c>
      <c r="AZ35" s="71">
        <v>6475212</v>
      </c>
      <c r="BA35" s="71">
        <v>6251926</v>
      </c>
      <c r="BB35" s="71">
        <v>6596513</v>
      </c>
      <c r="BC35" s="71">
        <v>6486567</v>
      </c>
      <c r="BD35" s="71">
        <v>7547658</v>
      </c>
      <c r="BE35" s="71">
        <v>7026755</v>
      </c>
      <c r="BF35" s="71">
        <v>7305307</v>
      </c>
      <c r="BG35" s="71">
        <v>7547252</v>
      </c>
      <c r="BH35" s="71">
        <v>8821048</v>
      </c>
      <c r="BI35" s="71">
        <v>10063113</v>
      </c>
      <c r="BJ35" s="71">
        <v>9923908</v>
      </c>
      <c r="BK35" s="71">
        <v>10202306</v>
      </c>
      <c r="BL35" s="71">
        <v>11552902</v>
      </c>
      <c r="BM35" s="71">
        <v>11504459</v>
      </c>
      <c r="BN35" s="71">
        <v>12828071</v>
      </c>
      <c r="BO35" s="71">
        <v>12982090</v>
      </c>
      <c r="BP35" s="71">
        <v>14642583</v>
      </c>
      <c r="BQ35" s="71">
        <v>14736953</v>
      </c>
      <c r="BR35" s="71">
        <v>18744462</v>
      </c>
      <c r="BS35" s="71">
        <v>19462761</v>
      </c>
      <c r="BT35" s="71">
        <v>21411985</v>
      </c>
      <c r="BU35" s="94">
        <v>21060632</v>
      </c>
      <c r="BV35" s="94">
        <v>20949309</v>
      </c>
      <c r="BW35" s="94">
        <v>20816608</v>
      </c>
      <c r="BX35" s="94">
        <v>21148892</v>
      </c>
      <c r="BY35" s="94">
        <v>19691820</v>
      </c>
      <c r="BZ35" s="94">
        <v>19953683</v>
      </c>
      <c r="CA35" s="94">
        <v>19959761</v>
      </c>
      <c r="CB35" s="94">
        <v>20490638</v>
      </c>
      <c r="CC35" s="94">
        <f>CC37+CC66</f>
        <v>19050366</v>
      </c>
      <c r="CD35" s="94">
        <f>CD37+CD66</f>
        <v>19244851</v>
      </c>
      <c r="CE35" s="94">
        <f>CE37+CE66</f>
        <v>19171858</v>
      </c>
      <c r="CF35" s="94">
        <f>CF37+CF66</f>
        <v>20364590</v>
      </c>
      <c r="CG35" s="94">
        <f>CG37+CG66</f>
        <v>18457504</v>
      </c>
      <c r="CH35" s="94">
        <v>18735315</v>
      </c>
      <c r="CI35" s="94">
        <f>CI37+CI66</f>
        <v>18348667</v>
      </c>
      <c r="CJ35" s="94">
        <f>CJ37+CJ66</f>
        <v>19626027</v>
      </c>
      <c r="CK35" s="94">
        <f>CK37+CK66</f>
        <v>18872967</v>
      </c>
      <c r="CL35" s="94">
        <f>CL37+CL66</f>
        <v>19107201</v>
      </c>
    </row>
    <row r="36" spans="1:90" ht="16.350000000000001" customHeight="1">
      <c r="A36" s="68"/>
      <c r="B36" s="68"/>
      <c r="C36" s="73"/>
      <c r="D36" s="73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"/>
      <c r="W36" s="74"/>
      <c r="X36" s="74"/>
      <c r="Y36" s="74"/>
      <c r="Z36" s="74"/>
      <c r="AA36" s="74"/>
      <c r="AB36" s="74"/>
      <c r="AC36" s="74"/>
      <c r="AD36" s="74"/>
      <c r="AE36" s="74"/>
      <c r="AF36" s="74"/>
      <c r="AG36" s="74"/>
      <c r="AH36" s="74"/>
      <c r="AI36" s="74"/>
      <c r="AJ36" s="74"/>
      <c r="AK36" s="74"/>
      <c r="AL36" s="74"/>
      <c r="AM36" s="74"/>
      <c r="AN36" s="74"/>
      <c r="AO36" s="74"/>
      <c r="AP36" s="74"/>
      <c r="AQ36" s="74"/>
      <c r="AR36" s="74"/>
      <c r="AS36" s="74"/>
      <c r="AT36" s="74"/>
      <c r="AU36" s="74"/>
      <c r="AV36" s="74"/>
      <c r="AW36" s="74"/>
      <c r="AX36" s="74"/>
      <c r="AY36" s="74"/>
      <c r="AZ36" s="74"/>
      <c r="BA36" s="74"/>
      <c r="BB36" s="74"/>
      <c r="BC36" s="74"/>
      <c r="BD36" s="74"/>
      <c r="BE36" s="74"/>
      <c r="BF36" s="74"/>
      <c r="BG36" s="74"/>
      <c r="BH36" s="74"/>
      <c r="BI36" s="74"/>
      <c r="BJ36" s="74"/>
      <c r="BK36" s="74"/>
      <c r="BL36" s="74"/>
      <c r="BM36" s="74"/>
      <c r="BN36" s="74"/>
      <c r="BO36" s="74"/>
      <c r="BP36" s="74"/>
      <c r="BQ36" s="74"/>
      <c r="BR36" s="74"/>
      <c r="BS36" s="74"/>
      <c r="BT36" s="74"/>
      <c r="BU36" s="74"/>
      <c r="BV36" s="74"/>
      <c r="BW36" s="74"/>
      <c r="BX36" s="74"/>
      <c r="BY36" s="74"/>
      <c r="BZ36" s="74"/>
      <c r="CA36" s="7"/>
      <c r="CB36" s="75"/>
      <c r="CC36" s="75"/>
      <c r="CD36" s="75"/>
      <c r="CE36" s="75"/>
      <c r="CF36" s="75"/>
      <c r="CG36" s="75"/>
      <c r="CH36" s="75"/>
      <c r="CI36" s="7"/>
      <c r="CJ36" s="7"/>
      <c r="CK36" s="7"/>
      <c r="CL36" s="7"/>
    </row>
    <row r="37" spans="1:90" ht="16.350000000000001" customHeight="1">
      <c r="A37" s="70"/>
      <c r="B37" s="70"/>
      <c r="C37" s="95" t="s">
        <v>355</v>
      </c>
      <c r="D37" s="95" t="s">
        <v>60</v>
      </c>
      <c r="E37" s="96">
        <v>521645</v>
      </c>
      <c r="F37" s="96">
        <v>507828</v>
      </c>
      <c r="G37" s="96">
        <v>336289</v>
      </c>
      <c r="H37" s="96">
        <v>549705</v>
      </c>
      <c r="I37" s="96">
        <v>392211</v>
      </c>
      <c r="J37" s="96">
        <v>505017</v>
      </c>
      <c r="K37" s="96">
        <v>559932</v>
      </c>
      <c r="L37" s="96">
        <v>882156</v>
      </c>
      <c r="M37" s="96">
        <v>706656</v>
      </c>
      <c r="N37" s="96">
        <v>718694</v>
      </c>
      <c r="O37" s="96">
        <v>719449</v>
      </c>
      <c r="P37" s="96">
        <v>1025428</v>
      </c>
      <c r="Q37" s="96">
        <v>847916</v>
      </c>
      <c r="R37" s="96">
        <v>849262</v>
      </c>
      <c r="S37" s="96">
        <v>747030</v>
      </c>
      <c r="T37" s="96">
        <v>914862</v>
      </c>
      <c r="U37" s="96">
        <v>726136</v>
      </c>
      <c r="V37" s="96">
        <f>V39+V55</f>
        <v>807542</v>
      </c>
      <c r="W37" s="96">
        <v>815138</v>
      </c>
      <c r="X37" s="96">
        <v>1054761</v>
      </c>
      <c r="Y37" s="96">
        <v>924160</v>
      </c>
      <c r="Z37" s="96">
        <v>956238</v>
      </c>
      <c r="AA37" s="96">
        <v>928766</v>
      </c>
      <c r="AB37" s="96">
        <v>956238</v>
      </c>
      <c r="AC37" s="96">
        <v>928766</v>
      </c>
      <c r="AD37" s="96">
        <v>1211962</v>
      </c>
      <c r="AE37" s="96">
        <v>1592943</v>
      </c>
      <c r="AF37" s="96">
        <v>1828506</v>
      </c>
      <c r="AG37" s="96">
        <v>1689325</v>
      </c>
      <c r="AH37" s="96">
        <v>1789878</v>
      </c>
      <c r="AI37" s="96">
        <v>2151941</v>
      </c>
      <c r="AJ37" s="96">
        <v>2464345</v>
      </c>
      <c r="AK37" s="96">
        <v>2168381</v>
      </c>
      <c r="AL37" s="96">
        <v>2246770</v>
      </c>
      <c r="AM37" s="96">
        <v>2699974.0360000003</v>
      </c>
      <c r="AN37" s="96">
        <v>3022271</v>
      </c>
      <c r="AO37" s="96">
        <v>2782515</v>
      </c>
      <c r="AP37" s="96">
        <v>2837114</v>
      </c>
      <c r="AQ37" s="96">
        <v>2840785</v>
      </c>
      <c r="AR37" s="96">
        <v>3463616</v>
      </c>
      <c r="AS37" s="96">
        <v>3131231</v>
      </c>
      <c r="AT37" s="96">
        <v>3228200</v>
      </c>
      <c r="AU37" s="96">
        <v>3119061</v>
      </c>
      <c r="AV37" s="96">
        <v>3552823</v>
      </c>
      <c r="AW37" s="96">
        <v>3310426</v>
      </c>
      <c r="AX37" s="96">
        <v>3515415</v>
      </c>
      <c r="AY37" s="96">
        <v>3308209</v>
      </c>
      <c r="AZ37" s="96">
        <v>3838416</v>
      </c>
      <c r="BA37" s="96">
        <v>3581112</v>
      </c>
      <c r="BB37" s="96">
        <v>3782501</v>
      </c>
      <c r="BC37" s="96">
        <v>3567899</v>
      </c>
      <c r="BD37" s="96">
        <v>4324212</v>
      </c>
      <c r="BE37" s="96">
        <v>3758357</v>
      </c>
      <c r="BF37" s="96">
        <v>3843524</v>
      </c>
      <c r="BG37" s="96">
        <v>3939770</v>
      </c>
      <c r="BH37" s="96">
        <v>4866536</v>
      </c>
      <c r="BI37" s="96">
        <v>6008228</v>
      </c>
      <c r="BJ37" s="96">
        <v>5821766</v>
      </c>
      <c r="BK37" s="96">
        <v>5941857</v>
      </c>
      <c r="BL37" s="96">
        <v>6861883</v>
      </c>
      <c r="BM37" s="96">
        <v>6832507</v>
      </c>
      <c r="BN37" s="96">
        <v>7402119</v>
      </c>
      <c r="BO37" s="96">
        <v>7694327</v>
      </c>
      <c r="BP37" s="96">
        <v>9141267</v>
      </c>
      <c r="BQ37" s="96">
        <v>9371482</v>
      </c>
      <c r="BR37" s="96">
        <v>9402637</v>
      </c>
      <c r="BS37" s="96">
        <v>9965146</v>
      </c>
      <c r="BT37" s="96">
        <v>11605364</v>
      </c>
      <c r="BU37" s="96">
        <v>11435892</v>
      </c>
      <c r="BV37" s="96">
        <v>11300964</v>
      </c>
      <c r="BW37" s="96">
        <v>11025805</v>
      </c>
      <c r="BX37" s="96">
        <v>11061377</v>
      </c>
      <c r="BY37" s="96">
        <v>10026038</v>
      </c>
      <c r="BZ37" s="96">
        <v>10241203</v>
      </c>
      <c r="CA37" s="96">
        <v>10194670</v>
      </c>
      <c r="CB37" s="96">
        <v>10443417</v>
      </c>
      <c r="CC37" s="96">
        <f>CC39+CC55</f>
        <v>8950541</v>
      </c>
      <c r="CD37" s="96">
        <f>CD39+CD55</f>
        <v>8927710</v>
      </c>
      <c r="CE37" s="96">
        <f>CE39+CE55</f>
        <v>8777162</v>
      </c>
      <c r="CF37" s="96">
        <f>CF39+CF55</f>
        <v>9591639</v>
      </c>
      <c r="CG37" s="96">
        <f>CG39+CG55</f>
        <v>8191739</v>
      </c>
      <c r="CH37" s="96">
        <v>8434824</v>
      </c>
      <c r="CI37" s="96">
        <f>CI39+CI55</f>
        <v>8205584</v>
      </c>
      <c r="CJ37" s="96">
        <f>CJ39+CJ55</f>
        <v>9169746</v>
      </c>
      <c r="CK37" s="96">
        <f>CK39+CK55</f>
        <v>8506893</v>
      </c>
      <c r="CL37" s="96">
        <f>CL39+CL55</f>
        <v>8739417</v>
      </c>
    </row>
    <row r="38" spans="1:90" ht="16.350000000000001" customHeight="1">
      <c r="A38" s="70"/>
      <c r="B38" s="70"/>
      <c r="C38" s="97"/>
      <c r="D38" s="97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7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8"/>
      <c r="BM38" s="98"/>
      <c r="BN38" s="98"/>
      <c r="BO38" s="98"/>
      <c r="BP38" s="98"/>
      <c r="BQ38" s="98"/>
      <c r="BR38" s="98"/>
      <c r="BS38" s="98"/>
      <c r="BT38" s="98"/>
      <c r="BU38" s="98"/>
      <c r="BV38" s="98"/>
      <c r="BW38" s="98"/>
      <c r="BX38" s="98"/>
      <c r="BY38" s="98"/>
      <c r="BZ38" s="98"/>
      <c r="CA38" s="7"/>
      <c r="CB38" s="75"/>
      <c r="CC38" s="75"/>
      <c r="CD38" s="75"/>
      <c r="CE38" s="75"/>
      <c r="CF38" s="75"/>
      <c r="CG38" s="75"/>
      <c r="CH38" s="75"/>
      <c r="CI38" s="7"/>
      <c r="CJ38" s="7"/>
      <c r="CK38" s="7"/>
      <c r="CL38" s="7"/>
    </row>
    <row r="39" spans="1:90" ht="16.350000000000001" customHeight="1">
      <c r="A39" s="70"/>
      <c r="B39" s="70"/>
      <c r="C39" s="99" t="s">
        <v>80</v>
      </c>
      <c r="D39" s="99" t="s">
        <v>73</v>
      </c>
      <c r="E39" s="77">
        <v>288998</v>
      </c>
      <c r="F39" s="77">
        <v>291314</v>
      </c>
      <c r="G39" s="77">
        <v>313488</v>
      </c>
      <c r="H39" s="77">
        <v>530493</v>
      </c>
      <c r="I39" s="77">
        <v>372876</v>
      </c>
      <c r="J39" s="77">
        <v>479542</v>
      </c>
      <c r="K39" s="77">
        <v>533633</v>
      </c>
      <c r="L39" s="77">
        <v>853359</v>
      </c>
      <c r="M39" s="77">
        <v>656073</v>
      </c>
      <c r="N39" s="77">
        <v>666297</v>
      </c>
      <c r="O39" s="77">
        <v>680130</v>
      </c>
      <c r="P39" s="77">
        <v>981491</v>
      </c>
      <c r="Q39" s="77">
        <v>801693</v>
      </c>
      <c r="R39" s="77">
        <v>773423</v>
      </c>
      <c r="S39" s="77">
        <v>663483</v>
      </c>
      <c r="T39" s="77">
        <v>833890</v>
      </c>
      <c r="U39" s="77">
        <v>649887</v>
      </c>
      <c r="V39" s="77">
        <f>SUM(V40:V53)</f>
        <v>724513</v>
      </c>
      <c r="W39" s="77">
        <v>735479</v>
      </c>
      <c r="X39" s="77">
        <v>973334</v>
      </c>
      <c r="Y39" s="77">
        <v>841103</v>
      </c>
      <c r="Z39" s="77">
        <v>862863</v>
      </c>
      <c r="AA39" s="77">
        <v>829365</v>
      </c>
      <c r="AB39" s="77">
        <v>862863</v>
      </c>
      <c r="AC39" s="77">
        <v>829365</v>
      </c>
      <c r="AD39" s="77">
        <v>755123</v>
      </c>
      <c r="AE39" s="77">
        <v>809740</v>
      </c>
      <c r="AF39" s="77">
        <v>1060427</v>
      </c>
      <c r="AG39" s="77">
        <v>921669</v>
      </c>
      <c r="AH39" s="77">
        <v>1025931</v>
      </c>
      <c r="AI39" s="77">
        <v>1071413</v>
      </c>
      <c r="AJ39" s="77">
        <v>1725212</v>
      </c>
      <c r="AK39" s="77">
        <v>1465531</v>
      </c>
      <c r="AL39" s="77">
        <v>1550010</v>
      </c>
      <c r="AM39" s="77">
        <v>1596113.0360000001</v>
      </c>
      <c r="AN39" s="77">
        <v>1932589</v>
      </c>
      <c r="AO39" s="77">
        <v>1690383</v>
      </c>
      <c r="AP39" s="77">
        <v>1314437</v>
      </c>
      <c r="AQ39" s="77">
        <v>1455747</v>
      </c>
      <c r="AR39" s="77">
        <v>2034706</v>
      </c>
      <c r="AS39" s="77">
        <v>1686936</v>
      </c>
      <c r="AT39" s="77">
        <v>1861824</v>
      </c>
      <c r="AU39" s="77">
        <v>1883362</v>
      </c>
      <c r="AV39" s="77">
        <v>2319127</v>
      </c>
      <c r="AW39" s="77">
        <v>2075776</v>
      </c>
      <c r="AX39" s="77">
        <v>2354817</v>
      </c>
      <c r="AY39" s="77">
        <v>2384018</v>
      </c>
      <c r="AZ39" s="77">
        <v>2917751</v>
      </c>
      <c r="BA39" s="77">
        <v>2341067</v>
      </c>
      <c r="BB39" s="77">
        <v>2656776</v>
      </c>
      <c r="BC39" s="77">
        <v>2331216</v>
      </c>
      <c r="BD39" s="77">
        <v>2941712</v>
      </c>
      <c r="BE39" s="77">
        <v>2382238</v>
      </c>
      <c r="BF39" s="77">
        <v>2937272</v>
      </c>
      <c r="BG39" s="77">
        <v>3239419</v>
      </c>
      <c r="BH39" s="77">
        <v>4324355</v>
      </c>
      <c r="BI39" s="77">
        <v>4447806</v>
      </c>
      <c r="BJ39" s="77">
        <v>3868188</v>
      </c>
      <c r="BK39" s="77">
        <v>3695792</v>
      </c>
      <c r="BL39" s="77">
        <v>4765317</v>
      </c>
      <c r="BM39" s="77">
        <v>4789884</v>
      </c>
      <c r="BN39" s="77">
        <v>4783009</v>
      </c>
      <c r="BO39" s="77">
        <v>4766933</v>
      </c>
      <c r="BP39" s="77">
        <v>5633411</v>
      </c>
      <c r="BQ39" s="77">
        <v>4412481</v>
      </c>
      <c r="BR39" s="77">
        <v>4375925</v>
      </c>
      <c r="BS39" s="77">
        <v>5408443</v>
      </c>
      <c r="BT39" s="77">
        <v>7954100</v>
      </c>
      <c r="BU39" s="77">
        <v>7826743</v>
      </c>
      <c r="BV39" s="77">
        <v>7876084</v>
      </c>
      <c r="BW39" s="77">
        <v>7298565</v>
      </c>
      <c r="BX39" s="77">
        <v>7005579</v>
      </c>
      <c r="BY39" s="77">
        <v>6660665</v>
      </c>
      <c r="BZ39" s="77">
        <v>6835103</v>
      </c>
      <c r="CA39" s="77">
        <v>6901670</v>
      </c>
      <c r="CB39" s="77">
        <v>7492553</v>
      </c>
      <c r="CC39" s="77">
        <f>SUM(CC40:CC53)</f>
        <v>6560820</v>
      </c>
      <c r="CD39" s="77">
        <f>SUM(CD40:CD53)</f>
        <v>6724844</v>
      </c>
      <c r="CE39" s="77">
        <f>SUM(CE40:CE53)</f>
        <v>6825304</v>
      </c>
      <c r="CF39" s="77">
        <f>SUM(CF40:CF53)</f>
        <v>7647557</v>
      </c>
      <c r="CG39" s="77">
        <f>SUM(CG40:CG53)</f>
        <v>6322978</v>
      </c>
      <c r="CH39" s="77">
        <v>6313301</v>
      </c>
      <c r="CI39" s="77">
        <f>SUM(CI40:CI53)</f>
        <v>6036040</v>
      </c>
      <c r="CJ39" s="77">
        <f>SUM(CJ40:CJ53)</f>
        <v>6866734</v>
      </c>
      <c r="CK39" s="77">
        <f>SUM(CK40:CK53)</f>
        <v>6172158</v>
      </c>
      <c r="CL39" s="77">
        <f>SUM(CL40:CL53)</f>
        <v>6659043</v>
      </c>
    </row>
    <row r="40" spans="1:90" ht="16.350000000000001" customHeight="1">
      <c r="A40" s="68"/>
      <c r="B40" s="68"/>
      <c r="C40" s="100" t="s">
        <v>94</v>
      </c>
      <c r="D40" s="100" t="s">
        <v>487</v>
      </c>
      <c r="E40" s="80">
        <v>44080</v>
      </c>
      <c r="F40" s="80">
        <v>1354</v>
      </c>
      <c r="G40" s="80">
        <v>3</v>
      </c>
      <c r="H40" s="80">
        <v>98</v>
      </c>
      <c r="I40" s="80">
        <v>86</v>
      </c>
      <c r="J40" s="80">
        <v>67</v>
      </c>
      <c r="K40" s="80">
        <v>48</v>
      </c>
      <c r="L40" s="80">
        <v>72</v>
      </c>
      <c r="M40" s="80">
        <v>0</v>
      </c>
      <c r="N40" s="80">
        <v>0</v>
      </c>
      <c r="O40" s="80">
        <v>0</v>
      </c>
      <c r="P40" s="80">
        <v>0</v>
      </c>
      <c r="Q40" s="80">
        <v>0</v>
      </c>
      <c r="R40" s="80">
        <v>0</v>
      </c>
      <c r="S40" s="80">
        <v>0</v>
      </c>
      <c r="T40" s="80">
        <v>87</v>
      </c>
      <c r="U40" s="80">
        <v>1570</v>
      </c>
      <c r="V40" s="80">
        <v>4526</v>
      </c>
      <c r="W40" s="80">
        <v>6730</v>
      </c>
      <c r="X40" s="80">
        <v>8946</v>
      </c>
      <c r="Y40" s="80">
        <v>8940</v>
      </c>
      <c r="Z40" s="80">
        <v>8924</v>
      </c>
      <c r="AA40" s="80">
        <v>8917</v>
      </c>
      <c r="AB40" s="80">
        <v>8924</v>
      </c>
      <c r="AC40" s="80">
        <v>8917</v>
      </c>
      <c r="AD40" s="80">
        <v>20395</v>
      </c>
      <c r="AE40" s="80">
        <v>29154</v>
      </c>
      <c r="AF40" s="80">
        <v>41003</v>
      </c>
      <c r="AG40" s="80">
        <v>54460</v>
      </c>
      <c r="AH40" s="80">
        <v>50478</v>
      </c>
      <c r="AI40" s="80">
        <v>45544</v>
      </c>
      <c r="AJ40" s="80">
        <v>35938</v>
      </c>
      <c r="AK40" s="80">
        <v>49213</v>
      </c>
      <c r="AL40" s="80">
        <v>62968</v>
      </c>
      <c r="AM40" s="80">
        <v>64337</v>
      </c>
      <c r="AN40" s="80">
        <v>44614</v>
      </c>
      <c r="AO40" s="80">
        <v>35108</v>
      </c>
      <c r="AP40" s="80">
        <v>55539</v>
      </c>
      <c r="AQ40" s="80">
        <v>188440</v>
      </c>
      <c r="AR40" s="80">
        <v>206768</v>
      </c>
      <c r="AS40" s="80">
        <v>197445</v>
      </c>
      <c r="AT40" s="80">
        <v>295633</v>
      </c>
      <c r="AU40" s="80">
        <v>291582</v>
      </c>
      <c r="AV40" s="80">
        <v>317346</v>
      </c>
      <c r="AW40" s="80">
        <v>397742</v>
      </c>
      <c r="AX40" s="80">
        <v>496086</v>
      </c>
      <c r="AY40" s="80">
        <v>594136</v>
      </c>
      <c r="AZ40" s="80">
        <v>615384</v>
      </c>
      <c r="BA40" s="80">
        <v>488567</v>
      </c>
      <c r="BB40" s="80">
        <v>588793</v>
      </c>
      <c r="BC40" s="80">
        <v>385235</v>
      </c>
      <c r="BD40" s="80">
        <v>379553</v>
      </c>
      <c r="BE40" s="80">
        <v>386029</v>
      </c>
      <c r="BF40" s="80">
        <v>519383</v>
      </c>
      <c r="BG40" s="80">
        <v>665877</v>
      </c>
      <c r="BH40" s="80">
        <v>710804</v>
      </c>
      <c r="BI40" s="80">
        <v>957726</v>
      </c>
      <c r="BJ40" s="80">
        <v>748594</v>
      </c>
      <c r="BK40" s="80">
        <v>508147</v>
      </c>
      <c r="BL40" s="80">
        <v>709022</v>
      </c>
      <c r="BM40" s="80">
        <v>1257286</v>
      </c>
      <c r="BN40" s="80">
        <v>1698108</v>
      </c>
      <c r="BO40" s="80">
        <v>1259027</v>
      </c>
      <c r="BP40" s="80">
        <v>1077081</v>
      </c>
      <c r="BQ40" s="80">
        <v>543875</v>
      </c>
      <c r="BR40" s="80">
        <v>323791</v>
      </c>
      <c r="BS40" s="80">
        <v>488284</v>
      </c>
      <c r="BT40" s="80">
        <v>1610452</v>
      </c>
      <c r="BU40" s="80">
        <v>1632135</v>
      </c>
      <c r="BV40" s="80">
        <v>1335093</v>
      </c>
      <c r="BW40" s="80">
        <v>1195202</v>
      </c>
      <c r="BX40" s="80">
        <v>122824</v>
      </c>
      <c r="BY40" s="80">
        <v>585450</v>
      </c>
      <c r="BZ40" s="80">
        <v>619302</v>
      </c>
      <c r="CA40" s="80">
        <v>631512</v>
      </c>
      <c r="CB40" s="80">
        <v>601954</v>
      </c>
      <c r="CC40" s="80">
        <v>558053</v>
      </c>
      <c r="CD40" s="80">
        <v>573950</v>
      </c>
      <c r="CE40" s="80">
        <v>506717</v>
      </c>
      <c r="CF40" s="80">
        <v>522440</v>
      </c>
      <c r="CG40" s="80">
        <v>0</v>
      </c>
      <c r="CH40" s="80">
        <v>0</v>
      </c>
      <c r="CI40" s="80">
        <v>0</v>
      </c>
      <c r="CJ40" s="80">
        <v>0</v>
      </c>
      <c r="CK40" s="80">
        <v>0</v>
      </c>
      <c r="CL40" s="80">
        <v>0</v>
      </c>
    </row>
    <row r="41" spans="1:90" ht="16.350000000000001" customHeight="1">
      <c r="A41" s="68"/>
      <c r="B41" s="68"/>
      <c r="C41" s="100" t="s">
        <v>102</v>
      </c>
      <c r="D41" s="100" t="s">
        <v>63</v>
      </c>
      <c r="E41" s="80">
        <v>59995</v>
      </c>
      <c r="F41" s="80">
        <v>73229</v>
      </c>
      <c r="G41" s="80">
        <v>91564</v>
      </c>
      <c r="H41" s="80">
        <v>100740</v>
      </c>
      <c r="I41" s="80">
        <v>136759</v>
      </c>
      <c r="J41" s="80">
        <v>198300</v>
      </c>
      <c r="K41" s="80">
        <v>245324</v>
      </c>
      <c r="L41" s="80">
        <v>319019</v>
      </c>
      <c r="M41" s="80">
        <v>310236</v>
      </c>
      <c r="N41" s="80">
        <v>332880</v>
      </c>
      <c r="O41" s="80">
        <v>319840</v>
      </c>
      <c r="P41" s="80">
        <v>348507</v>
      </c>
      <c r="Q41" s="80">
        <v>356554</v>
      </c>
      <c r="R41" s="80">
        <v>397898</v>
      </c>
      <c r="S41" s="80">
        <v>365733</v>
      </c>
      <c r="T41" s="80">
        <v>385072</v>
      </c>
      <c r="U41" s="80">
        <v>318022</v>
      </c>
      <c r="V41" s="80">
        <v>337000</v>
      </c>
      <c r="W41" s="80">
        <v>340809</v>
      </c>
      <c r="X41" s="80">
        <v>373471</v>
      </c>
      <c r="Y41" s="80">
        <v>372973</v>
      </c>
      <c r="Z41" s="80">
        <v>395405</v>
      </c>
      <c r="AA41" s="80">
        <v>379612</v>
      </c>
      <c r="AB41" s="80">
        <v>395405</v>
      </c>
      <c r="AC41" s="80">
        <v>379612</v>
      </c>
      <c r="AD41" s="80">
        <v>125066</v>
      </c>
      <c r="AE41" s="80">
        <v>205746</v>
      </c>
      <c r="AF41" s="80">
        <v>119932</v>
      </c>
      <c r="AG41" s="80">
        <v>128652</v>
      </c>
      <c r="AH41" s="80">
        <v>148556</v>
      </c>
      <c r="AI41" s="80">
        <v>180642</v>
      </c>
      <c r="AJ41" s="80">
        <v>547665</v>
      </c>
      <c r="AK41" s="80">
        <v>539606</v>
      </c>
      <c r="AL41" s="80">
        <v>585887</v>
      </c>
      <c r="AM41" s="80">
        <v>680194</v>
      </c>
      <c r="AN41" s="80">
        <v>607060</v>
      </c>
      <c r="AO41" s="80">
        <v>629659</v>
      </c>
      <c r="AP41" s="80">
        <v>307172</v>
      </c>
      <c r="AQ41" s="80">
        <v>281212</v>
      </c>
      <c r="AR41" s="80">
        <v>336719</v>
      </c>
      <c r="AS41" s="80">
        <v>383792</v>
      </c>
      <c r="AT41" s="80">
        <v>419648</v>
      </c>
      <c r="AU41" s="80">
        <v>430700</v>
      </c>
      <c r="AV41" s="80">
        <v>380914</v>
      </c>
      <c r="AW41" s="80">
        <v>410794</v>
      </c>
      <c r="AX41" s="80">
        <v>456710</v>
      </c>
      <c r="AY41" s="80">
        <v>401356</v>
      </c>
      <c r="AZ41" s="80">
        <v>378266</v>
      </c>
      <c r="BA41" s="80">
        <v>386351</v>
      </c>
      <c r="BB41" s="80">
        <v>467829</v>
      </c>
      <c r="BC41" s="80">
        <v>173123</v>
      </c>
      <c r="BD41" s="80">
        <v>127396</v>
      </c>
      <c r="BE41" s="80">
        <v>130059</v>
      </c>
      <c r="BF41" s="80">
        <v>527273</v>
      </c>
      <c r="BG41" s="80">
        <v>458313</v>
      </c>
      <c r="BH41" s="80">
        <v>712558</v>
      </c>
      <c r="BI41" s="80">
        <v>913814</v>
      </c>
      <c r="BJ41" s="80">
        <v>469493</v>
      </c>
      <c r="BK41" s="80">
        <v>296439</v>
      </c>
      <c r="BL41" s="80">
        <v>184996</v>
      </c>
      <c r="BM41" s="80">
        <v>538965</v>
      </c>
      <c r="BN41" s="80">
        <v>514962</v>
      </c>
      <c r="BO41" s="80">
        <v>325639</v>
      </c>
      <c r="BP41" s="80">
        <v>341390</v>
      </c>
      <c r="BQ41" s="80">
        <v>257869</v>
      </c>
      <c r="BR41" s="80">
        <v>126208</v>
      </c>
      <c r="BS41" s="80">
        <v>455832</v>
      </c>
      <c r="BT41" s="80">
        <v>475522</v>
      </c>
      <c r="BU41" s="80">
        <v>691304</v>
      </c>
      <c r="BV41" s="80">
        <v>971326</v>
      </c>
      <c r="BW41" s="80">
        <v>764295</v>
      </c>
      <c r="BX41" s="80">
        <v>581351</v>
      </c>
      <c r="BY41" s="80">
        <v>645123</v>
      </c>
      <c r="BZ41" s="80">
        <v>512490</v>
      </c>
      <c r="CA41" s="80">
        <v>365112</v>
      </c>
      <c r="CB41" s="80">
        <v>488777</v>
      </c>
      <c r="CC41" s="80">
        <v>507560</v>
      </c>
      <c r="CD41" s="80">
        <v>466399</v>
      </c>
      <c r="CE41" s="80">
        <v>660798</v>
      </c>
      <c r="CF41" s="80">
        <v>409320</v>
      </c>
      <c r="CG41" s="80">
        <v>413445</v>
      </c>
      <c r="CH41" s="80">
        <v>261075</v>
      </c>
      <c r="CI41" s="80">
        <v>29889</v>
      </c>
      <c r="CJ41" s="80">
        <v>21087</v>
      </c>
      <c r="CK41" s="80">
        <v>21612</v>
      </c>
      <c r="CL41" s="80">
        <v>709440</v>
      </c>
    </row>
    <row r="42" spans="1:90" ht="16.350000000000001" customHeight="1">
      <c r="A42" s="68"/>
      <c r="B42" s="68"/>
      <c r="C42" s="100" t="s">
        <v>92</v>
      </c>
      <c r="D42" s="100" t="s">
        <v>488</v>
      </c>
      <c r="E42" s="80">
        <v>0</v>
      </c>
      <c r="F42" s="80">
        <v>0</v>
      </c>
      <c r="G42" s="80"/>
      <c r="H42" s="80">
        <v>0</v>
      </c>
      <c r="I42" s="80">
        <v>0</v>
      </c>
      <c r="J42" s="80">
        <v>0</v>
      </c>
      <c r="K42" s="80">
        <v>0</v>
      </c>
      <c r="L42" s="80">
        <v>0</v>
      </c>
      <c r="M42" s="80">
        <v>0</v>
      </c>
      <c r="N42" s="80">
        <v>0</v>
      </c>
      <c r="O42" s="80">
        <v>0</v>
      </c>
      <c r="P42" s="80">
        <v>0</v>
      </c>
      <c r="Q42" s="80">
        <v>0</v>
      </c>
      <c r="R42" s="80">
        <v>0</v>
      </c>
      <c r="S42" s="80">
        <v>0</v>
      </c>
      <c r="T42" s="80">
        <v>0</v>
      </c>
      <c r="U42" s="80">
        <v>0</v>
      </c>
      <c r="V42" s="80">
        <v>0</v>
      </c>
      <c r="W42" s="80">
        <v>0</v>
      </c>
      <c r="X42" s="80">
        <v>0</v>
      </c>
      <c r="Y42" s="80">
        <v>0</v>
      </c>
      <c r="Z42" s="80">
        <v>0</v>
      </c>
      <c r="AA42" s="80">
        <v>0</v>
      </c>
      <c r="AB42" s="80">
        <v>0</v>
      </c>
      <c r="AC42" s="80">
        <v>0</v>
      </c>
      <c r="AD42" s="80">
        <v>0</v>
      </c>
      <c r="AE42" s="80">
        <v>5779</v>
      </c>
      <c r="AF42" s="80">
        <v>5813</v>
      </c>
      <c r="AG42" s="80">
        <v>5848</v>
      </c>
      <c r="AH42" s="80">
        <v>12689</v>
      </c>
      <c r="AI42" s="80">
        <v>13357</v>
      </c>
      <c r="AJ42" s="80">
        <v>6931</v>
      </c>
      <c r="AK42" s="80">
        <v>6670</v>
      </c>
      <c r="AL42" s="80">
        <v>6883</v>
      </c>
      <c r="AM42" s="80">
        <v>6470</v>
      </c>
      <c r="AN42" s="80">
        <v>7193</v>
      </c>
      <c r="AO42" s="80">
        <v>4742</v>
      </c>
      <c r="AP42" s="80">
        <v>13806</v>
      </c>
      <c r="AQ42" s="80">
        <v>4099</v>
      </c>
      <c r="AR42" s="80">
        <v>4130</v>
      </c>
      <c r="AS42" s="80">
        <v>4700</v>
      </c>
      <c r="AT42" s="80">
        <v>6446</v>
      </c>
      <c r="AU42" s="80">
        <v>5988</v>
      </c>
      <c r="AV42" s="80">
        <v>8329</v>
      </c>
      <c r="AW42" s="80">
        <v>8120</v>
      </c>
      <c r="AX42" s="80">
        <v>9730</v>
      </c>
      <c r="AY42" s="80">
        <v>12081</v>
      </c>
      <c r="AZ42" s="80">
        <v>2521</v>
      </c>
      <c r="BA42" s="80">
        <v>7016</v>
      </c>
      <c r="BB42" s="80">
        <v>7976</v>
      </c>
      <c r="BC42" s="80">
        <v>6466</v>
      </c>
      <c r="BD42" s="80">
        <v>9890</v>
      </c>
      <c r="BE42" s="80">
        <v>9387</v>
      </c>
      <c r="BF42" s="80">
        <v>8747</v>
      </c>
      <c r="BG42" s="80">
        <v>474</v>
      </c>
      <c r="BH42" s="80">
        <v>473</v>
      </c>
      <c r="BI42" s="80">
        <v>390444</v>
      </c>
      <c r="BJ42" s="80">
        <v>394000</v>
      </c>
      <c r="BK42" s="80">
        <v>383992</v>
      </c>
      <c r="BL42" s="80">
        <v>447685</v>
      </c>
      <c r="BM42" s="80">
        <v>425077</v>
      </c>
      <c r="BN42" s="80">
        <v>434076</v>
      </c>
      <c r="BO42" s="80">
        <v>483518</v>
      </c>
      <c r="BP42" s="80">
        <v>496583</v>
      </c>
      <c r="BQ42" s="80">
        <v>553285</v>
      </c>
      <c r="BR42" s="80">
        <v>608032</v>
      </c>
      <c r="BS42" s="80">
        <v>619360</v>
      </c>
      <c r="BT42" s="80">
        <v>666100</v>
      </c>
      <c r="BU42" s="80">
        <v>654978</v>
      </c>
      <c r="BV42" s="80">
        <v>678991</v>
      </c>
      <c r="BW42" s="80">
        <v>687735</v>
      </c>
      <c r="BX42" s="80">
        <v>719829</v>
      </c>
      <c r="BY42" s="80">
        <v>722791</v>
      </c>
      <c r="BZ42" s="80">
        <v>731470</v>
      </c>
      <c r="CA42" s="80">
        <v>731263</v>
      </c>
      <c r="CB42" s="80">
        <v>733322</v>
      </c>
      <c r="CC42" s="80">
        <v>753808</v>
      </c>
      <c r="CD42" s="80">
        <v>748045</v>
      </c>
      <c r="CE42" s="80">
        <v>712076</v>
      </c>
      <c r="CF42" s="80">
        <v>783850</v>
      </c>
      <c r="CG42" s="80">
        <v>787944</v>
      </c>
      <c r="CH42" s="80">
        <v>796999</v>
      </c>
      <c r="CI42" s="80">
        <v>745106</v>
      </c>
      <c r="CJ42" s="80">
        <v>740237</v>
      </c>
      <c r="CK42" s="80">
        <v>721362</v>
      </c>
      <c r="CL42" s="80">
        <v>682665</v>
      </c>
    </row>
    <row r="43" spans="1:90" ht="16.350000000000001" customHeight="1">
      <c r="A43" s="68"/>
      <c r="B43" s="68"/>
      <c r="C43" s="100" t="s">
        <v>17</v>
      </c>
      <c r="D43" s="100" t="s">
        <v>18</v>
      </c>
      <c r="E43" s="80">
        <v>116284</v>
      </c>
      <c r="F43" s="80">
        <v>130781</v>
      </c>
      <c r="G43" s="80">
        <v>146027</v>
      </c>
      <c r="H43" s="80">
        <v>229823</v>
      </c>
      <c r="I43" s="80">
        <v>160315</v>
      </c>
      <c r="J43" s="80">
        <v>155262</v>
      </c>
      <c r="K43" s="80">
        <v>164646</v>
      </c>
      <c r="L43" s="80">
        <v>233426</v>
      </c>
      <c r="M43" s="80">
        <v>168044</v>
      </c>
      <c r="N43" s="80">
        <v>169902</v>
      </c>
      <c r="O43" s="80">
        <v>211659</v>
      </c>
      <c r="P43" s="80">
        <v>275842</v>
      </c>
      <c r="Q43" s="80">
        <v>196899</v>
      </c>
      <c r="R43" s="80">
        <v>206423</v>
      </c>
      <c r="S43" s="80">
        <v>170434</v>
      </c>
      <c r="T43" s="80">
        <v>188060</v>
      </c>
      <c r="U43" s="80">
        <v>162483</v>
      </c>
      <c r="V43" s="80">
        <v>200068</v>
      </c>
      <c r="W43" s="80">
        <v>225097</v>
      </c>
      <c r="X43" s="80">
        <v>284914</v>
      </c>
      <c r="Y43" s="80">
        <v>227162</v>
      </c>
      <c r="Z43" s="80">
        <v>258755</v>
      </c>
      <c r="AA43" s="80">
        <v>256790</v>
      </c>
      <c r="AB43" s="80">
        <v>258755</v>
      </c>
      <c r="AC43" s="80">
        <v>256790</v>
      </c>
      <c r="AD43" s="80">
        <v>309921</v>
      </c>
      <c r="AE43" s="80">
        <v>313381</v>
      </c>
      <c r="AF43" s="80">
        <v>443887</v>
      </c>
      <c r="AG43" s="80">
        <v>321526</v>
      </c>
      <c r="AH43" s="80">
        <v>372726</v>
      </c>
      <c r="AI43" s="80">
        <v>375144</v>
      </c>
      <c r="AJ43" s="80">
        <v>488155</v>
      </c>
      <c r="AK43" s="80">
        <v>389444</v>
      </c>
      <c r="AL43" s="80">
        <v>416045</v>
      </c>
      <c r="AM43" s="80">
        <v>399338</v>
      </c>
      <c r="AN43" s="80">
        <v>506056</v>
      </c>
      <c r="AO43" s="80">
        <v>384543</v>
      </c>
      <c r="AP43" s="80">
        <v>426543</v>
      </c>
      <c r="AQ43" s="80">
        <v>489504</v>
      </c>
      <c r="AR43" s="80">
        <v>602746</v>
      </c>
      <c r="AS43" s="80">
        <v>440530</v>
      </c>
      <c r="AT43" s="80">
        <v>528317</v>
      </c>
      <c r="AU43" s="80">
        <v>548296</v>
      </c>
      <c r="AV43" s="80">
        <v>604605</v>
      </c>
      <c r="AW43" s="80">
        <v>446398</v>
      </c>
      <c r="AX43" s="80">
        <v>575921</v>
      </c>
      <c r="AY43" s="80">
        <v>584383</v>
      </c>
      <c r="AZ43" s="80">
        <v>735329</v>
      </c>
      <c r="BA43" s="80">
        <v>528352</v>
      </c>
      <c r="BB43" s="80">
        <v>581518</v>
      </c>
      <c r="BC43" s="80">
        <v>693563</v>
      </c>
      <c r="BD43" s="80">
        <v>901647</v>
      </c>
      <c r="BE43" s="80">
        <v>643329</v>
      </c>
      <c r="BF43" s="80">
        <v>734918</v>
      </c>
      <c r="BG43" s="80">
        <v>838734</v>
      </c>
      <c r="BH43" s="80">
        <v>1025824</v>
      </c>
      <c r="BI43" s="80">
        <v>683271</v>
      </c>
      <c r="BJ43" s="80">
        <v>730188</v>
      </c>
      <c r="BK43" s="80">
        <v>843429</v>
      </c>
      <c r="BL43" s="80">
        <v>1081785</v>
      </c>
      <c r="BM43" s="80">
        <v>851614</v>
      </c>
      <c r="BN43" s="80">
        <v>638396</v>
      </c>
      <c r="BO43" s="80">
        <v>974243</v>
      </c>
      <c r="BP43" s="80">
        <v>1404852</v>
      </c>
      <c r="BQ43" s="80">
        <v>1071891</v>
      </c>
      <c r="BR43" s="80">
        <v>1124721</v>
      </c>
      <c r="BS43" s="80">
        <v>1389226</v>
      </c>
      <c r="BT43" s="80">
        <v>1707489</v>
      </c>
      <c r="BU43" s="80">
        <v>1416407</v>
      </c>
      <c r="BV43" s="80">
        <v>1527040</v>
      </c>
      <c r="BW43" s="80">
        <v>1446560</v>
      </c>
      <c r="BX43" s="80">
        <v>1624082</v>
      </c>
      <c r="BY43" s="80">
        <v>1324093</v>
      </c>
      <c r="BZ43" s="80">
        <v>1351875</v>
      </c>
      <c r="CA43" s="80">
        <v>1529702</v>
      </c>
      <c r="CB43" s="80">
        <v>1790290</v>
      </c>
      <c r="CC43" s="80">
        <v>1389737</v>
      </c>
      <c r="CD43" s="80">
        <v>1380719</v>
      </c>
      <c r="CE43" s="80">
        <v>1482782</v>
      </c>
      <c r="CF43" s="80">
        <v>1807312</v>
      </c>
      <c r="CG43" s="80">
        <v>1415448</v>
      </c>
      <c r="CH43" s="80">
        <v>1327609</v>
      </c>
      <c r="CI43" s="80">
        <v>1517580</v>
      </c>
      <c r="CJ43" s="80">
        <v>1774432</v>
      </c>
      <c r="CK43" s="80">
        <v>1603689</v>
      </c>
      <c r="CL43" s="80">
        <v>1562953.5546259505</v>
      </c>
    </row>
    <row r="44" spans="1:90" ht="16.350000000000001" customHeight="1">
      <c r="A44" s="68"/>
      <c r="B44" s="68"/>
      <c r="C44" s="100" t="s">
        <v>531</v>
      </c>
      <c r="D44" s="100" t="s">
        <v>530</v>
      </c>
      <c r="E44" s="80">
        <v>0</v>
      </c>
      <c r="F44" s="80">
        <v>0</v>
      </c>
      <c r="G44" s="80">
        <v>0</v>
      </c>
      <c r="H44" s="80">
        <v>0</v>
      </c>
      <c r="I44" s="80">
        <v>0</v>
      </c>
      <c r="J44" s="80">
        <v>0</v>
      </c>
      <c r="K44" s="80">
        <v>0</v>
      </c>
      <c r="L44" s="80">
        <v>0</v>
      </c>
      <c r="M44" s="80">
        <v>0</v>
      </c>
      <c r="N44" s="80">
        <v>0</v>
      </c>
      <c r="O44" s="80">
        <v>0</v>
      </c>
      <c r="P44" s="80">
        <v>0</v>
      </c>
      <c r="Q44" s="80">
        <v>0</v>
      </c>
      <c r="R44" s="80">
        <v>0</v>
      </c>
      <c r="S44" s="80">
        <v>0</v>
      </c>
      <c r="T44" s="80">
        <v>0</v>
      </c>
      <c r="U44" s="80">
        <v>0</v>
      </c>
      <c r="V44" s="80">
        <v>0</v>
      </c>
      <c r="W44" s="80">
        <v>0</v>
      </c>
      <c r="X44" s="80">
        <v>0</v>
      </c>
      <c r="Y44" s="80">
        <v>0</v>
      </c>
      <c r="Z44" s="80">
        <v>0</v>
      </c>
      <c r="AA44" s="80">
        <v>0</v>
      </c>
      <c r="AB44" s="80">
        <v>0</v>
      </c>
      <c r="AC44" s="80">
        <v>0</v>
      </c>
      <c r="AD44" s="80">
        <v>0</v>
      </c>
      <c r="AE44" s="80">
        <v>0</v>
      </c>
      <c r="AF44" s="80">
        <v>0</v>
      </c>
      <c r="AG44" s="80">
        <v>0</v>
      </c>
      <c r="AH44" s="80">
        <v>0</v>
      </c>
      <c r="AI44" s="80">
        <v>0</v>
      </c>
      <c r="AJ44" s="80">
        <v>0</v>
      </c>
      <c r="AK44" s="80">
        <v>0</v>
      </c>
      <c r="AL44" s="80">
        <v>0</v>
      </c>
      <c r="AM44" s="80">
        <v>0</v>
      </c>
      <c r="AN44" s="80">
        <v>0</v>
      </c>
      <c r="AO44" s="80">
        <v>0</v>
      </c>
      <c r="AP44" s="80">
        <v>0</v>
      </c>
      <c r="AQ44" s="80">
        <v>0</v>
      </c>
      <c r="AR44" s="80">
        <v>0</v>
      </c>
      <c r="AS44" s="80">
        <v>0</v>
      </c>
      <c r="AT44" s="80">
        <v>0</v>
      </c>
      <c r="AU44" s="80">
        <v>0</v>
      </c>
      <c r="AV44" s="80">
        <v>0</v>
      </c>
      <c r="AW44" s="80">
        <v>0</v>
      </c>
      <c r="AX44" s="80">
        <v>0</v>
      </c>
      <c r="AY44" s="80">
        <v>0</v>
      </c>
      <c r="AZ44" s="80">
        <v>0</v>
      </c>
      <c r="BA44" s="80">
        <v>0</v>
      </c>
      <c r="BB44" s="80">
        <v>0</v>
      </c>
      <c r="BC44" s="80">
        <v>0</v>
      </c>
      <c r="BD44" s="80">
        <v>0</v>
      </c>
      <c r="BE44" s="80">
        <v>0</v>
      </c>
      <c r="BF44" s="80">
        <v>0</v>
      </c>
      <c r="BG44" s="80">
        <v>0</v>
      </c>
      <c r="BH44" s="80">
        <v>0</v>
      </c>
      <c r="BI44" s="80">
        <v>0</v>
      </c>
      <c r="BJ44" s="80">
        <v>0</v>
      </c>
      <c r="BK44" s="80">
        <v>0</v>
      </c>
      <c r="BL44" s="80">
        <v>0</v>
      </c>
      <c r="BM44" s="80">
        <v>0</v>
      </c>
      <c r="BN44" s="80">
        <v>0</v>
      </c>
      <c r="BO44" s="80">
        <v>0</v>
      </c>
      <c r="BP44" s="80">
        <v>0</v>
      </c>
      <c r="BQ44" s="80">
        <v>0</v>
      </c>
      <c r="BR44" s="80">
        <v>0</v>
      </c>
      <c r="BS44" s="80">
        <v>0</v>
      </c>
      <c r="BT44" s="80">
        <v>54744</v>
      </c>
      <c r="BU44" s="80">
        <v>0</v>
      </c>
      <c r="BV44" s="80">
        <v>0</v>
      </c>
      <c r="BW44" s="80">
        <v>0</v>
      </c>
      <c r="BX44" s="80">
        <v>78848</v>
      </c>
      <c r="BY44" s="80">
        <v>28880</v>
      </c>
      <c r="BZ44" s="80">
        <v>7443</v>
      </c>
      <c r="CA44" s="80">
        <v>6606</v>
      </c>
      <c r="CB44" s="80">
        <v>0</v>
      </c>
      <c r="CC44" s="80">
        <v>0</v>
      </c>
      <c r="CD44" s="80">
        <v>0</v>
      </c>
      <c r="CE44" s="80">
        <v>0</v>
      </c>
      <c r="CF44" s="80">
        <v>0</v>
      </c>
      <c r="CG44" s="80">
        <v>0</v>
      </c>
      <c r="CH44" s="80">
        <v>0</v>
      </c>
      <c r="CI44" s="80">
        <v>0</v>
      </c>
      <c r="CJ44" s="80">
        <v>41156</v>
      </c>
      <c r="CK44" s="80">
        <v>6943</v>
      </c>
      <c r="CL44" s="80">
        <v>1299.4453740495399</v>
      </c>
    </row>
    <row r="45" spans="1:90" ht="16.350000000000001" customHeight="1">
      <c r="A45" s="68"/>
      <c r="B45" s="68"/>
      <c r="C45" s="100" t="s">
        <v>91</v>
      </c>
      <c r="D45" s="100" t="s">
        <v>99</v>
      </c>
      <c r="E45" s="80">
        <v>0</v>
      </c>
      <c r="F45" s="80">
        <v>0</v>
      </c>
      <c r="G45" s="80">
        <v>0</v>
      </c>
      <c r="H45" s="80">
        <v>0</v>
      </c>
      <c r="I45" s="80">
        <v>0</v>
      </c>
      <c r="J45" s="80">
        <v>0</v>
      </c>
      <c r="K45" s="80">
        <v>0</v>
      </c>
      <c r="L45" s="80">
        <v>0</v>
      </c>
      <c r="M45" s="80">
        <v>0</v>
      </c>
      <c r="N45" s="80">
        <v>0</v>
      </c>
      <c r="O45" s="80">
        <v>0</v>
      </c>
      <c r="P45" s="80">
        <v>0</v>
      </c>
      <c r="Q45" s="80">
        <v>0</v>
      </c>
      <c r="R45" s="80">
        <v>0</v>
      </c>
      <c r="S45" s="80">
        <v>0</v>
      </c>
      <c r="T45" s="80">
        <v>0</v>
      </c>
      <c r="U45" s="80">
        <v>0</v>
      </c>
      <c r="V45" s="80">
        <v>0</v>
      </c>
      <c r="W45" s="80">
        <v>0</v>
      </c>
      <c r="X45" s="80">
        <v>0</v>
      </c>
      <c r="Y45" s="80">
        <v>0</v>
      </c>
      <c r="Z45" s="80">
        <v>0</v>
      </c>
      <c r="AA45" s="80">
        <v>0</v>
      </c>
      <c r="AB45" s="80">
        <v>0</v>
      </c>
      <c r="AC45" s="80">
        <v>0</v>
      </c>
      <c r="AD45" s="80">
        <v>0</v>
      </c>
      <c r="AE45" s="80">
        <v>0</v>
      </c>
      <c r="AF45" s="80">
        <v>18081</v>
      </c>
      <c r="AG45" s="80">
        <v>20300</v>
      </c>
      <c r="AH45" s="80">
        <v>36478</v>
      </c>
      <c r="AI45" s="80">
        <v>44297</v>
      </c>
      <c r="AJ45" s="80">
        <v>57972</v>
      </c>
      <c r="AK45" s="80">
        <v>50182</v>
      </c>
      <c r="AL45" s="80">
        <v>59799</v>
      </c>
      <c r="AM45" s="80">
        <v>90221</v>
      </c>
      <c r="AN45" s="80">
        <v>114251</v>
      </c>
      <c r="AO45" s="80">
        <v>114435</v>
      </c>
      <c r="AP45" s="80">
        <v>132408</v>
      </c>
      <c r="AQ45" s="80">
        <v>156091</v>
      </c>
      <c r="AR45" s="80">
        <v>196988</v>
      </c>
      <c r="AS45" s="80">
        <v>176293</v>
      </c>
      <c r="AT45" s="80">
        <v>194803</v>
      </c>
      <c r="AU45" s="80">
        <v>199962</v>
      </c>
      <c r="AV45" s="80">
        <v>241086</v>
      </c>
      <c r="AW45" s="80">
        <v>214834</v>
      </c>
      <c r="AX45" s="80">
        <v>230697</v>
      </c>
      <c r="AY45" s="80">
        <v>243811</v>
      </c>
      <c r="AZ45" s="80">
        <v>291891</v>
      </c>
      <c r="BA45" s="80">
        <v>313797</v>
      </c>
      <c r="BB45" s="80">
        <v>419240</v>
      </c>
      <c r="BC45" s="80">
        <v>435839</v>
      </c>
      <c r="BD45" s="80">
        <v>524581</v>
      </c>
      <c r="BE45" s="80">
        <v>484260</v>
      </c>
      <c r="BF45" s="80">
        <v>516001</v>
      </c>
      <c r="BG45" s="80">
        <v>553264</v>
      </c>
      <c r="BH45" s="80">
        <v>693994</v>
      </c>
      <c r="BI45" s="80">
        <v>667180</v>
      </c>
      <c r="BJ45" s="80">
        <v>741692</v>
      </c>
      <c r="BK45" s="80">
        <v>820284</v>
      </c>
      <c r="BL45" s="80">
        <v>985298</v>
      </c>
      <c r="BM45" s="80">
        <v>881287</v>
      </c>
      <c r="BN45" s="80">
        <v>817712</v>
      </c>
      <c r="BO45" s="80">
        <v>973203</v>
      </c>
      <c r="BP45" s="80">
        <v>1193168</v>
      </c>
      <c r="BQ45" s="80">
        <v>1101792</v>
      </c>
      <c r="BR45" s="80">
        <v>1307106</v>
      </c>
      <c r="BS45" s="80">
        <v>1435327</v>
      </c>
      <c r="BT45" s="80">
        <v>1835143</v>
      </c>
      <c r="BU45" s="80">
        <v>1901686</v>
      </c>
      <c r="BV45" s="80">
        <v>2076686</v>
      </c>
      <c r="BW45" s="80">
        <v>2144540</v>
      </c>
      <c r="BX45" s="80">
        <v>2464968</v>
      </c>
      <c r="BY45" s="80">
        <v>2354825</v>
      </c>
      <c r="BZ45" s="80">
        <v>2361588</v>
      </c>
      <c r="CA45" s="80">
        <v>2307571</v>
      </c>
      <c r="CB45" s="80">
        <v>2526498</v>
      </c>
      <c r="CC45" s="80">
        <v>2435195</v>
      </c>
      <c r="CD45" s="80">
        <v>2483954</v>
      </c>
      <c r="CE45" s="80">
        <v>2455808</v>
      </c>
      <c r="CF45" s="80">
        <v>2610217</v>
      </c>
      <c r="CG45" s="80">
        <v>2463690</v>
      </c>
      <c r="CH45" s="80">
        <v>2474084</v>
      </c>
      <c r="CI45" s="80">
        <v>2470732</v>
      </c>
      <c r="CJ45" s="80">
        <v>2602231</v>
      </c>
      <c r="CK45" s="80">
        <v>2469198</v>
      </c>
      <c r="CL45" s="80">
        <v>2424744</v>
      </c>
    </row>
    <row r="46" spans="1:90" ht="16.350000000000001" customHeight="1">
      <c r="A46" s="68"/>
      <c r="B46" s="68"/>
      <c r="C46" s="100" t="s">
        <v>492</v>
      </c>
      <c r="D46" s="100" t="s">
        <v>489</v>
      </c>
      <c r="E46" s="80">
        <v>17867</v>
      </c>
      <c r="F46" s="80">
        <v>36050</v>
      </c>
      <c r="G46" s="80">
        <v>31110</v>
      </c>
      <c r="H46" s="80">
        <v>89126</v>
      </c>
      <c r="I46" s="80">
        <v>13227</v>
      </c>
      <c r="J46" s="80">
        <v>45665</v>
      </c>
      <c r="K46" s="80">
        <v>37707</v>
      </c>
      <c r="L46" s="80">
        <v>121533</v>
      </c>
      <c r="M46" s="80">
        <v>21205</v>
      </c>
      <c r="N46" s="80">
        <v>48396</v>
      </c>
      <c r="O46" s="80">
        <v>37406</v>
      </c>
      <c r="P46" s="80">
        <v>114316</v>
      </c>
      <c r="Q46" s="80">
        <v>29479</v>
      </c>
      <c r="R46" s="80">
        <v>54714</v>
      </c>
      <c r="S46" s="80">
        <v>35560</v>
      </c>
      <c r="T46" s="80">
        <v>116386</v>
      </c>
      <c r="U46" s="80">
        <v>31967</v>
      </c>
      <c r="V46" s="80">
        <v>76774</v>
      </c>
      <c r="W46" s="80">
        <v>54100</v>
      </c>
      <c r="X46" s="80">
        <v>128358</v>
      </c>
      <c r="Y46" s="80">
        <v>48217</v>
      </c>
      <c r="Z46" s="80">
        <v>78523</v>
      </c>
      <c r="AA46" s="80">
        <v>48199</v>
      </c>
      <c r="AB46" s="80">
        <v>78523</v>
      </c>
      <c r="AC46" s="80">
        <v>48199</v>
      </c>
      <c r="AD46" s="80">
        <v>118906</v>
      </c>
      <c r="AE46" s="80">
        <v>68465</v>
      </c>
      <c r="AF46" s="80">
        <v>211273</v>
      </c>
      <c r="AG46" s="80">
        <v>75735</v>
      </c>
      <c r="AH46" s="80">
        <v>118117</v>
      </c>
      <c r="AI46" s="80">
        <v>87218</v>
      </c>
      <c r="AJ46" s="80">
        <v>244089</v>
      </c>
      <c r="AK46" s="80">
        <v>58856</v>
      </c>
      <c r="AL46" s="80">
        <v>89760</v>
      </c>
      <c r="AM46" s="80">
        <v>72604</v>
      </c>
      <c r="AN46" s="80">
        <v>254899</v>
      </c>
      <c r="AO46" s="80">
        <v>81738</v>
      </c>
      <c r="AP46" s="80">
        <v>110405</v>
      </c>
      <c r="AQ46" s="80">
        <v>81592</v>
      </c>
      <c r="AR46" s="80">
        <v>303230</v>
      </c>
      <c r="AS46" s="80">
        <v>96546</v>
      </c>
      <c r="AT46" s="80">
        <v>148815</v>
      </c>
      <c r="AU46" s="80">
        <v>97647</v>
      </c>
      <c r="AV46" s="80">
        <v>342976</v>
      </c>
      <c r="AW46" s="80">
        <v>100600</v>
      </c>
      <c r="AX46" s="80">
        <v>173011</v>
      </c>
      <c r="AY46" s="80">
        <v>100223</v>
      </c>
      <c r="AZ46" s="80">
        <v>404760</v>
      </c>
      <c r="BA46" s="80">
        <v>107755</v>
      </c>
      <c r="BB46" s="80">
        <v>204325</v>
      </c>
      <c r="BC46" s="80">
        <v>174273</v>
      </c>
      <c r="BD46" s="80">
        <v>470989</v>
      </c>
      <c r="BE46" s="80">
        <v>146026</v>
      </c>
      <c r="BF46" s="80">
        <v>234155</v>
      </c>
      <c r="BG46" s="80">
        <v>221185</v>
      </c>
      <c r="BH46" s="80">
        <v>550016</v>
      </c>
      <c r="BI46" s="80">
        <v>150780</v>
      </c>
      <c r="BJ46" s="80">
        <v>297839</v>
      </c>
      <c r="BK46" s="80">
        <v>248753</v>
      </c>
      <c r="BL46" s="80">
        <v>636723</v>
      </c>
      <c r="BM46" s="80">
        <v>79185</v>
      </c>
      <c r="BN46" s="80">
        <v>145368</v>
      </c>
      <c r="BO46" s="80">
        <v>115071</v>
      </c>
      <c r="BP46" s="80">
        <v>402930</v>
      </c>
      <c r="BQ46" s="80">
        <v>92347</v>
      </c>
      <c r="BR46" s="80">
        <v>239579</v>
      </c>
      <c r="BS46" s="80">
        <v>208682</v>
      </c>
      <c r="BT46" s="80">
        <v>516678</v>
      </c>
      <c r="BU46" s="80">
        <v>172590</v>
      </c>
      <c r="BV46" s="80">
        <v>297972</v>
      </c>
      <c r="BW46" s="80">
        <v>178636</v>
      </c>
      <c r="BX46" s="80">
        <v>566891</v>
      </c>
      <c r="BY46" s="80">
        <v>132176</v>
      </c>
      <c r="BZ46" s="80">
        <v>257764</v>
      </c>
      <c r="CA46" s="80">
        <v>178584</v>
      </c>
      <c r="CB46" s="80">
        <v>411088</v>
      </c>
      <c r="CC46" s="80">
        <v>157427</v>
      </c>
      <c r="CD46" s="80">
        <v>287577</v>
      </c>
      <c r="CE46" s="80">
        <v>127877</v>
      </c>
      <c r="CF46" s="80">
        <v>545283</v>
      </c>
      <c r="CG46" s="80">
        <v>240281</v>
      </c>
      <c r="CH46" s="80">
        <v>419053</v>
      </c>
      <c r="CI46" s="80">
        <v>196615</v>
      </c>
      <c r="CJ46" s="80">
        <v>503345</v>
      </c>
      <c r="CK46" s="80">
        <v>186940</v>
      </c>
      <c r="CL46" s="80">
        <v>257408</v>
      </c>
    </row>
    <row r="47" spans="1:90" ht="16.350000000000001" customHeight="1">
      <c r="A47" s="68"/>
      <c r="B47" s="68"/>
      <c r="C47" s="100" t="s">
        <v>2559</v>
      </c>
      <c r="D47" s="100" t="s">
        <v>2558</v>
      </c>
      <c r="E47" s="80">
        <v>0</v>
      </c>
      <c r="F47" s="80">
        <v>0</v>
      </c>
      <c r="G47" s="80">
        <v>0</v>
      </c>
      <c r="H47" s="80">
        <v>0</v>
      </c>
      <c r="I47" s="80">
        <v>0</v>
      </c>
      <c r="J47" s="80">
        <v>0</v>
      </c>
      <c r="K47" s="80">
        <v>0</v>
      </c>
      <c r="L47" s="80">
        <v>0</v>
      </c>
      <c r="M47" s="80">
        <v>0</v>
      </c>
      <c r="N47" s="80">
        <v>0</v>
      </c>
      <c r="O47" s="80">
        <v>0</v>
      </c>
      <c r="P47" s="80">
        <v>0</v>
      </c>
      <c r="Q47" s="80">
        <v>0</v>
      </c>
      <c r="R47" s="80">
        <v>0</v>
      </c>
      <c r="S47" s="80">
        <v>0</v>
      </c>
      <c r="T47" s="80">
        <v>0</v>
      </c>
      <c r="U47" s="80">
        <v>0</v>
      </c>
      <c r="V47" s="80">
        <v>0</v>
      </c>
      <c r="W47" s="80">
        <v>0</v>
      </c>
      <c r="X47" s="80">
        <v>0</v>
      </c>
      <c r="Y47" s="80">
        <v>0</v>
      </c>
      <c r="Z47" s="80">
        <v>0</v>
      </c>
      <c r="AA47" s="80">
        <v>0</v>
      </c>
      <c r="AB47" s="80">
        <v>0</v>
      </c>
      <c r="AC47" s="80">
        <v>0</v>
      </c>
      <c r="AD47" s="80">
        <v>0</v>
      </c>
      <c r="AE47" s="80">
        <v>0</v>
      </c>
      <c r="AF47" s="80">
        <v>0</v>
      </c>
      <c r="AG47" s="80">
        <v>0</v>
      </c>
      <c r="AH47" s="80">
        <v>0</v>
      </c>
      <c r="AI47" s="80">
        <v>0</v>
      </c>
      <c r="AJ47" s="80">
        <v>0</v>
      </c>
      <c r="AK47" s="80">
        <v>0</v>
      </c>
      <c r="AL47" s="80">
        <v>0</v>
      </c>
      <c r="AM47" s="80">
        <v>0</v>
      </c>
      <c r="AN47" s="80">
        <v>0</v>
      </c>
      <c r="AO47" s="80">
        <v>0</v>
      </c>
      <c r="AP47" s="80">
        <v>0</v>
      </c>
      <c r="AQ47" s="80">
        <v>0</v>
      </c>
      <c r="AR47" s="80">
        <v>0</v>
      </c>
      <c r="AS47" s="80">
        <v>0</v>
      </c>
      <c r="AT47" s="80">
        <v>0</v>
      </c>
      <c r="AU47" s="80">
        <v>0</v>
      </c>
      <c r="AV47" s="80">
        <v>0</v>
      </c>
      <c r="AW47" s="80">
        <v>0</v>
      </c>
      <c r="AX47" s="80">
        <v>0</v>
      </c>
      <c r="AY47" s="80">
        <v>0</v>
      </c>
      <c r="AZ47" s="80">
        <v>0</v>
      </c>
      <c r="BA47" s="80">
        <v>0</v>
      </c>
      <c r="BB47" s="80">
        <v>0</v>
      </c>
      <c r="BC47" s="80">
        <v>0</v>
      </c>
      <c r="BD47" s="80">
        <v>0</v>
      </c>
      <c r="BE47" s="80">
        <v>0</v>
      </c>
      <c r="BF47" s="80">
        <v>0</v>
      </c>
      <c r="BG47" s="80">
        <v>0</v>
      </c>
      <c r="BH47" s="80">
        <v>0</v>
      </c>
      <c r="BI47" s="80">
        <v>0</v>
      </c>
      <c r="BJ47" s="80">
        <v>0</v>
      </c>
      <c r="BK47" s="80">
        <v>0</v>
      </c>
      <c r="BL47" s="80">
        <v>0</v>
      </c>
      <c r="BM47" s="80">
        <v>0</v>
      </c>
      <c r="BN47" s="80">
        <v>0</v>
      </c>
      <c r="BO47" s="80">
        <v>0</v>
      </c>
      <c r="BP47" s="80">
        <v>0</v>
      </c>
      <c r="BQ47" s="80">
        <v>0</v>
      </c>
      <c r="BR47" s="80">
        <v>0</v>
      </c>
      <c r="BS47" s="80">
        <v>0</v>
      </c>
      <c r="BT47" s="80">
        <v>0</v>
      </c>
      <c r="BU47" s="80">
        <v>0</v>
      </c>
      <c r="BV47" s="80">
        <v>0</v>
      </c>
      <c r="BW47" s="80">
        <v>0</v>
      </c>
      <c r="BX47" s="80">
        <v>0</v>
      </c>
      <c r="BY47" s="80">
        <v>0</v>
      </c>
      <c r="BZ47" s="80">
        <v>0</v>
      </c>
      <c r="CA47" s="80">
        <v>0</v>
      </c>
      <c r="CB47" s="80">
        <v>0</v>
      </c>
      <c r="CC47" s="80">
        <v>0</v>
      </c>
      <c r="CD47" s="80">
        <v>0</v>
      </c>
      <c r="CE47" s="80">
        <v>0</v>
      </c>
      <c r="CF47" s="80">
        <v>0</v>
      </c>
      <c r="CG47" s="80">
        <v>0</v>
      </c>
      <c r="CH47" s="80">
        <v>0</v>
      </c>
      <c r="CI47" s="80">
        <v>0</v>
      </c>
      <c r="CJ47" s="80">
        <v>86814</v>
      </c>
      <c r="CK47" s="80">
        <v>37180</v>
      </c>
      <c r="CL47" s="80">
        <v>6392</v>
      </c>
    </row>
    <row r="48" spans="1:90" ht="16.350000000000001" customHeight="1">
      <c r="A48" s="68"/>
      <c r="B48" s="68"/>
      <c r="C48" s="100" t="s">
        <v>491</v>
      </c>
      <c r="D48" s="100" t="s">
        <v>490</v>
      </c>
      <c r="E48" s="80">
        <v>18539</v>
      </c>
      <c r="F48" s="80">
        <v>23334</v>
      </c>
      <c r="G48" s="80">
        <v>23963</v>
      </c>
      <c r="H48" s="80">
        <v>36396</v>
      </c>
      <c r="I48" s="80">
        <v>29918</v>
      </c>
      <c r="J48" s="80">
        <v>27979</v>
      </c>
      <c r="K48" s="80">
        <v>30779</v>
      </c>
      <c r="L48" s="80">
        <v>48332</v>
      </c>
      <c r="M48" s="80">
        <v>42731</v>
      </c>
      <c r="N48" s="80">
        <v>38859</v>
      </c>
      <c r="O48" s="80">
        <v>44848</v>
      </c>
      <c r="P48" s="80">
        <v>52607</v>
      </c>
      <c r="Q48" s="80">
        <v>50005</v>
      </c>
      <c r="R48" s="80">
        <v>43600</v>
      </c>
      <c r="S48" s="80">
        <v>48499</v>
      </c>
      <c r="T48" s="80">
        <v>42363</v>
      </c>
      <c r="U48" s="80">
        <v>40848</v>
      </c>
      <c r="V48" s="80">
        <v>47746</v>
      </c>
      <c r="W48" s="80">
        <v>53195</v>
      </c>
      <c r="X48" s="80">
        <v>60196</v>
      </c>
      <c r="Y48" s="80">
        <v>62816</v>
      </c>
      <c r="Z48" s="80">
        <v>56267</v>
      </c>
      <c r="AA48" s="80">
        <v>68401</v>
      </c>
      <c r="AB48" s="80">
        <v>56267</v>
      </c>
      <c r="AC48" s="80">
        <v>68401</v>
      </c>
      <c r="AD48" s="80">
        <v>65042</v>
      </c>
      <c r="AE48" s="80">
        <v>72701</v>
      </c>
      <c r="AF48" s="80">
        <v>67001</v>
      </c>
      <c r="AG48" s="80">
        <v>70384</v>
      </c>
      <c r="AH48" s="80">
        <v>84392</v>
      </c>
      <c r="AI48" s="80">
        <v>98726</v>
      </c>
      <c r="AJ48" s="80">
        <v>103317</v>
      </c>
      <c r="AK48" s="80">
        <v>107395</v>
      </c>
      <c r="AL48" s="80">
        <v>95908</v>
      </c>
      <c r="AM48" s="80">
        <v>96910</v>
      </c>
      <c r="AN48" s="80">
        <v>101943</v>
      </c>
      <c r="AO48" s="80">
        <v>103495</v>
      </c>
      <c r="AP48" s="80">
        <v>97693</v>
      </c>
      <c r="AQ48" s="80">
        <v>117910</v>
      </c>
      <c r="AR48" s="80">
        <v>159367</v>
      </c>
      <c r="AS48" s="80">
        <v>149145</v>
      </c>
      <c r="AT48" s="80">
        <v>123044</v>
      </c>
      <c r="AU48" s="80">
        <v>140826</v>
      </c>
      <c r="AV48" s="80">
        <v>174704</v>
      </c>
      <c r="AW48" s="80">
        <v>178884</v>
      </c>
      <c r="AX48" s="80">
        <v>151162</v>
      </c>
      <c r="AY48" s="80">
        <v>164549</v>
      </c>
      <c r="AZ48" s="80">
        <v>179470</v>
      </c>
      <c r="BA48" s="80">
        <v>190879</v>
      </c>
      <c r="BB48" s="80">
        <v>186370</v>
      </c>
      <c r="BC48" s="80">
        <v>217643</v>
      </c>
      <c r="BD48" s="80">
        <v>233338</v>
      </c>
      <c r="BE48" s="80">
        <v>244078</v>
      </c>
      <c r="BF48" s="80">
        <v>197862</v>
      </c>
      <c r="BG48" s="80">
        <v>222826</v>
      </c>
      <c r="BH48" s="80">
        <v>246009</v>
      </c>
      <c r="BI48" s="80">
        <v>257529</v>
      </c>
      <c r="BJ48" s="80">
        <v>237800</v>
      </c>
      <c r="BK48" s="80">
        <v>278256</v>
      </c>
      <c r="BL48" s="80">
        <v>306882</v>
      </c>
      <c r="BM48" s="80">
        <v>297999</v>
      </c>
      <c r="BN48" s="80">
        <v>251612</v>
      </c>
      <c r="BO48" s="80">
        <v>289027</v>
      </c>
      <c r="BP48" s="80">
        <v>226816</v>
      </c>
      <c r="BQ48" s="80">
        <v>221303</v>
      </c>
      <c r="BR48" s="80">
        <v>264779</v>
      </c>
      <c r="BS48" s="80">
        <v>333603</v>
      </c>
      <c r="BT48" s="80">
        <v>460373</v>
      </c>
      <c r="BU48" s="80">
        <v>493462</v>
      </c>
      <c r="BV48" s="80">
        <v>370690</v>
      </c>
      <c r="BW48" s="80">
        <v>396711</v>
      </c>
      <c r="BX48" s="80">
        <v>305062</v>
      </c>
      <c r="BY48" s="80">
        <v>306921</v>
      </c>
      <c r="BZ48" s="80">
        <v>316851</v>
      </c>
      <c r="CA48" s="80">
        <v>336286</v>
      </c>
      <c r="CB48" s="80">
        <v>323126</v>
      </c>
      <c r="CC48" s="80">
        <v>340163</v>
      </c>
      <c r="CD48" s="80">
        <v>372856</v>
      </c>
      <c r="CE48" s="80">
        <v>431346</v>
      </c>
      <c r="CF48" s="80">
        <v>488482</v>
      </c>
      <c r="CG48" s="80">
        <v>512739</v>
      </c>
      <c r="CH48" s="80">
        <v>450106</v>
      </c>
      <c r="CI48" s="80">
        <v>514380</v>
      </c>
      <c r="CJ48" s="80">
        <v>543931</v>
      </c>
      <c r="CK48" s="80">
        <v>556560</v>
      </c>
      <c r="CL48" s="80">
        <v>473325</v>
      </c>
    </row>
    <row r="49" spans="1:90" ht="16.350000000000001" customHeight="1">
      <c r="A49" s="68"/>
      <c r="B49" s="68"/>
      <c r="C49" s="100" t="s">
        <v>472</v>
      </c>
      <c r="D49" s="100" t="s">
        <v>23</v>
      </c>
      <c r="E49" s="80">
        <v>18</v>
      </c>
      <c r="F49" s="80">
        <v>18</v>
      </c>
      <c r="G49" s="80">
        <v>18</v>
      </c>
      <c r="H49" s="80">
        <v>45208</v>
      </c>
      <c r="I49" s="80">
        <v>79</v>
      </c>
      <c r="J49" s="80">
        <v>78</v>
      </c>
      <c r="K49" s="80">
        <v>95</v>
      </c>
      <c r="L49" s="80">
        <v>53933</v>
      </c>
      <c r="M49" s="80">
        <v>37817</v>
      </c>
      <c r="N49" s="80">
        <v>138</v>
      </c>
      <c r="O49" s="80">
        <v>137</v>
      </c>
      <c r="P49" s="80">
        <v>117638</v>
      </c>
      <c r="Q49" s="80">
        <v>87756</v>
      </c>
      <c r="R49" s="80">
        <v>233</v>
      </c>
      <c r="S49" s="80">
        <v>226</v>
      </c>
      <c r="T49" s="80">
        <v>43539</v>
      </c>
      <c r="U49" s="80">
        <v>43539</v>
      </c>
      <c r="V49" s="80">
        <v>260</v>
      </c>
      <c r="W49" s="80">
        <v>260</v>
      </c>
      <c r="X49" s="80">
        <v>53656</v>
      </c>
      <c r="Y49" s="80">
        <v>53656</v>
      </c>
      <c r="Z49" s="80">
        <v>369</v>
      </c>
      <c r="AA49" s="80">
        <v>368</v>
      </c>
      <c r="AB49" s="80">
        <v>369</v>
      </c>
      <c r="AC49" s="80">
        <v>368</v>
      </c>
      <c r="AD49" s="80">
        <v>33068</v>
      </c>
      <c r="AE49" s="80">
        <v>49829</v>
      </c>
      <c r="AF49" s="80">
        <v>88428</v>
      </c>
      <c r="AG49" s="80">
        <v>106050</v>
      </c>
      <c r="AH49" s="80">
        <v>36832</v>
      </c>
      <c r="AI49" s="80">
        <v>54126</v>
      </c>
      <c r="AJ49" s="80">
        <v>95968</v>
      </c>
      <c r="AK49" s="80">
        <v>108007</v>
      </c>
      <c r="AL49" s="80">
        <v>25312</v>
      </c>
      <c r="AM49" s="80">
        <v>37975</v>
      </c>
      <c r="AN49" s="80">
        <v>103093</v>
      </c>
      <c r="AO49" s="80">
        <v>118128</v>
      </c>
      <c r="AP49" s="80">
        <v>31256</v>
      </c>
      <c r="AQ49" s="80">
        <v>47105</v>
      </c>
      <c r="AR49" s="80">
        <v>124312</v>
      </c>
      <c r="AS49" s="80">
        <v>144821</v>
      </c>
      <c r="AT49" s="80">
        <v>44434</v>
      </c>
      <c r="AU49" s="80">
        <v>70238</v>
      </c>
      <c r="AV49" s="80">
        <v>147858</v>
      </c>
      <c r="AW49" s="80">
        <v>182947</v>
      </c>
      <c r="AX49" s="80">
        <v>71279</v>
      </c>
      <c r="AY49" s="80">
        <v>110089</v>
      </c>
      <c r="AZ49" s="80">
        <v>156679</v>
      </c>
      <c r="BA49" s="80">
        <v>198022</v>
      </c>
      <c r="BB49" s="80">
        <v>81713</v>
      </c>
      <c r="BC49" s="80">
        <v>124821</v>
      </c>
      <c r="BD49" s="80">
        <v>180933</v>
      </c>
      <c r="BE49" s="80">
        <v>225954</v>
      </c>
      <c r="BF49" s="80">
        <v>91388</v>
      </c>
      <c r="BG49" s="80">
        <v>140850</v>
      </c>
      <c r="BH49" s="80">
        <v>242995</v>
      </c>
      <c r="BI49" s="80">
        <v>301036</v>
      </c>
      <c r="BJ49" s="80">
        <v>112333</v>
      </c>
      <c r="BK49" s="80">
        <v>167698</v>
      </c>
      <c r="BL49" s="80">
        <v>243114</v>
      </c>
      <c r="BM49" s="80">
        <v>294646</v>
      </c>
      <c r="BN49" s="80">
        <v>101263</v>
      </c>
      <c r="BO49" s="80">
        <v>160099</v>
      </c>
      <c r="BP49" s="80">
        <v>246269</v>
      </c>
      <c r="BQ49" s="80">
        <v>297878</v>
      </c>
      <c r="BR49" s="80">
        <v>130725</v>
      </c>
      <c r="BS49" s="80">
        <v>233277</v>
      </c>
      <c r="BT49" s="80">
        <v>353522</v>
      </c>
      <c r="BU49" s="80">
        <v>480204</v>
      </c>
      <c r="BV49" s="80">
        <v>268848</v>
      </c>
      <c r="BW49" s="80">
        <v>151376</v>
      </c>
      <c r="BX49" s="80">
        <v>160966</v>
      </c>
      <c r="BY49" s="80">
        <v>156537</v>
      </c>
      <c r="BZ49" s="80">
        <v>306046</v>
      </c>
      <c r="CA49" s="80">
        <v>458342</v>
      </c>
      <c r="CB49" s="80">
        <v>297902</v>
      </c>
      <c r="CC49" s="80">
        <v>126760</v>
      </c>
      <c r="CD49" s="80">
        <v>131449</v>
      </c>
      <c r="CE49" s="80">
        <v>142962</v>
      </c>
      <c r="CF49" s="80">
        <v>170550</v>
      </c>
      <c r="CG49" s="80">
        <v>179666</v>
      </c>
      <c r="CH49" s="80">
        <v>178387</v>
      </c>
      <c r="CI49" s="80">
        <v>191852</v>
      </c>
      <c r="CJ49" s="80">
        <v>211999</v>
      </c>
      <c r="CK49" s="80">
        <v>203018</v>
      </c>
      <c r="CL49" s="80">
        <v>193109</v>
      </c>
    </row>
    <row r="50" spans="1:90" ht="16.350000000000001" customHeight="1">
      <c r="A50" s="68"/>
      <c r="B50" s="68"/>
      <c r="C50" s="100" t="s">
        <v>281</v>
      </c>
      <c r="D50" s="100" t="s">
        <v>493</v>
      </c>
      <c r="E50" s="80">
        <v>5683</v>
      </c>
      <c r="F50" s="80">
        <v>6030</v>
      </c>
      <c r="G50" s="80">
        <v>6241</v>
      </c>
      <c r="H50" s="80">
        <v>6458</v>
      </c>
      <c r="I50" s="80">
        <v>6803</v>
      </c>
      <c r="J50" s="80">
        <v>7098</v>
      </c>
      <c r="K50" s="80">
        <v>7390</v>
      </c>
      <c r="L50" s="80">
        <v>7658</v>
      </c>
      <c r="M50" s="80">
        <v>8125</v>
      </c>
      <c r="N50" s="80">
        <v>7495</v>
      </c>
      <c r="O50" s="80">
        <v>8819</v>
      </c>
      <c r="P50" s="80">
        <v>10258</v>
      </c>
      <c r="Q50" s="80">
        <v>12260</v>
      </c>
      <c r="R50" s="80">
        <v>13163</v>
      </c>
      <c r="S50" s="80">
        <v>13074</v>
      </c>
      <c r="T50" s="80">
        <v>13415</v>
      </c>
      <c r="U50" s="80">
        <v>13716</v>
      </c>
      <c r="V50" s="80">
        <v>14730</v>
      </c>
      <c r="W50" s="80">
        <v>15976</v>
      </c>
      <c r="X50" s="80">
        <v>16332</v>
      </c>
      <c r="Y50" s="80">
        <v>16780</v>
      </c>
      <c r="Z50" s="80">
        <v>16974</v>
      </c>
      <c r="AA50" s="80">
        <v>17720</v>
      </c>
      <c r="AB50" s="80">
        <v>16974</v>
      </c>
      <c r="AC50" s="80">
        <v>17720</v>
      </c>
      <c r="AD50" s="80">
        <v>19175</v>
      </c>
      <c r="AE50" s="80">
        <v>19196</v>
      </c>
      <c r="AF50" s="80">
        <v>19124</v>
      </c>
      <c r="AG50" s="80">
        <v>20424</v>
      </c>
      <c r="AH50" s="80">
        <v>20009</v>
      </c>
      <c r="AI50" s="80">
        <v>18061</v>
      </c>
      <c r="AJ50" s="80">
        <v>18759</v>
      </c>
      <c r="AK50" s="80">
        <v>18613</v>
      </c>
      <c r="AL50" s="80">
        <v>18288</v>
      </c>
      <c r="AM50" s="80">
        <v>18321</v>
      </c>
      <c r="AN50" s="80">
        <v>17493</v>
      </c>
      <c r="AO50" s="80">
        <v>18537</v>
      </c>
      <c r="AP50" s="80">
        <v>19529</v>
      </c>
      <c r="AQ50" s="80">
        <v>20428</v>
      </c>
      <c r="AR50" s="80">
        <v>23998</v>
      </c>
      <c r="AS50" s="80">
        <v>23925</v>
      </c>
      <c r="AT50" s="80">
        <v>23916</v>
      </c>
      <c r="AU50" s="80">
        <v>26261</v>
      </c>
      <c r="AV50" s="80">
        <v>29866</v>
      </c>
      <c r="AW50" s="80">
        <v>32918</v>
      </c>
      <c r="AX50" s="80">
        <v>35229</v>
      </c>
      <c r="AY50" s="80">
        <v>32899</v>
      </c>
      <c r="AZ50" s="80">
        <v>33656</v>
      </c>
      <c r="BA50" s="80">
        <v>33829</v>
      </c>
      <c r="BB50" s="80">
        <v>35821</v>
      </c>
      <c r="BC50" s="80">
        <v>36028</v>
      </c>
      <c r="BD50" s="80">
        <v>35996</v>
      </c>
      <c r="BE50" s="80">
        <v>39191</v>
      </c>
      <c r="BF50" s="80">
        <v>41153</v>
      </c>
      <c r="BG50" s="80">
        <v>45276</v>
      </c>
      <c r="BH50" s="80">
        <v>47783</v>
      </c>
      <c r="BI50" s="80">
        <v>47930</v>
      </c>
      <c r="BJ50" s="80">
        <v>50558</v>
      </c>
      <c r="BK50" s="80">
        <v>55200</v>
      </c>
      <c r="BL50" s="80">
        <v>67635</v>
      </c>
      <c r="BM50" s="80">
        <v>73451</v>
      </c>
      <c r="BN50" s="80">
        <v>59941</v>
      </c>
      <c r="BO50" s="80">
        <v>64948</v>
      </c>
      <c r="BP50" s="80">
        <v>67059</v>
      </c>
      <c r="BQ50" s="80">
        <v>68272</v>
      </c>
      <c r="BR50" s="80">
        <v>71851</v>
      </c>
      <c r="BS50" s="80">
        <v>66343</v>
      </c>
      <c r="BT50" s="80">
        <v>66613</v>
      </c>
      <c r="BU50" s="80">
        <v>71162</v>
      </c>
      <c r="BV50" s="80">
        <v>99313</v>
      </c>
      <c r="BW50" s="80">
        <v>98961</v>
      </c>
      <c r="BX50" s="80">
        <v>85079</v>
      </c>
      <c r="BY50" s="80">
        <v>93383</v>
      </c>
      <c r="BZ50" s="80">
        <v>86673</v>
      </c>
      <c r="CA50" s="80">
        <v>98348</v>
      </c>
      <c r="CB50" s="80">
        <v>96826</v>
      </c>
      <c r="CC50" s="80">
        <v>93207</v>
      </c>
      <c r="CD50" s="80">
        <v>87132</v>
      </c>
      <c r="CE50" s="80">
        <v>91263</v>
      </c>
      <c r="CF50" s="80">
        <v>90037</v>
      </c>
      <c r="CG50" s="80">
        <v>93716</v>
      </c>
      <c r="CH50" s="80">
        <v>99734</v>
      </c>
      <c r="CI50" s="80">
        <v>102834</v>
      </c>
      <c r="CJ50" s="80">
        <v>92068</v>
      </c>
      <c r="CK50" s="80">
        <v>107031</v>
      </c>
      <c r="CL50" s="80">
        <v>109824</v>
      </c>
    </row>
    <row r="51" spans="1:90" ht="16.350000000000001" customHeight="1">
      <c r="A51" s="68"/>
      <c r="B51" s="68"/>
      <c r="C51" s="100" t="s">
        <v>96</v>
      </c>
      <c r="D51" s="100" t="s">
        <v>501</v>
      </c>
      <c r="E51" s="80">
        <v>0</v>
      </c>
      <c r="F51" s="80">
        <v>0</v>
      </c>
      <c r="G51" s="80">
        <v>0</v>
      </c>
      <c r="H51" s="80">
        <v>0</v>
      </c>
      <c r="I51" s="80">
        <v>0</v>
      </c>
      <c r="J51" s="80">
        <v>0</v>
      </c>
      <c r="K51" s="80">
        <v>0</v>
      </c>
      <c r="L51" s="80">
        <v>0</v>
      </c>
      <c r="M51" s="80">
        <v>0</v>
      </c>
      <c r="N51" s="80">
        <v>0</v>
      </c>
      <c r="O51" s="80">
        <v>0</v>
      </c>
      <c r="P51" s="80">
        <v>0</v>
      </c>
      <c r="Q51" s="80">
        <v>0</v>
      </c>
      <c r="R51" s="80">
        <v>0</v>
      </c>
      <c r="S51" s="80">
        <v>0</v>
      </c>
      <c r="T51" s="80">
        <v>0</v>
      </c>
      <c r="U51" s="80">
        <v>0</v>
      </c>
      <c r="V51" s="80">
        <v>0</v>
      </c>
      <c r="W51" s="80">
        <v>0</v>
      </c>
      <c r="X51" s="80">
        <v>0</v>
      </c>
      <c r="Y51" s="80">
        <v>0</v>
      </c>
      <c r="Z51" s="80">
        <v>0</v>
      </c>
      <c r="AA51" s="80">
        <v>0</v>
      </c>
      <c r="AB51" s="80">
        <v>0</v>
      </c>
      <c r="AC51" s="80">
        <v>0</v>
      </c>
      <c r="AD51" s="80">
        <v>0</v>
      </c>
      <c r="AE51" s="80">
        <v>0</v>
      </c>
      <c r="AF51" s="80">
        <v>0</v>
      </c>
      <c r="AG51" s="80">
        <v>0</v>
      </c>
      <c r="AH51" s="80">
        <v>0</v>
      </c>
      <c r="AI51" s="80">
        <v>541</v>
      </c>
      <c r="AJ51" s="80">
        <v>1073</v>
      </c>
      <c r="AK51" s="80">
        <v>3983.9760000000001</v>
      </c>
      <c r="AL51" s="80">
        <v>0</v>
      </c>
      <c r="AM51" s="80">
        <v>4446.0360000000001</v>
      </c>
      <c r="AN51" s="80">
        <v>1092.0329999999999</v>
      </c>
      <c r="AO51" s="80">
        <v>15774.66534</v>
      </c>
      <c r="AP51" s="80">
        <v>22200</v>
      </c>
      <c r="AQ51" s="80">
        <v>798.33362</v>
      </c>
      <c r="AR51" s="80">
        <v>822</v>
      </c>
      <c r="AS51" s="80">
        <v>718</v>
      </c>
      <c r="AT51" s="80">
        <v>10269</v>
      </c>
      <c r="AU51" s="80">
        <v>66797</v>
      </c>
      <c r="AV51" s="80">
        <v>2601</v>
      </c>
      <c r="AW51" s="80">
        <v>39037</v>
      </c>
      <c r="AX51" s="80">
        <v>94910</v>
      </c>
      <c r="AY51" s="80">
        <v>75603</v>
      </c>
      <c r="AZ51" s="80">
        <v>57530</v>
      </c>
      <c r="BA51" s="80">
        <v>33338</v>
      </c>
      <c r="BB51" s="80">
        <v>3437</v>
      </c>
      <c r="BC51" s="80">
        <v>15066</v>
      </c>
      <c r="BD51" s="80">
        <v>3137</v>
      </c>
      <c r="BE51" s="80">
        <v>3136</v>
      </c>
      <c r="BF51" s="80">
        <v>0</v>
      </c>
      <c r="BG51" s="80">
        <v>18</v>
      </c>
      <c r="BH51" s="80">
        <v>14516</v>
      </c>
      <c r="BI51" s="80">
        <v>1622</v>
      </c>
      <c r="BJ51" s="80">
        <v>1623</v>
      </c>
      <c r="BK51" s="80">
        <v>0</v>
      </c>
      <c r="BL51" s="80">
        <v>7764</v>
      </c>
      <c r="BM51" s="80">
        <v>0</v>
      </c>
      <c r="BN51" s="80">
        <v>0</v>
      </c>
      <c r="BO51" s="80">
        <v>0</v>
      </c>
      <c r="BP51" s="80">
        <v>31428</v>
      </c>
      <c r="BQ51" s="80">
        <v>0</v>
      </c>
      <c r="BR51" s="80">
        <v>41806</v>
      </c>
      <c r="BS51" s="80">
        <v>1469</v>
      </c>
      <c r="BT51" s="80">
        <v>315</v>
      </c>
      <c r="BU51" s="80">
        <v>107126</v>
      </c>
      <c r="BV51" s="80">
        <v>10910</v>
      </c>
      <c r="BW51" s="80">
        <v>829</v>
      </c>
      <c r="BX51" s="80">
        <v>6940</v>
      </c>
      <c r="BY51" s="80">
        <v>24481</v>
      </c>
      <c r="BZ51" s="80">
        <v>45715</v>
      </c>
      <c r="CA51" s="80">
        <v>5604</v>
      </c>
      <c r="CB51" s="80">
        <v>16883</v>
      </c>
      <c r="CC51" s="80">
        <v>1432</v>
      </c>
      <c r="CD51" s="80">
        <v>0</v>
      </c>
      <c r="CE51" s="80">
        <v>1500</v>
      </c>
      <c r="CF51" s="80">
        <v>0</v>
      </c>
      <c r="CG51" s="80">
        <v>19590</v>
      </c>
      <c r="CH51" s="80">
        <v>56624</v>
      </c>
      <c r="CI51" s="80">
        <v>66098</v>
      </c>
      <c r="CJ51" s="80">
        <v>13820</v>
      </c>
      <c r="CK51" s="80">
        <v>50953</v>
      </c>
      <c r="CL51" s="80">
        <v>23485</v>
      </c>
    </row>
    <row r="52" spans="1:90" ht="16.350000000000001" customHeight="1">
      <c r="A52" s="68"/>
      <c r="B52" s="68"/>
      <c r="C52" s="100" t="s">
        <v>84</v>
      </c>
      <c r="D52" s="100" t="s">
        <v>85</v>
      </c>
      <c r="E52" s="80">
        <v>0</v>
      </c>
      <c r="F52" s="80">
        <v>0</v>
      </c>
      <c r="G52" s="80">
        <v>0</v>
      </c>
      <c r="H52" s="80">
        <v>0</v>
      </c>
      <c r="I52" s="80">
        <v>0</v>
      </c>
      <c r="J52" s="80">
        <v>0</v>
      </c>
      <c r="K52" s="80">
        <v>0</v>
      </c>
      <c r="L52" s="80">
        <v>0</v>
      </c>
      <c r="M52" s="80">
        <v>0</v>
      </c>
      <c r="N52" s="80">
        <v>0</v>
      </c>
      <c r="O52" s="80">
        <v>0</v>
      </c>
      <c r="P52" s="80">
        <v>0</v>
      </c>
      <c r="Q52" s="80">
        <v>0</v>
      </c>
      <c r="R52" s="80">
        <v>0</v>
      </c>
      <c r="S52" s="80">
        <v>0</v>
      </c>
      <c r="T52" s="80">
        <v>0</v>
      </c>
      <c r="U52" s="80">
        <v>0</v>
      </c>
      <c r="V52" s="80">
        <v>0</v>
      </c>
      <c r="W52" s="80">
        <v>0</v>
      </c>
      <c r="X52" s="80">
        <v>0</v>
      </c>
      <c r="Y52" s="80">
        <v>0</v>
      </c>
      <c r="Z52" s="80">
        <v>0</v>
      </c>
      <c r="AA52" s="80">
        <v>0</v>
      </c>
      <c r="AB52" s="80">
        <v>0</v>
      </c>
      <c r="AC52" s="80">
        <v>0</v>
      </c>
      <c r="AD52" s="80">
        <v>0</v>
      </c>
      <c r="AE52" s="80">
        <v>0</v>
      </c>
      <c r="AF52" s="80">
        <v>11224</v>
      </c>
      <c r="AG52" s="80">
        <v>80123</v>
      </c>
      <c r="AH52" s="80">
        <v>104321</v>
      </c>
      <c r="AI52" s="80">
        <v>111897</v>
      </c>
      <c r="AJ52" s="80">
        <v>79714</v>
      </c>
      <c r="AK52" s="80">
        <v>93709</v>
      </c>
      <c r="AL52" s="80">
        <v>147100</v>
      </c>
      <c r="AM52" s="80">
        <v>77652</v>
      </c>
      <c r="AN52" s="80">
        <v>76732</v>
      </c>
      <c r="AO52" s="80">
        <v>91108</v>
      </c>
      <c r="AP52" s="80">
        <v>43516</v>
      </c>
      <c r="AQ52" s="80">
        <v>7908</v>
      </c>
      <c r="AR52" s="80">
        <v>8442</v>
      </c>
      <c r="AS52" s="80">
        <v>3895</v>
      </c>
      <c r="AT52" s="80">
        <v>473</v>
      </c>
      <c r="AU52" s="80">
        <v>0</v>
      </c>
      <c r="AV52" s="80">
        <v>0</v>
      </c>
      <c r="AW52" s="80">
        <v>0</v>
      </c>
      <c r="AX52" s="80">
        <v>0</v>
      </c>
      <c r="AY52" s="80">
        <v>0</v>
      </c>
      <c r="AZ52" s="80">
        <v>0</v>
      </c>
      <c r="BA52" s="80">
        <v>0</v>
      </c>
      <c r="BB52" s="80">
        <v>0</v>
      </c>
      <c r="BC52" s="80">
        <v>0</v>
      </c>
      <c r="BD52" s="80">
        <v>0</v>
      </c>
      <c r="BE52" s="80">
        <v>0</v>
      </c>
      <c r="BF52" s="80">
        <v>0</v>
      </c>
      <c r="BG52" s="80">
        <v>0</v>
      </c>
      <c r="BH52" s="80">
        <v>0</v>
      </c>
      <c r="BI52" s="80">
        <v>0</v>
      </c>
      <c r="BJ52" s="80">
        <v>0</v>
      </c>
      <c r="BK52" s="80">
        <v>0</v>
      </c>
      <c r="BL52" s="80">
        <v>0</v>
      </c>
      <c r="BM52" s="80">
        <v>0</v>
      </c>
      <c r="BN52" s="80">
        <v>0</v>
      </c>
      <c r="BO52" s="80">
        <v>0</v>
      </c>
      <c r="BP52" s="80">
        <v>0</v>
      </c>
      <c r="BQ52" s="80">
        <v>0</v>
      </c>
      <c r="BR52" s="80">
        <v>0</v>
      </c>
      <c r="BS52" s="80">
        <v>0</v>
      </c>
      <c r="BT52" s="80">
        <v>0</v>
      </c>
      <c r="BU52" s="80">
        <v>0</v>
      </c>
      <c r="BV52" s="80">
        <v>0</v>
      </c>
      <c r="BW52" s="80">
        <v>0</v>
      </c>
      <c r="BX52" s="80">
        <v>0</v>
      </c>
      <c r="BY52" s="80">
        <v>0</v>
      </c>
      <c r="BZ52" s="80">
        <v>0</v>
      </c>
      <c r="CA52" s="80">
        <v>0</v>
      </c>
      <c r="CB52" s="80">
        <v>0</v>
      </c>
      <c r="CC52" s="80">
        <v>0</v>
      </c>
      <c r="CD52" s="80">
        <v>0</v>
      </c>
      <c r="CE52" s="80">
        <v>0</v>
      </c>
      <c r="CF52" s="80">
        <v>0</v>
      </c>
      <c r="CG52" s="80">
        <v>0</v>
      </c>
      <c r="CH52" s="80">
        <v>0</v>
      </c>
      <c r="CI52" s="80">
        <v>0</v>
      </c>
      <c r="CJ52" s="80">
        <v>0</v>
      </c>
      <c r="CK52" s="80">
        <v>0</v>
      </c>
      <c r="CL52" s="80">
        <v>0</v>
      </c>
    </row>
    <row r="53" spans="1:90" ht="16.350000000000001" customHeight="1">
      <c r="A53" s="68"/>
      <c r="B53" s="68"/>
      <c r="C53" s="101" t="s">
        <v>21</v>
      </c>
      <c r="D53" s="101" t="s">
        <v>22</v>
      </c>
      <c r="E53" s="85">
        <v>26532</v>
      </c>
      <c r="F53" s="85">
        <v>20518</v>
      </c>
      <c r="G53" s="85">
        <v>14562</v>
      </c>
      <c r="H53" s="85">
        <v>22644</v>
      </c>
      <c r="I53" s="85">
        <v>25689</v>
      </c>
      <c r="J53" s="85">
        <v>45093</v>
      </c>
      <c r="K53" s="85">
        <v>47644</v>
      </c>
      <c r="L53" s="85">
        <v>69386</v>
      </c>
      <c r="M53" s="85">
        <v>67915</v>
      </c>
      <c r="N53" s="85">
        <v>68627</v>
      </c>
      <c r="O53" s="85">
        <v>57421</v>
      </c>
      <c r="P53" s="85">
        <v>62323</v>
      </c>
      <c r="Q53" s="85">
        <v>68740</v>
      </c>
      <c r="R53" s="85">
        <v>57392</v>
      </c>
      <c r="S53" s="85">
        <v>29957</v>
      </c>
      <c r="T53" s="85">
        <v>44968</v>
      </c>
      <c r="U53" s="85">
        <v>37742</v>
      </c>
      <c r="V53" s="85">
        <v>43409</v>
      </c>
      <c r="W53" s="85">
        <v>39312</v>
      </c>
      <c r="X53" s="85">
        <v>47461</v>
      </c>
      <c r="Y53" s="85">
        <v>50559</v>
      </c>
      <c r="Z53" s="85">
        <v>47646</v>
      </c>
      <c r="AA53" s="85">
        <v>49358</v>
      </c>
      <c r="AB53" s="85">
        <v>47646</v>
      </c>
      <c r="AC53" s="85">
        <v>49358</v>
      </c>
      <c r="AD53" s="85">
        <v>63550</v>
      </c>
      <c r="AE53" s="85">
        <v>45489</v>
      </c>
      <c r="AF53" s="85">
        <v>34661</v>
      </c>
      <c r="AG53" s="85">
        <v>38167</v>
      </c>
      <c r="AH53" s="85">
        <v>41333</v>
      </c>
      <c r="AI53" s="85">
        <v>41860</v>
      </c>
      <c r="AJ53" s="85">
        <v>45631</v>
      </c>
      <c r="AK53" s="85">
        <v>39852.023999999998</v>
      </c>
      <c r="AL53" s="85">
        <v>42060</v>
      </c>
      <c r="AM53" s="85">
        <v>47645</v>
      </c>
      <c r="AN53" s="85">
        <v>98162.967000000004</v>
      </c>
      <c r="AO53" s="85">
        <v>93115.334659999993</v>
      </c>
      <c r="AP53" s="85">
        <v>54370</v>
      </c>
      <c r="AQ53" s="85">
        <v>60659.666380000002</v>
      </c>
      <c r="AR53" s="85">
        <v>67184</v>
      </c>
      <c r="AS53" s="85">
        <v>65126</v>
      </c>
      <c r="AT53" s="85">
        <v>66026</v>
      </c>
      <c r="AU53" s="85">
        <v>5065</v>
      </c>
      <c r="AV53" s="85">
        <v>68842</v>
      </c>
      <c r="AW53" s="85">
        <v>63502</v>
      </c>
      <c r="AX53" s="85">
        <v>60082</v>
      </c>
      <c r="AY53" s="85">
        <v>64888</v>
      </c>
      <c r="AZ53" s="85">
        <v>62265</v>
      </c>
      <c r="BA53" s="85">
        <v>53161</v>
      </c>
      <c r="BB53" s="85">
        <v>79754</v>
      </c>
      <c r="BC53" s="85">
        <v>69159</v>
      </c>
      <c r="BD53" s="85">
        <v>74252</v>
      </c>
      <c r="BE53" s="85">
        <v>70789</v>
      </c>
      <c r="BF53" s="85">
        <v>66392</v>
      </c>
      <c r="BG53" s="85">
        <v>92602</v>
      </c>
      <c r="BH53" s="85">
        <v>79383</v>
      </c>
      <c r="BI53" s="85">
        <v>76474</v>
      </c>
      <c r="BJ53" s="85">
        <v>84068</v>
      </c>
      <c r="BK53" s="85">
        <v>93594</v>
      </c>
      <c r="BL53" s="85">
        <v>94413</v>
      </c>
      <c r="BM53" s="85">
        <v>90374</v>
      </c>
      <c r="BN53" s="85">
        <v>121571</v>
      </c>
      <c r="BO53" s="85">
        <v>122158</v>
      </c>
      <c r="BP53" s="85">
        <v>145835</v>
      </c>
      <c r="BQ53" s="85">
        <v>203969</v>
      </c>
      <c r="BR53" s="85">
        <v>137327</v>
      </c>
      <c r="BS53" s="85">
        <v>177040</v>
      </c>
      <c r="BT53" s="85">
        <v>207149</v>
      </c>
      <c r="BU53" s="85">
        <v>205689</v>
      </c>
      <c r="BV53" s="85">
        <v>239215</v>
      </c>
      <c r="BW53" s="85">
        <v>233720</v>
      </c>
      <c r="BX53" s="85">
        <v>288739</v>
      </c>
      <c r="BY53" s="85">
        <v>286005</v>
      </c>
      <c r="BZ53" s="85">
        <v>237886</v>
      </c>
      <c r="CA53" s="85">
        <v>252740</v>
      </c>
      <c r="CB53" s="85">
        <v>205887</v>
      </c>
      <c r="CC53" s="85">
        <v>197478</v>
      </c>
      <c r="CD53" s="85">
        <v>192763</v>
      </c>
      <c r="CE53" s="85">
        <v>212175</v>
      </c>
      <c r="CF53" s="85">
        <v>220066</v>
      </c>
      <c r="CG53" s="85">
        <v>196459</v>
      </c>
      <c r="CH53" s="85">
        <v>249630</v>
      </c>
      <c r="CI53" s="85">
        <v>200954</v>
      </c>
      <c r="CJ53" s="85">
        <v>235614</v>
      </c>
      <c r="CK53" s="85">
        <v>207672</v>
      </c>
      <c r="CL53" s="85">
        <v>214398</v>
      </c>
    </row>
    <row r="54" spans="1:90" ht="16.350000000000001" customHeight="1">
      <c r="A54" s="68"/>
      <c r="B54" s="68"/>
      <c r="C54" s="102"/>
      <c r="D54" s="102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7"/>
      <c r="W54" s="88"/>
      <c r="X54" s="88"/>
      <c r="Y54" s="88"/>
      <c r="Z54" s="88"/>
      <c r="AA54" s="88"/>
      <c r="AB54" s="88"/>
      <c r="AC54" s="88"/>
      <c r="AD54" s="88"/>
      <c r="AE54" s="88"/>
      <c r="AF54" s="88"/>
      <c r="AG54" s="88"/>
      <c r="AH54" s="88"/>
      <c r="AI54" s="88"/>
      <c r="AJ54" s="88"/>
      <c r="AK54" s="88"/>
      <c r="AL54" s="88"/>
      <c r="AM54" s="88"/>
      <c r="AN54" s="88"/>
      <c r="AO54" s="88"/>
      <c r="AP54" s="88"/>
      <c r="AQ54" s="88"/>
      <c r="AR54" s="88"/>
      <c r="AS54" s="88"/>
      <c r="AT54" s="88"/>
      <c r="AU54" s="88"/>
      <c r="AV54" s="88"/>
      <c r="AW54" s="88"/>
      <c r="AX54" s="88"/>
      <c r="AY54" s="88"/>
      <c r="AZ54" s="88"/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8"/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7"/>
      <c r="CB54" s="75"/>
      <c r="CC54" s="75"/>
      <c r="CD54" s="75"/>
      <c r="CE54" s="75"/>
      <c r="CF54" s="75"/>
      <c r="CG54" s="75"/>
      <c r="CH54" s="75"/>
      <c r="CI54" s="7"/>
      <c r="CJ54" s="7"/>
      <c r="CK54" s="7"/>
      <c r="CL54" s="7"/>
    </row>
    <row r="55" spans="1:90" ht="16.350000000000001" customHeight="1">
      <c r="A55" s="70"/>
      <c r="B55" s="70"/>
      <c r="C55" s="99" t="s">
        <v>81</v>
      </c>
      <c r="D55" s="99" t="s">
        <v>74</v>
      </c>
      <c r="E55" s="77">
        <v>232647</v>
      </c>
      <c r="F55" s="77">
        <v>216514</v>
      </c>
      <c r="G55" s="77">
        <v>22801</v>
      </c>
      <c r="H55" s="77">
        <v>19212</v>
      </c>
      <c r="I55" s="77">
        <v>19335</v>
      </c>
      <c r="J55" s="77">
        <v>25475</v>
      </c>
      <c r="K55" s="77">
        <v>26299</v>
      </c>
      <c r="L55" s="77">
        <v>28797</v>
      </c>
      <c r="M55" s="77">
        <v>50583</v>
      </c>
      <c r="N55" s="77">
        <v>52397</v>
      </c>
      <c r="O55" s="77">
        <v>39319</v>
      </c>
      <c r="P55" s="77">
        <v>43937</v>
      </c>
      <c r="Q55" s="77">
        <v>46223</v>
      </c>
      <c r="R55" s="77">
        <v>75839</v>
      </c>
      <c r="S55" s="77">
        <v>83547</v>
      </c>
      <c r="T55" s="77">
        <v>80972</v>
      </c>
      <c r="U55" s="77">
        <v>76249</v>
      </c>
      <c r="V55" s="77">
        <f>SUM(V56:V64)</f>
        <v>83029</v>
      </c>
      <c r="W55" s="77">
        <v>79659</v>
      </c>
      <c r="X55" s="77">
        <v>81427</v>
      </c>
      <c r="Y55" s="77">
        <v>83057</v>
      </c>
      <c r="Z55" s="77">
        <v>93375</v>
      </c>
      <c r="AA55" s="77">
        <v>99401</v>
      </c>
      <c r="AB55" s="77">
        <v>457132</v>
      </c>
      <c r="AC55" s="77">
        <v>446786</v>
      </c>
      <c r="AD55" s="77">
        <v>456839</v>
      </c>
      <c r="AE55" s="77">
        <v>783203</v>
      </c>
      <c r="AF55" s="77">
        <v>768079</v>
      </c>
      <c r="AG55" s="77">
        <v>767656</v>
      </c>
      <c r="AH55" s="77">
        <v>763947</v>
      </c>
      <c r="AI55" s="77">
        <v>1080528</v>
      </c>
      <c r="AJ55" s="77">
        <v>739133</v>
      </c>
      <c r="AK55" s="77">
        <v>702850</v>
      </c>
      <c r="AL55" s="77">
        <v>696760</v>
      </c>
      <c r="AM55" s="77">
        <v>1103861</v>
      </c>
      <c r="AN55" s="77">
        <v>1089682</v>
      </c>
      <c r="AO55" s="77">
        <v>1092132</v>
      </c>
      <c r="AP55" s="77">
        <v>1522677</v>
      </c>
      <c r="AQ55" s="77">
        <v>1385038</v>
      </c>
      <c r="AR55" s="77">
        <v>1428910</v>
      </c>
      <c r="AS55" s="77">
        <v>1444295</v>
      </c>
      <c r="AT55" s="77">
        <v>1366376</v>
      </c>
      <c r="AU55" s="77">
        <v>1235699</v>
      </c>
      <c r="AV55" s="77">
        <v>1233696</v>
      </c>
      <c r="AW55" s="77">
        <v>1234650</v>
      </c>
      <c r="AX55" s="77">
        <v>1160598</v>
      </c>
      <c r="AY55" s="77">
        <v>924191</v>
      </c>
      <c r="AZ55" s="77">
        <v>920665</v>
      </c>
      <c r="BA55" s="77">
        <v>1240045</v>
      </c>
      <c r="BB55" s="77">
        <v>1125725</v>
      </c>
      <c r="BC55" s="77">
        <v>1236683</v>
      </c>
      <c r="BD55" s="77">
        <v>1382500</v>
      </c>
      <c r="BE55" s="77">
        <v>1376119</v>
      </c>
      <c r="BF55" s="77">
        <v>906252</v>
      </c>
      <c r="BG55" s="77">
        <v>700351</v>
      </c>
      <c r="BH55" s="77">
        <v>542181</v>
      </c>
      <c r="BI55" s="77">
        <v>1560422</v>
      </c>
      <c r="BJ55" s="77">
        <v>1953578</v>
      </c>
      <c r="BK55" s="77">
        <v>2246065</v>
      </c>
      <c r="BL55" s="77">
        <v>2096566</v>
      </c>
      <c r="BM55" s="77">
        <v>2042623</v>
      </c>
      <c r="BN55" s="77">
        <v>2619110</v>
      </c>
      <c r="BO55" s="77">
        <v>2927394</v>
      </c>
      <c r="BP55" s="77">
        <v>3507856</v>
      </c>
      <c r="BQ55" s="77">
        <v>4959001</v>
      </c>
      <c r="BR55" s="77">
        <v>5026712</v>
      </c>
      <c r="BS55" s="77">
        <v>4556703</v>
      </c>
      <c r="BT55" s="77">
        <v>3651264</v>
      </c>
      <c r="BU55" s="77">
        <v>3609149</v>
      </c>
      <c r="BV55" s="77">
        <v>3424880</v>
      </c>
      <c r="BW55" s="77">
        <v>3727240</v>
      </c>
      <c r="BX55" s="77">
        <v>4055798</v>
      </c>
      <c r="BY55" s="77">
        <v>3365373</v>
      </c>
      <c r="BZ55" s="77">
        <v>3406100</v>
      </c>
      <c r="CA55" s="77">
        <v>3293000</v>
      </c>
      <c r="CB55" s="77">
        <v>2950864</v>
      </c>
      <c r="CC55" s="77">
        <f>SUM(CC56:CC64)</f>
        <v>2389721</v>
      </c>
      <c r="CD55" s="77">
        <f>SUM(CD56:CD64)</f>
        <v>2202866</v>
      </c>
      <c r="CE55" s="77">
        <f>SUM(CE56:CE64)</f>
        <v>1951858</v>
      </c>
      <c r="CF55" s="77">
        <f>SUM(CF56:CF64)</f>
        <v>1944082</v>
      </c>
      <c r="CG55" s="77">
        <f>SUM(CG56:CG64)</f>
        <v>1868761</v>
      </c>
      <c r="CH55" s="77">
        <v>2121523</v>
      </c>
      <c r="CI55" s="77">
        <f>SUM(CI56:CI64)</f>
        <v>2169544</v>
      </c>
      <c r="CJ55" s="77">
        <f>SUM(CJ56:CJ64)</f>
        <v>2303012</v>
      </c>
      <c r="CK55" s="77">
        <f>SUM(CK56:CK64)</f>
        <v>2334735</v>
      </c>
      <c r="CL55" s="77">
        <f>SUM(CL56:CL64)</f>
        <v>2080374</v>
      </c>
    </row>
    <row r="56" spans="1:90" ht="16.350000000000001" customHeight="1">
      <c r="A56" s="68"/>
      <c r="B56" s="68"/>
      <c r="C56" s="100" t="s">
        <v>94</v>
      </c>
      <c r="D56" s="100" t="s">
        <v>495</v>
      </c>
      <c r="E56" s="80">
        <v>213296</v>
      </c>
      <c r="F56" s="80">
        <v>188032</v>
      </c>
      <c r="G56" s="80">
        <v>0</v>
      </c>
      <c r="H56" s="80">
        <v>0</v>
      </c>
      <c r="I56" s="80">
        <v>0</v>
      </c>
      <c r="J56" s="80">
        <v>0</v>
      </c>
      <c r="K56" s="80">
        <v>0</v>
      </c>
      <c r="L56" s="80">
        <v>0</v>
      </c>
      <c r="M56" s="80">
        <v>0</v>
      </c>
      <c r="N56" s="80">
        <v>0</v>
      </c>
      <c r="O56" s="80">
        <v>0</v>
      </c>
      <c r="P56" s="80">
        <v>0</v>
      </c>
      <c r="Q56" s="80">
        <v>0</v>
      </c>
      <c r="R56" s="80">
        <v>29740</v>
      </c>
      <c r="S56" s="80">
        <v>29740</v>
      </c>
      <c r="T56" s="80">
        <v>29661</v>
      </c>
      <c r="U56" s="80">
        <v>28178</v>
      </c>
      <c r="V56" s="80">
        <v>39680</v>
      </c>
      <c r="W56" s="80">
        <v>37476</v>
      </c>
      <c r="X56" s="80">
        <v>35271</v>
      </c>
      <c r="Y56" s="80">
        <v>33067</v>
      </c>
      <c r="Z56" s="80">
        <v>30862</v>
      </c>
      <c r="AA56" s="80">
        <v>28658</v>
      </c>
      <c r="AB56" s="80">
        <v>36415</v>
      </c>
      <c r="AC56" s="80">
        <v>33380</v>
      </c>
      <c r="AD56" s="80">
        <v>30345</v>
      </c>
      <c r="AE56" s="80">
        <v>325266</v>
      </c>
      <c r="AF56" s="80">
        <v>322333</v>
      </c>
      <c r="AG56" s="80">
        <v>319401</v>
      </c>
      <c r="AH56" s="80">
        <v>316468</v>
      </c>
      <c r="AI56" s="80">
        <v>611961</v>
      </c>
      <c r="AJ56" s="80">
        <v>608760</v>
      </c>
      <c r="AK56" s="80">
        <v>605885</v>
      </c>
      <c r="AL56" s="80">
        <v>603054</v>
      </c>
      <c r="AM56" s="80">
        <v>1015522</v>
      </c>
      <c r="AN56" s="80">
        <v>1015689</v>
      </c>
      <c r="AO56" s="80">
        <v>1020061</v>
      </c>
      <c r="AP56" s="80">
        <v>1023971</v>
      </c>
      <c r="AQ56" s="80">
        <v>884952</v>
      </c>
      <c r="AR56" s="80">
        <v>931950</v>
      </c>
      <c r="AS56" s="80">
        <v>952879</v>
      </c>
      <c r="AT56" s="80">
        <v>877062</v>
      </c>
      <c r="AU56" s="80">
        <v>741552</v>
      </c>
      <c r="AV56" s="80">
        <v>739769</v>
      </c>
      <c r="AW56" s="80">
        <v>747609</v>
      </c>
      <c r="AX56" s="80">
        <v>631558</v>
      </c>
      <c r="AY56" s="80">
        <v>395085</v>
      </c>
      <c r="AZ56" s="80">
        <v>392883</v>
      </c>
      <c r="BA56" s="80">
        <v>716776</v>
      </c>
      <c r="BB56" s="80">
        <v>601608</v>
      </c>
      <c r="BC56" s="80">
        <v>727673</v>
      </c>
      <c r="BD56" s="80">
        <v>724972</v>
      </c>
      <c r="BE56" s="80">
        <v>721344</v>
      </c>
      <c r="BF56" s="80">
        <v>663811</v>
      </c>
      <c r="BG56" s="80">
        <v>330643</v>
      </c>
      <c r="BH56" s="80">
        <v>327258</v>
      </c>
      <c r="BI56" s="80">
        <v>61427</v>
      </c>
      <c r="BJ56" s="80">
        <v>446207</v>
      </c>
      <c r="BK56" s="80">
        <v>445223</v>
      </c>
      <c r="BL56" s="80">
        <v>444641</v>
      </c>
      <c r="BM56" s="80">
        <v>405975</v>
      </c>
      <c r="BN56" s="80">
        <v>899701</v>
      </c>
      <c r="BO56" s="80">
        <v>1049705</v>
      </c>
      <c r="BP56" s="80">
        <v>1545933</v>
      </c>
      <c r="BQ56" s="80">
        <v>2543647</v>
      </c>
      <c r="BR56" s="80">
        <v>2246810</v>
      </c>
      <c r="BS56" s="80">
        <v>2097789</v>
      </c>
      <c r="BT56" s="80">
        <v>1054027</v>
      </c>
      <c r="BU56" s="80">
        <v>1055551</v>
      </c>
      <c r="BV56" s="80">
        <v>1053377</v>
      </c>
      <c r="BW56" s="80">
        <v>1101047</v>
      </c>
      <c r="BX56" s="80">
        <v>1046319</v>
      </c>
      <c r="BY56" s="80">
        <v>544994</v>
      </c>
      <c r="BZ56" s="80">
        <v>546567</v>
      </c>
      <c r="CA56" s="80">
        <v>499804</v>
      </c>
      <c r="CB56" s="80">
        <v>499921</v>
      </c>
      <c r="CC56" s="80">
        <v>0</v>
      </c>
      <c r="CD56" s="80">
        <v>0</v>
      </c>
      <c r="CE56" s="80">
        <v>0</v>
      </c>
      <c r="CF56" s="80">
        <v>0</v>
      </c>
      <c r="CG56" s="80">
        <v>0</v>
      </c>
      <c r="CH56" s="80">
        <v>0</v>
      </c>
      <c r="CI56" s="80">
        <v>0</v>
      </c>
      <c r="CJ56" s="80">
        <v>0</v>
      </c>
      <c r="CK56" s="80">
        <v>0</v>
      </c>
      <c r="CL56" s="80">
        <v>0</v>
      </c>
    </row>
    <row r="57" spans="1:90" ht="16.350000000000001" customHeight="1">
      <c r="A57" s="68"/>
      <c r="B57" s="68"/>
      <c r="C57" s="100" t="s">
        <v>101</v>
      </c>
      <c r="D57" s="100" t="s">
        <v>496</v>
      </c>
      <c r="E57" s="80">
        <v>0</v>
      </c>
      <c r="F57" s="80">
        <v>0</v>
      </c>
      <c r="G57" s="80">
        <v>0</v>
      </c>
      <c r="H57" s="80">
        <v>0</v>
      </c>
      <c r="I57" s="80">
        <v>0</v>
      </c>
      <c r="J57" s="80">
        <v>0</v>
      </c>
      <c r="K57" s="80">
        <v>0</v>
      </c>
      <c r="L57" s="80">
        <v>0</v>
      </c>
      <c r="M57" s="80">
        <v>0</v>
      </c>
      <c r="N57" s="80">
        <v>0</v>
      </c>
      <c r="O57" s="80">
        <v>0</v>
      </c>
      <c r="P57" s="80">
        <v>0</v>
      </c>
      <c r="Q57" s="80">
        <v>0</v>
      </c>
      <c r="R57" s="80">
        <v>0</v>
      </c>
      <c r="S57" s="80">
        <v>0</v>
      </c>
      <c r="T57" s="80">
        <v>0</v>
      </c>
      <c r="U57" s="80">
        <v>0</v>
      </c>
      <c r="V57" s="80">
        <v>0</v>
      </c>
      <c r="W57" s="80">
        <v>0</v>
      </c>
      <c r="X57" s="80">
        <v>0</v>
      </c>
      <c r="Y57" s="80">
        <v>0</v>
      </c>
      <c r="Z57" s="80">
        <v>0</v>
      </c>
      <c r="AA57" s="80">
        <v>0</v>
      </c>
      <c r="AB57" s="80">
        <v>340661</v>
      </c>
      <c r="AC57" s="80">
        <v>341224</v>
      </c>
      <c r="AD57" s="80">
        <v>342038</v>
      </c>
      <c r="AE57" s="80">
        <v>342853</v>
      </c>
      <c r="AF57" s="80">
        <v>343670</v>
      </c>
      <c r="AG57" s="80">
        <v>344489</v>
      </c>
      <c r="AH57" s="80">
        <v>345310</v>
      </c>
      <c r="AI57" s="80">
        <v>346133</v>
      </c>
      <c r="AJ57" s="80" t="s">
        <v>53</v>
      </c>
      <c r="AK57" s="80" t="s">
        <v>53</v>
      </c>
      <c r="AL57" s="80" t="s">
        <v>53</v>
      </c>
      <c r="AM57" s="80">
        <v>0</v>
      </c>
      <c r="AN57" s="80">
        <v>0</v>
      </c>
      <c r="AO57" s="80">
        <v>0</v>
      </c>
      <c r="AP57" s="80">
        <v>410837</v>
      </c>
      <c r="AQ57" s="80">
        <v>413187</v>
      </c>
      <c r="AR57" s="80">
        <v>413659</v>
      </c>
      <c r="AS57" s="80">
        <v>414131</v>
      </c>
      <c r="AT57" s="80">
        <v>414604</v>
      </c>
      <c r="AU57" s="80">
        <v>415077</v>
      </c>
      <c r="AV57" s="80">
        <v>415551</v>
      </c>
      <c r="AW57" s="80">
        <v>415897</v>
      </c>
      <c r="AX57" s="80">
        <v>416387</v>
      </c>
      <c r="AY57" s="80">
        <v>416878</v>
      </c>
      <c r="AZ57" s="80">
        <v>417369</v>
      </c>
      <c r="BA57" s="80">
        <v>417861</v>
      </c>
      <c r="BB57" s="80">
        <v>418354</v>
      </c>
      <c r="BC57" s="80">
        <v>418847</v>
      </c>
      <c r="BD57" s="80">
        <v>570109</v>
      </c>
      <c r="BE57" s="80">
        <v>573078</v>
      </c>
      <c r="BF57" s="80">
        <v>155706</v>
      </c>
      <c r="BG57" s="80">
        <v>299155</v>
      </c>
      <c r="BH57" s="80">
        <v>139028</v>
      </c>
      <c r="BI57" s="80">
        <v>141124</v>
      </c>
      <c r="BJ57" s="80">
        <v>143295</v>
      </c>
      <c r="BK57" s="80">
        <v>447909</v>
      </c>
      <c r="BL57" s="80">
        <v>306370</v>
      </c>
      <c r="BM57" s="80">
        <v>309609</v>
      </c>
      <c r="BN57" s="80">
        <v>342663</v>
      </c>
      <c r="BO57" s="80">
        <v>399573</v>
      </c>
      <c r="BP57" s="80">
        <v>420575</v>
      </c>
      <c r="BQ57" s="80">
        <v>502141</v>
      </c>
      <c r="BR57" s="80">
        <v>692078</v>
      </c>
      <c r="BS57" s="80">
        <v>327395</v>
      </c>
      <c r="BT57" s="80">
        <v>327101</v>
      </c>
      <c r="BU57" s="80">
        <v>308284</v>
      </c>
      <c r="BV57" s="80">
        <v>82536</v>
      </c>
      <c r="BW57" s="80">
        <v>347160</v>
      </c>
      <c r="BX57" s="80">
        <v>654881</v>
      </c>
      <c r="BY57" s="80">
        <v>615752</v>
      </c>
      <c r="BZ57" s="80">
        <v>648224</v>
      </c>
      <c r="CA57" s="80">
        <v>664389</v>
      </c>
      <c r="CB57" s="80">
        <v>336248</v>
      </c>
      <c r="CC57" s="80">
        <v>348962</v>
      </c>
      <c r="CD57" s="80">
        <v>214660</v>
      </c>
      <c r="CE57" s="80">
        <v>18570</v>
      </c>
      <c r="CF57" s="80">
        <v>13740</v>
      </c>
      <c r="CG57" s="80">
        <v>11011</v>
      </c>
      <c r="CH57" s="80">
        <v>329522</v>
      </c>
      <c r="CI57" s="80">
        <v>343990</v>
      </c>
      <c r="CJ57" s="80">
        <v>358788</v>
      </c>
      <c r="CK57" s="80">
        <v>377428</v>
      </c>
      <c r="CL57" s="80">
        <v>48390</v>
      </c>
    </row>
    <row r="58" spans="1:90" ht="16.350000000000001" customHeight="1">
      <c r="A58" s="68"/>
      <c r="B58" s="68"/>
      <c r="C58" s="100" t="s">
        <v>92</v>
      </c>
      <c r="D58" s="100" t="s">
        <v>497</v>
      </c>
      <c r="E58" s="80">
        <v>0</v>
      </c>
      <c r="F58" s="80">
        <v>0</v>
      </c>
      <c r="G58" s="80">
        <v>0</v>
      </c>
      <c r="H58" s="80">
        <v>0</v>
      </c>
      <c r="I58" s="80">
        <v>0</v>
      </c>
      <c r="J58" s="80">
        <v>0</v>
      </c>
      <c r="K58" s="80">
        <v>0</v>
      </c>
      <c r="L58" s="80">
        <v>0</v>
      </c>
      <c r="M58" s="80">
        <v>0</v>
      </c>
      <c r="N58" s="80">
        <v>0</v>
      </c>
      <c r="O58" s="80">
        <v>0</v>
      </c>
      <c r="P58" s="80">
        <v>0</v>
      </c>
      <c r="Q58" s="80">
        <v>0</v>
      </c>
      <c r="R58" s="80">
        <v>0</v>
      </c>
      <c r="S58" s="80">
        <v>0</v>
      </c>
      <c r="T58" s="80">
        <v>0</v>
      </c>
      <c r="U58" s="80">
        <v>0</v>
      </c>
      <c r="V58" s="80">
        <v>0</v>
      </c>
      <c r="W58" s="80">
        <v>0</v>
      </c>
      <c r="X58" s="80">
        <v>0</v>
      </c>
      <c r="Y58" s="80">
        <v>0</v>
      </c>
      <c r="Z58" s="80">
        <v>0</v>
      </c>
      <c r="AA58" s="80">
        <v>0</v>
      </c>
      <c r="AB58" s="80" t="s">
        <v>53</v>
      </c>
      <c r="AC58" s="80" t="s">
        <v>53</v>
      </c>
      <c r="AD58" s="80" t="s">
        <v>53</v>
      </c>
      <c r="AE58" s="80">
        <v>5130</v>
      </c>
      <c r="AF58" s="80">
        <v>5148</v>
      </c>
      <c r="AG58" s="80">
        <v>2189</v>
      </c>
      <c r="AH58" s="80">
        <v>7392</v>
      </c>
      <c r="AI58" s="80">
        <v>24774</v>
      </c>
      <c r="AJ58" s="80">
        <v>36399</v>
      </c>
      <c r="AK58" s="80">
        <v>32321</v>
      </c>
      <c r="AL58" s="80">
        <v>32928</v>
      </c>
      <c r="AM58" s="80">
        <v>29229</v>
      </c>
      <c r="AN58" s="80">
        <v>31157</v>
      </c>
      <c r="AO58" s="80">
        <v>29729</v>
      </c>
      <c r="AP58" s="80">
        <v>48519</v>
      </c>
      <c r="AQ58" s="80">
        <v>48689</v>
      </c>
      <c r="AR58" s="80">
        <v>49860</v>
      </c>
      <c r="AS58" s="80">
        <v>42017</v>
      </c>
      <c r="AT58" s="80">
        <v>42205</v>
      </c>
      <c r="AU58" s="80">
        <v>41641</v>
      </c>
      <c r="AV58" s="80">
        <v>41103</v>
      </c>
      <c r="AW58" s="80">
        <v>32896</v>
      </c>
      <c r="AX58" s="80">
        <v>70562</v>
      </c>
      <c r="AY58" s="80">
        <v>70604</v>
      </c>
      <c r="AZ58" s="80">
        <v>69497</v>
      </c>
      <c r="BA58" s="80">
        <v>63746</v>
      </c>
      <c r="BB58" s="80">
        <v>63871</v>
      </c>
      <c r="BC58" s="80">
        <v>61358</v>
      </c>
      <c r="BD58" s="80">
        <v>58896</v>
      </c>
      <c r="BE58" s="80">
        <v>53357</v>
      </c>
      <c r="BF58" s="80">
        <v>51382</v>
      </c>
      <c r="BG58" s="80">
        <v>33362</v>
      </c>
      <c r="BH58" s="80">
        <v>33467</v>
      </c>
      <c r="BI58" s="80">
        <v>1317296</v>
      </c>
      <c r="BJ58" s="80">
        <v>1298440</v>
      </c>
      <c r="BK58" s="80">
        <v>1292705</v>
      </c>
      <c r="BL58" s="80">
        <v>1291676</v>
      </c>
      <c r="BM58" s="80">
        <v>1277335</v>
      </c>
      <c r="BN58" s="80">
        <v>1221502</v>
      </c>
      <c r="BO58" s="80">
        <v>1308448</v>
      </c>
      <c r="BP58" s="80">
        <v>1365804</v>
      </c>
      <c r="BQ58" s="80">
        <v>1709354</v>
      </c>
      <c r="BR58" s="80">
        <v>1879129</v>
      </c>
      <c r="BS58" s="80">
        <v>1889619</v>
      </c>
      <c r="BT58" s="80">
        <v>1994936</v>
      </c>
      <c r="BU58" s="80">
        <v>1988766</v>
      </c>
      <c r="BV58" s="80">
        <v>2083264</v>
      </c>
      <c r="BW58" s="80">
        <v>2104539</v>
      </c>
      <c r="BX58" s="80">
        <v>2190081</v>
      </c>
      <c r="BY58" s="80">
        <v>2079567</v>
      </c>
      <c r="BZ58" s="80">
        <v>2065618</v>
      </c>
      <c r="CA58" s="80">
        <v>2011770</v>
      </c>
      <c r="CB58" s="80">
        <v>2008945</v>
      </c>
      <c r="CC58" s="80">
        <v>1939696</v>
      </c>
      <c r="CD58" s="80">
        <v>1893390</v>
      </c>
      <c r="CE58" s="80">
        <v>1844607</v>
      </c>
      <c r="CF58" s="80">
        <v>1847561</v>
      </c>
      <c r="CG58" s="80">
        <v>1778556</v>
      </c>
      <c r="CH58" s="80">
        <v>1713902</v>
      </c>
      <c r="CI58" s="80">
        <v>1750167</v>
      </c>
      <c r="CJ58" s="80">
        <v>1765254</v>
      </c>
      <c r="CK58" s="80">
        <v>1774608</v>
      </c>
      <c r="CL58" s="80">
        <v>1847483</v>
      </c>
    </row>
    <row r="59" spans="1:90" ht="16.350000000000001" customHeight="1">
      <c r="A59" s="68"/>
      <c r="B59" s="68"/>
      <c r="C59" s="100" t="s">
        <v>214</v>
      </c>
      <c r="D59" s="100" t="s">
        <v>503</v>
      </c>
      <c r="E59" s="80">
        <v>0</v>
      </c>
      <c r="F59" s="80">
        <v>6380</v>
      </c>
      <c r="G59" s="80">
        <v>0</v>
      </c>
      <c r="H59" s="80">
        <v>0</v>
      </c>
      <c r="I59" s="80">
        <v>0</v>
      </c>
      <c r="J59" s="80">
        <v>0</v>
      </c>
      <c r="K59" s="80" t="s">
        <v>53</v>
      </c>
      <c r="L59" s="80">
        <v>0</v>
      </c>
      <c r="M59" s="80">
        <v>0</v>
      </c>
      <c r="N59" s="80" t="s">
        <v>53</v>
      </c>
      <c r="O59" s="80">
        <v>0</v>
      </c>
      <c r="P59" s="80">
        <v>0</v>
      </c>
      <c r="Q59" s="80" t="s">
        <v>53</v>
      </c>
      <c r="R59" s="80">
        <v>0</v>
      </c>
      <c r="S59" s="80">
        <v>0</v>
      </c>
      <c r="T59" s="80" t="s">
        <v>53</v>
      </c>
      <c r="U59" s="80">
        <v>0</v>
      </c>
      <c r="V59" s="80">
        <v>0</v>
      </c>
      <c r="W59" s="80" t="s">
        <v>53</v>
      </c>
      <c r="X59" s="80">
        <v>0</v>
      </c>
      <c r="Y59" s="80">
        <v>0</v>
      </c>
      <c r="Z59" s="80" t="s">
        <v>53</v>
      </c>
      <c r="AA59" s="80">
        <v>0</v>
      </c>
      <c r="AB59" s="80">
        <v>0</v>
      </c>
      <c r="AC59" s="80" t="s">
        <v>53</v>
      </c>
      <c r="AD59" s="80">
        <v>0</v>
      </c>
      <c r="AE59" s="80">
        <v>0</v>
      </c>
      <c r="AF59" s="80" t="s">
        <v>53</v>
      </c>
      <c r="AG59" s="80">
        <v>0</v>
      </c>
      <c r="AH59" s="80">
        <v>0</v>
      </c>
      <c r="AI59" s="80" t="s">
        <v>53</v>
      </c>
      <c r="AJ59" s="80" t="s">
        <v>53</v>
      </c>
      <c r="AK59" s="80" t="s">
        <v>53</v>
      </c>
      <c r="AL59" s="80" t="s">
        <v>53</v>
      </c>
      <c r="AM59" s="80" t="s">
        <v>53</v>
      </c>
      <c r="AN59" s="80" t="s">
        <v>53</v>
      </c>
      <c r="AO59" s="80">
        <v>0</v>
      </c>
      <c r="AP59" s="80">
        <v>0</v>
      </c>
      <c r="AQ59" s="80">
        <v>0</v>
      </c>
      <c r="AR59" s="80">
        <v>0</v>
      </c>
      <c r="AS59" s="80">
        <v>0</v>
      </c>
      <c r="AT59" s="80">
        <v>0</v>
      </c>
      <c r="AU59" s="80">
        <v>0</v>
      </c>
      <c r="AV59" s="80">
        <v>0</v>
      </c>
      <c r="AW59" s="80">
        <v>0</v>
      </c>
      <c r="AX59" s="80" t="s">
        <v>53</v>
      </c>
      <c r="AY59" s="80">
        <v>0</v>
      </c>
      <c r="AZ59" s="80">
        <v>0</v>
      </c>
      <c r="BA59" s="80">
        <v>0</v>
      </c>
      <c r="BB59" s="80">
        <v>0</v>
      </c>
      <c r="BC59" s="80">
        <v>0</v>
      </c>
      <c r="BD59" s="80">
        <v>0</v>
      </c>
      <c r="BE59" s="80">
        <v>0</v>
      </c>
      <c r="BF59" s="80">
        <v>7082</v>
      </c>
      <c r="BG59" s="80">
        <v>0</v>
      </c>
      <c r="BH59" s="80">
        <v>11214</v>
      </c>
      <c r="BI59" s="80">
        <v>9120</v>
      </c>
      <c r="BJ59" s="80">
        <v>7625</v>
      </c>
      <c r="BK59" s="80">
        <v>3188</v>
      </c>
      <c r="BL59" s="80">
        <v>5287</v>
      </c>
      <c r="BM59" s="80">
        <v>1510</v>
      </c>
      <c r="BN59" s="80">
        <v>0</v>
      </c>
      <c r="BO59" s="80">
        <v>0</v>
      </c>
      <c r="BP59" s="80">
        <v>0</v>
      </c>
      <c r="BQ59" s="80">
        <v>0</v>
      </c>
      <c r="BR59" s="80">
        <v>0</v>
      </c>
      <c r="BS59" s="80">
        <v>0</v>
      </c>
      <c r="BT59" s="80">
        <v>3392</v>
      </c>
      <c r="BU59" s="80">
        <v>0</v>
      </c>
      <c r="BV59" s="80">
        <v>9095</v>
      </c>
      <c r="BW59" s="80">
        <v>11605</v>
      </c>
      <c r="BX59" s="80">
        <v>3618</v>
      </c>
      <c r="BY59" s="80">
        <v>5494</v>
      </c>
      <c r="BZ59" s="80">
        <v>4782</v>
      </c>
      <c r="CA59" s="80">
        <v>620</v>
      </c>
      <c r="CB59" s="80">
        <v>0</v>
      </c>
      <c r="CC59" s="80">
        <v>847</v>
      </c>
      <c r="CD59" s="80">
        <v>6161</v>
      </c>
      <c r="CE59" s="80">
        <v>6392</v>
      </c>
      <c r="CF59" s="80">
        <v>5660</v>
      </c>
      <c r="CG59" s="80">
        <v>5987</v>
      </c>
      <c r="CH59" s="80">
        <v>2764</v>
      </c>
      <c r="CI59" s="80">
        <v>1421</v>
      </c>
      <c r="CJ59" s="80">
        <v>1562</v>
      </c>
      <c r="CK59" s="80">
        <v>2735</v>
      </c>
      <c r="CL59" s="80">
        <v>2420</v>
      </c>
    </row>
    <row r="60" spans="1:90" ht="16.350000000000001" customHeight="1">
      <c r="A60" s="68"/>
      <c r="B60" s="68"/>
      <c r="C60" s="100" t="s">
        <v>17</v>
      </c>
      <c r="D60" s="100" t="s">
        <v>499</v>
      </c>
      <c r="E60" s="80">
        <v>0</v>
      </c>
      <c r="F60" s="80">
        <v>0</v>
      </c>
      <c r="G60" s="80">
        <v>0</v>
      </c>
      <c r="H60" s="80">
        <v>0</v>
      </c>
      <c r="I60" s="80">
        <v>0</v>
      </c>
      <c r="J60" s="80">
        <v>0</v>
      </c>
      <c r="K60" s="80">
        <v>0</v>
      </c>
      <c r="L60" s="80">
        <v>0</v>
      </c>
      <c r="M60" s="80">
        <v>0</v>
      </c>
      <c r="N60" s="80">
        <v>0</v>
      </c>
      <c r="O60" s="80">
        <v>0</v>
      </c>
      <c r="P60" s="80">
        <v>0</v>
      </c>
      <c r="Q60" s="80">
        <v>0</v>
      </c>
      <c r="R60" s="80">
        <v>0</v>
      </c>
      <c r="S60" s="80">
        <v>0</v>
      </c>
      <c r="T60" s="80">
        <v>0</v>
      </c>
      <c r="U60" s="80">
        <v>0</v>
      </c>
      <c r="V60" s="80">
        <v>0</v>
      </c>
      <c r="W60" s="80">
        <v>0</v>
      </c>
      <c r="X60" s="80">
        <v>0</v>
      </c>
      <c r="Y60" s="80">
        <v>0</v>
      </c>
      <c r="Z60" s="80">
        <v>0</v>
      </c>
      <c r="AA60" s="80">
        <v>0</v>
      </c>
      <c r="AB60" s="80">
        <v>0</v>
      </c>
      <c r="AC60" s="80">
        <v>0</v>
      </c>
      <c r="AD60" s="80">
        <v>0</v>
      </c>
      <c r="AE60" s="80">
        <v>0</v>
      </c>
      <c r="AF60" s="80">
        <v>0</v>
      </c>
      <c r="AG60" s="80">
        <v>0</v>
      </c>
      <c r="AH60" s="80">
        <v>0</v>
      </c>
      <c r="AI60" s="80">
        <v>0</v>
      </c>
      <c r="AJ60" s="80">
        <v>0</v>
      </c>
      <c r="AK60" s="80">
        <v>0</v>
      </c>
      <c r="AL60" s="80">
        <v>0</v>
      </c>
      <c r="AM60" s="80">
        <v>0</v>
      </c>
      <c r="AN60" s="80">
        <v>0</v>
      </c>
      <c r="AO60" s="80">
        <v>0</v>
      </c>
      <c r="AP60" s="80">
        <v>0</v>
      </c>
      <c r="AQ60" s="80">
        <v>0</v>
      </c>
      <c r="AR60" s="80">
        <v>0</v>
      </c>
      <c r="AS60" s="80">
        <v>0</v>
      </c>
      <c r="AT60" s="80">
        <v>0</v>
      </c>
      <c r="AU60" s="80">
        <v>0</v>
      </c>
      <c r="AV60" s="80">
        <v>0</v>
      </c>
      <c r="AW60" s="80">
        <v>0</v>
      </c>
      <c r="AX60" s="80">
        <v>0</v>
      </c>
      <c r="AY60" s="80">
        <v>0</v>
      </c>
      <c r="AZ60" s="80">
        <v>0</v>
      </c>
      <c r="BA60" s="80">
        <v>0</v>
      </c>
      <c r="BB60" s="80">
        <v>0</v>
      </c>
      <c r="BC60" s="80">
        <v>0</v>
      </c>
      <c r="BD60" s="80">
        <v>0</v>
      </c>
      <c r="BE60" s="80">
        <v>0</v>
      </c>
      <c r="BF60" s="80">
        <v>0</v>
      </c>
      <c r="BG60" s="80">
        <v>0</v>
      </c>
      <c r="BH60" s="80">
        <v>0</v>
      </c>
      <c r="BI60" s="80">
        <v>0</v>
      </c>
      <c r="BJ60" s="80">
        <v>0</v>
      </c>
      <c r="BK60" s="80">
        <v>0</v>
      </c>
      <c r="BL60" s="80">
        <v>0</v>
      </c>
      <c r="BM60" s="80"/>
      <c r="BN60" s="80">
        <v>88311</v>
      </c>
      <c r="BO60" s="80">
        <v>99686</v>
      </c>
      <c r="BP60" s="80">
        <v>95503</v>
      </c>
      <c r="BQ60" s="80">
        <v>92503</v>
      </c>
      <c r="BR60" s="80">
        <v>54474</v>
      </c>
      <c r="BS60" s="80">
        <v>40583</v>
      </c>
      <c r="BT60" s="80">
        <v>58992</v>
      </c>
      <c r="BU60" s="80">
        <v>48067</v>
      </c>
      <c r="BV60" s="80">
        <v>20103</v>
      </c>
      <c r="BW60" s="80">
        <v>9746</v>
      </c>
      <c r="BX60" s="80">
        <v>17304</v>
      </c>
      <c r="BY60" s="80">
        <v>8408</v>
      </c>
      <c r="BZ60" s="80">
        <v>24446</v>
      </c>
      <c r="CA60" s="80">
        <v>25074</v>
      </c>
      <c r="CB60" s="80">
        <v>18354</v>
      </c>
      <c r="CC60" s="80">
        <v>18375</v>
      </c>
      <c r="CD60" s="80">
        <v>997</v>
      </c>
      <c r="CE60" s="80">
        <v>1824</v>
      </c>
      <c r="CF60" s="80">
        <v>1824</v>
      </c>
      <c r="CG60" s="80">
        <v>1898</v>
      </c>
      <c r="CH60" s="80">
        <v>1898</v>
      </c>
      <c r="CI60" s="80">
        <v>2156</v>
      </c>
      <c r="CJ60" s="80">
        <v>71593</v>
      </c>
      <c r="CK60" s="80">
        <v>71186</v>
      </c>
      <c r="CL60" s="80">
        <v>71186</v>
      </c>
    </row>
    <row r="61" spans="1:90" ht="16.350000000000001" customHeight="1">
      <c r="A61" s="68"/>
      <c r="B61" s="68"/>
      <c r="C61" s="100" t="s">
        <v>281</v>
      </c>
      <c r="D61" s="100" t="s">
        <v>498</v>
      </c>
      <c r="E61" s="80">
        <v>12477</v>
      </c>
      <c r="F61" s="80">
        <v>15331</v>
      </c>
      <c r="G61" s="80">
        <v>16177</v>
      </c>
      <c r="H61" s="80">
        <v>12675</v>
      </c>
      <c r="I61" s="80">
        <v>12940</v>
      </c>
      <c r="J61" s="80">
        <v>14741</v>
      </c>
      <c r="K61" s="80">
        <v>16043</v>
      </c>
      <c r="L61" s="80">
        <v>19033</v>
      </c>
      <c r="M61" s="80">
        <v>41322</v>
      </c>
      <c r="N61" s="80">
        <v>43646</v>
      </c>
      <c r="O61" s="80">
        <v>21087</v>
      </c>
      <c r="P61" s="80">
        <v>20387</v>
      </c>
      <c r="Q61" s="80">
        <v>20428</v>
      </c>
      <c r="R61" s="80">
        <v>19974</v>
      </c>
      <c r="S61" s="80">
        <v>20845</v>
      </c>
      <c r="T61" s="80">
        <v>22530</v>
      </c>
      <c r="U61" s="80">
        <v>23243</v>
      </c>
      <c r="V61" s="80">
        <v>24048</v>
      </c>
      <c r="W61" s="80">
        <v>24991</v>
      </c>
      <c r="X61" s="80">
        <v>26277</v>
      </c>
      <c r="Y61" s="80">
        <v>28911</v>
      </c>
      <c r="Z61" s="80">
        <v>31588</v>
      </c>
      <c r="AA61" s="80">
        <v>36248</v>
      </c>
      <c r="AB61" s="80">
        <v>43414</v>
      </c>
      <c r="AC61" s="80">
        <v>32164</v>
      </c>
      <c r="AD61" s="80">
        <v>33324</v>
      </c>
      <c r="AE61" s="80">
        <v>55555</v>
      </c>
      <c r="AF61" s="80">
        <v>47286</v>
      </c>
      <c r="AG61" s="80">
        <v>52486</v>
      </c>
      <c r="AH61" s="80">
        <v>51299</v>
      </c>
      <c r="AI61" s="80">
        <v>57865</v>
      </c>
      <c r="AJ61" s="80">
        <v>75894</v>
      </c>
      <c r="AK61" s="80">
        <v>47534</v>
      </c>
      <c r="AL61" s="80">
        <v>48299</v>
      </c>
      <c r="AM61" s="80">
        <v>47801</v>
      </c>
      <c r="AN61" s="80">
        <v>32272</v>
      </c>
      <c r="AO61" s="80">
        <v>32675</v>
      </c>
      <c r="AP61" s="80">
        <v>34211</v>
      </c>
      <c r="AQ61" s="80">
        <v>33789</v>
      </c>
      <c r="AR61" s="80">
        <v>26259</v>
      </c>
      <c r="AS61" s="80">
        <v>28792</v>
      </c>
      <c r="AT61" s="80">
        <v>29160</v>
      </c>
      <c r="AU61" s="80">
        <v>33191</v>
      </c>
      <c r="AV61" s="80">
        <v>34848</v>
      </c>
      <c r="AW61" s="80">
        <v>35161</v>
      </c>
      <c r="AX61" s="80">
        <v>37199</v>
      </c>
      <c r="AY61" s="80">
        <v>37116</v>
      </c>
      <c r="AZ61" s="80">
        <v>37356</v>
      </c>
      <c r="BA61" s="80">
        <v>38412</v>
      </c>
      <c r="BB61" s="80">
        <v>38913</v>
      </c>
      <c r="BC61" s="80">
        <v>26096</v>
      </c>
      <c r="BD61" s="80">
        <v>26083</v>
      </c>
      <c r="BE61" s="80">
        <v>26164</v>
      </c>
      <c r="BF61" s="80">
        <v>26371</v>
      </c>
      <c r="BG61" s="80">
        <v>28760</v>
      </c>
      <c r="BH61" s="80">
        <v>29452</v>
      </c>
      <c r="BI61" s="80">
        <v>29977</v>
      </c>
      <c r="BJ61" s="80">
        <v>30715</v>
      </c>
      <c r="BK61" s="80">
        <v>31335</v>
      </c>
      <c r="BL61" s="80">
        <v>24481</v>
      </c>
      <c r="BM61" s="80">
        <v>25675</v>
      </c>
      <c r="BN61" s="80">
        <v>45301</v>
      </c>
      <c r="BO61" s="80">
        <v>48363</v>
      </c>
      <c r="BP61" s="80">
        <v>55237</v>
      </c>
      <c r="BQ61" s="80">
        <v>60923</v>
      </c>
      <c r="BR61" s="80">
        <v>62796</v>
      </c>
      <c r="BS61" s="80">
        <v>75758</v>
      </c>
      <c r="BT61" s="80">
        <v>86122</v>
      </c>
      <c r="BU61" s="80">
        <v>85656</v>
      </c>
      <c r="BV61" s="80">
        <v>52137</v>
      </c>
      <c r="BW61" s="80">
        <v>49816</v>
      </c>
      <c r="BX61" s="80">
        <v>49245</v>
      </c>
      <c r="BY61" s="80">
        <v>42228</v>
      </c>
      <c r="BZ61" s="80">
        <v>55990</v>
      </c>
      <c r="CA61" s="80">
        <v>49005</v>
      </c>
      <c r="CB61" s="80">
        <v>49432</v>
      </c>
      <c r="CC61" s="80">
        <v>48104</v>
      </c>
      <c r="CD61" s="80">
        <v>59697</v>
      </c>
      <c r="CE61" s="80">
        <v>56995</v>
      </c>
      <c r="CF61" s="80">
        <v>56206</v>
      </c>
      <c r="CG61" s="80">
        <v>55685</v>
      </c>
      <c r="CH61" s="80">
        <v>59876</v>
      </c>
      <c r="CI61" s="80">
        <v>58249</v>
      </c>
      <c r="CJ61" s="80">
        <v>64241</v>
      </c>
      <c r="CK61" s="80">
        <v>60958</v>
      </c>
      <c r="CL61" s="80">
        <v>64850</v>
      </c>
    </row>
    <row r="62" spans="1:90" ht="16.350000000000001" customHeight="1">
      <c r="A62" s="68"/>
      <c r="B62" s="68"/>
      <c r="C62" s="100" t="s">
        <v>21</v>
      </c>
      <c r="D62" s="100" t="s">
        <v>502</v>
      </c>
      <c r="E62" s="80">
        <v>0</v>
      </c>
      <c r="F62" s="80">
        <v>0</v>
      </c>
      <c r="G62" s="80">
        <v>0</v>
      </c>
      <c r="H62" s="80">
        <v>0</v>
      </c>
      <c r="I62" s="80">
        <v>0</v>
      </c>
      <c r="J62" s="80">
        <v>4500</v>
      </c>
      <c r="K62" s="80">
        <v>4200</v>
      </c>
      <c r="L62" s="80">
        <v>3900</v>
      </c>
      <c r="M62" s="80">
        <v>3600</v>
      </c>
      <c r="N62" s="80">
        <v>3300</v>
      </c>
      <c r="O62" s="80">
        <v>10500</v>
      </c>
      <c r="P62" s="80">
        <v>9843</v>
      </c>
      <c r="Q62" s="80">
        <v>9066</v>
      </c>
      <c r="R62" s="80">
        <v>8290</v>
      </c>
      <c r="S62" s="80">
        <v>11125</v>
      </c>
      <c r="T62" s="80">
        <v>10289</v>
      </c>
      <c r="U62" s="80">
        <v>9256</v>
      </c>
      <c r="V62" s="80">
        <v>8222</v>
      </c>
      <c r="W62" s="80">
        <v>7191</v>
      </c>
      <c r="X62" s="80">
        <v>6159</v>
      </c>
      <c r="Y62" s="80">
        <v>5126</v>
      </c>
      <c r="Z62" s="80">
        <v>8956</v>
      </c>
      <c r="AA62" s="80">
        <v>8794</v>
      </c>
      <c r="AB62" s="80">
        <v>7678</v>
      </c>
      <c r="AC62" s="80">
        <v>8815</v>
      </c>
      <c r="AD62" s="80">
        <v>23319</v>
      </c>
      <c r="AE62" s="80">
        <v>27287</v>
      </c>
      <c r="AF62" s="80">
        <v>26259</v>
      </c>
      <c r="AG62" s="80">
        <v>22597</v>
      </c>
      <c r="AH62" s="80">
        <v>18943</v>
      </c>
      <c r="AI62" s="80">
        <v>19159</v>
      </c>
      <c r="AJ62" s="80">
        <v>17539</v>
      </c>
      <c r="AK62" s="80">
        <v>16623</v>
      </c>
      <c r="AL62" s="80">
        <v>12046</v>
      </c>
      <c r="AM62" s="80">
        <v>10932</v>
      </c>
      <c r="AN62" s="80">
        <v>10132</v>
      </c>
      <c r="AO62" s="80">
        <v>9292</v>
      </c>
      <c r="AP62" s="80">
        <v>4804</v>
      </c>
      <c r="AQ62" s="80">
        <v>4106</v>
      </c>
      <c r="AR62" s="80">
        <v>6882</v>
      </c>
      <c r="AS62" s="80">
        <v>6208</v>
      </c>
      <c r="AT62" s="80">
        <v>3102</v>
      </c>
      <c r="AU62" s="80">
        <v>3102</v>
      </c>
      <c r="AV62" s="80">
        <v>2256</v>
      </c>
      <c r="AW62" s="80">
        <v>1974</v>
      </c>
      <c r="AX62" s="80">
        <v>4613</v>
      </c>
      <c r="AY62" s="80">
        <v>4413</v>
      </c>
      <c r="AZ62" s="80">
        <v>3508</v>
      </c>
      <c r="BA62" s="80">
        <v>3239</v>
      </c>
      <c r="BB62" s="80">
        <v>2968</v>
      </c>
      <c r="BC62" s="80">
        <v>2698</v>
      </c>
      <c r="BD62" s="80">
        <v>2440</v>
      </c>
      <c r="BE62" s="80">
        <v>2165</v>
      </c>
      <c r="BF62" s="80">
        <v>1889</v>
      </c>
      <c r="BG62" s="80">
        <v>1634</v>
      </c>
      <c r="BH62" s="80">
        <v>1762</v>
      </c>
      <c r="BI62" s="80">
        <v>1478</v>
      </c>
      <c r="BJ62" s="80">
        <v>27296</v>
      </c>
      <c r="BK62" s="80">
        <v>25705</v>
      </c>
      <c r="BL62" s="80">
        <v>24111</v>
      </c>
      <c r="BM62" s="80">
        <v>22519</v>
      </c>
      <c r="BN62" s="80">
        <v>21632</v>
      </c>
      <c r="BO62" s="80">
        <v>21619</v>
      </c>
      <c r="BP62" s="80">
        <v>24804</v>
      </c>
      <c r="BQ62" s="80">
        <v>50433</v>
      </c>
      <c r="BR62" s="80">
        <v>91044</v>
      </c>
      <c r="BS62" s="80">
        <v>125559</v>
      </c>
      <c r="BT62" s="80">
        <v>126694</v>
      </c>
      <c r="BU62" s="80">
        <v>117167</v>
      </c>
      <c r="BV62" s="80">
        <v>124368</v>
      </c>
      <c r="BW62" s="80">
        <v>103327</v>
      </c>
      <c r="BX62" s="80">
        <v>94350</v>
      </c>
      <c r="BY62" s="80">
        <v>68930</v>
      </c>
      <c r="BZ62" s="80">
        <v>60473</v>
      </c>
      <c r="CA62" s="80">
        <v>42338</v>
      </c>
      <c r="CB62" s="80">
        <v>37964</v>
      </c>
      <c r="CC62" s="80">
        <v>33737</v>
      </c>
      <c r="CD62" s="80">
        <v>27961</v>
      </c>
      <c r="CE62" s="80">
        <v>23470</v>
      </c>
      <c r="CF62" s="80">
        <v>19091</v>
      </c>
      <c r="CG62" s="80">
        <v>15624</v>
      </c>
      <c r="CH62" s="80">
        <v>13561</v>
      </c>
      <c r="CI62" s="80">
        <v>13561</v>
      </c>
      <c r="CJ62" s="80">
        <v>41574</v>
      </c>
      <c r="CK62" s="80">
        <v>47820</v>
      </c>
      <c r="CL62" s="80">
        <v>46045</v>
      </c>
    </row>
    <row r="63" spans="1:90" ht="16.350000000000001" customHeight="1">
      <c r="A63" s="68"/>
      <c r="B63" s="68"/>
      <c r="C63" s="100" t="s">
        <v>19</v>
      </c>
      <c r="D63" s="100" t="s">
        <v>20</v>
      </c>
      <c r="E63" s="80">
        <v>6874</v>
      </c>
      <c r="F63" s="80">
        <v>6771</v>
      </c>
      <c r="G63" s="80">
        <v>6624</v>
      </c>
      <c r="H63" s="80">
        <v>6537</v>
      </c>
      <c r="I63" s="80">
        <v>6395</v>
      </c>
      <c r="J63" s="80">
        <v>6234</v>
      </c>
      <c r="K63" s="80">
        <v>6056</v>
      </c>
      <c r="L63" s="80">
        <v>5864</v>
      </c>
      <c r="M63" s="80">
        <v>5661</v>
      </c>
      <c r="N63" s="80">
        <v>5451</v>
      </c>
      <c r="O63" s="80">
        <v>7732</v>
      </c>
      <c r="P63" s="80">
        <v>13707</v>
      </c>
      <c r="Q63" s="80">
        <v>16729</v>
      </c>
      <c r="R63" s="80">
        <v>17835</v>
      </c>
      <c r="S63" s="80">
        <v>21837</v>
      </c>
      <c r="T63" s="80">
        <v>18492</v>
      </c>
      <c r="U63" s="80">
        <v>15572</v>
      </c>
      <c r="V63" s="80">
        <v>11079</v>
      </c>
      <c r="W63" s="80">
        <v>10001</v>
      </c>
      <c r="X63" s="80">
        <v>13720</v>
      </c>
      <c r="Y63" s="80">
        <v>15953</v>
      </c>
      <c r="Z63" s="80">
        <v>21969</v>
      </c>
      <c r="AA63" s="80">
        <v>25701</v>
      </c>
      <c r="AB63" s="80">
        <v>28964</v>
      </c>
      <c r="AC63" s="80">
        <v>31203</v>
      </c>
      <c r="AD63" s="80">
        <v>27813</v>
      </c>
      <c r="AE63" s="80">
        <v>27112</v>
      </c>
      <c r="AF63" s="80">
        <v>23383</v>
      </c>
      <c r="AG63" s="80">
        <v>26494</v>
      </c>
      <c r="AH63" s="80">
        <v>24535</v>
      </c>
      <c r="AI63" s="80">
        <v>20636</v>
      </c>
      <c r="AJ63" s="80">
        <v>541</v>
      </c>
      <c r="AK63" s="80">
        <v>487</v>
      </c>
      <c r="AL63" s="80">
        <v>433</v>
      </c>
      <c r="AM63" s="80">
        <v>377</v>
      </c>
      <c r="AN63" s="80">
        <v>432</v>
      </c>
      <c r="AO63" s="80">
        <v>375</v>
      </c>
      <c r="AP63" s="80">
        <v>335</v>
      </c>
      <c r="AQ63" s="80">
        <v>315</v>
      </c>
      <c r="AR63" s="80">
        <v>300</v>
      </c>
      <c r="AS63" s="80">
        <v>268</v>
      </c>
      <c r="AT63" s="80">
        <v>243</v>
      </c>
      <c r="AU63" s="80">
        <v>169</v>
      </c>
      <c r="AV63" s="80">
        <v>169</v>
      </c>
      <c r="AW63" s="80">
        <v>279</v>
      </c>
      <c r="AX63" s="80">
        <v>279</v>
      </c>
      <c r="AY63" s="80">
        <v>95</v>
      </c>
      <c r="AZ63" s="80">
        <v>52</v>
      </c>
      <c r="BA63" s="80">
        <v>11</v>
      </c>
      <c r="BB63" s="80">
        <v>11</v>
      </c>
      <c r="BC63" s="80">
        <v>11</v>
      </c>
      <c r="BD63" s="80">
        <v>0</v>
      </c>
      <c r="BE63" s="80">
        <v>11</v>
      </c>
      <c r="BF63" s="80">
        <v>11</v>
      </c>
      <c r="BG63" s="80">
        <v>6797</v>
      </c>
      <c r="BH63" s="80">
        <v>0</v>
      </c>
      <c r="BI63" s="80">
        <v>0</v>
      </c>
      <c r="BJ63" s="80">
        <v>0</v>
      </c>
      <c r="BK63" s="80">
        <v>0</v>
      </c>
      <c r="BL63" s="80">
        <v>0</v>
      </c>
      <c r="BM63" s="80">
        <v>0</v>
      </c>
      <c r="BN63" s="80"/>
      <c r="BO63" s="80"/>
      <c r="BP63" s="80">
        <v>0</v>
      </c>
      <c r="BQ63" s="80">
        <v>0</v>
      </c>
      <c r="BR63" s="80">
        <v>0</v>
      </c>
      <c r="BS63" s="80">
        <v>0</v>
      </c>
      <c r="BT63" s="80">
        <v>0</v>
      </c>
      <c r="BU63" s="80">
        <v>5658</v>
      </c>
      <c r="BV63" s="80">
        <v>0</v>
      </c>
      <c r="BW63" s="80">
        <v>0</v>
      </c>
      <c r="BX63" s="80">
        <v>0</v>
      </c>
      <c r="BY63" s="80">
        <v>0</v>
      </c>
      <c r="BZ63" s="80">
        <v>0</v>
      </c>
      <c r="CA63" s="80">
        <v>0</v>
      </c>
      <c r="CB63" s="80">
        <v>0</v>
      </c>
      <c r="CC63" s="80">
        <v>0</v>
      </c>
      <c r="CD63" s="80">
        <v>0</v>
      </c>
      <c r="CE63" s="80">
        <v>0</v>
      </c>
      <c r="CF63" s="80">
        <v>0</v>
      </c>
      <c r="CG63" s="80">
        <v>0</v>
      </c>
      <c r="CH63" s="80">
        <v>0</v>
      </c>
      <c r="CI63" s="80">
        <v>0</v>
      </c>
      <c r="CJ63" s="80">
        <v>0</v>
      </c>
      <c r="CK63" s="80">
        <v>0</v>
      </c>
      <c r="CL63" s="80">
        <v>0</v>
      </c>
    </row>
    <row r="64" spans="1:90" ht="16.350000000000001" customHeight="1">
      <c r="A64" s="68"/>
      <c r="B64" s="68"/>
      <c r="C64" s="101" t="s">
        <v>96</v>
      </c>
      <c r="D64" s="101" t="s">
        <v>98</v>
      </c>
      <c r="E64" s="85">
        <v>0</v>
      </c>
      <c r="F64" s="85">
        <v>0</v>
      </c>
      <c r="G64" s="85">
        <v>0</v>
      </c>
      <c r="H64" s="85">
        <v>0</v>
      </c>
      <c r="I64" s="85">
        <v>0</v>
      </c>
      <c r="J64" s="85">
        <v>0</v>
      </c>
      <c r="K64" s="85" t="s">
        <v>53</v>
      </c>
      <c r="L64" s="85">
        <v>0</v>
      </c>
      <c r="M64" s="85">
        <v>0</v>
      </c>
      <c r="N64" s="85" t="s">
        <v>53</v>
      </c>
      <c r="O64" s="85">
        <v>0</v>
      </c>
      <c r="P64" s="85">
        <v>0</v>
      </c>
      <c r="Q64" s="85" t="s">
        <v>53</v>
      </c>
      <c r="R64" s="85">
        <v>0</v>
      </c>
      <c r="S64" s="85">
        <v>0</v>
      </c>
      <c r="T64" s="85" t="s">
        <v>53</v>
      </c>
      <c r="U64" s="85">
        <v>0</v>
      </c>
      <c r="V64" s="85">
        <v>0</v>
      </c>
      <c r="W64" s="85" t="s">
        <v>53</v>
      </c>
      <c r="X64" s="85">
        <v>0</v>
      </c>
      <c r="Y64" s="85">
        <v>0</v>
      </c>
      <c r="Z64" s="85" t="s">
        <v>53</v>
      </c>
      <c r="AA64" s="85">
        <v>0</v>
      </c>
      <c r="AB64" s="85">
        <v>0</v>
      </c>
      <c r="AC64" s="85" t="s">
        <v>53</v>
      </c>
      <c r="AD64" s="85">
        <v>0</v>
      </c>
      <c r="AE64" s="85">
        <v>0</v>
      </c>
      <c r="AF64" s="85" t="s">
        <v>53</v>
      </c>
      <c r="AG64" s="85">
        <v>0</v>
      </c>
      <c r="AH64" s="85">
        <v>0</v>
      </c>
      <c r="AI64" s="85" t="s">
        <v>53</v>
      </c>
      <c r="AJ64" s="85" t="s">
        <v>53</v>
      </c>
      <c r="AK64" s="85" t="s">
        <v>53</v>
      </c>
      <c r="AL64" s="85" t="s">
        <v>53</v>
      </c>
      <c r="AM64" s="85" t="s">
        <v>53</v>
      </c>
      <c r="AN64" s="85" t="s">
        <v>53</v>
      </c>
      <c r="AO64" s="85">
        <v>0</v>
      </c>
      <c r="AP64" s="85">
        <v>0</v>
      </c>
      <c r="AQ64" s="85">
        <v>0</v>
      </c>
      <c r="AR64" s="85">
        <v>0</v>
      </c>
      <c r="AS64" s="85">
        <v>0</v>
      </c>
      <c r="AT64" s="85">
        <v>0</v>
      </c>
      <c r="AU64" s="85">
        <v>967</v>
      </c>
      <c r="AV64" s="85">
        <v>0</v>
      </c>
      <c r="AW64" s="85">
        <v>834</v>
      </c>
      <c r="AX64" s="85">
        <v>0</v>
      </c>
      <c r="AY64" s="85">
        <v>0</v>
      </c>
      <c r="AZ64" s="85">
        <v>0</v>
      </c>
      <c r="BA64" s="85">
        <v>0</v>
      </c>
      <c r="BB64" s="85">
        <v>0</v>
      </c>
      <c r="BC64" s="85">
        <v>0</v>
      </c>
      <c r="BD64" s="85">
        <v>0</v>
      </c>
      <c r="BE64" s="85">
        <v>0</v>
      </c>
      <c r="BF64" s="85"/>
      <c r="BG64" s="85">
        <v>0</v>
      </c>
      <c r="BH64" s="85">
        <v>0</v>
      </c>
      <c r="BI64" s="85">
        <v>0</v>
      </c>
      <c r="BJ64" s="85">
        <v>0</v>
      </c>
      <c r="BK64" s="85">
        <v>0</v>
      </c>
      <c r="BL64" s="85">
        <v>0</v>
      </c>
      <c r="BM64" s="85">
        <v>0</v>
      </c>
      <c r="BN64" s="85">
        <v>0</v>
      </c>
      <c r="BO64" s="85">
        <v>0</v>
      </c>
      <c r="BP64" s="85">
        <v>0</v>
      </c>
      <c r="BQ64" s="85">
        <v>0</v>
      </c>
      <c r="BR64" s="85">
        <v>381</v>
      </c>
      <c r="BS64" s="85">
        <v>0</v>
      </c>
      <c r="BT64" s="85">
        <v>0</v>
      </c>
      <c r="BU64" s="85">
        <v>0</v>
      </c>
      <c r="BV64" s="85">
        <v>0</v>
      </c>
      <c r="BW64" s="85">
        <v>0</v>
      </c>
      <c r="BX64" s="85">
        <v>0</v>
      </c>
      <c r="BY64" s="85">
        <v>0</v>
      </c>
      <c r="BZ64" s="85">
        <v>0</v>
      </c>
      <c r="CA64" s="85">
        <v>0</v>
      </c>
      <c r="CB64" s="85">
        <v>0</v>
      </c>
      <c r="CC64" s="85">
        <v>0</v>
      </c>
      <c r="CD64" s="85">
        <v>0</v>
      </c>
      <c r="CE64" s="85">
        <v>0</v>
      </c>
      <c r="CF64" s="85">
        <v>0</v>
      </c>
      <c r="CG64" s="85">
        <v>0</v>
      </c>
      <c r="CH64" s="85">
        <v>0</v>
      </c>
      <c r="CI64" s="85">
        <v>0</v>
      </c>
      <c r="CJ64" s="85">
        <v>0</v>
      </c>
      <c r="CK64" s="85">
        <v>0</v>
      </c>
      <c r="CL64" s="85">
        <v>0</v>
      </c>
    </row>
    <row r="65" spans="1:90" ht="16.350000000000001" customHeight="1">
      <c r="A65" s="68"/>
      <c r="B65" s="68"/>
      <c r="C65" s="102"/>
      <c r="D65" s="102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7"/>
      <c r="W65" s="88"/>
      <c r="X65" s="88"/>
      <c r="Y65" s="88"/>
      <c r="Z65" s="88"/>
      <c r="AA65" s="88"/>
      <c r="AB65" s="88"/>
      <c r="AC65" s="88"/>
      <c r="AD65" s="88"/>
      <c r="AE65" s="88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88"/>
      <c r="BJ65" s="88"/>
      <c r="BK65" s="88"/>
      <c r="BL65" s="88"/>
      <c r="BM65" s="88"/>
      <c r="BN65" s="88"/>
      <c r="BO65" s="88"/>
      <c r="BP65" s="88"/>
      <c r="BQ65" s="88"/>
      <c r="BR65" s="88"/>
      <c r="BS65" s="88"/>
      <c r="BT65" s="88"/>
      <c r="BU65" s="88"/>
      <c r="BV65" s="88"/>
      <c r="BW65" s="88"/>
      <c r="BX65" s="88"/>
      <c r="BY65" s="88"/>
      <c r="BZ65" s="88"/>
      <c r="CA65" s="7"/>
      <c r="CB65" s="75"/>
      <c r="CC65" s="75"/>
      <c r="CD65" s="75"/>
      <c r="CE65" s="75"/>
      <c r="CF65" s="75"/>
      <c r="CG65" s="75"/>
      <c r="CH65" s="75"/>
      <c r="CI65" s="7"/>
      <c r="CJ65" s="7"/>
      <c r="CK65" s="7"/>
      <c r="CL65" s="7"/>
    </row>
    <row r="66" spans="1:90" ht="16.350000000000001" customHeight="1">
      <c r="A66" s="70"/>
      <c r="B66" s="70"/>
      <c r="C66" s="99" t="s">
        <v>24</v>
      </c>
      <c r="D66" s="99" t="s">
        <v>25</v>
      </c>
      <c r="E66" s="77">
        <v>150841</v>
      </c>
      <c r="F66" s="77">
        <v>195046</v>
      </c>
      <c r="G66" s="77">
        <v>537558</v>
      </c>
      <c r="H66" s="77">
        <v>517579</v>
      </c>
      <c r="I66" s="77">
        <v>531048</v>
      </c>
      <c r="J66" s="77">
        <v>553921</v>
      </c>
      <c r="K66" s="77">
        <v>554584</v>
      </c>
      <c r="L66" s="77">
        <v>543966</v>
      </c>
      <c r="M66" s="77">
        <v>560743</v>
      </c>
      <c r="N66" s="77">
        <v>601189</v>
      </c>
      <c r="O66" s="77">
        <v>637020</v>
      </c>
      <c r="P66" s="77">
        <v>582928</v>
      </c>
      <c r="Q66" s="77">
        <v>610100</v>
      </c>
      <c r="R66" s="77">
        <v>656666</v>
      </c>
      <c r="S66" s="77">
        <v>688174</v>
      </c>
      <c r="T66" s="77">
        <v>711493</v>
      </c>
      <c r="U66" s="77">
        <v>726050</v>
      </c>
      <c r="V66" s="77">
        <f t="shared" ref="V66" si="24">SUM(V67:V72)</f>
        <v>778803</v>
      </c>
      <c r="W66" s="77">
        <v>814652</v>
      </c>
      <c r="X66" s="77">
        <v>866436</v>
      </c>
      <c r="Y66" s="77">
        <v>908002</v>
      </c>
      <c r="Z66" s="77">
        <v>915642</v>
      </c>
      <c r="AA66" s="77">
        <v>976796</v>
      </c>
      <c r="AB66" s="77">
        <v>1021308</v>
      </c>
      <c r="AC66" s="77">
        <v>1056786</v>
      </c>
      <c r="AD66" s="77">
        <v>1016945</v>
      </c>
      <c r="AE66" s="77">
        <v>1068589</v>
      </c>
      <c r="AF66" s="77">
        <v>1154998</v>
      </c>
      <c r="AG66" s="77">
        <v>1170182</v>
      </c>
      <c r="AH66" s="77">
        <v>1119851</v>
      </c>
      <c r="AI66" s="77">
        <v>1170234</v>
      </c>
      <c r="AJ66" s="77">
        <v>1305683</v>
      </c>
      <c r="AK66" s="77">
        <v>1317146</v>
      </c>
      <c r="AL66" s="77">
        <v>1266367</v>
      </c>
      <c r="AM66" s="77">
        <v>1315462</v>
      </c>
      <c r="AN66" s="77">
        <v>1493253</v>
      </c>
      <c r="AO66" s="77">
        <v>1518174</v>
      </c>
      <c r="AP66" s="77">
        <v>1567884</v>
      </c>
      <c r="AQ66" s="77">
        <v>1668362</v>
      </c>
      <c r="AR66" s="77">
        <v>1855268</v>
      </c>
      <c r="AS66" s="77">
        <v>1944684</v>
      </c>
      <c r="AT66" s="77">
        <v>2003513</v>
      </c>
      <c r="AU66" s="77">
        <v>2173684</v>
      </c>
      <c r="AV66" s="77">
        <v>2310896</v>
      </c>
      <c r="AW66" s="77">
        <v>2260818</v>
      </c>
      <c r="AX66" s="77">
        <v>2297204</v>
      </c>
      <c r="AY66" s="77">
        <v>2366123</v>
      </c>
      <c r="AZ66" s="77">
        <v>2636796</v>
      </c>
      <c r="BA66" s="77">
        <v>2670814</v>
      </c>
      <c r="BB66" s="77">
        <v>2814012</v>
      </c>
      <c r="BC66" s="77">
        <v>2918668</v>
      </c>
      <c r="BD66" s="77">
        <v>3223446</v>
      </c>
      <c r="BE66" s="77">
        <v>3268398</v>
      </c>
      <c r="BF66" s="77">
        <v>3461783</v>
      </c>
      <c r="BG66" s="77">
        <v>3607482</v>
      </c>
      <c r="BH66" s="77">
        <v>3954512</v>
      </c>
      <c r="BI66" s="77">
        <v>4054885</v>
      </c>
      <c r="BJ66" s="77">
        <v>4102142</v>
      </c>
      <c r="BK66" s="77">
        <v>4260449</v>
      </c>
      <c r="BL66" s="77">
        <v>4691019</v>
      </c>
      <c r="BM66" s="77">
        <v>4671952</v>
      </c>
      <c r="BN66" s="77">
        <v>5425952</v>
      </c>
      <c r="BO66" s="77">
        <v>5287763</v>
      </c>
      <c r="BP66" s="77">
        <v>5501316</v>
      </c>
      <c r="BQ66" s="77">
        <v>5365471</v>
      </c>
      <c r="BR66" s="77">
        <v>9341825</v>
      </c>
      <c r="BS66" s="77">
        <v>9497615</v>
      </c>
      <c r="BT66" s="77">
        <v>9806621</v>
      </c>
      <c r="BU66" s="77">
        <v>9624740</v>
      </c>
      <c r="BV66" s="77">
        <v>9648345</v>
      </c>
      <c r="BW66" s="77">
        <v>9790803</v>
      </c>
      <c r="BX66" s="77">
        <v>10087515</v>
      </c>
      <c r="BY66" s="77">
        <v>9665782</v>
      </c>
      <c r="BZ66" s="77">
        <v>9712480</v>
      </c>
      <c r="CA66" s="77">
        <v>9765091</v>
      </c>
      <c r="CB66" s="77">
        <v>10047221</v>
      </c>
      <c r="CC66" s="77">
        <f t="shared" ref="CC66:CG66" si="25">SUM(CC67:CC72)</f>
        <v>10099825</v>
      </c>
      <c r="CD66" s="77">
        <f t="shared" si="25"/>
        <v>10317141</v>
      </c>
      <c r="CE66" s="77">
        <f t="shared" si="25"/>
        <v>10394696</v>
      </c>
      <c r="CF66" s="77">
        <f t="shared" si="25"/>
        <v>10772951</v>
      </c>
      <c r="CG66" s="77">
        <f t="shared" si="25"/>
        <v>10265765</v>
      </c>
      <c r="CH66" s="77">
        <v>10300491</v>
      </c>
      <c r="CI66" s="77">
        <f t="shared" ref="CI66" si="26">SUM(CI67:CI72)</f>
        <v>10143083</v>
      </c>
      <c r="CJ66" s="77">
        <f t="shared" ref="CJ66:CK66" si="27">SUM(CJ67:CJ72)</f>
        <v>10456281</v>
      </c>
      <c r="CK66" s="77">
        <f t="shared" si="27"/>
        <v>10366074</v>
      </c>
      <c r="CL66" s="77">
        <f t="shared" ref="CL66" si="28">SUM(CL67:CL72)</f>
        <v>10367784</v>
      </c>
    </row>
    <row r="67" spans="1:90" ht="16.350000000000001" customHeight="1">
      <c r="A67" s="68"/>
      <c r="B67" s="68"/>
      <c r="C67" s="100" t="s">
        <v>75</v>
      </c>
      <c r="D67" s="100" t="s">
        <v>26</v>
      </c>
      <c r="E67" s="80">
        <v>55000</v>
      </c>
      <c r="F67" s="80">
        <v>55000</v>
      </c>
      <c r="G67" s="80">
        <v>398138</v>
      </c>
      <c r="H67" s="80">
        <v>398138</v>
      </c>
      <c r="I67" s="80">
        <v>398138</v>
      </c>
      <c r="J67" s="80">
        <v>398138</v>
      </c>
      <c r="K67" s="80">
        <v>398138</v>
      </c>
      <c r="L67" s="80">
        <v>399820</v>
      </c>
      <c r="M67" s="80">
        <v>399820</v>
      </c>
      <c r="N67" s="80">
        <v>399820</v>
      </c>
      <c r="O67" s="80">
        <v>399820</v>
      </c>
      <c r="P67" s="80">
        <v>399820</v>
      </c>
      <c r="Q67" s="80">
        <v>399820</v>
      </c>
      <c r="R67" s="80">
        <v>399820</v>
      </c>
      <c r="S67" s="80">
        <v>399820</v>
      </c>
      <c r="T67" s="80">
        <v>399926</v>
      </c>
      <c r="U67" s="80">
        <v>400037</v>
      </c>
      <c r="V67" s="80">
        <v>400132</v>
      </c>
      <c r="W67" s="80">
        <v>402131</v>
      </c>
      <c r="X67" s="80">
        <v>402945</v>
      </c>
      <c r="Y67" s="80">
        <v>403216</v>
      </c>
      <c r="Z67" s="80">
        <v>403629</v>
      </c>
      <c r="AA67" s="80">
        <v>405377</v>
      </c>
      <c r="AB67" s="80">
        <v>408734</v>
      </c>
      <c r="AC67" s="80">
        <v>408734</v>
      </c>
      <c r="AD67" s="80">
        <v>413725</v>
      </c>
      <c r="AE67" s="80">
        <v>414126</v>
      </c>
      <c r="AF67" s="80">
        <v>421683</v>
      </c>
      <c r="AG67" s="80">
        <v>421683</v>
      </c>
      <c r="AH67" s="80">
        <v>437856</v>
      </c>
      <c r="AI67" s="80">
        <v>440881</v>
      </c>
      <c r="AJ67" s="80">
        <v>461595</v>
      </c>
      <c r="AK67" s="80">
        <v>461881</v>
      </c>
      <c r="AL67" s="80">
        <v>702861</v>
      </c>
      <c r="AM67" s="80">
        <v>702861</v>
      </c>
      <c r="AN67" s="80">
        <v>719735</v>
      </c>
      <c r="AO67" s="80">
        <v>719735</v>
      </c>
      <c r="AP67" s="80">
        <v>725054</v>
      </c>
      <c r="AQ67" s="80">
        <v>730700</v>
      </c>
      <c r="AR67" s="80">
        <v>750853</v>
      </c>
      <c r="AS67" s="80">
        <v>750853</v>
      </c>
      <c r="AT67" s="80">
        <v>1128234</v>
      </c>
      <c r="AU67" s="80">
        <v>1130364</v>
      </c>
      <c r="AV67" s="80">
        <v>1136124</v>
      </c>
      <c r="AW67" s="80">
        <v>1136124</v>
      </c>
      <c r="AX67" s="80">
        <v>1160305</v>
      </c>
      <c r="AY67" s="80">
        <v>1170192</v>
      </c>
      <c r="AZ67" s="80">
        <v>1178368</v>
      </c>
      <c r="BA67" s="80">
        <v>1178368</v>
      </c>
      <c r="BB67" s="80">
        <v>2534081</v>
      </c>
      <c r="BC67" s="80">
        <v>2553723</v>
      </c>
      <c r="BD67" s="80">
        <v>2556896</v>
      </c>
      <c r="BE67" s="80">
        <v>2556896</v>
      </c>
      <c r="BF67" s="80">
        <v>2600047</v>
      </c>
      <c r="BG67" s="80">
        <v>2614480</v>
      </c>
      <c r="BH67" s="80">
        <v>2637473</v>
      </c>
      <c r="BI67" s="80">
        <v>2637473</v>
      </c>
      <c r="BJ67" s="80">
        <v>3774294</v>
      </c>
      <c r="BK67" s="80">
        <v>3790628</v>
      </c>
      <c r="BL67" s="80">
        <v>3795634</v>
      </c>
      <c r="BM67" s="80">
        <v>3795634</v>
      </c>
      <c r="BN67" s="80">
        <v>3795901</v>
      </c>
      <c r="BO67" s="80">
        <v>3797161</v>
      </c>
      <c r="BP67" s="80">
        <v>3805326</v>
      </c>
      <c r="BQ67" s="80">
        <v>3805326</v>
      </c>
      <c r="BR67" s="80">
        <v>7742170</v>
      </c>
      <c r="BS67" s="80">
        <v>7743271</v>
      </c>
      <c r="BT67" s="80">
        <v>8978349</v>
      </c>
      <c r="BU67" s="80">
        <v>8978349</v>
      </c>
      <c r="BV67" s="80">
        <v>8987760</v>
      </c>
      <c r="BW67" s="80">
        <v>9001388</v>
      </c>
      <c r="BX67" s="80">
        <v>9022277</v>
      </c>
      <c r="BY67" s="80">
        <v>9022277</v>
      </c>
      <c r="BZ67" s="80">
        <v>9022277</v>
      </c>
      <c r="CA67" s="80">
        <v>9022277</v>
      </c>
      <c r="CB67" s="80">
        <v>9022277</v>
      </c>
      <c r="CC67" s="80">
        <v>9022277</v>
      </c>
      <c r="CD67" s="80">
        <v>9022277</v>
      </c>
      <c r="CE67" s="80">
        <v>9022277</v>
      </c>
      <c r="CF67" s="80">
        <v>9540891</v>
      </c>
      <c r="CG67" s="80">
        <v>9540891</v>
      </c>
      <c r="CH67" s="80">
        <v>9540891</v>
      </c>
      <c r="CI67" s="80">
        <v>9544827</v>
      </c>
      <c r="CJ67" s="80">
        <v>9544827</v>
      </c>
      <c r="CK67" s="80">
        <v>9544827</v>
      </c>
      <c r="CL67" s="80">
        <v>9544827</v>
      </c>
    </row>
    <row r="68" spans="1:90" ht="16.350000000000001" customHeight="1">
      <c r="A68" s="68"/>
      <c r="B68" s="68"/>
      <c r="C68" s="100" t="s">
        <v>113</v>
      </c>
      <c r="D68" s="100" t="s">
        <v>114</v>
      </c>
      <c r="E68" s="80">
        <v>0</v>
      </c>
      <c r="F68" s="80">
        <v>0</v>
      </c>
      <c r="G68" s="80">
        <v>0</v>
      </c>
      <c r="H68" s="80">
        <v>0</v>
      </c>
      <c r="I68" s="80">
        <v>0</v>
      </c>
      <c r="J68" s="80">
        <v>0</v>
      </c>
      <c r="K68" s="80">
        <v>0</v>
      </c>
      <c r="L68" s="80">
        <v>0</v>
      </c>
      <c r="M68" s="80">
        <v>0</v>
      </c>
      <c r="N68" s="80">
        <v>0</v>
      </c>
      <c r="O68" s="80">
        <v>0</v>
      </c>
      <c r="P68" s="80">
        <v>0</v>
      </c>
      <c r="Q68" s="80">
        <v>0</v>
      </c>
      <c r="R68" s="80">
        <v>0</v>
      </c>
      <c r="S68" s="80">
        <v>0</v>
      </c>
      <c r="T68" s="80">
        <v>0</v>
      </c>
      <c r="U68" s="80">
        <v>0</v>
      </c>
      <c r="V68" s="80">
        <v>0</v>
      </c>
      <c r="W68" s="80">
        <v>0</v>
      </c>
      <c r="X68" s="80">
        <v>0</v>
      </c>
      <c r="Y68" s="80">
        <v>0</v>
      </c>
      <c r="Z68" s="80">
        <v>0</v>
      </c>
      <c r="AA68" s="80">
        <v>0</v>
      </c>
      <c r="AB68" s="80">
        <v>0</v>
      </c>
      <c r="AC68" s="80">
        <v>0</v>
      </c>
      <c r="AD68" s="80">
        <v>0</v>
      </c>
      <c r="AE68" s="80">
        <v>0</v>
      </c>
      <c r="AF68" s="80">
        <v>0</v>
      </c>
      <c r="AG68" s="80">
        <v>0</v>
      </c>
      <c r="AH68" s="80">
        <v>0</v>
      </c>
      <c r="AI68" s="80">
        <v>0</v>
      </c>
      <c r="AJ68" s="80">
        <v>0</v>
      </c>
      <c r="AK68" s="80">
        <v>0</v>
      </c>
      <c r="AL68" s="80">
        <v>0</v>
      </c>
      <c r="AM68" s="80">
        <v>0</v>
      </c>
      <c r="AN68" s="80">
        <v>0</v>
      </c>
      <c r="AO68" s="80">
        <v>0</v>
      </c>
      <c r="AP68" s="80">
        <v>0</v>
      </c>
      <c r="AQ68" s="80">
        <v>0</v>
      </c>
      <c r="AR68" s="80">
        <v>0</v>
      </c>
      <c r="AS68" s="80">
        <v>0</v>
      </c>
      <c r="AT68" s="80">
        <v>0</v>
      </c>
      <c r="AU68" s="80">
        <v>0</v>
      </c>
      <c r="AV68" s="80">
        <v>-6016</v>
      </c>
      <c r="AW68" s="80">
        <v>-10140</v>
      </c>
      <c r="AX68" s="80">
        <v>-10140</v>
      </c>
      <c r="AY68" s="80">
        <v>-10140</v>
      </c>
      <c r="AZ68" s="80">
        <v>-19021</v>
      </c>
      <c r="BA68" s="80">
        <v>-27857</v>
      </c>
      <c r="BB68" s="80">
        <v>-27857</v>
      </c>
      <c r="BC68" s="80">
        <v>-27857</v>
      </c>
      <c r="BD68" s="80">
        <v>-27857</v>
      </c>
      <c r="BE68" s="80">
        <v>-27857</v>
      </c>
      <c r="BF68" s="80">
        <v>0</v>
      </c>
      <c r="BG68" s="80">
        <v>-44536</v>
      </c>
      <c r="BH68" s="80">
        <v>-44536</v>
      </c>
      <c r="BI68" s="80">
        <v>-35553</v>
      </c>
      <c r="BJ68" s="80">
        <v>-35553</v>
      </c>
      <c r="BK68" s="80">
        <v>-35549</v>
      </c>
      <c r="BL68" s="80">
        <v>-35549</v>
      </c>
      <c r="BM68" s="80">
        <v>-119461</v>
      </c>
      <c r="BN68" s="80">
        <v>-119461</v>
      </c>
      <c r="BO68" s="80">
        <v>-119461</v>
      </c>
      <c r="BP68" s="80">
        <v>-119461</v>
      </c>
      <c r="BQ68" s="80">
        <v>-110450</v>
      </c>
      <c r="BR68" s="80">
        <v>-108620</v>
      </c>
      <c r="BS68" s="80">
        <v>-108620</v>
      </c>
      <c r="BT68" s="80">
        <v>-108620</v>
      </c>
      <c r="BU68" s="80">
        <v>-218547</v>
      </c>
      <c r="BV68" s="80">
        <v>-552812</v>
      </c>
      <c r="BW68" s="80">
        <v>-552812</v>
      </c>
      <c r="BX68" s="80">
        <v>-552812</v>
      </c>
      <c r="BY68" s="80">
        <v>-165875</v>
      </c>
      <c r="BZ68" s="80">
        <v>-165875</v>
      </c>
      <c r="CA68" s="80">
        <v>-165652</v>
      </c>
      <c r="CB68" s="80">
        <v>-165652</v>
      </c>
      <c r="CC68" s="80">
        <v>-154377</v>
      </c>
      <c r="CD68" s="80">
        <v>-154377</v>
      </c>
      <c r="CE68" s="80">
        <v>-154377</v>
      </c>
      <c r="CF68" s="80">
        <v>-154377</v>
      </c>
      <c r="CG68" s="80">
        <v>-643728</v>
      </c>
      <c r="CH68" s="80">
        <v>-790790</v>
      </c>
      <c r="CI68" s="80">
        <v>-1003254</v>
      </c>
      <c r="CJ68" s="80">
        <v>-344388</v>
      </c>
      <c r="CK68" s="80">
        <v>-433823</v>
      </c>
      <c r="CL68" s="80">
        <v>-646705</v>
      </c>
    </row>
    <row r="69" spans="1:90" ht="16.350000000000001" customHeight="1">
      <c r="A69" s="68"/>
      <c r="B69" s="68"/>
      <c r="C69" s="100" t="s">
        <v>27</v>
      </c>
      <c r="D69" s="100" t="s">
        <v>28</v>
      </c>
      <c r="E69" s="80">
        <v>106660</v>
      </c>
      <c r="F69" s="80">
        <v>118165</v>
      </c>
      <c r="G69" s="80">
        <v>118165</v>
      </c>
      <c r="H69" s="80">
        <v>118165</v>
      </c>
      <c r="I69" s="80">
        <v>118165</v>
      </c>
      <c r="J69" s="80">
        <v>118165</v>
      </c>
      <c r="K69" s="80">
        <v>118165</v>
      </c>
      <c r="L69" s="80">
        <v>118165</v>
      </c>
      <c r="M69" s="80">
        <v>118165</v>
      </c>
      <c r="N69" s="80">
        <v>118165</v>
      </c>
      <c r="O69" s="80">
        <v>118165</v>
      </c>
      <c r="P69" s="80">
        <v>127881</v>
      </c>
      <c r="Q69" s="80">
        <v>129958</v>
      </c>
      <c r="R69" s="80">
        <v>132987</v>
      </c>
      <c r="S69" s="80">
        <v>136083</v>
      </c>
      <c r="T69" s="80">
        <v>138941</v>
      </c>
      <c r="U69" s="80">
        <v>142527</v>
      </c>
      <c r="V69" s="80">
        <v>147362</v>
      </c>
      <c r="W69" s="80">
        <v>151793</v>
      </c>
      <c r="X69" s="80">
        <v>156184</v>
      </c>
      <c r="Y69" s="80">
        <v>160013</v>
      </c>
      <c r="Z69" s="80">
        <v>164643</v>
      </c>
      <c r="AA69" s="80">
        <v>169102</v>
      </c>
      <c r="AB69" s="80">
        <v>173569</v>
      </c>
      <c r="AC69" s="80">
        <v>178297</v>
      </c>
      <c r="AD69" s="80">
        <v>183846</v>
      </c>
      <c r="AE69" s="80">
        <v>188105</v>
      </c>
      <c r="AF69" s="80">
        <v>191642</v>
      </c>
      <c r="AG69" s="80">
        <v>195717</v>
      </c>
      <c r="AH69" s="80">
        <v>199724</v>
      </c>
      <c r="AI69" s="80">
        <v>203724</v>
      </c>
      <c r="AJ69" s="80">
        <v>207768</v>
      </c>
      <c r="AK69" s="80">
        <v>212247</v>
      </c>
      <c r="AL69" s="80">
        <v>215607</v>
      </c>
      <c r="AM69" s="80">
        <v>217294</v>
      </c>
      <c r="AN69" s="80">
        <v>220907</v>
      </c>
      <c r="AO69" s="80">
        <v>223790</v>
      </c>
      <c r="AP69" s="80">
        <v>230793</v>
      </c>
      <c r="AQ69" s="80">
        <v>238112</v>
      </c>
      <c r="AR69" s="80">
        <v>245860</v>
      </c>
      <c r="AS69" s="80">
        <v>252327</v>
      </c>
      <c r="AT69" s="80">
        <v>259870</v>
      </c>
      <c r="AU69" s="80">
        <v>265368</v>
      </c>
      <c r="AV69" s="80">
        <v>272291</v>
      </c>
      <c r="AW69" s="80">
        <v>279382</v>
      </c>
      <c r="AX69" s="80">
        <v>285654</v>
      </c>
      <c r="AY69" s="80">
        <v>291973</v>
      </c>
      <c r="AZ69" s="80">
        <v>298289</v>
      </c>
      <c r="BA69" s="80">
        <v>306349</v>
      </c>
      <c r="BB69" s="80">
        <v>77622</v>
      </c>
      <c r="BC69" s="80">
        <v>86283</v>
      </c>
      <c r="BD69" s="80">
        <v>94285</v>
      </c>
      <c r="BE69" s="80">
        <v>101469</v>
      </c>
      <c r="BF69" s="80">
        <v>63669</v>
      </c>
      <c r="BG69" s="80">
        <v>116588</v>
      </c>
      <c r="BH69" s="80">
        <v>124093</v>
      </c>
      <c r="BI69" s="80">
        <v>122411</v>
      </c>
      <c r="BJ69" s="80">
        <v>57015</v>
      </c>
      <c r="BK69" s="80">
        <v>65266</v>
      </c>
      <c r="BL69" s="80">
        <v>74227</v>
      </c>
      <c r="BM69" s="80">
        <v>68933</v>
      </c>
      <c r="BN69" s="80">
        <v>76869</v>
      </c>
      <c r="BO69" s="80">
        <v>84350</v>
      </c>
      <c r="BP69" s="80">
        <v>94031</v>
      </c>
      <c r="BQ69" s="80">
        <v>92620</v>
      </c>
      <c r="BR69" s="80">
        <v>100815</v>
      </c>
      <c r="BS69" s="80">
        <v>108532</v>
      </c>
      <c r="BT69" s="80">
        <v>85966</v>
      </c>
      <c r="BU69" s="80">
        <v>85770</v>
      </c>
      <c r="BV69" s="80">
        <v>97277</v>
      </c>
      <c r="BW69" s="80">
        <v>108867</v>
      </c>
      <c r="BX69" s="80">
        <v>119375</v>
      </c>
      <c r="BY69" s="80">
        <v>98182</v>
      </c>
      <c r="BZ69" s="80">
        <v>110107</v>
      </c>
      <c r="CA69" s="80">
        <v>122518</v>
      </c>
      <c r="CB69" s="80">
        <v>128545</v>
      </c>
      <c r="CC69" s="80">
        <v>126270</v>
      </c>
      <c r="CD69" s="80">
        <v>136076</v>
      </c>
      <c r="CE69" s="80">
        <v>147508</v>
      </c>
      <c r="CF69" s="80">
        <v>166431</v>
      </c>
      <c r="CG69" s="80">
        <v>161904</v>
      </c>
      <c r="CH69" s="80">
        <v>176752</v>
      </c>
      <c r="CI69" s="80">
        <v>187048</v>
      </c>
      <c r="CJ69" s="80">
        <v>10215</v>
      </c>
      <c r="CK69" s="80">
        <v>6326</v>
      </c>
      <c r="CL69" s="80">
        <v>19218</v>
      </c>
    </row>
    <row r="70" spans="1:90" ht="16.350000000000001" customHeight="1">
      <c r="A70" s="68"/>
      <c r="B70" s="68"/>
      <c r="C70" s="100" t="s">
        <v>29</v>
      </c>
      <c r="D70" s="100" t="s">
        <v>30</v>
      </c>
      <c r="E70" s="80">
        <v>0</v>
      </c>
      <c r="F70" s="80">
        <v>0</v>
      </c>
      <c r="G70" s="80">
        <v>0</v>
      </c>
      <c r="H70" s="80">
        <v>1276</v>
      </c>
      <c r="I70" s="80">
        <v>1276</v>
      </c>
      <c r="J70" s="80">
        <v>1276</v>
      </c>
      <c r="K70" s="80">
        <v>1276</v>
      </c>
      <c r="L70" s="80">
        <v>25981</v>
      </c>
      <c r="M70" s="80">
        <v>25981</v>
      </c>
      <c r="N70" s="80">
        <v>25981</v>
      </c>
      <c r="O70" s="80">
        <v>25981</v>
      </c>
      <c r="P70" s="80">
        <v>55227</v>
      </c>
      <c r="Q70" s="80">
        <v>55227</v>
      </c>
      <c r="R70" s="80">
        <v>55227</v>
      </c>
      <c r="S70" s="80">
        <v>55227</v>
      </c>
      <c r="T70" s="80">
        <v>172626</v>
      </c>
      <c r="U70" s="80">
        <v>172626</v>
      </c>
      <c r="V70" s="80">
        <v>172626</v>
      </c>
      <c r="W70" s="80">
        <v>172625</v>
      </c>
      <c r="X70" s="80">
        <v>308819</v>
      </c>
      <c r="Y70" s="80">
        <v>308819</v>
      </c>
      <c r="Z70" s="80">
        <v>220023</v>
      </c>
      <c r="AA70" s="80">
        <v>220023</v>
      </c>
      <c r="AB70" s="80">
        <v>441615</v>
      </c>
      <c r="AC70" s="80">
        <v>441614</v>
      </c>
      <c r="AD70" s="80">
        <v>297029</v>
      </c>
      <c r="AE70" s="80">
        <v>297030</v>
      </c>
      <c r="AF70" s="80">
        <v>539533</v>
      </c>
      <c r="AG70" s="80">
        <v>539533</v>
      </c>
      <c r="AH70" s="80">
        <v>381256</v>
      </c>
      <c r="AI70" s="80">
        <v>381256</v>
      </c>
      <c r="AJ70" s="80">
        <v>637061</v>
      </c>
      <c r="AK70" s="80">
        <v>637061</v>
      </c>
      <c r="AL70" s="80">
        <v>244844</v>
      </c>
      <c r="AM70" s="80">
        <v>244844</v>
      </c>
      <c r="AN70" s="80">
        <v>547794</v>
      </c>
      <c r="AO70" s="80">
        <v>547794</v>
      </c>
      <c r="AP70" s="80">
        <v>489287</v>
      </c>
      <c r="AQ70" s="80">
        <v>489287</v>
      </c>
      <c r="AR70" s="80">
        <v>839257</v>
      </c>
      <c r="AS70" s="80">
        <v>839257</v>
      </c>
      <c r="AT70" s="80">
        <v>417831</v>
      </c>
      <c r="AU70" s="80">
        <v>417831</v>
      </c>
      <c r="AV70" s="80">
        <v>844271</v>
      </c>
      <c r="AW70" s="80">
        <v>844271</v>
      </c>
      <c r="AX70" s="80">
        <v>765134</v>
      </c>
      <c r="AY70" s="80">
        <v>765134</v>
      </c>
      <c r="AZ70" s="80">
        <v>1216985</v>
      </c>
      <c r="BA70" s="80">
        <v>1216985</v>
      </c>
      <c r="BB70" s="80">
        <v>60168</v>
      </c>
      <c r="BC70" s="80">
        <v>60168</v>
      </c>
      <c r="BD70" s="80">
        <v>596022</v>
      </c>
      <c r="BE70" s="80">
        <v>596022</v>
      </c>
      <c r="BF70" s="80">
        <v>499775</v>
      </c>
      <c r="BG70" s="80">
        <v>499775</v>
      </c>
      <c r="BH70" s="80">
        <v>1235334</v>
      </c>
      <c r="BI70" s="80">
        <v>1235334</v>
      </c>
      <c r="BJ70" s="80">
        <v>50695</v>
      </c>
      <c r="BK70" s="80">
        <v>50695</v>
      </c>
      <c r="BL70" s="80">
        <v>869896</v>
      </c>
      <c r="BM70" s="80">
        <v>882788</v>
      </c>
      <c r="BN70" s="80">
        <v>869571</v>
      </c>
      <c r="BO70" s="80">
        <v>869571</v>
      </c>
      <c r="BP70" s="80">
        <v>1694515</v>
      </c>
      <c r="BQ70" s="80">
        <v>1694515</v>
      </c>
      <c r="BR70" s="80">
        <v>1694324</v>
      </c>
      <c r="BS70" s="80">
        <v>1694324</v>
      </c>
      <c r="BT70" s="80">
        <v>739901</v>
      </c>
      <c r="BU70" s="80">
        <v>739560</v>
      </c>
      <c r="BV70" s="80">
        <v>739560</v>
      </c>
      <c r="BW70" s="80">
        <v>739560</v>
      </c>
      <c r="BX70" s="80">
        <v>1382939</v>
      </c>
      <c r="BY70" s="80">
        <v>740301</v>
      </c>
      <c r="BZ70" s="80">
        <v>740301</v>
      </c>
      <c r="CA70" s="80">
        <v>740301</v>
      </c>
      <c r="CB70" s="80">
        <v>1034514</v>
      </c>
      <c r="CC70" s="80">
        <v>1034514</v>
      </c>
      <c r="CD70" s="80">
        <v>1034514</v>
      </c>
      <c r="CE70" s="80">
        <v>1034514</v>
      </c>
      <c r="CF70" s="80">
        <v>1078994</v>
      </c>
      <c r="CG70" s="80">
        <v>1078994</v>
      </c>
      <c r="CH70" s="80">
        <v>1078994</v>
      </c>
      <c r="CI70" s="80">
        <v>1078994</v>
      </c>
      <c r="CJ70" s="80">
        <v>1148816</v>
      </c>
      <c r="CK70" s="80">
        <v>1148816</v>
      </c>
      <c r="CL70" s="80">
        <v>1148816</v>
      </c>
    </row>
    <row r="71" spans="1:90" ht="16.350000000000001" customHeight="1">
      <c r="A71" s="68"/>
      <c r="B71" s="68"/>
      <c r="C71" s="100" t="s">
        <v>2545</v>
      </c>
      <c r="D71" s="100" t="s">
        <v>2544</v>
      </c>
      <c r="E71" s="80" t="s">
        <v>53</v>
      </c>
      <c r="F71" s="80" t="s">
        <v>53</v>
      </c>
      <c r="G71" s="80" t="s">
        <v>53</v>
      </c>
      <c r="H71" s="80" t="s">
        <v>53</v>
      </c>
      <c r="I71" s="80">
        <v>0</v>
      </c>
      <c r="J71" s="80" t="s">
        <v>53</v>
      </c>
      <c r="K71" s="80" t="s">
        <v>53</v>
      </c>
      <c r="L71" s="80">
        <v>0</v>
      </c>
      <c r="M71" s="80" t="s">
        <v>53</v>
      </c>
      <c r="N71" s="80" t="s">
        <v>53</v>
      </c>
      <c r="O71" s="80">
        <v>0</v>
      </c>
      <c r="P71" s="80" t="s">
        <v>53</v>
      </c>
      <c r="Q71" s="80" t="s">
        <v>53</v>
      </c>
      <c r="R71" s="80">
        <v>0</v>
      </c>
      <c r="S71" s="80" t="s">
        <v>53</v>
      </c>
      <c r="T71" s="80" t="s">
        <v>53</v>
      </c>
      <c r="U71" s="80">
        <v>0</v>
      </c>
      <c r="V71" s="80">
        <v>0</v>
      </c>
      <c r="W71" s="80">
        <v>-1175</v>
      </c>
      <c r="X71" s="80">
        <v>-1512</v>
      </c>
      <c r="Y71" s="80">
        <v>-949</v>
      </c>
      <c r="Z71" s="80">
        <v>-514</v>
      </c>
      <c r="AA71" s="80">
        <v>-2565</v>
      </c>
      <c r="AB71" s="80">
        <v>-2610</v>
      </c>
      <c r="AC71" s="80">
        <v>-972</v>
      </c>
      <c r="AD71" s="80">
        <v>-1392</v>
      </c>
      <c r="AE71" s="80">
        <v>8271</v>
      </c>
      <c r="AF71" s="80">
        <v>2140</v>
      </c>
      <c r="AG71" s="80">
        <v>-2180</v>
      </c>
      <c r="AH71" s="80">
        <v>2787</v>
      </c>
      <c r="AI71" s="80">
        <v>-2354</v>
      </c>
      <c r="AJ71" s="80">
        <v>-741</v>
      </c>
      <c r="AK71" s="80">
        <v>-1839</v>
      </c>
      <c r="AL71" s="80">
        <v>11542</v>
      </c>
      <c r="AM71" s="80">
        <v>2067</v>
      </c>
      <c r="AN71" s="80">
        <v>4817</v>
      </c>
      <c r="AO71" s="80">
        <v>-6691</v>
      </c>
      <c r="AP71" s="80">
        <v>-11479</v>
      </c>
      <c r="AQ71" s="80">
        <v>10912</v>
      </c>
      <c r="AR71" s="80">
        <v>19298</v>
      </c>
      <c r="AS71" s="80">
        <v>52854</v>
      </c>
      <c r="AT71" s="80">
        <v>16683</v>
      </c>
      <c r="AU71" s="80">
        <v>113094</v>
      </c>
      <c r="AV71" s="80">
        <v>64226</v>
      </c>
      <c r="AW71" s="80">
        <v>-13634</v>
      </c>
      <c r="AX71" s="80">
        <v>-62201</v>
      </c>
      <c r="AY71" s="80">
        <v>-49556</v>
      </c>
      <c r="AZ71" s="80">
        <v>-37825</v>
      </c>
      <c r="BA71" s="80">
        <v>-21997</v>
      </c>
      <c r="BB71" s="80">
        <v>3394</v>
      </c>
      <c r="BC71" s="80">
        <v>-10478</v>
      </c>
      <c r="BD71" s="80">
        <v>4100</v>
      </c>
      <c r="BE71" s="80">
        <v>3519</v>
      </c>
      <c r="BF71" s="80">
        <v>37572</v>
      </c>
      <c r="BG71" s="80">
        <v>23289</v>
      </c>
      <c r="BH71" s="80">
        <v>2148</v>
      </c>
      <c r="BI71" s="80">
        <v>6009</v>
      </c>
      <c r="BJ71" s="80">
        <v>-3086</v>
      </c>
      <c r="BK71" s="80">
        <v>6252</v>
      </c>
      <c r="BL71" s="80">
        <v>-13189</v>
      </c>
      <c r="BM71" s="80">
        <v>108164</v>
      </c>
      <c r="BN71" s="80">
        <v>91986</v>
      </c>
      <c r="BO71" s="80">
        <v>93978</v>
      </c>
      <c r="BP71" s="80">
        <v>26905</v>
      </c>
      <c r="BQ71" s="80">
        <v>89465</v>
      </c>
      <c r="BR71" s="80">
        <v>13781</v>
      </c>
      <c r="BS71" s="80">
        <v>103269</v>
      </c>
      <c r="BT71" s="80">
        <v>111025</v>
      </c>
      <c r="BU71" s="80">
        <v>-10585</v>
      </c>
      <c r="BV71" s="80">
        <v>124988</v>
      </c>
      <c r="BW71" s="80">
        <v>153646</v>
      </c>
      <c r="BX71" s="80">
        <v>115736</v>
      </c>
      <c r="BY71" s="80">
        <v>98361</v>
      </c>
      <c r="BZ71" s="80">
        <v>75610</v>
      </c>
      <c r="CA71" s="80">
        <v>114397</v>
      </c>
      <c r="CB71" s="80">
        <v>27537</v>
      </c>
      <c r="CC71" s="80">
        <v>75586</v>
      </c>
      <c r="CD71" s="80">
        <v>117190</v>
      </c>
      <c r="CE71" s="80">
        <v>89401</v>
      </c>
      <c r="CF71" s="80">
        <v>141012</v>
      </c>
      <c r="CG71" s="80">
        <v>96251</v>
      </c>
      <c r="CH71" s="80">
        <v>61827</v>
      </c>
      <c r="CI71" s="80">
        <v>41125</v>
      </c>
      <c r="CJ71" s="80">
        <v>96811</v>
      </c>
      <c r="CK71" s="80">
        <v>60102</v>
      </c>
      <c r="CL71" s="80">
        <v>77579</v>
      </c>
    </row>
    <row r="72" spans="1:90" ht="16.350000000000001" customHeight="1">
      <c r="A72" s="68"/>
      <c r="B72" s="68"/>
      <c r="C72" s="101" t="s">
        <v>536</v>
      </c>
      <c r="D72" s="101" t="s">
        <v>2370</v>
      </c>
      <c r="E72" s="85">
        <v>-10819</v>
      </c>
      <c r="F72" s="85">
        <v>21881</v>
      </c>
      <c r="G72" s="85">
        <v>21255</v>
      </c>
      <c r="H72" s="85">
        <v>0</v>
      </c>
      <c r="I72" s="85">
        <v>13469</v>
      </c>
      <c r="J72" s="85">
        <v>36342</v>
      </c>
      <c r="K72" s="85">
        <v>37005</v>
      </c>
      <c r="L72" s="85">
        <v>0</v>
      </c>
      <c r="M72" s="85">
        <v>16777</v>
      </c>
      <c r="N72" s="85">
        <v>57223</v>
      </c>
      <c r="O72" s="85">
        <v>93054</v>
      </c>
      <c r="P72" s="85">
        <v>0</v>
      </c>
      <c r="Q72" s="85">
        <v>25095</v>
      </c>
      <c r="R72" s="85">
        <v>68632</v>
      </c>
      <c r="S72" s="85">
        <v>97044</v>
      </c>
      <c r="T72" s="85">
        <v>0</v>
      </c>
      <c r="U72" s="85">
        <v>10860</v>
      </c>
      <c r="V72" s="80">
        <v>58683</v>
      </c>
      <c r="W72" s="85">
        <v>89278</v>
      </c>
      <c r="X72" s="85">
        <v>0</v>
      </c>
      <c r="Y72" s="85">
        <v>36903</v>
      </c>
      <c r="Z72" s="85">
        <v>127861</v>
      </c>
      <c r="AA72" s="85">
        <v>184859</v>
      </c>
      <c r="AB72" s="85">
        <v>0</v>
      </c>
      <c r="AC72" s="85">
        <v>29113</v>
      </c>
      <c r="AD72" s="85">
        <v>123737</v>
      </c>
      <c r="AE72" s="85">
        <v>161057</v>
      </c>
      <c r="AF72" s="85">
        <v>0</v>
      </c>
      <c r="AG72" s="85">
        <v>15429</v>
      </c>
      <c r="AH72" s="85">
        <v>98228</v>
      </c>
      <c r="AI72" s="85">
        <v>146727</v>
      </c>
      <c r="AJ72" s="85" t="s">
        <v>53</v>
      </c>
      <c r="AK72" s="85">
        <v>7796</v>
      </c>
      <c r="AL72" s="85">
        <v>91513</v>
      </c>
      <c r="AM72" s="85">
        <v>148396</v>
      </c>
      <c r="AN72" s="85">
        <v>0</v>
      </c>
      <c r="AO72" s="85">
        <v>33546</v>
      </c>
      <c r="AP72" s="85">
        <v>134229</v>
      </c>
      <c r="AQ72" s="85">
        <v>199351</v>
      </c>
      <c r="AR72" s="85">
        <v>0</v>
      </c>
      <c r="AS72" s="85">
        <v>49393</v>
      </c>
      <c r="AT72" s="85">
        <v>180895</v>
      </c>
      <c r="AU72" s="85">
        <v>247027</v>
      </c>
      <c r="AV72" s="85">
        <v>0</v>
      </c>
      <c r="AW72" s="85">
        <v>24815</v>
      </c>
      <c r="AX72" s="85">
        <v>158452</v>
      </c>
      <c r="AY72" s="85">
        <v>198520</v>
      </c>
      <c r="AZ72" s="85">
        <v>0</v>
      </c>
      <c r="BA72" s="85">
        <v>18966</v>
      </c>
      <c r="BB72" s="85">
        <v>166604</v>
      </c>
      <c r="BC72" s="85">
        <v>256829</v>
      </c>
      <c r="BD72" s="85">
        <v>0</v>
      </c>
      <c r="BE72" s="85">
        <v>38349</v>
      </c>
      <c r="BF72" s="85">
        <v>260720</v>
      </c>
      <c r="BG72" s="85">
        <v>397886</v>
      </c>
      <c r="BH72" s="85">
        <v>0</v>
      </c>
      <c r="BI72" s="85">
        <v>89211</v>
      </c>
      <c r="BJ72" s="85">
        <v>258777</v>
      </c>
      <c r="BK72" s="85">
        <v>383157</v>
      </c>
      <c r="BL72" s="85">
        <v>0</v>
      </c>
      <c r="BM72" s="85">
        <v>-64106</v>
      </c>
      <c r="BN72" s="85">
        <v>711086</v>
      </c>
      <c r="BO72" s="85">
        <v>562164</v>
      </c>
      <c r="BP72" s="85">
        <v>0</v>
      </c>
      <c r="BQ72" s="85">
        <v>-206005</v>
      </c>
      <c r="BR72" s="85">
        <v>-100645</v>
      </c>
      <c r="BS72" s="85">
        <v>-43161</v>
      </c>
      <c r="BT72" s="85">
        <v>0</v>
      </c>
      <c r="BU72" s="85">
        <v>50193</v>
      </c>
      <c r="BV72" s="85">
        <v>251572</v>
      </c>
      <c r="BW72" s="85">
        <v>340154</v>
      </c>
      <c r="BX72" s="80">
        <v>0</v>
      </c>
      <c r="BY72" s="80">
        <v>-127464</v>
      </c>
      <c r="BZ72" s="80">
        <v>-69940</v>
      </c>
      <c r="CA72" s="80">
        <v>-68750</v>
      </c>
      <c r="CB72" s="80">
        <v>0</v>
      </c>
      <c r="CC72" s="80">
        <v>-4445</v>
      </c>
      <c r="CD72" s="80">
        <v>161461</v>
      </c>
      <c r="CE72" s="80">
        <v>255373</v>
      </c>
      <c r="CF72" s="80">
        <v>0</v>
      </c>
      <c r="CG72" s="80">
        <v>31453</v>
      </c>
      <c r="CH72" s="80">
        <v>232817</v>
      </c>
      <c r="CI72" s="80">
        <v>294343</v>
      </c>
      <c r="CJ72" s="80">
        <v>0</v>
      </c>
      <c r="CK72" s="439">
        <v>39826</v>
      </c>
      <c r="CL72" s="439">
        <v>224049</v>
      </c>
    </row>
    <row r="73" spans="1:90" ht="16.350000000000001" customHeight="1">
      <c r="C73" s="441"/>
      <c r="D73" s="441"/>
      <c r="E73" s="441"/>
      <c r="F73" s="441"/>
      <c r="G73" s="441"/>
      <c r="H73" s="441"/>
      <c r="I73" s="441"/>
      <c r="J73" s="441"/>
      <c r="K73" s="441"/>
      <c r="L73" s="441"/>
      <c r="M73" s="441"/>
      <c r="N73" s="441"/>
      <c r="O73" s="441"/>
      <c r="P73" s="441"/>
      <c r="Q73" s="441"/>
      <c r="R73" s="441"/>
      <c r="S73" s="441"/>
      <c r="T73" s="441"/>
      <c r="U73" s="441"/>
      <c r="V73" s="441"/>
      <c r="W73" s="441"/>
      <c r="X73" s="441"/>
      <c r="Y73" s="441"/>
      <c r="Z73" s="441"/>
      <c r="AA73" s="441"/>
      <c r="AB73" s="441"/>
      <c r="AC73" s="441"/>
      <c r="AD73" s="441"/>
      <c r="AE73" s="441"/>
      <c r="AF73" s="441"/>
      <c r="AG73" s="441"/>
      <c r="AH73" s="441"/>
      <c r="AI73" s="441"/>
      <c r="AJ73" s="441"/>
      <c r="AK73" s="441"/>
      <c r="AL73" s="441"/>
      <c r="AM73" s="441"/>
      <c r="AN73" s="441"/>
      <c r="AO73" s="441"/>
      <c r="AP73" s="441"/>
      <c r="AQ73" s="441"/>
      <c r="AR73" s="441"/>
      <c r="AS73" s="441"/>
      <c r="AT73" s="441"/>
      <c r="AU73" s="441"/>
      <c r="AV73" s="441"/>
      <c r="AW73" s="441"/>
      <c r="AX73" s="441"/>
      <c r="AY73" s="441"/>
      <c r="AZ73" s="441"/>
      <c r="BA73" s="441"/>
      <c r="BB73" s="441"/>
      <c r="BC73" s="441"/>
      <c r="BD73" s="441"/>
      <c r="BE73" s="441"/>
      <c r="BF73" s="441"/>
      <c r="BG73" s="441"/>
      <c r="BH73" s="441"/>
      <c r="BI73" s="441"/>
      <c r="BJ73" s="441"/>
      <c r="BK73" s="441"/>
      <c r="BL73" s="441"/>
      <c r="BM73" s="441"/>
      <c r="BN73" s="441"/>
      <c r="BO73" s="441"/>
      <c r="BP73" s="441"/>
      <c r="BQ73" s="441"/>
      <c r="BR73" s="441"/>
      <c r="BS73" s="441"/>
      <c r="BT73" s="441"/>
      <c r="BU73" s="441"/>
      <c r="BV73" s="441"/>
      <c r="BW73" s="441"/>
      <c r="BX73" s="441"/>
      <c r="BY73" s="441"/>
      <c r="BZ73" s="441"/>
      <c r="CA73" s="441"/>
      <c r="CB73" s="441"/>
      <c r="CC73" s="441"/>
      <c r="CD73" s="441"/>
      <c r="CE73" s="441"/>
      <c r="CF73" s="441"/>
      <c r="CG73" s="441"/>
      <c r="CH73" s="441"/>
      <c r="CI73" s="441"/>
      <c r="CJ73" s="441"/>
      <c r="CK73" s="440"/>
      <c r="CL73" s="440"/>
    </row>
    <row r="74" spans="1:90" ht="16.350000000000001" customHeight="1">
      <c r="C74" s="442"/>
      <c r="D74" s="442"/>
      <c r="E74" s="442"/>
      <c r="F74" s="442"/>
      <c r="G74" s="442"/>
      <c r="H74" s="442"/>
      <c r="I74" s="442"/>
      <c r="J74" s="442"/>
      <c r="K74" s="442"/>
      <c r="L74" s="442"/>
      <c r="M74" s="442"/>
      <c r="N74" s="442"/>
      <c r="O74" s="442"/>
      <c r="P74" s="442"/>
      <c r="Q74" s="442"/>
      <c r="R74" s="442"/>
      <c r="S74" s="442"/>
      <c r="T74" s="442"/>
      <c r="U74" s="442"/>
      <c r="V74" s="442"/>
      <c r="W74" s="442"/>
      <c r="X74" s="442"/>
      <c r="Y74" s="442"/>
      <c r="Z74" s="442"/>
      <c r="AA74" s="442"/>
      <c r="AB74" s="442"/>
      <c r="AC74" s="442"/>
      <c r="AD74" s="442"/>
      <c r="AE74" s="442"/>
      <c r="AF74" s="442"/>
      <c r="AG74" s="442"/>
      <c r="AH74" s="442"/>
      <c r="AI74" s="442"/>
      <c r="AJ74" s="442"/>
      <c r="AK74" s="442"/>
      <c r="AL74" s="442"/>
      <c r="AM74" s="442"/>
      <c r="AN74" s="442"/>
      <c r="AO74" s="442"/>
      <c r="AP74" s="442"/>
      <c r="AQ74" s="442"/>
      <c r="AR74" s="442"/>
      <c r="AS74" s="442"/>
      <c r="AT74" s="442"/>
      <c r="AU74" s="442"/>
      <c r="AV74" s="442"/>
      <c r="AW74" s="442"/>
      <c r="AX74" s="442"/>
      <c r="AY74" s="442"/>
      <c r="AZ74" s="442"/>
      <c r="BA74" s="442"/>
      <c r="BB74" s="442"/>
      <c r="BC74" s="442"/>
      <c r="BD74" s="442"/>
      <c r="BE74" s="442"/>
      <c r="BF74" s="442"/>
      <c r="BG74" s="442"/>
      <c r="BH74" s="442"/>
      <c r="BI74" s="442"/>
      <c r="BJ74" s="442"/>
      <c r="BK74" s="442"/>
      <c r="BL74" s="442"/>
      <c r="BM74" s="442"/>
      <c r="BN74" s="442"/>
      <c r="BO74" s="442"/>
      <c r="BP74" s="442"/>
      <c r="BQ74" s="442"/>
      <c r="BR74" s="442"/>
      <c r="BS74" s="442"/>
      <c r="BT74" s="442"/>
      <c r="BU74" s="442"/>
      <c r="BV74" s="442"/>
      <c r="BW74" s="442"/>
      <c r="BX74" s="442"/>
      <c r="BY74" s="442"/>
      <c r="BZ74" s="442"/>
      <c r="CA74" s="442"/>
      <c r="CB74" s="442"/>
      <c r="CC74" s="442"/>
      <c r="CD74" s="442"/>
      <c r="CE74" s="442"/>
      <c r="CF74" s="442"/>
      <c r="CG74" s="442"/>
      <c r="CH74" s="442"/>
      <c r="CI74" s="442"/>
      <c r="CJ74" s="442"/>
      <c r="CK74" s="442"/>
      <c r="CL74" s="442"/>
    </row>
  </sheetData>
  <customSheetViews>
    <customSheetView guid="{E88E1926-5DA8-417A-8DB1-2CA24C2C419E}" showGridLines="0" fitToPage="1" hiddenColumns="1">
      <pane xSplit="2" ySplit="4" topLeftCell="GF5" activePane="bottomRight" state="frozen"/>
      <selection pane="bottomRight" activeCell="GJ10" sqref="GJ10"/>
      <colBreaks count="2" manualBreakCount="2">
        <brk id="23" min="3" max="62" man="1"/>
        <brk id="47" min="3" max="62" man="1"/>
      </colBreaks>
      <pageMargins left="0.25" right="0.25" top="0.75" bottom="0.75" header="0.3" footer="0.3"/>
      <printOptions horizontalCentered="1"/>
      <pageSetup paperSize="9" scale="10" orientation="portrait" horizontalDpi="300" verticalDpi="300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90" showGridLines="0" fitToPage="1" hiddenRows="1" hiddenColumns="1">
      <pane xSplit="2" ySplit="4" topLeftCell="GF32" activePane="bottomRight" state="frozen"/>
      <selection pane="bottomRight" activeCell="GP41" sqref="GP41"/>
      <colBreaks count="2" manualBreakCount="2">
        <brk id="23" min="3" max="62" man="1"/>
        <brk id="47" min="3" max="62" man="1"/>
      </colBreaks>
      <pageMargins left="0.25" right="0.25" top="0.75" bottom="0.75" header="0.3" footer="0.3"/>
      <printOptions horizontalCentered="1"/>
      <pageSetup paperSize="9" scale="10" orientation="portrait" horizontalDpi="300" verticalDpi="300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howGridLines="0" fitToPage="1" hiddenRows="1" hiddenColumns="1">
      <pane xSplit="2" ySplit="4" topLeftCell="GH41" activePane="bottomRight" state="frozen"/>
      <selection pane="bottomRight" activeCell="GM9" sqref="GM9"/>
      <colBreaks count="2" manualBreakCount="2">
        <brk id="23" min="3" max="62" man="1"/>
        <brk id="47" min="3" max="62" man="1"/>
      </colBreaks>
      <pageMargins left="0.25" right="0.25" top="0.75" bottom="0.75" header="0.3" footer="0.3"/>
      <printOptions horizontalCentered="1"/>
      <pageSetup paperSize="9" scale="10" orientation="portrait" horizontalDpi="300" verticalDpi="300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phoneticPr fontId="29" type="noConversion"/>
  <conditionalFormatting sqref="E4:CL4">
    <cfRule type="cellIs" dxfId="38" priority="1" operator="notEqual">
      <formula>0</formula>
    </cfRule>
  </conditionalFormatting>
  <printOptions horizontalCentered="1"/>
  <pageMargins left="0.25" right="0.25" top="0.75" bottom="0.75" header="0.3" footer="0.3"/>
  <pageSetup paperSize="9" scale="29" orientation="portrait" horizontalDpi="300" verticalDpi="300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olBreaks count="2" manualBreakCount="2">
    <brk id="12" min="5" max="64" man="1"/>
    <brk id="20" min="5" max="64" man="1"/>
  </colBreaks>
  <drawing r:id="rId5"/>
  <legacyDrawingHF r:id="rId6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3">
    <outlinePr summaryBelow="0"/>
    <pageSetUpPr fitToPage="1"/>
  </sheetPr>
  <dimension ref="A1:EW63"/>
  <sheetViews>
    <sheetView showGridLines="0" zoomScale="90" zoomScaleNormal="90" zoomScaleSheetLayoutView="100" workbookViewId="0">
      <pane xSplit="3" ySplit="7" topLeftCell="DK8" activePane="bottomRight" state="frozen"/>
      <selection pane="topRight"/>
      <selection pane="bottomLeft"/>
      <selection pane="bottomRight" activeCell="EU15" sqref="EU15"/>
    </sheetView>
  </sheetViews>
  <sheetFormatPr defaultColWidth="8.5703125" defaultRowHeight="16.350000000000001" customHeight="1" outlineLevelRow="2" outlineLevelCol="1"/>
  <cols>
    <col min="1" max="1" width="3.5703125" customWidth="1"/>
    <col min="2" max="2" width="44.5703125" bestFit="1" customWidth="1"/>
    <col min="3" max="3" width="51.5703125" bestFit="1" customWidth="1"/>
    <col min="4" max="9" width="12.5703125" hidden="1" customWidth="1" outlineLevel="1"/>
    <col min="10" max="10" width="12.5703125" customWidth="1" collapsed="1"/>
    <col min="11" max="16" width="12.5703125" hidden="1" customWidth="1" outlineLevel="1"/>
    <col min="17" max="17" width="12.5703125" customWidth="1" collapsed="1"/>
    <col min="18" max="23" width="12.5703125" hidden="1" customWidth="1" outlineLevel="1"/>
    <col min="24" max="24" width="12.5703125" customWidth="1" collapsed="1"/>
    <col min="25" max="28" width="12.5703125" hidden="1" customWidth="1" outlineLevel="1"/>
    <col min="29" max="29" width="11" hidden="1" customWidth="1" outlineLevel="1"/>
    <col min="30" max="30" width="12.5703125" hidden="1" customWidth="1" outlineLevel="1"/>
    <col min="31" max="31" width="12.5703125" customWidth="1" collapsed="1"/>
    <col min="32" max="37" width="12.5703125" hidden="1" customWidth="1" outlineLevel="1"/>
    <col min="38" max="38" width="12.5703125" customWidth="1" collapsed="1"/>
    <col min="39" max="44" width="12.5703125" hidden="1" customWidth="1" outlineLevel="1"/>
    <col min="45" max="45" width="12.5703125" customWidth="1" collapsed="1"/>
    <col min="46" max="47" width="12.5703125" hidden="1" customWidth="1" outlineLevel="1" collapsed="1"/>
    <col min="48" max="48" width="12.5703125" hidden="1" customWidth="1" outlineLevel="1"/>
    <col min="49" max="49" width="12.5703125" hidden="1" customWidth="1" outlineLevel="1" collapsed="1"/>
    <col min="50" max="51" width="12.5703125" hidden="1" customWidth="1" outlineLevel="1"/>
    <col min="52" max="52" width="12.5703125" customWidth="1" collapsed="1"/>
    <col min="53" max="53" width="12.5703125" hidden="1" customWidth="1" outlineLevel="1"/>
    <col min="54" max="54" width="12.5703125" hidden="1" customWidth="1" outlineLevel="1" collapsed="1"/>
    <col min="55" max="55" width="12.5703125" hidden="1" customWidth="1" outlineLevel="1"/>
    <col min="56" max="56" width="12.5703125" hidden="1" customWidth="1" outlineLevel="1" collapsed="1"/>
    <col min="57" max="57" width="12.5703125" hidden="1" customWidth="1" outlineLevel="1"/>
    <col min="58" max="58" width="12.5703125" hidden="1" customWidth="1" outlineLevel="1" collapsed="1"/>
    <col min="59" max="59" width="12.5703125" customWidth="1" collapsed="1"/>
    <col min="60" max="65" width="12.5703125" hidden="1" customWidth="1" outlineLevel="1"/>
    <col min="66" max="66" width="12.5703125" customWidth="1" collapsed="1"/>
    <col min="67" max="72" width="12.5703125" hidden="1" customWidth="1" outlineLevel="1"/>
    <col min="73" max="73" width="12.5703125" customWidth="1" collapsed="1"/>
    <col min="74" max="79" width="12.5703125" hidden="1" customWidth="1" outlineLevel="1"/>
    <col min="80" max="80" width="12.5703125" customWidth="1" collapsed="1"/>
    <col min="81" max="86" width="12.5703125" hidden="1" customWidth="1" outlineLevel="1"/>
    <col min="87" max="87" width="12.5703125" customWidth="1" collapsed="1"/>
    <col min="88" max="93" width="12.5703125" hidden="1" customWidth="1" outlineLevel="1"/>
    <col min="94" max="94" width="12.5703125" customWidth="1" collapsed="1"/>
    <col min="95" max="100" width="12.5703125" hidden="1" customWidth="1" outlineLevel="1"/>
    <col min="101" max="101" width="12.5703125" customWidth="1" collapsed="1"/>
    <col min="102" max="107" width="12.5703125" hidden="1" customWidth="1" outlineLevel="1"/>
    <col min="108" max="108" width="12.5703125" customWidth="1" collapsed="1"/>
    <col min="109" max="114" width="12.5703125" hidden="1" customWidth="1" outlineLevel="1"/>
    <col min="115" max="115" width="12.5703125" customWidth="1" collapsed="1"/>
    <col min="116" max="118" width="12.5703125" hidden="1" customWidth="1" outlineLevel="1"/>
    <col min="119" max="119" width="11.42578125" hidden="1" customWidth="1" outlineLevel="1"/>
    <col min="120" max="121" width="12.5703125" hidden="1" customWidth="1" outlineLevel="1"/>
    <col min="122" max="122" width="12.5703125" customWidth="1" collapsed="1"/>
    <col min="123" max="128" width="12.5703125" hidden="1" customWidth="1" outlineLevel="1"/>
    <col min="129" max="129" width="12.5703125" customWidth="1" collapsed="1"/>
    <col min="130" max="135" width="12.5703125" hidden="1" customWidth="1" outlineLevel="1"/>
    <col min="136" max="136" width="12.5703125" customWidth="1" collapsed="1"/>
    <col min="137" max="142" width="12.5703125" hidden="1" customWidth="1" outlineLevel="1"/>
    <col min="143" max="143" width="12.5703125" customWidth="1" collapsed="1"/>
    <col min="144" max="146" width="12.5703125" hidden="1" customWidth="1" outlineLevel="1"/>
    <col min="147" max="147" width="12.42578125" hidden="1" customWidth="1" outlineLevel="1"/>
    <col min="148" max="148" width="12.5703125" hidden="1" customWidth="1" outlineLevel="1"/>
    <col min="149" max="149" width="12.42578125" hidden="1" customWidth="1" outlineLevel="1"/>
    <col min="150" max="150" width="15" customWidth="1" collapsed="1"/>
    <col min="151" max="153" width="12.5703125" customWidth="1"/>
  </cols>
  <sheetData>
    <row r="1" spans="1:153" ht="16.350000000000001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G1" s="7"/>
      <c r="EH1" s="7"/>
      <c r="EI1" s="7"/>
      <c r="EJ1" s="7"/>
      <c r="EK1" s="7"/>
      <c r="EL1" s="7"/>
      <c r="EM1" s="7"/>
      <c r="EN1" s="7"/>
      <c r="EO1" s="7"/>
      <c r="EP1" s="7"/>
      <c r="EU1" s="7"/>
      <c r="EV1" s="7"/>
      <c r="EW1" s="7"/>
    </row>
    <row r="2" spans="1:153" ht="16.35000000000000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G2" s="7"/>
      <c r="EH2" s="7"/>
      <c r="EI2" s="7"/>
      <c r="EJ2" s="7"/>
      <c r="EK2" s="7"/>
      <c r="EL2" s="7"/>
      <c r="EM2" s="7"/>
      <c r="EN2" s="7"/>
      <c r="EO2" s="7"/>
      <c r="EP2" s="7"/>
      <c r="EU2" s="7"/>
      <c r="EV2" s="7"/>
      <c r="EW2" s="7"/>
    </row>
    <row r="3" spans="1:153" ht="16.35000000000000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G3" s="7"/>
      <c r="EH3" s="7"/>
      <c r="EI3" s="7"/>
      <c r="EJ3" s="7"/>
      <c r="EK3" s="7"/>
      <c r="EL3" s="7"/>
      <c r="EM3" s="7"/>
      <c r="EN3" s="7"/>
      <c r="EO3" s="7"/>
      <c r="EP3" s="7"/>
      <c r="EU3" s="7"/>
      <c r="EV3" s="7"/>
      <c r="EW3" s="7"/>
    </row>
    <row r="4" spans="1:153" ht="16.350000000000001" customHeight="1">
      <c r="A4" s="7"/>
      <c r="B4" s="8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103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7"/>
      <c r="EU4" s="7"/>
      <c r="EV4" s="7"/>
      <c r="EW4" s="7"/>
    </row>
    <row r="5" spans="1:153" ht="16.350000000000001" customHeight="1">
      <c r="A5" s="9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2"/>
      <c r="AV5" s="12"/>
      <c r="AW5" s="12"/>
      <c r="AX5" s="12"/>
      <c r="AY5" s="12"/>
      <c r="AZ5" s="12"/>
      <c r="BA5" s="9"/>
      <c r="BB5" s="12"/>
      <c r="BC5" s="12"/>
      <c r="BD5" s="12"/>
      <c r="BE5" s="12"/>
      <c r="BF5" s="12"/>
      <c r="BG5" s="12"/>
      <c r="BH5" s="12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13"/>
      <c r="CD5" s="9"/>
      <c r="CE5" s="9"/>
      <c r="CF5" s="9"/>
      <c r="CG5" s="9"/>
      <c r="CH5" s="9"/>
      <c r="CI5" s="9"/>
      <c r="CJ5" s="13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7"/>
      <c r="DM5" s="7"/>
      <c r="DN5" s="14"/>
      <c r="DO5" s="7"/>
      <c r="DP5" s="7"/>
      <c r="DQ5" s="7"/>
      <c r="DR5" s="7"/>
      <c r="DS5" s="7"/>
      <c r="DT5" s="7"/>
      <c r="DU5" s="14"/>
      <c r="DV5" s="7"/>
      <c r="DW5" s="14"/>
      <c r="DX5" s="7"/>
      <c r="DY5" s="14"/>
      <c r="DZ5" s="7"/>
      <c r="EG5" s="7"/>
      <c r="EH5" s="7"/>
      <c r="EI5" s="7"/>
      <c r="EJ5" s="7"/>
      <c r="EK5" s="7"/>
      <c r="EL5" s="7"/>
      <c r="EM5" s="7"/>
      <c r="EN5" s="7"/>
      <c r="EO5" s="7"/>
      <c r="EP5" s="7"/>
      <c r="EU5" s="142"/>
      <c r="EV5" s="7"/>
      <c r="EW5" s="7"/>
    </row>
    <row r="6" spans="1:153" ht="16.350000000000001" customHeight="1">
      <c r="A6" s="16"/>
      <c r="B6" s="437" t="s">
        <v>357</v>
      </c>
      <c r="C6" s="437" t="s">
        <v>456</v>
      </c>
      <c r="D6" s="447" t="s">
        <v>228</v>
      </c>
      <c r="E6" s="447" t="s">
        <v>229</v>
      </c>
      <c r="F6" s="447" t="s">
        <v>321</v>
      </c>
      <c r="G6" s="447" t="s">
        <v>230</v>
      </c>
      <c r="H6" s="447" t="s">
        <v>31</v>
      </c>
      <c r="I6" s="447" t="s">
        <v>231</v>
      </c>
      <c r="J6" s="454">
        <v>2005</v>
      </c>
      <c r="K6" s="454" t="s">
        <v>232</v>
      </c>
      <c r="L6" s="454" t="s">
        <v>233</v>
      </c>
      <c r="M6" s="454" t="s">
        <v>322</v>
      </c>
      <c r="N6" s="454" t="s">
        <v>234</v>
      </c>
      <c r="O6" s="454" t="s">
        <v>32</v>
      </c>
      <c r="P6" s="454" t="s">
        <v>235</v>
      </c>
      <c r="Q6" s="454">
        <v>2006</v>
      </c>
      <c r="R6" s="454" t="s">
        <v>236</v>
      </c>
      <c r="S6" s="454" t="s">
        <v>237</v>
      </c>
      <c r="T6" s="454" t="s">
        <v>323</v>
      </c>
      <c r="U6" s="454" t="s">
        <v>238</v>
      </c>
      <c r="V6" s="454" t="s">
        <v>33</v>
      </c>
      <c r="W6" s="454" t="s">
        <v>239</v>
      </c>
      <c r="X6" s="454">
        <v>2007</v>
      </c>
      <c r="Y6" s="454" t="s">
        <v>240</v>
      </c>
      <c r="Z6" s="454" t="s">
        <v>241</v>
      </c>
      <c r="AA6" s="454" t="s">
        <v>324</v>
      </c>
      <c r="AB6" s="454" t="s">
        <v>242</v>
      </c>
      <c r="AC6" s="454" t="s">
        <v>34</v>
      </c>
      <c r="AD6" s="454" t="s">
        <v>243</v>
      </c>
      <c r="AE6" s="454">
        <v>2008</v>
      </c>
      <c r="AF6" s="454" t="s">
        <v>244</v>
      </c>
      <c r="AG6" s="454" t="s">
        <v>245</v>
      </c>
      <c r="AH6" s="454" t="s">
        <v>325</v>
      </c>
      <c r="AI6" s="454" t="s">
        <v>246</v>
      </c>
      <c r="AJ6" s="454" t="s">
        <v>35</v>
      </c>
      <c r="AK6" s="454" t="s">
        <v>247</v>
      </c>
      <c r="AL6" s="454">
        <v>2009</v>
      </c>
      <c r="AM6" s="454" t="s">
        <v>248</v>
      </c>
      <c r="AN6" s="454" t="s">
        <v>249</v>
      </c>
      <c r="AO6" s="454" t="s">
        <v>326</v>
      </c>
      <c r="AP6" s="454" t="s">
        <v>250</v>
      </c>
      <c r="AQ6" s="454" t="s">
        <v>36</v>
      </c>
      <c r="AR6" s="454" t="s">
        <v>251</v>
      </c>
      <c r="AS6" s="454">
        <v>2010</v>
      </c>
      <c r="AT6" s="454" t="s">
        <v>252</v>
      </c>
      <c r="AU6" s="454" t="s">
        <v>253</v>
      </c>
      <c r="AV6" s="454" t="s">
        <v>327</v>
      </c>
      <c r="AW6" s="454" t="s">
        <v>254</v>
      </c>
      <c r="AX6" s="454" t="s">
        <v>82</v>
      </c>
      <c r="AY6" s="454" t="s">
        <v>83</v>
      </c>
      <c r="AZ6" s="454">
        <v>2011</v>
      </c>
      <c r="BA6" s="454" t="s">
        <v>255</v>
      </c>
      <c r="BB6" s="454" t="s">
        <v>256</v>
      </c>
      <c r="BC6" s="454" t="s">
        <v>328</v>
      </c>
      <c r="BD6" s="454" t="s">
        <v>257</v>
      </c>
      <c r="BE6" s="454" t="s">
        <v>87</v>
      </c>
      <c r="BF6" s="454" t="s">
        <v>258</v>
      </c>
      <c r="BG6" s="454">
        <v>2012</v>
      </c>
      <c r="BH6" s="454" t="s">
        <v>259</v>
      </c>
      <c r="BI6" s="454" t="s">
        <v>260</v>
      </c>
      <c r="BJ6" s="454" t="s">
        <v>329</v>
      </c>
      <c r="BK6" s="454" t="s">
        <v>261</v>
      </c>
      <c r="BL6" s="454" t="s">
        <v>89</v>
      </c>
      <c r="BM6" s="454" t="s">
        <v>262</v>
      </c>
      <c r="BN6" s="454">
        <v>2013</v>
      </c>
      <c r="BO6" s="454" t="s">
        <v>263</v>
      </c>
      <c r="BP6" s="454" t="s">
        <v>264</v>
      </c>
      <c r="BQ6" s="454" t="s">
        <v>330</v>
      </c>
      <c r="BR6" s="454" t="s">
        <v>265</v>
      </c>
      <c r="BS6" s="454" t="s">
        <v>93</v>
      </c>
      <c r="BT6" s="454" t="s">
        <v>266</v>
      </c>
      <c r="BU6" s="454">
        <v>2014</v>
      </c>
      <c r="BV6" s="454" t="s">
        <v>267</v>
      </c>
      <c r="BW6" s="454" t="s">
        <v>268</v>
      </c>
      <c r="BX6" s="454" t="s">
        <v>331</v>
      </c>
      <c r="BY6" s="454" t="s">
        <v>269</v>
      </c>
      <c r="BZ6" s="454" t="s">
        <v>103</v>
      </c>
      <c r="CA6" s="454" t="s">
        <v>270</v>
      </c>
      <c r="CB6" s="454">
        <v>2015</v>
      </c>
      <c r="CC6" s="454" t="s">
        <v>271</v>
      </c>
      <c r="CD6" s="454" t="s">
        <v>272</v>
      </c>
      <c r="CE6" s="454" t="s">
        <v>332</v>
      </c>
      <c r="CF6" s="454" t="s">
        <v>273</v>
      </c>
      <c r="CG6" s="454" t="s">
        <v>189</v>
      </c>
      <c r="CH6" s="454" t="s">
        <v>274</v>
      </c>
      <c r="CI6" s="454">
        <v>2016</v>
      </c>
      <c r="CJ6" s="454" t="s">
        <v>275</v>
      </c>
      <c r="CK6" s="454" t="s">
        <v>276</v>
      </c>
      <c r="CL6" s="454" t="s">
        <v>333</v>
      </c>
      <c r="CM6" s="454" t="s">
        <v>227</v>
      </c>
      <c r="CN6" s="454" t="s">
        <v>203</v>
      </c>
      <c r="CO6" s="454" t="s">
        <v>277</v>
      </c>
      <c r="CP6" s="454">
        <v>2017</v>
      </c>
      <c r="CQ6" s="454" t="s">
        <v>278</v>
      </c>
      <c r="CR6" s="454" t="s">
        <v>279</v>
      </c>
      <c r="CS6" s="454" t="s">
        <v>334</v>
      </c>
      <c r="CT6" s="454" t="s">
        <v>207</v>
      </c>
      <c r="CU6" s="454" t="s">
        <v>213</v>
      </c>
      <c r="CV6" s="454" t="s">
        <v>212</v>
      </c>
      <c r="CW6" s="454">
        <v>2018</v>
      </c>
      <c r="CX6" s="454" t="s">
        <v>215</v>
      </c>
      <c r="CY6" s="454" t="s">
        <v>217</v>
      </c>
      <c r="CZ6" s="454" t="s">
        <v>335</v>
      </c>
      <c r="DA6" s="454" t="s">
        <v>220</v>
      </c>
      <c r="DB6" s="454" t="s">
        <v>219</v>
      </c>
      <c r="DC6" s="454" t="s">
        <v>221</v>
      </c>
      <c r="DD6" s="454">
        <v>2019</v>
      </c>
      <c r="DE6" s="454" t="s">
        <v>223</v>
      </c>
      <c r="DF6" s="454" t="s">
        <v>225</v>
      </c>
      <c r="DG6" s="454" t="s">
        <v>336</v>
      </c>
      <c r="DH6" s="454" t="s">
        <v>224</v>
      </c>
      <c r="DI6" s="454" t="s">
        <v>226</v>
      </c>
      <c r="DJ6" s="454" t="s">
        <v>280</v>
      </c>
      <c r="DK6" s="454">
        <v>2020</v>
      </c>
      <c r="DL6" s="454" t="s">
        <v>282</v>
      </c>
      <c r="DM6" s="454" t="s">
        <v>320</v>
      </c>
      <c r="DN6" s="454" t="s">
        <v>337</v>
      </c>
      <c r="DO6" s="454" t="s">
        <v>341</v>
      </c>
      <c r="DP6" s="454" t="s">
        <v>342</v>
      </c>
      <c r="DQ6" s="454" t="s">
        <v>345</v>
      </c>
      <c r="DR6" s="454">
        <v>2021</v>
      </c>
      <c r="DS6" s="454" t="s">
        <v>350</v>
      </c>
      <c r="DT6" s="454" t="s">
        <v>468</v>
      </c>
      <c r="DU6" s="454" t="s">
        <v>469</v>
      </c>
      <c r="DV6" s="454" t="s">
        <v>511</v>
      </c>
      <c r="DW6" s="454" t="s">
        <v>514</v>
      </c>
      <c r="DX6" s="454" t="s">
        <v>519</v>
      </c>
      <c r="DY6" s="454">
        <v>2022</v>
      </c>
      <c r="DZ6" s="454" t="s">
        <v>535</v>
      </c>
      <c r="EA6" s="454" t="s">
        <v>614</v>
      </c>
      <c r="EB6" s="454" t="s">
        <v>615</v>
      </c>
      <c r="EC6" s="454" t="s">
        <v>616</v>
      </c>
      <c r="ED6" s="454" t="s">
        <v>617</v>
      </c>
      <c r="EE6" s="454" t="s">
        <v>642</v>
      </c>
      <c r="EF6" s="454">
        <v>2023</v>
      </c>
      <c r="EG6" s="454" t="s">
        <v>645</v>
      </c>
      <c r="EH6" s="454" t="s">
        <v>1488</v>
      </c>
      <c r="EI6" s="454" t="s">
        <v>1492</v>
      </c>
      <c r="EJ6" s="454" t="s">
        <v>2271</v>
      </c>
      <c r="EK6" s="454" t="s">
        <v>2272</v>
      </c>
      <c r="EL6" s="454" t="s">
        <v>2298</v>
      </c>
      <c r="EM6" s="454">
        <v>2024</v>
      </c>
      <c r="EN6" s="454" t="s">
        <v>2315</v>
      </c>
      <c r="EO6" s="454" t="s">
        <v>2427</v>
      </c>
      <c r="EP6" s="454" t="s">
        <v>2428</v>
      </c>
      <c r="EQ6" s="454" t="s">
        <v>2444</v>
      </c>
      <c r="ER6" s="454" t="s">
        <v>2445</v>
      </c>
      <c r="ES6" s="454" t="s">
        <v>2541</v>
      </c>
      <c r="ET6" s="454">
        <v>2025</v>
      </c>
      <c r="EU6" s="454" t="s">
        <v>2557</v>
      </c>
      <c r="EV6" s="454" t="s">
        <v>2613</v>
      </c>
      <c r="EW6" s="454" t="s">
        <v>2614</v>
      </c>
    </row>
    <row r="7" spans="1:153" ht="16.350000000000001" customHeight="1">
      <c r="A7" s="18"/>
      <c r="B7" s="19" t="s">
        <v>179</v>
      </c>
      <c r="C7" s="19" t="s">
        <v>653</v>
      </c>
      <c r="D7" s="104" t="s">
        <v>624</v>
      </c>
      <c r="E7" s="104" t="s">
        <v>624</v>
      </c>
      <c r="F7" s="104" t="s">
        <v>624</v>
      </c>
      <c r="G7" s="104" t="s">
        <v>624</v>
      </c>
      <c r="H7" s="104" t="s">
        <v>624</v>
      </c>
      <c r="I7" s="104" t="s">
        <v>624</v>
      </c>
      <c r="J7" s="104" t="s">
        <v>624</v>
      </c>
      <c r="K7" s="104" t="s">
        <v>624</v>
      </c>
      <c r="L7" s="104" t="s">
        <v>624</v>
      </c>
      <c r="M7" s="104" t="s">
        <v>624</v>
      </c>
      <c r="N7" s="104" t="s">
        <v>624</v>
      </c>
      <c r="O7" s="104" t="s">
        <v>624</v>
      </c>
      <c r="P7" s="104" t="s">
        <v>624</v>
      </c>
      <c r="Q7" s="104" t="s">
        <v>624</v>
      </c>
      <c r="R7" s="104" t="s">
        <v>624</v>
      </c>
      <c r="S7" s="104" t="s">
        <v>624</v>
      </c>
      <c r="T7" s="104" t="s">
        <v>624</v>
      </c>
      <c r="U7" s="104" t="s">
        <v>624</v>
      </c>
      <c r="V7" s="104" t="s">
        <v>624</v>
      </c>
      <c r="W7" s="104" t="s">
        <v>624</v>
      </c>
      <c r="X7" s="104" t="s">
        <v>624</v>
      </c>
      <c r="Y7" s="104" t="s">
        <v>624</v>
      </c>
      <c r="Z7" s="104" t="s">
        <v>624</v>
      </c>
      <c r="AA7" s="104" t="s">
        <v>624</v>
      </c>
      <c r="AB7" s="104" t="s">
        <v>624</v>
      </c>
      <c r="AC7" s="104" t="s">
        <v>624</v>
      </c>
      <c r="AD7" s="104" t="s">
        <v>624</v>
      </c>
      <c r="AE7" s="104" t="s">
        <v>624</v>
      </c>
      <c r="AF7" s="104" t="s">
        <v>624</v>
      </c>
      <c r="AG7" s="104" t="s">
        <v>624</v>
      </c>
      <c r="AH7" s="104" t="s">
        <v>624</v>
      </c>
      <c r="AI7" s="104" t="s">
        <v>624</v>
      </c>
      <c r="AJ7" s="104" t="s">
        <v>624</v>
      </c>
      <c r="AK7" s="104" t="s">
        <v>624</v>
      </c>
      <c r="AL7" s="104" t="s">
        <v>624</v>
      </c>
      <c r="AM7" s="104" t="s">
        <v>624</v>
      </c>
      <c r="AN7" s="104" t="s">
        <v>624</v>
      </c>
      <c r="AO7" s="104" t="s">
        <v>624</v>
      </c>
      <c r="AP7" s="104" t="s">
        <v>624</v>
      </c>
      <c r="AQ7" s="104" t="s">
        <v>624</v>
      </c>
      <c r="AR7" s="104" t="s">
        <v>624</v>
      </c>
      <c r="AS7" s="104" t="s">
        <v>624</v>
      </c>
      <c r="AT7" s="104" t="s">
        <v>624</v>
      </c>
      <c r="AU7" s="104" t="s">
        <v>624</v>
      </c>
      <c r="AV7" s="104" t="s">
        <v>624</v>
      </c>
      <c r="AW7" s="104" t="s">
        <v>624</v>
      </c>
      <c r="AX7" s="104" t="s">
        <v>624</v>
      </c>
      <c r="AY7" s="104" t="s">
        <v>624</v>
      </c>
      <c r="AZ7" s="104" t="s">
        <v>624</v>
      </c>
      <c r="BA7" s="104" t="s">
        <v>624</v>
      </c>
      <c r="BB7" s="104" t="s">
        <v>624</v>
      </c>
      <c r="BC7" s="104" t="s">
        <v>624</v>
      </c>
      <c r="BD7" s="104" t="s">
        <v>624</v>
      </c>
      <c r="BE7" s="104" t="s">
        <v>624</v>
      </c>
      <c r="BF7" s="104" t="s">
        <v>624</v>
      </c>
      <c r="BG7" s="104" t="s">
        <v>624</v>
      </c>
      <c r="BH7" s="104" t="s">
        <v>624</v>
      </c>
      <c r="BI7" s="104" t="s">
        <v>624</v>
      </c>
      <c r="BJ7" s="104" t="s">
        <v>624</v>
      </c>
      <c r="BK7" s="104" t="s">
        <v>624</v>
      </c>
      <c r="BL7" s="104" t="s">
        <v>624</v>
      </c>
      <c r="BM7" s="104" t="s">
        <v>624</v>
      </c>
      <c r="BN7" s="104" t="s">
        <v>624</v>
      </c>
      <c r="BO7" s="104" t="s">
        <v>624</v>
      </c>
      <c r="BP7" s="104" t="s">
        <v>624</v>
      </c>
      <c r="BQ7" s="104" t="s">
        <v>624</v>
      </c>
      <c r="BR7" s="104" t="s">
        <v>624</v>
      </c>
      <c r="BS7" s="104" t="s">
        <v>624</v>
      </c>
      <c r="BT7" s="104" t="s">
        <v>624</v>
      </c>
      <c r="BU7" s="104" t="s">
        <v>624</v>
      </c>
      <c r="BV7" s="104" t="s">
        <v>624</v>
      </c>
      <c r="BW7" s="104" t="s">
        <v>624</v>
      </c>
      <c r="BX7" s="104" t="s">
        <v>624</v>
      </c>
      <c r="BY7" s="104" t="s">
        <v>624</v>
      </c>
      <c r="BZ7" s="104" t="s">
        <v>624</v>
      </c>
      <c r="CA7" s="104" t="s">
        <v>624</v>
      </c>
      <c r="CB7" s="104" t="s">
        <v>624</v>
      </c>
      <c r="CC7" s="104" t="s">
        <v>624</v>
      </c>
      <c r="CD7" s="104" t="s">
        <v>624</v>
      </c>
      <c r="CE7" s="104" t="s">
        <v>624</v>
      </c>
      <c r="CF7" s="104" t="s">
        <v>624</v>
      </c>
      <c r="CG7" s="104" t="s">
        <v>624</v>
      </c>
      <c r="CH7" s="104" t="s">
        <v>624</v>
      </c>
      <c r="CI7" s="104">
        <f>SUM(CG7:CH7)</f>
        <v>0</v>
      </c>
      <c r="CJ7" s="104" t="s">
        <v>624</v>
      </c>
      <c r="CK7" s="104" t="s">
        <v>624</v>
      </c>
      <c r="CL7" s="104" t="s">
        <v>624</v>
      </c>
      <c r="CM7" s="104" t="s">
        <v>624</v>
      </c>
      <c r="CN7" s="104" t="s">
        <v>624</v>
      </c>
      <c r="CO7" s="104" t="s">
        <v>624</v>
      </c>
      <c r="CP7" s="104" t="s">
        <v>624</v>
      </c>
      <c r="CQ7" s="104" t="s">
        <v>624</v>
      </c>
      <c r="CR7" s="104" t="s">
        <v>624</v>
      </c>
      <c r="CS7" s="104" t="s">
        <v>624</v>
      </c>
      <c r="CT7" s="104" t="s">
        <v>624</v>
      </c>
      <c r="CU7" s="104" t="s">
        <v>624</v>
      </c>
      <c r="CV7" s="104" t="s">
        <v>624</v>
      </c>
      <c r="CW7" s="104" t="s">
        <v>624</v>
      </c>
      <c r="CX7" s="20">
        <v>2411457</v>
      </c>
      <c r="CY7" s="20">
        <v>2931384</v>
      </c>
      <c r="CZ7" s="20">
        <v>5342841</v>
      </c>
      <c r="DA7" s="20">
        <v>2838005</v>
      </c>
      <c r="DB7" s="20">
        <v>8180846</v>
      </c>
      <c r="DC7" s="20">
        <v>4077071</v>
      </c>
      <c r="DD7" s="20">
        <v>12257917</v>
      </c>
      <c r="DE7" s="20">
        <v>2340690</v>
      </c>
      <c r="DF7" s="20">
        <v>973067</v>
      </c>
      <c r="DG7" s="20">
        <v>3313757</v>
      </c>
      <c r="DH7" s="20">
        <v>2293532</v>
      </c>
      <c r="DI7" s="20">
        <v>5607289</v>
      </c>
      <c r="DJ7" s="20">
        <v>3967461</v>
      </c>
      <c r="DK7" s="20">
        <v>9574750</v>
      </c>
      <c r="DL7" s="20">
        <v>1990381</v>
      </c>
      <c r="DM7" s="20">
        <v>3173958</v>
      </c>
      <c r="DN7" s="20">
        <v>5164339</v>
      </c>
      <c r="DO7" s="20">
        <v>3345500</v>
      </c>
      <c r="DP7" s="20">
        <v>8509839</v>
      </c>
      <c r="DQ7" s="20">
        <v>4954502</v>
      </c>
      <c r="DR7" s="20">
        <v>13464341</v>
      </c>
      <c r="DS7" s="20">
        <v>3262597</v>
      </c>
      <c r="DT7" s="20">
        <v>4575259</v>
      </c>
      <c r="DU7" s="20">
        <v>7837856</v>
      </c>
      <c r="DV7" s="20">
        <v>3784983</v>
      </c>
      <c r="DW7" s="20">
        <v>11622839</v>
      </c>
      <c r="DX7" s="20">
        <v>5073092</v>
      </c>
      <c r="DY7" s="20">
        <v>16695931</v>
      </c>
      <c r="DZ7" s="20">
        <v>3707381</v>
      </c>
      <c r="EA7" s="20">
        <v>4446886</v>
      </c>
      <c r="EB7" s="20">
        <v>7913442</v>
      </c>
      <c r="EC7" s="20">
        <v>3919006</v>
      </c>
      <c r="ED7" s="20">
        <v>11832448</v>
      </c>
      <c r="EE7" s="20">
        <v>5433212</v>
      </c>
      <c r="EF7" s="20">
        <v>17265660</v>
      </c>
      <c r="EG7" s="20">
        <f t="shared" ref="EG7:EH7" si="0">SUM(EG8:EG9)</f>
        <v>3664852</v>
      </c>
      <c r="EH7" s="20">
        <f t="shared" si="0"/>
        <v>4491414</v>
      </c>
      <c r="EI7" s="20">
        <f>SUM(EG7:EH7)</f>
        <v>8156266</v>
      </c>
      <c r="EJ7" s="20">
        <f t="shared" ref="EJ7:EN7" si="1">SUM(EJ8:EJ9)</f>
        <v>4320214</v>
      </c>
      <c r="EK7" s="20">
        <f>SUM(EI7:EJ7)</f>
        <v>12476480</v>
      </c>
      <c r="EL7" s="20">
        <f t="shared" si="1"/>
        <v>5924561</v>
      </c>
      <c r="EM7" s="20">
        <f>SUM(EK7:EL7)</f>
        <v>18401041</v>
      </c>
      <c r="EN7" s="20">
        <f t="shared" si="1"/>
        <v>4128219</v>
      </c>
      <c r="EO7" s="20">
        <v>5347166</v>
      </c>
      <c r="EP7" s="20">
        <v>9475385</v>
      </c>
      <c r="EQ7" s="20">
        <f>SUM(EQ8:EQ9)</f>
        <v>4549679</v>
      </c>
      <c r="ER7" s="20">
        <f>SUM(EP7:EQ7)</f>
        <v>14025064</v>
      </c>
      <c r="ES7" s="20">
        <f>SUM(ES8:ES9)</f>
        <v>6218032</v>
      </c>
      <c r="ET7" s="20">
        <f>SUM(ER7:ES7)</f>
        <v>20243096</v>
      </c>
      <c r="EU7" s="20">
        <f t="shared" ref="EU7" si="2">SUM(EU8:EU9)</f>
        <v>4291277</v>
      </c>
      <c r="EV7" s="20">
        <v>5347166</v>
      </c>
      <c r="EW7" s="20">
        <v>9475385</v>
      </c>
    </row>
    <row r="8" spans="1:153" ht="16.350000000000001" customHeight="1">
      <c r="A8" s="18"/>
      <c r="B8" s="105" t="s">
        <v>649</v>
      </c>
      <c r="C8" s="105" t="s">
        <v>647</v>
      </c>
      <c r="D8" s="106" t="s">
        <v>624</v>
      </c>
      <c r="E8" s="106" t="s">
        <v>624</v>
      </c>
      <c r="F8" s="106" t="s">
        <v>624</v>
      </c>
      <c r="G8" s="106" t="s">
        <v>624</v>
      </c>
      <c r="H8" s="106" t="s">
        <v>624</v>
      </c>
      <c r="I8" s="106" t="s">
        <v>624</v>
      </c>
      <c r="J8" s="106" t="s">
        <v>624</v>
      </c>
      <c r="K8" s="106" t="s">
        <v>624</v>
      </c>
      <c r="L8" s="106" t="s">
        <v>624</v>
      </c>
      <c r="M8" s="106" t="s">
        <v>624</v>
      </c>
      <c r="N8" s="106" t="s">
        <v>624</v>
      </c>
      <c r="O8" s="106" t="s">
        <v>624</v>
      </c>
      <c r="P8" s="106" t="s">
        <v>624</v>
      </c>
      <c r="Q8" s="106" t="s">
        <v>624</v>
      </c>
      <c r="R8" s="106" t="s">
        <v>624</v>
      </c>
      <c r="S8" s="106" t="s">
        <v>624</v>
      </c>
      <c r="T8" s="106" t="s">
        <v>624</v>
      </c>
      <c r="U8" s="106" t="s">
        <v>624</v>
      </c>
      <c r="V8" s="106" t="s">
        <v>624</v>
      </c>
      <c r="W8" s="106" t="s">
        <v>624</v>
      </c>
      <c r="X8" s="106" t="s">
        <v>624</v>
      </c>
      <c r="Y8" s="106" t="s">
        <v>624</v>
      </c>
      <c r="Z8" s="106" t="s">
        <v>624</v>
      </c>
      <c r="AA8" s="106" t="s">
        <v>624</v>
      </c>
      <c r="AB8" s="106" t="s">
        <v>624</v>
      </c>
      <c r="AC8" s="106" t="s">
        <v>624</v>
      </c>
      <c r="AD8" s="106" t="s">
        <v>624</v>
      </c>
      <c r="AE8" s="106" t="s">
        <v>624</v>
      </c>
      <c r="AF8" s="106" t="s">
        <v>624</v>
      </c>
      <c r="AG8" s="106" t="s">
        <v>624</v>
      </c>
      <c r="AH8" s="106" t="s">
        <v>624</v>
      </c>
      <c r="AI8" s="106" t="s">
        <v>624</v>
      </c>
      <c r="AJ8" s="106" t="s">
        <v>624</v>
      </c>
      <c r="AK8" s="107" t="s">
        <v>624</v>
      </c>
      <c r="AL8" s="107" t="s">
        <v>624</v>
      </c>
      <c r="AM8" s="106" t="s">
        <v>624</v>
      </c>
      <c r="AN8" s="106" t="s">
        <v>624</v>
      </c>
      <c r="AO8" s="106" t="s">
        <v>624</v>
      </c>
      <c r="AP8" s="106" t="s">
        <v>624</v>
      </c>
      <c r="AQ8" s="106" t="s">
        <v>624</v>
      </c>
      <c r="AR8" s="106" t="s">
        <v>624</v>
      </c>
      <c r="AS8" s="107" t="s">
        <v>624</v>
      </c>
      <c r="AT8" s="106" t="s">
        <v>624</v>
      </c>
      <c r="AU8" s="106" t="s">
        <v>624</v>
      </c>
      <c r="AV8" s="106" t="s">
        <v>624</v>
      </c>
      <c r="AW8" s="106" t="s">
        <v>624</v>
      </c>
      <c r="AX8" s="106" t="s">
        <v>624</v>
      </c>
      <c r="AY8" s="106" t="s">
        <v>624</v>
      </c>
      <c r="AZ8" s="106" t="s">
        <v>624</v>
      </c>
      <c r="BA8" s="106" t="s">
        <v>624</v>
      </c>
      <c r="BB8" s="106" t="s">
        <v>624</v>
      </c>
      <c r="BC8" s="106" t="s">
        <v>624</v>
      </c>
      <c r="BD8" s="106" t="s">
        <v>624</v>
      </c>
      <c r="BE8" s="106" t="s">
        <v>624</v>
      </c>
      <c r="BF8" s="106" t="s">
        <v>624</v>
      </c>
      <c r="BG8" s="106" t="s">
        <v>624</v>
      </c>
      <c r="BH8" s="106" t="s">
        <v>624</v>
      </c>
      <c r="BI8" s="106" t="s">
        <v>624</v>
      </c>
      <c r="BJ8" s="106" t="s">
        <v>624</v>
      </c>
      <c r="BK8" s="106" t="s">
        <v>624</v>
      </c>
      <c r="BL8" s="106" t="s">
        <v>624</v>
      </c>
      <c r="BM8" s="106" t="s">
        <v>624</v>
      </c>
      <c r="BN8" s="106" t="s">
        <v>624</v>
      </c>
      <c r="BO8" s="106" t="s">
        <v>624</v>
      </c>
      <c r="BP8" s="106" t="s">
        <v>624</v>
      </c>
      <c r="BQ8" s="106" t="s">
        <v>624</v>
      </c>
      <c r="BR8" s="106" t="s">
        <v>624</v>
      </c>
      <c r="BS8" s="106" t="s">
        <v>624</v>
      </c>
      <c r="BT8" s="106" t="s">
        <v>624</v>
      </c>
      <c r="BU8" s="106" t="s">
        <v>624</v>
      </c>
      <c r="BV8" s="106" t="s">
        <v>624</v>
      </c>
      <c r="BW8" s="106" t="s">
        <v>624</v>
      </c>
      <c r="BX8" s="106" t="s">
        <v>624</v>
      </c>
      <c r="BY8" s="106" t="s">
        <v>624</v>
      </c>
      <c r="BZ8" s="106" t="s">
        <v>624</v>
      </c>
      <c r="CA8" s="106" t="s">
        <v>624</v>
      </c>
      <c r="CB8" s="106" t="s">
        <v>624</v>
      </c>
      <c r="CC8" s="106" t="s">
        <v>624</v>
      </c>
      <c r="CD8" s="106" t="s">
        <v>624</v>
      </c>
      <c r="CE8" s="106" t="s">
        <v>624</v>
      </c>
      <c r="CF8" s="106" t="s">
        <v>624</v>
      </c>
      <c r="CG8" s="106" t="s">
        <v>624</v>
      </c>
      <c r="CH8" s="106" t="s">
        <v>624</v>
      </c>
      <c r="CI8" s="106">
        <f>SUM(CG8:CH8)</f>
        <v>0</v>
      </c>
      <c r="CJ8" s="106" t="s">
        <v>624</v>
      </c>
      <c r="CK8" s="106" t="s">
        <v>624</v>
      </c>
      <c r="CL8" s="106" t="s">
        <v>624</v>
      </c>
      <c r="CM8" s="106" t="s">
        <v>624</v>
      </c>
      <c r="CN8" s="106" t="s">
        <v>624</v>
      </c>
      <c r="CO8" s="106" t="s">
        <v>624</v>
      </c>
      <c r="CP8" s="106" t="s">
        <v>624</v>
      </c>
      <c r="CQ8" s="106" t="s">
        <v>624</v>
      </c>
      <c r="CR8" s="106" t="s">
        <v>624</v>
      </c>
      <c r="CS8" s="106" t="s">
        <v>624</v>
      </c>
      <c r="CT8" s="106" t="s">
        <v>624</v>
      </c>
      <c r="CU8" s="106" t="s">
        <v>624</v>
      </c>
      <c r="CV8" s="106" t="s">
        <v>624</v>
      </c>
      <c r="CW8" s="106" t="s">
        <v>624</v>
      </c>
      <c r="CX8" s="22">
        <v>2154175</v>
      </c>
      <c r="CY8" s="22">
        <v>2641361</v>
      </c>
      <c r="CZ8" s="22">
        <v>4795536</v>
      </c>
      <c r="DA8" s="22">
        <v>2526607</v>
      </c>
      <c r="DB8" s="22">
        <v>7322143</v>
      </c>
      <c r="DC8" s="22">
        <v>3753137</v>
      </c>
      <c r="DD8" s="22">
        <v>11075280</v>
      </c>
      <c r="DE8" s="22">
        <v>2009907</v>
      </c>
      <c r="DF8" s="22">
        <v>688601</v>
      </c>
      <c r="DG8" s="22">
        <v>2698508</v>
      </c>
      <c r="DH8" s="22">
        <v>2143508</v>
      </c>
      <c r="DI8" s="22">
        <v>4842016</v>
      </c>
      <c r="DJ8" s="22">
        <v>3799500</v>
      </c>
      <c r="DK8" s="22">
        <v>8641516</v>
      </c>
      <c r="DL8" s="108">
        <v>1756835</v>
      </c>
      <c r="DM8" s="108">
        <v>2924129</v>
      </c>
      <c r="DN8" s="22">
        <v>4680964</v>
      </c>
      <c r="DO8" s="108">
        <v>3067832</v>
      </c>
      <c r="DP8" s="22">
        <v>7748796</v>
      </c>
      <c r="DQ8" s="108">
        <v>4617283</v>
      </c>
      <c r="DR8" s="22">
        <v>12366079</v>
      </c>
      <c r="DS8" s="22">
        <v>2848365</v>
      </c>
      <c r="DT8" s="22">
        <v>4080972</v>
      </c>
      <c r="DU8" s="22">
        <v>6929337</v>
      </c>
      <c r="DV8" s="22">
        <v>3338604</v>
      </c>
      <c r="DW8" s="22">
        <v>10267941</v>
      </c>
      <c r="DX8" s="22">
        <v>4563856</v>
      </c>
      <c r="DY8" s="22">
        <v>14831797</v>
      </c>
      <c r="DZ8" s="22">
        <v>2923397</v>
      </c>
      <c r="EA8" s="22">
        <v>3874325</v>
      </c>
      <c r="EB8" s="22">
        <v>6797722</v>
      </c>
      <c r="EC8" s="22">
        <v>3410210</v>
      </c>
      <c r="ED8" s="22">
        <v>10207932</v>
      </c>
      <c r="EE8" s="22">
        <v>4917258</v>
      </c>
      <c r="EF8" s="22">
        <v>15125190</v>
      </c>
      <c r="EG8" s="22">
        <v>3176292</v>
      </c>
      <c r="EH8" s="22">
        <v>4010926</v>
      </c>
      <c r="EI8" s="22">
        <f>SUM(EG8:EH8)</f>
        <v>7187218</v>
      </c>
      <c r="EJ8" s="22">
        <v>3845619</v>
      </c>
      <c r="EK8" s="22">
        <f>SUM(EI8:EJ8)</f>
        <v>11032837</v>
      </c>
      <c r="EL8" s="22">
        <v>5442480</v>
      </c>
      <c r="EM8" s="22">
        <f>SUM(EK8:EL8)</f>
        <v>16475317</v>
      </c>
      <c r="EN8" s="22">
        <v>3586902</v>
      </c>
      <c r="EO8" s="22">
        <v>4789516</v>
      </c>
      <c r="EP8" s="22">
        <v>8376418</v>
      </c>
      <c r="EQ8" s="22">
        <v>4026865</v>
      </c>
      <c r="ER8" s="22">
        <f>SUM(EP8:EQ8)</f>
        <v>12403283</v>
      </c>
      <c r="ES8" s="22">
        <v>5691983</v>
      </c>
      <c r="ET8" s="22">
        <f>SUM(ER8:ES8)</f>
        <v>18095266</v>
      </c>
      <c r="EU8" s="22">
        <v>3764508</v>
      </c>
      <c r="EV8" s="22">
        <v>4882547</v>
      </c>
      <c r="EW8" s="22">
        <f>SUM(EU8:EV8)</f>
        <v>8647055</v>
      </c>
    </row>
    <row r="9" spans="1:153" ht="16.350000000000001" customHeight="1">
      <c r="A9" s="18"/>
      <c r="B9" s="109" t="s">
        <v>648</v>
      </c>
      <c r="C9" s="109" t="s">
        <v>346</v>
      </c>
      <c r="D9" s="110" t="s">
        <v>624</v>
      </c>
      <c r="E9" s="110" t="s">
        <v>624</v>
      </c>
      <c r="F9" s="110" t="s">
        <v>624</v>
      </c>
      <c r="G9" s="110" t="s">
        <v>624</v>
      </c>
      <c r="H9" s="110" t="s">
        <v>624</v>
      </c>
      <c r="I9" s="110" t="s">
        <v>624</v>
      </c>
      <c r="J9" s="110" t="s">
        <v>624</v>
      </c>
      <c r="K9" s="110" t="s">
        <v>624</v>
      </c>
      <c r="L9" s="110" t="s">
        <v>624</v>
      </c>
      <c r="M9" s="110" t="s">
        <v>624</v>
      </c>
      <c r="N9" s="110" t="s">
        <v>624</v>
      </c>
      <c r="O9" s="110" t="s">
        <v>624</v>
      </c>
      <c r="P9" s="110" t="s">
        <v>624</v>
      </c>
      <c r="Q9" s="110" t="s">
        <v>624</v>
      </c>
      <c r="R9" s="110" t="s">
        <v>624</v>
      </c>
      <c r="S9" s="110" t="s">
        <v>624</v>
      </c>
      <c r="T9" s="110" t="s">
        <v>624</v>
      </c>
      <c r="U9" s="110" t="s">
        <v>624</v>
      </c>
      <c r="V9" s="110" t="s">
        <v>624</v>
      </c>
      <c r="W9" s="110" t="s">
        <v>624</v>
      </c>
      <c r="X9" s="110" t="s">
        <v>624</v>
      </c>
      <c r="Y9" s="110" t="s">
        <v>624</v>
      </c>
      <c r="Z9" s="110" t="s">
        <v>624</v>
      </c>
      <c r="AA9" s="110" t="s">
        <v>624</v>
      </c>
      <c r="AB9" s="110" t="s">
        <v>624</v>
      </c>
      <c r="AC9" s="110" t="s">
        <v>624</v>
      </c>
      <c r="AD9" s="110" t="s">
        <v>624</v>
      </c>
      <c r="AE9" s="110" t="s">
        <v>624</v>
      </c>
      <c r="AF9" s="110" t="s">
        <v>624</v>
      </c>
      <c r="AG9" s="110" t="s">
        <v>624</v>
      </c>
      <c r="AH9" s="110" t="s">
        <v>624</v>
      </c>
      <c r="AI9" s="110" t="s">
        <v>624</v>
      </c>
      <c r="AJ9" s="110" t="s">
        <v>624</v>
      </c>
      <c r="AK9" s="111" t="s">
        <v>624</v>
      </c>
      <c r="AL9" s="111" t="s">
        <v>624</v>
      </c>
      <c r="AM9" s="110" t="s">
        <v>624</v>
      </c>
      <c r="AN9" s="110" t="s">
        <v>624</v>
      </c>
      <c r="AO9" s="110" t="s">
        <v>624</v>
      </c>
      <c r="AP9" s="110" t="s">
        <v>624</v>
      </c>
      <c r="AQ9" s="110" t="s">
        <v>624</v>
      </c>
      <c r="AR9" s="110" t="s">
        <v>624</v>
      </c>
      <c r="AS9" s="111" t="s">
        <v>624</v>
      </c>
      <c r="AT9" s="110" t="s">
        <v>624</v>
      </c>
      <c r="AU9" s="110" t="s">
        <v>624</v>
      </c>
      <c r="AV9" s="110" t="s">
        <v>624</v>
      </c>
      <c r="AW9" s="110" t="s">
        <v>624</v>
      </c>
      <c r="AX9" s="110" t="s">
        <v>624</v>
      </c>
      <c r="AY9" s="110" t="s">
        <v>624</v>
      </c>
      <c r="AZ9" s="110" t="s">
        <v>624</v>
      </c>
      <c r="BA9" s="110" t="s">
        <v>624</v>
      </c>
      <c r="BB9" s="110" t="s">
        <v>624</v>
      </c>
      <c r="BC9" s="110" t="s">
        <v>624</v>
      </c>
      <c r="BD9" s="110" t="s">
        <v>624</v>
      </c>
      <c r="BE9" s="110" t="s">
        <v>624</v>
      </c>
      <c r="BF9" s="110" t="s">
        <v>624</v>
      </c>
      <c r="BG9" s="110" t="s">
        <v>624</v>
      </c>
      <c r="BH9" s="110" t="s">
        <v>624</v>
      </c>
      <c r="BI9" s="110" t="s">
        <v>624</v>
      </c>
      <c r="BJ9" s="110" t="s">
        <v>624</v>
      </c>
      <c r="BK9" s="110" t="s">
        <v>624</v>
      </c>
      <c r="BL9" s="110" t="s">
        <v>624</v>
      </c>
      <c r="BM9" s="110" t="s">
        <v>624</v>
      </c>
      <c r="BN9" s="110" t="s">
        <v>624</v>
      </c>
      <c r="BO9" s="110" t="s">
        <v>624</v>
      </c>
      <c r="BP9" s="110" t="s">
        <v>624</v>
      </c>
      <c r="BQ9" s="110" t="s">
        <v>624</v>
      </c>
      <c r="BR9" s="110" t="s">
        <v>624</v>
      </c>
      <c r="BS9" s="110" t="s">
        <v>624</v>
      </c>
      <c r="BT9" s="110" t="s">
        <v>624</v>
      </c>
      <c r="BU9" s="110" t="s">
        <v>624</v>
      </c>
      <c r="BV9" s="110" t="s">
        <v>624</v>
      </c>
      <c r="BW9" s="110" t="s">
        <v>624</v>
      </c>
      <c r="BX9" s="110" t="s">
        <v>624</v>
      </c>
      <c r="BY9" s="110" t="s">
        <v>624</v>
      </c>
      <c r="BZ9" s="110" t="s">
        <v>624</v>
      </c>
      <c r="CA9" s="110" t="s">
        <v>624</v>
      </c>
      <c r="CB9" s="110" t="s">
        <v>624</v>
      </c>
      <c r="CC9" s="110" t="s">
        <v>624</v>
      </c>
      <c r="CD9" s="110" t="s">
        <v>624</v>
      </c>
      <c r="CE9" s="110" t="s">
        <v>624</v>
      </c>
      <c r="CF9" s="110" t="s">
        <v>624</v>
      </c>
      <c r="CG9" s="110" t="s">
        <v>624</v>
      </c>
      <c r="CH9" s="110" t="s">
        <v>624</v>
      </c>
      <c r="CI9" s="110">
        <f>SUM(CG9:CH9)</f>
        <v>0</v>
      </c>
      <c r="CJ9" s="110" t="s">
        <v>624</v>
      </c>
      <c r="CK9" s="110" t="s">
        <v>624</v>
      </c>
      <c r="CL9" s="110" t="s">
        <v>624</v>
      </c>
      <c r="CM9" s="110" t="s">
        <v>624</v>
      </c>
      <c r="CN9" s="110" t="s">
        <v>624</v>
      </c>
      <c r="CO9" s="110" t="s">
        <v>624</v>
      </c>
      <c r="CP9" s="110" t="s">
        <v>624</v>
      </c>
      <c r="CQ9" s="110" t="s">
        <v>624</v>
      </c>
      <c r="CR9" s="110" t="s">
        <v>624</v>
      </c>
      <c r="CS9" s="110" t="s">
        <v>624</v>
      </c>
      <c r="CT9" s="110" t="s">
        <v>624</v>
      </c>
      <c r="CU9" s="110" t="s">
        <v>624</v>
      </c>
      <c r="CV9" s="110" t="s">
        <v>624</v>
      </c>
      <c r="CW9" s="110" t="s">
        <v>624</v>
      </c>
      <c r="CX9" s="112">
        <v>257282</v>
      </c>
      <c r="CY9" s="112">
        <v>290023</v>
      </c>
      <c r="CZ9" s="112">
        <v>547305</v>
      </c>
      <c r="DA9" s="112">
        <v>311398</v>
      </c>
      <c r="DB9" s="112">
        <v>858703</v>
      </c>
      <c r="DC9" s="112">
        <v>323934</v>
      </c>
      <c r="DD9" s="112">
        <v>1182637</v>
      </c>
      <c r="DE9" s="112">
        <v>330783</v>
      </c>
      <c r="DF9" s="112">
        <v>284466</v>
      </c>
      <c r="DG9" s="112">
        <v>615249</v>
      </c>
      <c r="DH9" s="112">
        <v>150024</v>
      </c>
      <c r="DI9" s="112">
        <v>765273</v>
      </c>
      <c r="DJ9" s="112">
        <v>167961</v>
      </c>
      <c r="DK9" s="112">
        <v>933234</v>
      </c>
      <c r="DL9" s="85">
        <v>233546</v>
      </c>
      <c r="DM9" s="112">
        <v>249829</v>
      </c>
      <c r="DN9" s="112">
        <v>483375</v>
      </c>
      <c r="DO9" s="112">
        <v>277668</v>
      </c>
      <c r="DP9" s="112">
        <v>761043</v>
      </c>
      <c r="DQ9" s="112">
        <v>337219</v>
      </c>
      <c r="DR9" s="112">
        <v>1098262</v>
      </c>
      <c r="DS9" s="112">
        <v>414232</v>
      </c>
      <c r="DT9" s="112">
        <v>494287</v>
      </c>
      <c r="DU9" s="112">
        <v>908519</v>
      </c>
      <c r="DV9" s="112">
        <v>446379</v>
      </c>
      <c r="DW9" s="112">
        <v>1354898</v>
      </c>
      <c r="DX9" s="112">
        <v>509236</v>
      </c>
      <c r="DY9" s="112">
        <v>1864134</v>
      </c>
      <c r="DZ9" s="112">
        <v>543159</v>
      </c>
      <c r="EA9" s="113">
        <v>572561</v>
      </c>
      <c r="EB9" s="112">
        <v>1115720</v>
      </c>
      <c r="EC9" s="112">
        <v>508796</v>
      </c>
      <c r="ED9" s="112">
        <v>1624516</v>
      </c>
      <c r="EE9" s="112">
        <v>515954</v>
      </c>
      <c r="EF9" s="112">
        <v>2140470</v>
      </c>
      <c r="EG9" s="112">
        <v>488560</v>
      </c>
      <c r="EH9" s="112">
        <v>480488</v>
      </c>
      <c r="EI9" s="112">
        <f>SUM(EG9:EH9)</f>
        <v>969048</v>
      </c>
      <c r="EJ9" s="112">
        <v>474595</v>
      </c>
      <c r="EK9" s="112">
        <f>SUM(EI9:EJ9)</f>
        <v>1443643</v>
      </c>
      <c r="EL9" s="112">
        <v>482081</v>
      </c>
      <c r="EM9" s="112">
        <f>SUM(EK9:EL9)</f>
        <v>1925724</v>
      </c>
      <c r="EN9" s="112">
        <v>541317</v>
      </c>
      <c r="EO9" s="112">
        <v>557650</v>
      </c>
      <c r="EP9" s="112">
        <v>1098967</v>
      </c>
      <c r="EQ9" s="112">
        <v>522814</v>
      </c>
      <c r="ER9" s="112">
        <f>SUM(EP9:EQ9)</f>
        <v>1621781</v>
      </c>
      <c r="ES9" s="112">
        <v>526049</v>
      </c>
      <c r="ET9" s="112">
        <f>SUM(ER9:ES9)</f>
        <v>2147830</v>
      </c>
      <c r="EU9" s="112">
        <v>526769</v>
      </c>
      <c r="EV9" s="112">
        <v>550426</v>
      </c>
      <c r="EW9" s="112">
        <f>SUM(EU9:EV9)</f>
        <v>1077195</v>
      </c>
    </row>
    <row r="10" spans="1:153" ht="16.350000000000001" customHeight="1">
      <c r="A10" s="18"/>
      <c r="B10" s="114"/>
      <c r="C10" s="114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</row>
    <row r="11" spans="1:153" ht="16.350000000000001" customHeight="1">
      <c r="A11" s="18"/>
      <c r="B11" s="115" t="s">
        <v>438</v>
      </c>
      <c r="C11" s="115" t="s">
        <v>572</v>
      </c>
      <c r="D11" s="116">
        <v>7.2999999999999995E-2</v>
      </c>
      <c r="E11" s="116">
        <v>0.11700000000000001</v>
      </c>
      <c r="F11" s="116">
        <v>9.8000000000000004E-2</v>
      </c>
      <c r="G11" s="116">
        <v>0.17399999999999999</v>
      </c>
      <c r="H11" s="116">
        <v>0.124</v>
      </c>
      <c r="I11" s="116">
        <v>0.185</v>
      </c>
      <c r="J11" s="116">
        <v>0.14499999999999999</v>
      </c>
      <c r="K11" s="116">
        <v>0.22</v>
      </c>
      <c r="L11" s="116">
        <v>0.20599999999999999</v>
      </c>
      <c r="M11" s="116">
        <v>0.21199999999999999</v>
      </c>
      <c r="N11" s="116">
        <v>0.16300000000000001</v>
      </c>
      <c r="O11" s="116">
        <v>0.19500000000000001</v>
      </c>
      <c r="P11" s="116">
        <v>0.11700000000000001</v>
      </c>
      <c r="Q11" s="116">
        <v>0.16700000000000001</v>
      </c>
      <c r="R11" s="116">
        <v>8.7999999999999995E-2</v>
      </c>
      <c r="S11" s="116">
        <v>9.6000000000000002E-2</v>
      </c>
      <c r="T11" s="116">
        <v>9.2999999999999999E-2</v>
      </c>
      <c r="U11" s="116">
        <v>9.2999999999999999E-2</v>
      </c>
      <c r="V11" s="116">
        <v>9.2999999999999999E-2</v>
      </c>
      <c r="W11" s="116">
        <v>7.0999999999999994E-2</v>
      </c>
      <c r="X11" s="116">
        <v>8.5000000000000006E-2</v>
      </c>
      <c r="Y11" s="116">
        <v>0.115</v>
      </c>
      <c r="Z11" s="116">
        <v>5.3999999999999999E-2</v>
      </c>
      <c r="AA11" s="116">
        <v>7.9000000000000001E-2</v>
      </c>
      <c r="AB11" s="116">
        <v>0.05</v>
      </c>
      <c r="AC11" s="116">
        <v>6.9000000000000006E-2</v>
      </c>
      <c r="AD11" s="116">
        <v>-5.3999999999999999E-2</v>
      </c>
      <c r="AE11" s="116">
        <v>2.7E-2</v>
      </c>
      <c r="AF11" s="116">
        <v>-0.12</v>
      </c>
      <c r="AG11" s="116">
        <v>2.1000000000000001E-2</v>
      </c>
      <c r="AH11" s="116">
        <v>-0.04</v>
      </c>
      <c r="AI11" s="116">
        <v>1.2999999999999999E-2</v>
      </c>
      <c r="AJ11" s="116">
        <v>-2.1999999999999999E-2</v>
      </c>
      <c r="AK11" s="116">
        <v>9.5000000000000001E-2</v>
      </c>
      <c r="AL11" s="116">
        <v>1.4E-2</v>
      </c>
      <c r="AM11" s="116">
        <v>0.151</v>
      </c>
      <c r="AN11" s="116">
        <v>7.3999999999999996E-2</v>
      </c>
      <c r="AO11" s="116">
        <v>0.105</v>
      </c>
      <c r="AP11" s="116">
        <v>0.105</v>
      </c>
      <c r="AQ11" s="116">
        <v>0.105</v>
      </c>
      <c r="AR11" s="116">
        <v>0.1</v>
      </c>
      <c r="AS11" s="116">
        <v>0.10299999999999999</v>
      </c>
      <c r="AT11" s="116">
        <v>0.112</v>
      </c>
      <c r="AU11" s="116">
        <v>9.8000000000000004E-2</v>
      </c>
      <c r="AV11" s="116">
        <v>0.105</v>
      </c>
      <c r="AW11" s="116">
        <v>3.7999999999999999E-2</v>
      </c>
      <c r="AX11" s="116">
        <v>8.1000000000000003E-2</v>
      </c>
      <c r="AY11" s="116">
        <v>5.2999999999999999E-2</v>
      </c>
      <c r="AZ11" s="116">
        <v>7.1999999999999995E-2</v>
      </c>
      <c r="BA11" s="116">
        <v>4.8000000000000001E-2</v>
      </c>
      <c r="BB11" s="116">
        <v>3.4000000000000002E-2</v>
      </c>
      <c r="BC11" s="116">
        <v>0.04</v>
      </c>
      <c r="BD11" s="116">
        <v>0.13200000000000001</v>
      </c>
      <c r="BE11" s="116">
        <v>7.0999999999999994E-2</v>
      </c>
      <c r="BF11" s="116">
        <v>0.124</v>
      </c>
      <c r="BG11" s="116">
        <v>8.7999999999999995E-2</v>
      </c>
      <c r="BH11" s="116">
        <v>9.4E-2</v>
      </c>
      <c r="BI11" s="116">
        <v>3.6999999999999998E-2</v>
      </c>
      <c r="BJ11" s="116">
        <v>6.0999999999999999E-2</v>
      </c>
      <c r="BK11" s="116">
        <v>5.8000000000000003E-2</v>
      </c>
      <c r="BL11" s="116">
        <v>0.06</v>
      </c>
      <c r="BM11" s="116">
        <v>5.5E-2</v>
      </c>
      <c r="BN11" s="116">
        <v>5.8000000000000003E-2</v>
      </c>
      <c r="BO11" s="116">
        <v>5.3999999999999999E-2</v>
      </c>
      <c r="BP11" s="116">
        <v>0.1</v>
      </c>
      <c r="BQ11" s="116">
        <v>0.08</v>
      </c>
      <c r="BR11" s="116">
        <v>7.4999999999999997E-2</v>
      </c>
      <c r="BS11" s="116">
        <v>7.8E-2</v>
      </c>
      <c r="BT11" s="116">
        <v>0.17299999999999999</v>
      </c>
      <c r="BU11" s="116">
        <v>0.111</v>
      </c>
      <c r="BV11" s="116">
        <v>0.16500000000000001</v>
      </c>
      <c r="BW11" s="116">
        <v>0.14499999999999999</v>
      </c>
      <c r="BX11" s="116">
        <v>0.154</v>
      </c>
      <c r="BY11" s="116">
        <v>0.126</v>
      </c>
      <c r="BZ11" s="116">
        <v>0.14399999999999999</v>
      </c>
      <c r="CA11" s="116">
        <v>4.4999999999999998E-2</v>
      </c>
      <c r="CB11" s="116">
        <v>0.108</v>
      </c>
      <c r="CC11" s="116">
        <v>1.2999999999999999E-2</v>
      </c>
      <c r="CD11" s="116">
        <v>2.9000000000000001E-2</v>
      </c>
      <c r="CE11" s="116">
        <v>2.1999999999999999E-2</v>
      </c>
      <c r="CF11" s="116">
        <v>-3.9E-2</v>
      </c>
      <c r="CG11" s="116">
        <v>1E-3</v>
      </c>
      <c r="CH11" s="116">
        <v>-8.0000000000000002E-3</v>
      </c>
      <c r="CI11" s="116">
        <v>-2E-3</v>
      </c>
      <c r="CJ11" s="116">
        <v>9.0999999999999998E-2</v>
      </c>
      <c r="CK11" s="116">
        <v>6.4000000000000001E-2</v>
      </c>
      <c r="CL11" s="116">
        <v>7.4999999999999997E-2</v>
      </c>
      <c r="CM11" s="116">
        <v>0.13373011481447561</v>
      </c>
      <c r="CN11" s="116">
        <v>9.4575039800149474E-2</v>
      </c>
      <c r="CO11" s="116">
        <v>8.7064535020952905E-2</v>
      </c>
      <c r="CP11" s="116">
        <v>9.2056210285111018E-2</v>
      </c>
      <c r="CQ11" s="116">
        <v>6.3E-2</v>
      </c>
      <c r="CR11" s="116">
        <v>2.5273558845505306E-2</v>
      </c>
      <c r="CS11" s="116">
        <v>4.1774156484674974E-2</v>
      </c>
      <c r="CT11" s="116">
        <v>6.9427061838970294E-2</v>
      </c>
      <c r="CU11" s="116">
        <v>5.1307429261152171E-2</v>
      </c>
      <c r="CV11" s="116">
        <v>0.12017282199557133</v>
      </c>
      <c r="CW11" s="116">
        <v>7.4463242356251236E-2</v>
      </c>
      <c r="CX11" s="116">
        <v>0.12736818547670059</v>
      </c>
      <c r="CY11" s="116">
        <v>9.2557820572214178E-2</v>
      </c>
      <c r="CZ11" s="116">
        <v>0.108</v>
      </c>
      <c r="DA11" s="116">
        <v>8.3000000000000004E-2</v>
      </c>
      <c r="DB11" s="116">
        <v>9.9000000000000005E-2</v>
      </c>
      <c r="DC11" s="116">
        <v>6.2E-2</v>
      </c>
      <c r="DD11" s="116">
        <v>8.6999999999999994E-2</v>
      </c>
      <c r="DE11" s="116">
        <v>-0.10652853943617469</v>
      </c>
      <c r="DF11" s="116">
        <v>-0.74099999999999999</v>
      </c>
      <c r="DG11" s="116">
        <v>-0.45500000000000002</v>
      </c>
      <c r="DH11" s="116">
        <v>-0.17202405190152803</v>
      </c>
      <c r="DI11" s="116">
        <v>-0.35766293120404402</v>
      </c>
      <c r="DJ11" s="116">
        <v>-7.6322609010602838E-3</v>
      </c>
      <c r="DK11" s="116">
        <v>-0.23938107553330989</v>
      </c>
      <c r="DL11" s="116">
        <v>-0.12660593648688634</v>
      </c>
      <c r="DM11" s="116">
        <v>3.0856817837543122</v>
      </c>
      <c r="DN11" s="116">
        <v>0.70172289528981113</v>
      </c>
      <c r="DO11" s="116">
        <v>0.39465124152124442</v>
      </c>
      <c r="DP11" s="116">
        <v>0.56631660187763555</v>
      </c>
      <c r="DQ11" s="116">
        <v>0.18903989644844299</v>
      </c>
      <c r="DR11" s="116">
        <v>0.40087616135085646</v>
      </c>
      <c r="DS11" s="116">
        <v>0.59542030092692366</v>
      </c>
      <c r="DT11" s="116">
        <v>0.37928422196574174</v>
      </c>
      <c r="DU11" s="116">
        <v>0.46104191393102534</v>
      </c>
      <c r="DV11" s="116">
        <v>7.9406947933779115E-2</v>
      </c>
      <c r="DW11" s="116">
        <v>0.31014039177983155</v>
      </c>
      <c r="DX11" s="116">
        <v>-2.528818986398651E-2</v>
      </c>
      <c r="DY11" s="116">
        <v>0.18521745858468508</v>
      </c>
      <c r="DZ11" s="116">
        <v>7.53563546489322E-3</v>
      </c>
      <c r="EA11" s="116">
        <v>-6.8083349619586842E-2</v>
      </c>
      <c r="EB11" s="116">
        <v>-3.5630692792927188E-2</v>
      </c>
      <c r="EC11" s="116">
        <v>5.8150005590651421E-3</v>
      </c>
      <c r="ED11" s="116">
        <v>-2.5257556135095061E-2</v>
      </c>
      <c r="EE11" s="116">
        <v>6.3460219525842909E-2</v>
      </c>
      <c r="EF11" s="116">
        <v>2.018534373104508E-3</v>
      </c>
      <c r="EG11" s="116">
        <v>7.2110805969850755E-2</v>
      </c>
      <c r="EH11" s="116">
        <v>2.6984135259085607E-2</v>
      </c>
      <c r="EI11" s="116">
        <v>4.758420190224677E-2</v>
      </c>
      <c r="EJ11" s="116">
        <v>0.11464778964429145</v>
      </c>
      <c r="EK11" s="116">
        <v>6.7642409266133185E-2</v>
      </c>
      <c r="EL11" s="116">
        <v>8.8973478984980314E-2</v>
      </c>
      <c r="EM11" s="116">
        <v>7.4758558506091255E-2</v>
      </c>
      <c r="EN11" s="116">
        <v>0.10844194317479006</v>
      </c>
      <c r="EO11" s="116">
        <v>0.17290588982588551</v>
      </c>
      <c r="EP11" s="116">
        <v>0.14501426380660232</v>
      </c>
      <c r="EQ11" s="116">
        <v>3.1E-2</v>
      </c>
      <c r="ER11" s="116" t="s">
        <v>2446</v>
      </c>
      <c r="ES11" s="116">
        <v>3.2642564867365609E-2</v>
      </c>
      <c r="ET11" s="116">
        <v>8.1469553438387798E-2</v>
      </c>
      <c r="EU11" s="116">
        <v>3.2057354640573132E-2</v>
      </c>
      <c r="EV11" s="116">
        <v>5.4923927406089652E-3</v>
      </c>
      <c r="EW11" s="116">
        <v>1.8425455904845577E-2</v>
      </c>
    </row>
    <row r="12" spans="1:153" ht="16.350000000000001" customHeight="1">
      <c r="A12" s="18"/>
      <c r="B12" s="117"/>
      <c r="C12" s="117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45"/>
      <c r="AK12" s="118"/>
      <c r="AL12" s="118"/>
      <c r="AM12" s="51"/>
      <c r="AN12" s="51"/>
      <c r="AO12" s="51"/>
      <c r="AP12" s="51"/>
      <c r="AQ12" s="51"/>
      <c r="AR12" s="51"/>
      <c r="AS12" s="118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88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G12" s="51"/>
      <c r="EH12" s="51"/>
      <c r="EI12" s="51"/>
      <c r="EJ12" s="51"/>
      <c r="EK12" s="51"/>
      <c r="EL12" s="51"/>
      <c r="EM12" s="51"/>
      <c r="EN12" s="51"/>
      <c r="EO12" s="436"/>
      <c r="EP12" s="51"/>
      <c r="EQ12" s="51"/>
      <c r="ER12" s="51"/>
      <c r="ES12" s="51"/>
      <c r="ET12" s="51"/>
      <c r="EU12" s="51"/>
      <c r="EV12" s="436"/>
      <c r="EW12" s="51"/>
    </row>
    <row r="13" spans="1:153" ht="16.350000000000001" customHeight="1">
      <c r="A13" s="18"/>
      <c r="B13" s="76" t="s">
        <v>95</v>
      </c>
      <c r="C13" s="76" t="s">
        <v>398</v>
      </c>
      <c r="D13" s="119">
        <v>210204</v>
      </c>
      <c r="E13" s="119">
        <v>295782</v>
      </c>
      <c r="F13" s="119">
        <v>505986</v>
      </c>
      <c r="G13" s="119">
        <v>271867</v>
      </c>
      <c r="H13" s="119">
        <v>777853</v>
      </c>
      <c r="I13" s="119">
        <v>424275</v>
      </c>
      <c r="J13" s="119">
        <v>1202128</v>
      </c>
      <c r="K13" s="119">
        <v>266752</v>
      </c>
      <c r="L13" s="119">
        <v>380860</v>
      </c>
      <c r="M13" s="119">
        <v>647612</v>
      </c>
      <c r="N13" s="119">
        <v>346787</v>
      </c>
      <c r="O13" s="119">
        <v>994399</v>
      </c>
      <c r="P13" s="119">
        <v>536839</v>
      </c>
      <c r="Q13" s="119">
        <v>1531238</v>
      </c>
      <c r="R13" s="119">
        <v>347555</v>
      </c>
      <c r="S13" s="119">
        <v>490872</v>
      </c>
      <c r="T13" s="119">
        <v>838427</v>
      </c>
      <c r="U13" s="119">
        <v>444012</v>
      </c>
      <c r="V13" s="119">
        <v>444012</v>
      </c>
      <c r="W13" s="119">
        <v>648500</v>
      </c>
      <c r="X13" s="119">
        <v>1930939</v>
      </c>
      <c r="Y13" s="119">
        <v>431797</v>
      </c>
      <c r="Z13" s="119">
        <v>566747</v>
      </c>
      <c r="AA13" s="119">
        <v>998544</v>
      </c>
      <c r="AB13" s="119">
        <v>566747</v>
      </c>
      <c r="AC13" s="119">
        <v>998544</v>
      </c>
      <c r="AD13" s="119">
        <v>673493</v>
      </c>
      <c r="AE13" s="119">
        <v>2183407</v>
      </c>
      <c r="AF13" s="119">
        <v>419134</v>
      </c>
      <c r="AG13" s="119">
        <v>613414</v>
      </c>
      <c r="AH13" s="119">
        <v>1032548</v>
      </c>
      <c r="AI13" s="119">
        <v>552311</v>
      </c>
      <c r="AJ13" s="119">
        <v>1584859</v>
      </c>
      <c r="AK13" s="119">
        <v>778769</v>
      </c>
      <c r="AL13" s="119">
        <v>2363628</v>
      </c>
      <c r="AM13" s="119">
        <v>505734</v>
      </c>
      <c r="AN13" s="119">
        <v>701979</v>
      </c>
      <c r="AO13" s="119">
        <v>1207713</v>
      </c>
      <c r="AP13" s="119">
        <v>643873</v>
      </c>
      <c r="AQ13" s="119">
        <v>1851586</v>
      </c>
      <c r="AR13" s="119">
        <v>899752</v>
      </c>
      <c r="AS13" s="119">
        <v>2751338</v>
      </c>
      <c r="AT13" s="119">
        <v>598767</v>
      </c>
      <c r="AU13" s="119">
        <v>836419</v>
      </c>
      <c r="AV13" s="119">
        <v>1435186</v>
      </c>
      <c r="AW13" s="119">
        <v>741922</v>
      </c>
      <c r="AX13" s="119">
        <v>2177108</v>
      </c>
      <c r="AY13" s="119">
        <v>1061434</v>
      </c>
      <c r="AZ13" s="119">
        <v>3238542</v>
      </c>
      <c r="BA13" s="119">
        <v>709276</v>
      </c>
      <c r="BB13" s="119">
        <v>955454</v>
      </c>
      <c r="BC13" s="119">
        <v>1664730</v>
      </c>
      <c r="BD13" s="119">
        <v>905058</v>
      </c>
      <c r="BE13" s="119">
        <v>2569788</v>
      </c>
      <c r="BF13" s="119">
        <v>1292720</v>
      </c>
      <c r="BG13" s="119">
        <v>3862508</v>
      </c>
      <c r="BH13" s="119">
        <v>833796</v>
      </c>
      <c r="BI13" s="119">
        <v>1060402</v>
      </c>
      <c r="BJ13" s="119">
        <v>1894198</v>
      </c>
      <c r="BK13" s="119">
        <v>1021435</v>
      </c>
      <c r="BL13" s="119">
        <v>2915633</v>
      </c>
      <c r="BM13" s="119">
        <v>1454692</v>
      </c>
      <c r="BN13" s="119">
        <v>4370325</v>
      </c>
      <c r="BO13" s="119">
        <v>938900</v>
      </c>
      <c r="BP13" s="119">
        <v>1255227</v>
      </c>
      <c r="BQ13" s="119">
        <v>2194127</v>
      </c>
      <c r="BR13" s="119">
        <v>1204293</v>
      </c>
      <c r="BS13" s="119">
        <v>3398420</v>
      </c>
      <c r="BT13" s="119">
        <v>1818399</v>
      </c>
      <c r="BU13" s="119">
        <v>5216819</v>
      </c>
      <c r="BV13" s="119">
        <v>1173947</v>
      </c>
      <c r="BW13" s="119">
        <v>1536401</v>
      </c>
      <c r="BX13" s="119">
        <v>2710348</v>
      </c>
      <c r="BY13" s="119">
        <v>1420605</v>
      </c>
      <c r="BZ13" s="119">
        <v>4130953</v>
      </c>
      <c r="CA13" s="119">
        <v>2014245</v>
      </c>
      <c r="CB13" s="119">
        <v>6145198</v>
      </c>
      <c r="CC13" s="119">
        <v>1247369</v>
      </c>
      <c r="CD13" s="119">
        <v>1647580</v>
      </c>
      <c r="CE13" s="119">
        <v>2894949</v>
      </c>
      <c r="CF13" s="119">
        <v>1445829</v>
      </c>
      <c r="CG13" s="119">
        <v>4340778</v>
      </c>
      <c r="CH13" s="119">
        <v>2110802</v>
      </c>
      <c r="CI13" s="119">
        <f t="shared" ref="CI13:CI17" si="3">SUM(CG13:CH13)</f>
        <v>6451580</v>
      </c>
      <c r="CJ13" s="119">
        <v>1415324</v>
      </c>
      <c r="CK13" s="119">
        <v>1831132</v>
      </c>
      <c r="CL13" s="119">
        <v>3246456</v>
      </c>
      <c r="CM13" s="119">
        <v>1746377</v>
      </c>
      <c r="CN13" s="119">
        <v>4992833</v>
      </c>
      <c r="CO13" s="119">
        <v>2451472</v>
      </c>
      <c r="CP13" s="119">
        <v>7444305</v>
      </c>
      <c r="CQ13" s="119">
        <v>1628285</v>
      </c>
      <c r="CR13" s="119">
        <v>2020097</v>
      </c>
      <c r="CS13" s="119">
        <v>3648382</v>
      </c>
      <c r="CT13" s="119">
        <v>1943288</v>
      </c>
      <c r="CU13" s="119">
        <v>5591670</v>
      </c>
      <c r="CV13" s="119">
        <v>2834871</v>
      </c>
      <c r="CW13" s="119">
        <v>8426541</v>
      </c>
      <c r="CX13" s="119">
        <v>1892117</v>
      </c>
      <c r="CY13" s="119">
        <v>2292004</v>
      </c>
      <c r="CZ13" s="119">
        <v>4184121</v>
      </c>
      <c r="DA13" s="119">
        <v>2225755</v>
      </c>
      <c r="DB13" s="119">
        <v>6409876</v>
      </c>
      <c r="DC13" s="119">
        <v>3178561</v>
      </c>
      <c r="DD13" s="119">
        <v>9588437</v>
      </c>
      <c r="DE13" s="119">
        <v>1863761</v>
      </c>
      <c r="DF13" s="119">
        <v>808506</v>
      </c>
      <c r="DG13" s="119">
        <v>2672267</v>
      </c>
      <c r="DH13" s="119">
        <v>1790039</v>
      </c>
      <c r="DI13" s="119">
        <v>4462306</v>
      </c>
      <c r="DJ13" s="119">
        <v>3074874</v>
      </c>
      <c r="DK13" s="119">
        <v>7537180</v>
      </c>
      <c r="DL13" s="119">
        <v>1581394</v>
      </c>
      <c r="DM13" s="119">
        <v>2490293</v>
      </c>
      <c r="DN13" s="119">
        <v>4071687</v>
      </c>
      <c r="DO13" s="119">
        <v>2628289</v>
      </c>
      <c r="DP13" s="119">
        <v>6699976</v>
      </c>
      <c r="DQ13" s="119">
        <v>3871590</v>
      </c>
      <c r="DR13" s="119">
        <v>10571566</v>
      </c>
      <c r="DS13" s="119">
        <v>2613024</v>
      </c>
      <c r="DT13" s="119">
        <v>3626338</v>
      </c>
      <c r="DU13" s="119">
        <v>6239362</v>
      </c>
      <c r="DV13" s="119">
        <v>3017632</v>
      </c>
      <c r="DW13" s="119">
        <v>9256994</v>
      </c>
      <c r="DX13" s="119">
        <v>4014144</v>
      </c>
      <c r="DY13" s="119">
        <v>13271138</v>
      </c>
      <c r="DZ13" s="119">
        <v>2775292</v>
      </c>
      <c r="EA13" s="119">
        <v>3504083</v>
      </c>
      <c r="EB13" s="119">
        <v>6279375</v>
      </c>
      <c r="EC13" s="119">
        <v>3097096</v>
      </c>
      <c r="ED13" s="119">
        <v>9376471</v>
      </c>
      <c r="EE13" s="119">
        <v>4271378</v>
      </c>
      <c r="EF13" s="119">
        <v>13647849</v>
      </c>
      <c r="EG13" s="119">
        <f>EG14+EG17</f>
        <v>2908249</v>
      </c>
      <c r="EH13" s="119">
        <f>EH14+EH17</f>
        <v>3520391</v>
      </c>
      <c r="EI13" s="119">
        <f t="shared" ref="EI13:EI19" si="4">SUM(EG13:EH13)</f>
        <v>6428640</v>
      </c>
      <c r="EJ13" s="119">
        <f>EJ14+EJ17</f>
        <v>3390509</v>
      </c>
      <c r="EK13" s="119">
        <f t="shared" ref="EK13:EM17" si="5">SUM(EI13:EJ13)</f>
        <v>9819149</v>
      </c>
      <c r="EL13" s="119">
        <f>EL14+EL17</f>
        <v>4617217</v>
      </c>
      <c r="EM13" s="119">
        <f t="shared" si="5"/>
        <v>14436366</v>
      </c>
      <c r="EN13" s="119">
        <f>EN14+EN17</f>
        <v>3257576</v>
      </c>
      <c r="EO13" s="119">
        <v>4167566</v>
      </c>
      <c r="EP13" s="119">
        <v>7425142</v>
      </c>
      <c r="EQ13" s="119">
        <f>EQ14+EQ17</f>
        <v>3563472</v>
      </c>
      <c r="ER13" s="119">
        <f t="shared" ref="ER13:ER17" si="6">SUM(EP13:EQ13)</f>
        <v>10988614</v>
      </c>
      <c r="ES13" s="119">
        <f>ES14+ES17</f>
        <v>4840846</v>
      </c>
      <c r="ET13" s="119">
        <f>SUM(ER13:ES13)</f>
        <v>15829460</v>
      </c>
      <c r="EU13" s="119">
        <f>EU14+EU17</f>
        <v>3365695</v>
      </c>
      <c r="EV13" s="119">
        <f>EV14+EV17</f>
        <v>4201496</v>
      </c>
      <c r="EW13" s="119">
        <f t="shared" ref="EW13:EW17" si="7">SUM(EU13:EV13)</f>
        <v>7567191</v>
      </c>
    </row>
    <row r="14" spans="1:153" ht="16.350000000000001" customHeight="1">
      <c r="A14" s="18"/>
      <c r="B14" s="23" t="s">
        <v>2305</v>
      </c>
      <c r="C14" s="23" t="s">
        <v>451</v>
      </c>
      <c r="D14" s="24">
        <v>198012</v>
      </c>
      <c r="E14" s="24">
        <v>279148</v>
      </c>
      <c r="F14" s="24">
        <v>477160</v>
      </c>
      <c r="G14" s="24">
        <v>255413</v>
      </c>
      <c r="H14" s="24">
        <v>732573</v>
      </c>
      <c r="I14" s="24">
        <v>403861</v>
      </c>
      <c r="J14" s="24">
        <v>1136434</v>
      </c>
      <c r="K14" s="24">
        <v>250995</v>
      </c>
      <c r="L14" s="24">
        <v>357709</v>
      </c>
      <c r="M14" s="24">
        <v>608704</v>
      </c>
      <c r="N14" s="24">
        <v>320523</v>
      </c>
      <c r="O14" s="24">
        <v>929227</v>
      </c>
      <c r="P14" s="24">
        <v>506879</v>
      </c>
      <c r="Q14" s="24">
        <v>1436106</v>
      </c>
      <c r="R14" s="24">
        <v>310293</v>
      </c>
      <c r="S14" s="24">
        <v>444355</v>
      </c>
      <c r="T14" s="24">
        <v>754648</v>
      </c>
      <c r="U14" s="24">
        <v>395358</v>
      </c>
      <c r="V14" s="24">
        <v>1150006</v>
      </c>
      <c r="W14" s="24">
        <v>601722</v>
      </c>
      <c r="X14" s="24">
        <v>1751728</v>
      </c>
      <c r="Y14" s="24">
        <v>383383</v>
      </c>
      <c r="Z14" s="24">
        <v>510246</v>
      </c>
      <c r="AA14" s="24">
        <v>893629</v>
      </c>
      <c r="AB14" s="24">
        <v>449034</v>
      </c>
      <c r="AC14" s="24">
        <v>1342664</v>
      </c>
      <c r="AD14" s="24">
        <v>613758</v>
      </c>
      <c r="AE14" s="24">
        <v>1956421</v>
      </c>
      <c r="AF14" s="24">
        <v>362649</v>
      </c>
      <c r="AG14" s="24">
        <v>554732</v>
      </c>
      <c r="AH14" s="24">
        <v>917381</v>
      </c>
      <c r="AI14" s="24">
        <v>486730</v>
      </c>
      <c r="AJ14" s="24">
        <v>1404111</v>
      </c>
      <c r="AK14" s="120">
        <v>711858</v>
      </c>
      <c r="AL14" s="24">
        <v>2115969</v>
      </c>
      <c r="AM14" s="24">
        <v>440246</v>
      </c>
      <c r="AN14" s="24">
        <v>629989</v>
      </c>
      <c r="AO14" s="24">
        <v>1070235</v>
      </c>
      <c r="AP14" s="24">
        <v>568740</v>
      </c>
      <c r="AQ14" s="24">
        <v>1638975</v>
      </c>
      <c r="AR14" s="24">
        <v>823709</v>
      </c>
      <c r="AS14" s="24">
        <v>2462684</v>
      </c>
      <c r="AT14" s="24">
        <v>517707</v>
      </c>
      <c r="AU14" s="24">
        <v>749653</v>
      </c>
      <c r="AV14" s="24">
        <v>1267360</v>
      </c>
      <c r="AW14" s="24">
        <v>657076</v>
      </c>
      <c r="AX14" s="24">
        <v>1924436</v>
      </c>
      <c r="AY14" s="24">
        <v>972180</v>
      </c>
      <c r="AZ14" s="24">
        <v>2896616</v>
      </c>
      <c r="BA14" s="24">
        <v>619199</v>
      </c>
      <c r="BB14" s="24">
        <v>855169</v>
      </c>
      <c r="BC14" s="24">
        <v>1474368</v>
      </c>
      <c r="BD14" s="24">
        <v>803260</v>
      </c>
      <c r="BE14" s="24">
        <v>2277628</v>
      </c>
      <c r="BF14" s="24">
        <v>1184332</v>
      </c>
      <c r="BG14" s="24">
        <v>3461960</v>
      </c>
      <c r="BH14" s="24">
        <v>726731</v>
      </c>
      <c r="BI14" s="24">
        <v>947203</v>
      </c>
      <c r="BJ14" s="24">
        <v>1673934</v>
      </c>
      <c r="BK14" s="24">
        <v>906918</v>
      </c>
      <c r="BL14" s="24">
        <v>2580852</v>
      </c>
      <c r="BM14" s="24">
        <v>1332954</v>
      </c>
      <c r="BN14" s="24">
        <v>3913806</v>
      </c>
      <c r="BO14" s="24">
        <v>814516</v>
      </c>
      <c r="BP14" s="24">
        <v>1111198</v>
      </c>
      <c r="BQ14" s="24">
        <v>1925714</v>
      </c>
      <c r="BR14" s="24">
        <v>1047091</v>
      </c>
      <c r="BS14" s="24">
        <v>2972805</v>
      </c>
      <c r="BT14" s="24">
        <v>1669807</v>
      </c>
      <c r="BU14" s="24">
        <v>4642612</v>
      </c>
      <c r="BV14" s="24">
        <v>1010895</v>
      </c>
      <c r="BW14" s="24">
        <v>1354226</v>
      </c>
      <c r="BX14" s="24">
        <v>2365121</v>
      </c>
      <c r="BY14" s="24">
        <v>1248365</v>
      </c>
      <c r="BZ14" s="24">
        <v>3613486</v>
      </c>
      <c r="CA14" s="24">
        <v>1837366</v>
      </c>
      <c r="CB14" s="24">
        <v>5450852</v>
      </c>
      <c r="CC14" s="24">
        <v>1076148</v>
      </c>
      <c r="CD14" s="24">
        <v>1464688</v>
      </c>
      <c r="CE14" s="24">
        <v>2540836</v>
      </c>
      <c r="CF14" s="24">
        <v>1260418</v>
      </c>
      <c r="CG14" s="24">
        <v>3801254</v>
      </c>
      <c r="CH14" s="24">
        <v>1920504</v>
      </c>
      <c r="CI14" s="24">
        <f t="shared" si="3"/>
        <v>5721758</v>
      </c>
      <c r="CJ14" s="24">
        <v>1234684</v>
      </c>
      <c r="CK14" s="24">
        <v>1630456</v>
      </c>
      <c r="CL14" s="24">
        <v>2865140</v>
      </c>
      <c r="CM14" s="24">
        <v>1512578</v>
      </c>
      <c r="CN14" s="24">
        <v>4377718</v>
      </c>
      <c r="CO14" s="24">
        <v>2222355</v>
      </c>
      <c r="CP14" s="24">
        <v>6600073</v>
      </c>
      <c r="CQ14" s="24">
        <v>1398819</v>
      </c>
      <c r="CR14" s="24">
        <v>1780031</v>
      </c>
      <c r="CS14" s="24">
        <v>3178850</v>
      </c>
      <c r="CT14" s="24">
        <v>1711461</v>
      </c>
      <c r="CU14" s="24">
        <v>4890311</v>
      </c>
      <c r="CV14" s="24">
        <v>2595122</v>
      </c>
      <c r="CW14" s="24">
        <v>7485433</v>
      </c>
      <c r="CX14" s="24">
        <v>1650337</v>
      </c>
      <c r="CY14" s="24">
        <v>2019374</v>
      </c>
      <c r="CZ14" s="24">
        <v>3669711</v>
      </c>
      <c r="DA14" s="24">
        <v>1931924</v>
      </c>
      <c r="DB14" s="24">
        <v>5601635</v>
      </c>
      <c r="DC14" s="24">
        <v>2873058</v>
      </c>
      <c r="DD14" s="24">
        <v>8474693</v>
      </c>
      <c r="DE14" s="24">
        <v>1550180</v>
      </c>
      <c r="DF14" s="24">
        <v>539636</v>
      </c>
      <c r="DG14" s="24">
        <v>2089816</v>
      </c>
      <c r="DH14" s="24">
        <v>1651197</v>
      </c>
      <c r="DI14" s="24">
        <v>3741013</v>
      </c>
      <c r="DJ14" s="24">
        <v>2919558</v>
      </c>
      <c r="DK14" s="24">
        <v>6660571</v>
      </c>
      <c r="DL14" s="80">
        <v>1364417</v>
      </c>
      <c r="DM14" s="80">
        <v>2258724</v>
      </c>
      <c r="DN14" s="24">
        <v>3623141</v>
      </c>
      <c r="DO14" s="80">
        <v>2371832</v>
      </c>
      <c r="DP14" s="24">
        <v>5994973</v>
      </c>
      <c r="DQ14" s="80">
        <v>3560460</v>
      </c>
      <c r="DR14" s="24">
        <v>9555433</v>
      </c>
      <c r="DS14" s="24">
        <v>2229665</v>
      </c>
      <c r="DT14" s="24">
        <v>3175746</v>
      </c>
      <c r="DU14" s="24">
        <v>5405411</v>
      </c>
      <c r="DV14" s="24">
        <v>2615521</v>
      </c>
      <c r="DW14" s="24">
        <v>8020932</v>
      </c>
      <c r="DX14" s="24">
        <v>3554864</v>
      </c>
      <c r="DY14" s="24">
        <v>11575796</v>
      </c>
      <c r="DZ14" s="24">
        <v>2277999</v>
      </c>
      <c r="EA14" s="24">
        <v>2985304</v>
      </c>
      <c r="EB14" s="24">
        <v>5263303</v>
      </c>
      <c r="EC14" s="24">
        <v>2636106</v>
      </c>
      <c r="ED14" s="24">
        <v>7899409</v>
      </c>
      <c r="EE14" s="24">
        <v>3806931</v>
      </c>
      <c r="EF14" s="24">
        <v>11706340</v>
      </c>
      <c r="EG14" s="24">
        <v>2461296</v>
      </c>
      <c r="EH14" s="24">
        <v>3079923</v>
      </c>
      <c r="EI14" s="24">
        <f t="shared" si="4"/>
        <v>5541219</v>
      </c>
      <c r="EJ14" s="24">
        <v>2955952</v>
      </c>
      <c r="EK14" s="24">
        <f t="shared" si="5"/>
        <v>8497171</v>
      </c>
      <c r="EL14" s="24">
        <v>4174779</v>
      </c>
      <c r="EM14" s="24">
        <f t="shared" si="5"/>
        <v>12671950</v>
      </c>
      <c r="EN14" s="24">
        <v>2756840</v>
      </c>
      <c r="EO14" s="24">
        <v>3649669</v>
      </c>
      <c r="EP14" s="24">
        <v>6406509</v>
      </c>
      <c r="EQ14" s="24">
        <v>3079149</v>
      </c>
      <c r="ER14" s="24">
        <f t="shared" si="6"/>
        <v>9485658</v>
      </c>
      <c r="ES14" s="24">
        <f>SUM(ES15:ES16)</f>
        <v>4352522</v>
      </c>
      <c r="ET14" s="24">
        <f t="shared" ref="ET14:ET15" si="8">SUM(ER14:ES14)</f>
        <v>13838180</v>
      </c>
      <c r="EU14" s="24">
        <v>2875929</v>
      </c>
      <c r="EV14" s="24">
        <v>3689238</v>
      </c>
      <c r="EW14" s="24">
        <f t="shared" si="7"/>
        <v>6565167</v>
      </c>
    </row>
    <row r="15" spans="1:153" ht="16.350000000000001" customHeight="1">
      <c r="A15" s="18"/>
      <c r="B15" s="121" t="s">
        <v>2306</v>
      </c>
      <c r="C15" s="121" t="s">
        <v>650</v>
      </c>
      <c r="D15" s="24">
        <v>198012</v>
      </c>
      <c r="E15" s="24">
        <v>279148</v>
      </c>
      <c r="F15" s="24">
        <v>477160</v>
      </c>
      <c r="G15" s="24">
        <v>255413</v>
      </c>
      <c r="H15" s="24">
        <v>732573</v>
      </c>
      <c r="I15" s="24">
        <v>403861</v>
      </c>
      <c r="J15" s="24">
        <v>1136434</v>
      </c>
      <c r="K15" s="24">
        <v>250995</v>
      </c>
      <c r="L15" s="24">
        <v>357709</v>
      </c>
      <c r="M15" s="24">
        <v>608704</v>
      </c>
      <c r="N15" s="24">
        <v>320523</v>
      </c>
      <c r="O15" s="24">
        <v>929227</v>
      </c>
      <c r="P15" s="24">
        <v>506879</v>
      </c>
      <c r="Q15" s="24">
        <v>1436106</v>
      </c>
      <c r="R15" s="24">
        <v>310293</v>
      </c>
      <c r="S15" s="24">
        <v>444355</v>
      </c>
      <c r="T15" s="24">
        <v>754648</v>
      </c>
      <c r="U15" s="24">
        <v>395358</v>
      </c>
      <c r="V15" s="24">
        <v>1150006</v>
      </c>
      <c r="W15" s="24">
        <v>601722</v>
      </c>
      <c r="X15" s="24">
        <v>1751728</v>
      </c>
      <c r="Y15" s="24">
        <v>383383</v>
      </c>
      <c r="Z15" s="24">
        <v>510246</v>
      </c>
      <c r="AA15" s="24">
        <v>893629</v>
      </c>
      <c r="AB15" s="24">
        <v>449034</v>
      </c>
      <c r="AC15" s="24">
        <v>1342664</v>
      </c>
      <c r="AD15" s="24">
        <v>613758</v>
      </c>
      <c r="AE15" s="24">
        <v>1956421</v>
      </c>
      <c r="AF15" s="24">
        <v>362649</v>
      </c>
      <c r="AG15" s="24">
        <v>554732</v>
      </c>
      <c r="AH15" s="24">
        <v>917381</v>
      </c>
      <c r="AI15" s="24">
        <v>486730</v>
      </c>
      <c r="AJ15" s="24">
        <v>1404111</v>
      </c>
      <c r="AK15" s="120">
        <v>711858</v>
      </c>
      <c r="AL15" s="24">
        <v>2115969</v>
      </c>
      <c r="AM15" s="24">
        <v>440246</v>
      </c>
      <c r="AN15" s="24">
        <v>629989</v>
      </c>
      <c r="AO15" s="24">
        <v>1070235</v>
      </c>
      <c r="AP15" s="24">
        <v>568740</v>
      </c>
      <c r="AQ15" s="24">
        <v>1638975</v>
      </c>
      <c r="AR15" s="24">
        <v>823709</v>
      </c>
      <c r="AS15" s="24">
        <v>2462684</v>
      </c>
      <c r="AT15" s="24">
        <v>517707</v>
      </c>
      <c r="AU15" s="24">
        <v>749653</v>
      </c>
      <c r="AV15" s="24">
        <v>1267360</v>
      </c>
      <c r="AW15" s="24">
        <v>657076</v>
      </c>
      <c r="AX15" s="24">
        <v>1924436</v>
      </c>
      <c r="AY15" s="24">
        <v>972180</v>
      </c>
      <c r="AZ15" s="24">
        <v>2896616</v>
      </c>
      <c r="BA15" s="24">
        <v>619199</v>
      </c>
      <c r="BB15" s="24">
        <v>855169</v>
      </c>
      <c r="BC15" s="24">
        <v>1474368</v>
      </c>
      <c r="BD15" s="24">
        <v>803260</v>
      </c>
      <c r="BE15" s="24">
        <v>2277628</v>
      </c>
      <c r="BF15" s="24">
        <v>1184332</v>
      </c>
      <c r="BG15" s="24">
        <v>3461960</v>
      </c>
      <c r="BH15" s="24">
        <v>726731</v>
      </c>
      <c r="BI15" s="24">
        <v>947203</v>
      </c>
      <c r="BJ15" s="24">
        <v>1673934</v>
      </c>
      <c r="BK15" s="24">
        <v>906918</v>
      </c>
      <c r="BL15" s="24">
        <v>2580852</v>
      </c>
      <c r="BM15" s="24">
        <v>1332954</v>
      </c>
      <c r="BN15" s="24">
        <v>3913806</v>
      </c>
      <c r="BO15" s="24">
        <v>814516</v>
      </c>
      <c r="BP15" s="24">
        <v>1111198</v>
      </c>
      <c r="BQ15" s="24">
        <v>1925714</v>
      </c>
      <c r="BR15" s="24">
        <v>1047091</v>
      </c>
      <c r="BS15" s="24">
        <v>2972805</v>
      </c>
      <c r="BT15" s="24">
        <v>1669807</v>
      </c>
      <c r="BU15" s="24">
        <v>4642612</v>
      </c>
      <c r="BV15" s="24">
        <v>1010895</v>
      </c>
      <c r="BW15" s="24">
        <v>1354226</v>
      </c>
      <c r="BX15" s="24">
        <v>2365121</v>
      </c>
      <c r="BY15" s="24">
        <v>1248365</v>
      </c>
      <c r="BZ15" s="24">
        <v>3613486</v>
      </c>
      <c r="CA15" s="24">
        <v>1837366</v>
      </c>
      <c r="CB15" s="24">
        <v>5450852</v>
      </c>
      <c r="CC15" s="24">
        <v>1076148</v>
      </c>
      <c r="CD15" s="24">
        <v>1464688</v>
      </c>
      <c r="CE15" s="24">
        <v>2540836</v>
      </c>
      <c r="CF15" s="24">
        <v>1260418</v>
      </c>
      <c r="CG15" s="24">
        <v>3801254</v>
      </c>
      <c r="CH15" s="24">
        <v>1920504</v>
      </c>
      <c r="CI15" s="24">
        <f t="shared" si="3"/>
        <v>5721758</v>
      </c>
      <c r="CJ15" s="24">
        <v>1234684</v>
      </c>
      <c r="CK15" s="24">
        <v>1630456</v>
      </c>
      <c r="CL15" s="24">
        <v>2865140</v>
      </c>
      <c r="CM15" s="24">
        <v>1512578</v>
      </c>
      <c r="CN15" s="24">
        <v>4377718</v>
      </c>
      <c r="CO15" s="24">
        <v>2222355</v>
      </c>
      <c r="CP15" s="24">
        <v>6600073</v>
      </c>
      <c r="CQ15" s="24">
        <v>1398819</v>
      </c>
      <c r="CR15" s="24">
        <v>1780031</v>
      </c>
      <c r="CS15" s="24">
        <v>3178850</v>
      </c>
      <c r="CT15" s="24">
        <v>1711461</v>
      </c>
      <c r="CU15" s="24">
        <v>4890311</v>
      </c>
      <c r="CV15" s="24">
        <v>2595122</v>
      </c>
      <c r="CW15" s="24">
        <v>7485433</v>
      </c>
      <c r="CX15" s="24">
        <v>1650337</v>
      </c>
      <c r="CY15" s="24">
        <v>2019374</v>
      </c>
      <c r="CZ15" s="24">
        <v>3669711</v>
      </c>
      <c r="DA15" s="24">
        <v>1931924</v>
      </c>
      <c r="DB15" s="24">
        <v>5601635</v>
      </c>
      <c r="DC15" s="24">
        <v>2873058</v>
      </c>
      <c r="DD15" s="24">
        <v>8474693</v>
      </c>
      <c r="DE15" s="24">
        <v>1550180</v>
      </c>
      <c r="DF15" s="24">
        <v>539636</v>
      </c>
      <c r="DG15" s="24">
        <v>2089816</v>
      </c>
      <c r="DH15" s="24">
        <v>1651197</v>
      </c>
      <c r="DI15" s="24">
        <v>3741013</v>
      </c>
      <c r="DJ15" s="24">
        <v>2919558</v>
      </c>
      <c r="DK15" s="24">
        <v>6660571</v>
      </c>
      <c r="DL15" s="80">
        <v>1363717</v>
      </c>
      <c r="DM15" s="80">
        <v>2257535</v>
      </c>
      <c r="DN15" s="24">
        <v>3621252</v>
      </c>
      <c r="DO15" s="80">
        <v>2369649</v>
      </c>
      <c r="DP15" s="24">
        <v>5990901</v>
      </c>
      <c r="DQ15" s="80">
        <v>3556539</v>
      </c>
      <c r="DR15" s="24">
        <v>9547440</v>
      </c>
      <c r="DS15" s="24">
        <v>2224639</v>
      </c>
      <c r="DT15" s="24">
        <v>3163017</v>
      </c>
      <c r="DU15" s="24">
        <v>5387656</v>
      </c>
      <c r="DV15" s="24">
        <v>2602783</v>
      </c>
      <c r="DW15" s="24">
        <v>7990439</v>
      </c>
      <c r="DX15" s="24">
        <v>3539457</v>
      </c>
      <c r="DY15" s="24">
        <v>11529896</v>
      </c>
      <c r="DZ15" s="24">
        <v>2265224</v>
      </c>
      <c r="EA15" s="24">
        <v>2967423</v>
      </c>
      <c r="EB15" s="24">
        <v>5232647</v>
      </c>
      <c r="EC15" s="24">
        <v>2620943</v>
      </c>
      <c r="ED15" s="24">
        <v>7853590</v>
      </c>
      <c r="EE15" s="24">
        <v>3789667</v>
      </c>
      <c r="EF15" s="24">
        <v>11643257</v>
      </c>
      <c r="EG15" s="24">
        <v>2449207</v>
      </c>
      <c r="EH15" s="24">
        <v>3069288</v>
      </c>
      <c r="EI15" s="24">
        <f t="shared" si="4"/>
        <v>5518495</v>
      </c>
      <c r="EJ15" s="24">
        <v>2945624</v>
      </c>
      <c r="EK15" s="24">
        <f t="shared" si="5"/>
        <v>8464119</v>
      </c>
      <c r="EL15" s="24">
        <v>4165737</v>
      </c>
      <c r="EM15" s="24">
        <f t="shared" si="5"/>
        <v>12629856</v>
      </c>
      <c r="EN15" s="24">
        <v>2748281</v>
      </c>
      <c r="EO15" s="24">
        <v>3642713</v>
      </c>
      <c r="EP15" s="24">
        <v>6390994</v>
      </c>
      <c r="EQ15" s="24">
        <v>3072052</v>
      </c>
      <c r="ER15" s="24">
        <f t="shared" si="6"/>
        <v>9463046</v>
      </c>
      <c r="ES15" s="24">
        <v>4346918</v>
      </c>
      <c r="ET15" s="24">
        <f t="shared" si="8"/>
        <v>13809964</v>
      </c>
      <c r="EU15" s="24">
        <v>2870014</v>
      </c>
      <c r="EV15" s="24">
        <v>3683497</v>
      </c>
      <c r="EW15" s="24">
        <f t="shared" si="7"/>
        <v>6553511</v>
      </c>
    </row>
    <row r="16" spans="1:153" ht="16.350000000000001" customHeight="1">
      <c r="A16" s="18"/>
      <c r="B16" s="121" t="s">
        <v>648</v>
      </c>
      <c r="C16" s="121" t="s">
        <v>2308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4">
        <v>0</v>
      </c>
      <c r="AD16" s="24">
        <v>0</v>
      </c>
      <c r="AE16" s="24">
        <v>0</v>
      </c>
      <c r="AF16" s="24">
        <v>0</v>
      </c>
      <c r="AG16" s="24">
        <v>0</v>
      </c>
      <c r="AH16" s="24">
        <v>0</v>
      </c>
      <c r="AI16" s="24">
        <v>0</v>
      </c>
      <c r="AJ16" s="24">
        <v>0</v>
      </c>
      <c r="AK16" s="24">
        <v>0</v>
      </c>
      <c r="AL16" s="24">
        <v>0</v>
      </c>
      <c r="AM16" s="24">
        <v>0</v>
      </c>
      <c r="AN16" s="24">
        <v>0</v>
      </c>
      <c r="AO16" s="24">
        <v>0</v>
      </c>
      <c r="AP16" s="24">
        <v>0</v>
      </c>
      <c r="AQ16" s="24">
        <v>0</v>
      </c>
      <c r="AR16" s="24">
        <v>0</v>
      </c>
      <c r="AS16" s="24">
        <v>0</v>
      </c>
      <c r="AT16" s="24">
        <v>0</v>
      </c>
      <c r="AU16" s="24">
        <v>0</v>
      </c>
      <c r="AV16" s="24">
        <v>0</v>
      </c>
      <c r="AW16" s="24">
        <v>0</v>
      </c>
      <c r="AX16" s="24">
        <v>0</v>
      </c>
      <c r="AY16" s="24">
        <v>0</v>
      </c>
      <c r="AZ16" s="24">
        <v>0</v>
      </c>
      <c r="BA16" s="24">
        <v>0</v>
      </c>
      <c r="BB16" s="24">
        <v>0</v>
      </c>
      <c r="BC16" s="24">
        <v>0</v>
      </c>
      <c r="BD16" s="24">
        <v>0</v>
      </c>
      <c r="BE16" s="24">
        <v>0</v>
      </c>
      <c r="BF16" s="24">
        <v>0</v>
      </c>
      <c r="BG16" s="24">
        <v>0</v>
      </c>
      <c r="BH16" s="24">
        <v>0</v>
      </c>
      <c r="BI16" s="24">
        <v>0</v>
      </c>
      <c r="BJ16" s="24">
        <v>0</v>
      </c>
      <c r="BK16" s="24">
        <v>0</v>
      </c>
      <c r="BL16" s="24">
        <v>0</v>
      </c>
      <c r="BM16" s="24">
        <v>0</v>
      </c>
      <c r="BN16" s="24">
        <v>0</v>
      </c>
      <c r="BO16" s="24">
        <v>0</v>
      </c>
      <c r="BP16" s="24">
        <v>0</v>
      </c>
      <c r="BQ16" s="24">
        <v>0</v>
      </c>
      <c r="BR16" s="24">
        <v>0</v>
      </c>
      <c r="BS16" s="24">
        <v>0</v>
      </c>
      <c r="BT16" s="24">
        <v>0</v>
      </c>
      <c r="BU16" s="24">
        <v>0</v>
      </c>
      <c r="BV16" s="24">
        <v>0</v>
      </c>
      <c r="BW16" s="24">
        <v>0</v>
      </c>
      <c r="BX16" s="24">
        <v>0</v>
      </c>
      <c r="BY16" s="24">
        <v>0</v>
      </c>
      <c r="BZ16" s="24">
        <v>0</v>
      </c>
      <c r="CA16" s="24">
        <v>0</v>
      </c>
      <c r="CB16" s="24">
        <v>0</v>
      </c>
      <c r="CC16" s="24">
        <v>0</v>
      </c>
      <c r="CD16" s="24">
        <v>0</v>
      </c>
      <c r="CE16" s="24">
        <v>0</v>
      </c>
      <c r="CF16" s="24">
        <v>0</v>
      </c>
      <c r="CG16" s="24">
        <v>0</v>
      </c>
      <c r="CH16" s="24">
        <v>0</v>
      </c>
      <c r="CI16" s="24">
        <f>SUM(CG16:CH16)</f>
        <v>0</v>
      </c>
      <c r="CJ16" s="24">
        <v>0</v>
      </c>
      <c r="CK16" s="24">
        <v>0</v>
      </c>
      <c r="CL16" s="24">
        <v>0</v>
      </c>
      <c r="CM16" s="24">
        <v>0</v>
      </c>
      <c r="CN16" s="24">
        <v>0</v>
      </c>
      <c r="CO16" s="24">
        <v>0</v>
      </c>
      <c r="CP16" s="24">
        <v>0</v>
      </c>
      <c r="CQ16" s="24">
        <v>0</v>
      </c>
      <c r="CR16" s="24">
        <v>0</v>
      </c>
      <c r="CS16" s="24">
        <v>0</v>
      </c>
      <c r="CT16" s="24">
        <v>0</v>
      </c>
      <c r="CU16" s="24">
        <v>0</v>
      </c>
      <c r="CV16" s="24">
        <v>0</v>
      </c>
      <c r="CW16" s="24">
        <v>0</v>
      </c>
      <c r="CX16" s="24">
        <v>0</v>
      </c>
      <c r="CY16" s="24">
        <v>0</v>
      </c>
      <c r="CZ16" s="24">
        <v>0</v>
      </c>
      <c r="DA16" s="24">
        <v>0</v>
      </c>
      <c r="DB16" s="24">
        <v>0</v>
      </c>
      <c r="DC16" s="24">
        <v>0</v>
      </c>
      <c r="DD16" s="24">
        <v>0</v>
      </c>
      <c r="DE16" s="24">
        <v>0</v>
      </c>
      <c r="DF16" s="24">
        <v>0</v>
      </c>
      <c r="DG16" s="24">
        <v>0</v>
      </c>
      <c r="DH16" s="24">
        <v>0</v>
      </c>
      <c r="DI16" s="24">
        <v>0</v>
      </c>
      <c r="DJ16" s="24">
        <v>0</v>
      </c>
      <c r="DK16" s="24">
        <v>0</v>
      </c>
      <c r="DL16" s="24">
        <v>700</v>
      </c>
      <c r="DM16" s="24">
        <v>1189</v>
      </c>
      <c r="DN16" s="24">
        <v>1889</v>
      </c>
      <c r="DO16" s="24">
        <v>2183</v>
      </c>
      <c r="DP16" s="24">
        <v>4072</v>
      </c>
      <c r="DQ16" s="24">
        <v>3921</v>
      </c>
      <c r="DR16" s="24">
        <v>7993</v>
      </c>
      <c r="DS16" s="24">
        <v>5026</v>
      </c>
      <c r="DT16" s="24">
        <v>12729</v>
      </c>
      <c r="DU16" s="24">
        <v>17755</v>
      </c>
      <c r="DV16" s="24">
        <v>12738</v>
      </c>
      <c r="DW16" s="24">
        <v>30493</v>
      </c>
      <c r="DX16" s="24">
        <v>15407</v>
      </c>
      <c r="DY16" s="24">
        <v>45900</v>
      </c>
      <c r="DZ16" s="24">
        <v>12775</v>
      </c>
      <c r="EA16" s="24">
        <v>17881</v>
      </c>
      <c r="EB16" s="24">
        <v>30656</v>
      </c>
      <c r="EC16" s="24">
        <v>15163</v>
      </c>
      <c r="ED16" s="24">
        <v>45819</v>
      </c>
      <c r="EE16" s="24">
        <v>17264</v>
      </c>
      <c r="EF16" s="24">
        <v>63083</v>
      </c>
      <c r="EG16" s="24">
        <f>EG14-EG15</f>
        <v>12089</v>
      </c>
      <c r="EH16" s="24">
        <f>EH14-EH15</f>
        <v>10635</v>
      </c>
      <c r="EI16" s="24">
        <f t="shared" si="4"/>
        <v>22724</v>
      </c>
      <c r="EJ16" s="24">
        <f>EJ14-EJ15</f>
        <v>10328</v>
      </c>
      <c r="EK16" s="24">
        <f t="shared" si="5"/>
        <v>33052</v>
      </c>
      <c r="EL16" s="24">
        <f>EL14-EL15</f>
        <v>9042</v>
      </c>
      <c r="EM16" s="24">
        <f t="shared" si="5"/>
        <v>42094</v>
      </c>
      <c r="EN16" s="24">
        <f>EN14-EN15</f>
        <v>8559</v>
      </c>
      <c r="EO16" s="24">
        <v>6956</v>
      </c>
      <c r="EP16" s="24">
        <v>15515</v>
      </c>
      <c r="EQ16" s="24">
        <f>EQ14-EQ15</f>
        <v>7097</v>
      </c>
      <c r="ER16" s="24">
        <f>SUM(EP16:EQ16)</f>
        <v>22612</v>
      </c>
      <c r="ES16" s="24">
        <f>493928-ES17</f>
        <v>5604</v>
      </c>
      <c r="ET16" s="24">
        <f>SUM(ER16:ES16)</f>
        <v>28216</v>
      </c>
      <c r="EU16" s="24">
        <f>EU14-EU15</f>
        <v>5915</v>
      </c>
      <c r="EV16" s="24">
        <v>5741</v>
      </c>
      <c r="EW16" s="24">
        <f>SUM(EU16:EV16)</f>
        <v>11656</v>
      </c>
    </row>
    <row r="17" spans="1:153" ht="16.350000000000001" customHeight="1">
      <c r="A17" s="18"/>
      <c r="B17" s="109" t="s">
        <v>2307</v>
      </c>
      <c r="C17" s="109" t="s">
        <v>393</v>
      </c>
      <c r="D17" s="112">
        <v>12192</v>
      </c>
      <c r="E17" s="112">
        <v>16634</v>
      </c>
      <c r="F17" s="112">
        <v>28826</v>
      </c>
      <c r="G17" s="112">
        <v>16454</v>
      </c>
      <c r="H17" s="112">
        <v>45280</v>
      </c>
      <c r="I17" s="112">
        <v>20414</v>
      </c>
      <c r="J17" s="112">
        <v>65694</v>
      </c>
      <c r="K17" s="112">
        <v>15757</v>
      </c>
      <c r="L17" s="112">
        <v>23151</v>
      </c>
      <c r="M17" s="112">
        <v>38908</v>
      </c>
      <c r="N17" s="112">
        <v>26264</v>
      </c>
      <c r="O17" s="112">
        <v>65172</v>
      </c>
      <c r="P17" s="112">
        <v>29960</v>
      </c>
      <c r="Q17" s="112">
        <v>95132</v>
      </c>
      <c r="R17" s="112">
        <v>37262</v>
      </c>
      <c r="S17" s="112">
        <v>46517</v>
      </c>
      <c r="T17" s="112">
        <v>83779</v>
      </c>
      <c r="U17" s="112">
        <v>48654</v>
      </c>
      <c r="V17" s="112">
        <v>132433</v>
      </c>
      <c r="W17" s="112">
        <v>46778</v>
      </c>
      <c r="X17" s="112">
        <v>179211</v>
      </c>
      <c r="Y17" s="112">
        <v>48414</v>
      </c>
      <c r="Z17" s="112">
        <v>56501</v>
      </c>
      <c r="AA17" s="112">
        <v>104915</v>
      </c>
      <c r="AB17" s="112">
        <v>62336</v>
      </c>
      <c r="AC17" s="112">
        <v>167250</v>
      </c>
      <c r="AD17" s="112">
        <v>59735</v>
      </c>
      <c r="AE17" s="112">
        <v>226986</v>
      </c>
      <c r="AF17" s="112">
        <v>56485</v>
      </c>
      <c r="AG17" s="112">
        <v>58682</v>
      </c>
      <c r="AH17" s="112">
        <v>115167</v>
      </c>
      <c r="AI17" s="112">
        <v>65581</v>
      </c>
      <c r="AJ17" s="112">
        <v>180748</v>
      </c>
      <c r="AK17" s="122">
        <v>66911</v>
      </c>
      <c r="AL17" s="112">
        <v>247659</v>
      </c>
      <c r="AM17" s="112">
        <v>65488</v>
      </c>
      <c r="AN17" s="112">
        <v>71990</v>
      </c>
      <c r="AO17" s="112">
        <v>137478</v>
      </c>
      <c r="AP17" s="112">
        <v>75133</v>
      </c>
      <c r="AQ17" s="112">
        <v>212611</v>
      </c>
      <c r="AR17" s="112">
        <v>76043</v>
      </c>
      <c r="AS17" s="112">
        <v>288654</v>
      </c>
      <c r="AT17" s="112">
        <v>81060</v>
      </c>
      <c r="AU17" s="112">
        <v>86766</v>
      </c>
      <c r="AV17" s="112">
        <v>167826</v>
      </c>
      <c r="AW17" s="112">
        <v>84846</v>
      </c>
      <c r="AX17" s="112">
        <v>252672</v>
      </c>
      <c r="AY17" s="112">
        <v>89254</v>
      </c>
      <c r="AZ17" s="112">
        <v>341926</v>
      </c>
      <c r="BA17" s="112">
        <v>90077</v>
      </c>
      <c r="BB17" s="112">
        <v>100285</v>
      </c>
      <c r="BC17" s="112">
        <v>190362</v>
      </c>
      <c r="BD17" s="112">
        <v>101798</v>
      </c>
      <c r="BE17" s="112">
        <v>292160</v>
      </c>
      <c r="BF17" s="112">
        <v>108388</v>
      </c>
      <c r="BG17" s="112">
        <v>400548</v>
      </c>
      <c r="BH17" s="112">
        <v>107065</v>
      </c>
      <c r="BI17" s="112">
        <v>113199</v>
      </c>
      <c r="BJ17" s="112">
        <v>220264</v>
      </c>
      <c r="BK17" s="112">
        <v>114517</v>
      </c>
      <c r="BL17" s="112">
        <v>334781</v>
      </c>
      <c r="BM17" s="112">
        <v>121738</v>
      </c>
      <c r="BN17" s="112">
        <v>456519</v>
      </c>
      <c r="BO17" s="112">
        <v>124384</v>
      </c>
      <c r="BP17" s="112">
        <v>144029</v>
      </c>
      <c r="BQ17" s="112">
        <v>268413</v>
      </c>
      <c r="BR17" s="112">
        <v>157202</v>
      </c>
      <c r="BS17" s="112">
        <v>425615</v>
      </c>
      <c r="BT17" s="112">
        <v>148592</v>
      </c>
      <c r="BU17" s="112">
        <v>574207</v>
      </c>
      <c r="BV17" s="112">
        <v>163052</v>
      </c>
      <c r="BW17" s="112">
        <v>182175</v>
      </c>
      <c r="BX17" s="112">
        <v>345227</v>
      </c>
      <c r="BY17" s="112">
        <v>172240</v>
      </c>
      <c r="BZ17" s="112">
        <v>517467</v>
      </c>
      <c r="CA17" s="112">
        <v>176879</v>
      </c>
      <c r="CB17" s="112">
        <v>694346</v>
      </c>
      <c r="CC17" s="112">
        <v>171221</v>
      </c>
      <c r="CD17" s="112">
        <v>182892</v>
      </c>
      <c r="CE17" s="112">
        <v>354113</v>
      </c>
      <c r="CF17" s="112">
        <v>185411</v>
      </c>
      <c r="CG17" s="112">
        <v>539524</v>
      </c>
      <c r="CH17" s="112">
        <v>190298</v>
      </c>
      <c r="CI17" s="112">
        <f t="shared" si="3"/>
        <v>729822</v>
      </c>
      <c r="CJ17" s="112">
        <v>180640</v>
      </c>
      <c r="CK17" s="112">
        <v>200676</v>
      </c>
      <c r="CL17" s="112">
        <v>381316</v>
      </c>
      <c r="CM17" s="112">
        <v>233799</v>
      </c>
      <c r="CN17" s="112">
        <v>615115</v>
      </c>
      <c r="CO17" s="112">
        <v>229117</v>
      </c>
      <c r="CP17" s="112">
        <v>844232</v>
      </c>
      <c r="CQ17" s="112">
        <v>229466</v>
      </c>
      <c r="CR17" s="112">
        <v>240066</v>
      </c>
      <c r="CS17" s="112">
        <v>469532</v>
      </c>
      <c r="CT17" s="112">
        <v>231827</v>
      </c>
      <c r="CU17" s="112">
        <v>701359</v>
      </c>
      <c r="CV17" s="112">
        <v>239749</v>
      </c>
      <c r="CW17" s="112">
        <v>941108</v>
      </c>
      <c r="CX17" s="112">
        <v>241780</v>
      </c>
      <c r="CY17" s="112">
        <v>272630</v>
      </c>
      <c r="CZ17" s="112">
        <v>514410</v>
      </c>
      <c r="DA17" s="112">
        <v>293831</v>
      </c>
      <c r="DB17" s="112">
        <v>808241</v>
      </c>
      <c r="DC17" s="112">
        <v>305503</v>
      </c>
      <c r="DD17" s="112">
        <v>1113744</v>
      </c>
      <c r="DE17" s="112">
        <v>313581</v>
      </c>
      <c r="DF17" s="112">
        <v>268870</v>
      </c>
      <c r="DG17" s="112">
        <v>582451</v>
      </c>
      <c r="DH17" s="112">
        <v>138842</v>
      </c>
      <c r="DI17" s="112">
        <v>721293</v>
      </c>
      <c r="DJ17" s="112">
        <v>155316</v>
      </c>
      <c r="DK17" s="112">
        <v>876609</v>
      </c>
      <c r="DL17" s="85">
        <v>216977</v>
      </c>
      <c r="DM17" s="85">
        <v>231569</v>
      </c>
      <c r="DN17" s="112">
        <v>448546</v>
      </c>
      <c r="DO17" s="85">
        <v>256457</v>
      </c>
      <c r="DP17" s="112">
        <v>705003</v>
      </c>
      <c r="DQ17" s="85">
        <v>311130</v>
      </c>
      <c r="DR17" s="112">
        <v>1016133</v>
      </c>
      <c r="DS17" s="112">
        <v>383359</v>
      </c>
      <c r="DT17" s="112">
        <v>450592</v>
      </c>
      <c r="DU17" s="112">
        <v>833951</v>
      </c>
      <c r="DV17" s="112">
        <v>402111</v>
      </c>
      <c r="DW17" s="112">
        <v>1236062</v>
      </c>
      <c r="DX17" s="112">
        <v>459280</v>
      </c>
      <c r="DY17" s="112">
        <v>1695342</v>
      </c>
      <c r="DZ17" s="112">
        <v>497293</v>
      </c>
      <c r="EA17" s="112">
        <v>518779</v>
      </c>
      <c r="EB17" s="112">
        <v>1016072</v>
      </c>
      <c r="EC17" s="112">
        <v>460990</v>
      </c>
      <c r="ED17" s="112">
        <v>1477062</v>
      </c>
      <c r="EE17" s="112">
        <v>464447</v>
      </c>
      <c r="EF17" s="112">
        <v>1941509</v>
      </c>
      <c r="EG17" s="112">
        <v>446953</v>
      </c>
      <c r="EH17" s="112">
        <v>440468</v>
      </c>
      <c r="EI17" s="112">
        <f t="shared" si="4"/>
        <v>887421</v>
      </c>
      <c r="EJ17" s="112">
        <v>434557</v>
      </c>
      <c r="EK17" s="112">
        <f t="shared" si="5"/>
        <v>1321978</v>
      </c>
      <c r="EL17" s="112">
        <v>442438</v>
      </c>
      <c r="EM17" s="112">
        <f t="shared" si="5"/>
        <v>1764416</v>
      </c>
      <c r="EN17" s="112">
        <v>500736</v>
      </c>
      <c r="EO17" s="112">
        <v>517897</v>
      </c>
      <c r="EP17" s="112">
        <v>1018633</v>
      </c>
      <c r="EQ17" s="112">
        <v>484323</v>
      </c>
      <c r="ER17" s="112">
        <f t="shared" si="6"/>
        <v>1502956</v>
      </c>
      <c r="ES17" s="112">
        <v>488324</v>
      </c>
      <c r="ET17" s="112">
        <f t="shared" ref="ET17" si="9">SUM(ER17:ES17)</f>
        <v>1991280</v>
      </c>
      <c r="EU17" s="112">
        <v>489766</v>
      </c>
      <c r="EV17" s="112">
        <v>512258</v>
      </c>
      <c r="EW17" s="112">
        <f t="shared" si="7"/>
        <v>1002024</v>
      </c>
    </row>
    <row r="18" spans="1:153" ht="16.350000000000001" customHeight="1">
      <c r="A18" s="18"/>
      <c r="B18" s="114"/>
      <c r="C18" s="114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</row>
    <row r="19" spans="1:153" ht="16.350000000000001" customHeight="1">
      <c r="A19" s="18"/>
      <c r="B19" s="76" t="s">
        <v>358</v>
      </c>
      <c r="C19" s="76" t="s">
        <v>359</v>
      </c>
      <c r="D19" s="119">
        <v>-99565</v>
      </c>
      <c r="E19" s="119">
        <v>-142704</v>
      </c>
      <c r="F19" s="119">
        <v>-242269</v>
      </c>
      <c r="G19" s="119">
        <v>-139259</v>
      </c>
      <c r="H19" s="119">
        <v>-381528</v>
      </c>
      <c r="I19" s="119">
        <v>-212094</v>
      </c>
      <c r="J19" s="119">
        <v>-593622</v>
      </c>
      <c r="K19" s="119">
        <v>-124610</v>
      </c>
      <c r="L19" s="119">
        <v>-188701</v>
      </c>
      <c r="M19" s="119">
        <v>-313311</v>
      </c>
      <c r="N19" s="119">
        <v>-173772</v>
      </c>
      <c r="O19" s="119">
        <v>-487083</v>
      </c>
      <c r="P19" s="119">
        <v>-264700</v>
      </c>
      <c r="Q19" s="119">
        <v>-751783</v>
      </c>
      <c r="R19" s="119">
        <v>-157849</v>
      </c>
      <c r="S19" s="119">
        <v>-232147</v>
      </c>
      <c r="T19" s="119">
        <v>-389996</v>
      </c>
      <c r="U19" s="119">
        <v>-205376</v>
      </c>
      <c r="V19" s="119">
        <v>-205376</v>
      </c>
      <c r="W19" s="119">
        <v>-311340</v>
      </c>
      <c r="X19" s="119">
        <v>-906712</v>
      </c>
      <c r="Y19" s="119">
        <v>-191412</v>
      </c>
      <c r="Z19" s="119">
        <v>-261493</v>
      </c>
      <c r="AA19" s="119">
        <v>-452905</v>
      </c>
      <c r="AB19" s="119">
        <v>-261493</v>
      </c>
      <c r="AC19" s="119">
        <v>-452905</v>
      </c>
      <c r="AD19" s="119">
        <v>-331822</v>
      </c>
      <c r="AE19" s="119">
        <v>-1022536</v>
      </c>
      <c r="AF19" s="119">
        <v>-187017.72030465715</v>
      </c>
      <c r="AG19" s="119">
        <v>-287563.05903341208</v>
      </c>
      <c r="AH19" s="119">
        <v>-474580.77933806926</v>
      </c>
      <c r="AI19" s="119">
        <v>-256866.35944959146</v>
      </c>
      <c r="AJ19" s="119">
        <v>-731447.13878766075</v>
      </c>
      <c r="AK19" s="119">
        <v>-353463.76353854465</v>
      </c>
      <c r="AL19" s="119">
        <v>-1084910.9023262053</v>
      </c>
      <c r="AM19" s="119">
        <v>-212790</v>
      </c>
      <c r="AN19" s="119">
        <v>-296956</v>
      </c>
      <c r="AO19" s="119">
        <v>-509746</v>
      </c>
      <c r="AP19" s="119">
        <v>-289980</v>
      </c>
      <c r="AQ19" s="119">
        <v>-799726</v>
      </c>
      <c r="AR19" s="119">
        <v>-409732</v>
      </c>
      <c r="AS19" s="119">
        <v>-1209458</v>
      </c>
      <c r="AT19" s="119">
        <v>-249547</v>
      </c>
      <c r="AU19" s="119">
        <v>-351223</v>
      </c>
      <c r="AV19" s="119">
        <v>-600770</v>
      </c>
      <c r="AW19" s="119">
        <v>-332789</v>
      </c>
      <c r="AX19" s="119">
        <v>-933559</v>
      </c>
      <c r="AY19" s="119">
        <v>-462569</v>
      </c>
      <c r="AZ19" s="119">
        <v>-1396128</v>
      </c>
      <c r="BA19" s="119">
        <v>-294842</v>
      </c>
      <c r="BB19" s="119">
        <v>-393264</v>
      </c>
      <c r="BC19" s="119">
        <v>-688106</v>
      </c>
      <c r="BD19" s="119">
        <v>-394603</v>
      </c>
      <c r="BE19" s="119">
        <v>-1082709</v>
      </c>
      <c r="BF19" s="119">
        <v>-551537</v>
      </c>
      <c r="BG19" s="119">
        <v>-1634246</v>
      </c>
      <c r="BH19" s="119">
        <v>-357946</v>
      </c>
      <c r="BI19" s="119">
        <v>-444292</v>
      </c>
      <c r="BJ19" s="119">
        <v>-802238</v>
      </c>
      <c r="BK19" s="119">
        <v>-457550</v>
      </c>
      <c r="BL19" s="119">
        <v>-1259788</v>
      </c>
      <c r="BM19" s="119">
        <v>-607795</v>
      </c>
      <c r="BN19" s="119">
        <v>-1867583</v>
      </c>
      <c r="BO19" s="119">
        <v>-396542</v>
      </c>
      <c r="BP19" s="119">
        <v>-512788</v>
      </c>
      <c r="BQ19" s="119">
        <v>-909330</v>
      </c>
      <c r="BR19" s="119">
        <v>-507600</v>
      </c>
      <c r="BS19" s="119">
        <v>-1416930</v>
      </c>
      <c r="BT19" s="119">
        <v>-748983</v>
      </c>
      <c r="BU19" s="119">
        <v>-2165913</v>
      </c>
      <c r="BV19" s="119">
        <v>-472175</v>
      </c>
      <c r="BW19" s="119">
        <v>-618617</v>
      </c>
      <c r="BX19" s="119">
        <v>-1090792</v>
      </c>
      <c r="BY19" s="119">
        <v>-596697</v>
      </c>
      <c r="BZ19" s="119">
        <v>-1687489</v>
      </c>
      <c r="CA19" s="119">
        <v>-823863</v>
      </c>
      <c r="CB19" s="119">
        <v>-2511352</v>
      </c>
      <c r="CC19" s="119">
        <v>-488424</v>
      </c>
      <c r="CD19" s="119">
        <v>-637075</v>
      </c>
      <c r="CE19" s="119">
        <v>-1125499</v>
      </c>
      <c r="CF19" s="119">
        <v>-594216</v>
      </c>
      <c r="CG19" s="119">
        <v>-1719715</v>
      </c>
      <c r="CH19" s="119">
        <v>-855368</v>
      </c>
      <c r="CI19" s="119">
        <f t="shared" ref="CI19" si="10">SUM(CG19:CH19)</f>
        <v>-2575083</v>
      </c>
      <c r="CJ19" s="119">
        <v>-569556</v>
      </c>
      <c r="CK19" s="119">
        <v>-712039</v>
      </c>
      <c r="CL19" s="119">
        <v>-1281595</v>
      </c>
      <c r="CM19" s="119">
        <v>-702553</v>
      </c>
      <c r="CN19" s="119">
        <v>-1984148</v>
      </c>
      <c r="CO19" s="119">
        <v>-960765</v>
      </c>
      <c r="CP19" s="119">
        <v>-2944913</v>
      </c>
      <c r="CQ19" s="119">
        <v>-619422</v>
      </c>
      <c r="CR19" s="119">
        <v>-765024</v>
      </c>
      <c r="CS19" s="119">
        <v>-1384446</v>
      </c>
      <c r="CT19" s="119">
        <v>-789181</v>
      </c>
      <c r="CU19" s="119">
        <v>-2173627</v>
      </c>
      <c r="CV19" s="119">
        <v>-1110890</v>
      </c>
      <c r="CW19" s="119">
        <v>-3284517</v>
      </c>
      <c r="CX19" s="119">
        <v>-744031</v>
      </c>
      <c r="CY19" s="119">
        <v>-885492</v>
      </c>
      <c r="CZ19" s="119">
        <v>-1629523</v>
      </c>
      <c r="DA19" s="119">
        <v>-889197</v>
      </c>
      <c r="DB19" s="119">
        <v>-2518720</v>
      </c>
      <c r="DC19" s="119">
        <v>-1211801</v>
      </c>
      <c r="DD19" s="119">
        <v>-3730521</v>
      </c>
      <c r="DE19" s="119">
        <v>-696674</v>
      </c>
      <c r="DF19" s="119">
        <v>-304643</v>
      </c>
      <c r="DG19" s="119">
        <v>-1001317</v>
      </c>
      <c r="DH19" s="119">
        <v>-869361</v>
      </c>
      <c r="DI19" s="119">
        <v>-1870678</v>
      </c>
      <c r="DJ19" s="119">
        <v>-1352892</v>
      </c>
      <c r="DK19" s="119">
        <v>-3223570</v>
      </c>
      <c r="DL19" s="119">
        <v>-657400</v>
      </c>
      <c r="DM19" s="119">
        <v>-1020358</v>
      </c>
      <c r="DN19" s="119">
        <v>-1677758</v>
      </c>
      <c r="DO19" s="119">
        <v>-1111222</v>
      </c>
      <c r="DP19" s="119">
        <v>-2788980</v>
      </c>
      <c r="DQ19" s="119">
        <v>-1610198</v>
      </c>
      <c r="DR19" s="119">
        <v>-4399178</v>
      </c>
      <c r="DS19" s="119">
        <v>-1018384</v>
      </c>
      <c r="DT19" s="119">
        <v>-1421416</v>
      </c>
      <c r="DU19" s="119">
        <v>-2439800</v>
      </c>
      <c r="DV19" s="119">
        <v>-1241428</v>
      </c>
      <c r="DW19" s="119">
        <v>-3681228</v>
      </c>
      <c r="DX19" s="119">
        <v>-1605094</v>
      </c>
      <c r="DY19" s="119">
        <v>-5286322</v>
      </c>
      <c r="DZ19" s="119">
        <v>-1072827</v>
      </c>
      <c r="EA19" s="119">
        <v>-1406297</v>
      </c>
      <c r="EB19" s="119">
        <v>-2479124</v>
      </c>
      <c r="EC19" s="119">
        <v>-1249415</v>
      </c>
      <c r="ED19" s="119">
        <v>-3728539</v>
      </c>
      <c r="EE19" s="119">
        <v>-1698708</v>
      </c>
      <c r="EF19" s="119">
        <v>-5427247</v>
      </c>
      <c r="EG19" s="119">
        <f>EG20+EG23</f>
        <v>-1138734</v>
      </c>
      <c r="EH19" s="119">
        <f>EH20+EH23</f>
        <v>-1362822</v>
      </c>
      <c r="EI19" s="119">
        <f t="shared" si="4"/>
        <v>-2501556</v>
      </c>
      <c r="EJ19" s="119">
        <f>EJ20+EJ23</f>
        <v>-1347782</v>
      </c>
      <c r="EK19" s="119">
        <f t="shared" ref="EK19:EM23" si="11">SUM(EI19:EJ19)</f>
        <v>-3849338</v>
      </c>
      <c r="EL19" s="119">
        <f>EL20+EL23</f>
        <v>-1845079</v>
      </c>
      <c r="EM19" s="119">
        <f t="shared" ref="EM19" si="12">SUM(EK19:EL19)</f>
        <v>-5694417</v>
      </c>
      <c r="EN19" s="119">
        <f>EN20+EN23</f>
        <v>-1236106</v>
      </c>
      <c r="EO19" s="119">
        <v>-1563766</v>
      </c>
      <c r="EP19" s="119">
        <v>-2799872</v>
      </c>
      <c r="EQ19" s="119">
        <f>EQ20+EQ23</f>
        <v>-1377382</v>
      </c>
      <c r="ER19" s="119">
        <f t="shared" ref="ER19" si="13">SUM(EP19:EQ19)</f>
        <v>-4177254</v>
      </c>
      <c r="ES19" s="119">
        <f>ES20+ES23</f>
        <v>-1884324</v>
      </c>
      <c r="ET19" s="119">
        <f t="shared" ref="ET19" si="14">SUM(ER19:ES19)</f>
        <v>-6061578</v>
      </c>
      <c r="EU19" s="119">
        <f>EU20+EU23</f>
        <v>-1238160</v>
      </c>
      <c r="EV19" s="119">
        <f>EV20+EV23</f>
        <v>-1570952</v>
      </c>
      <c r="EW19" s="119">
        <f t="shared" ref="EW19" si="15">SUM(EU19:EV19)</f>
        <v>-2809112</v>
      </c>
    </row>
    <row r="20" spans="1:153" ht="16.350000000000001" customHeight="1">
      <c r="A20" s="9"/>
      <c r="B20" s="23" t="s">
        <v>394</v>
      </c>
      <c r="C20" s="23" t="s">
        <v>452</v>
      </c>
      <c r="D20" s="24">
        <v>-97245</v>
      </c>
      <c r="E20" s="24">
        <v>-144161</v>
      </c>
      <c r="F20" s="24">
        <v>-241406</v>
      </c>
      <c r="G20" s="24">
        <v>-133558</v>
      </c>
      <c r="H20" s="24">
        <v>-374964</v>
      </c>
      <c r="I20" s="24">
        <v>-211853</v>
      </c>
      <c r="J20" s="24">
        <v>-586817</v>
      </c>
      <c r="K20" s="24">
        <v>-123931</v>
      </c>
      <c r="L20" s="24">
        <v>-181548</v>
      </c>
      <c r="M20" s="24">
        <v>-305479</v>
      </c>
      <c r="N20" s="24">
        <v>-167080</v>
      </c>
      <c r="O20" s="24">
        <v>-472559</v>
      </c>
      <c r="P20" s="24">
        <v>-261808</v>
      </c>
      <c r="Q20" s="24">
        <v>-734367</v>
      </c>
      <c r="R20" s="24">
        <v>-154823</v>
      </c>
      <c r="S20" s="24">
        <v>-229283</v>
      </c>
      <c r="T20" s="24">
        <v>-384106</v>
      </c>
      <c r="U20" s="24">
        <v>-201887</v>
      </c>
      <c r="V20" s="24">
        <v>-585993</v>
      </c>
      <c r="W20" s="24">
        <v>-306237</v>
      </c>
      <c r="X20" s="24">
        <v>-892230</v>
      </c>
      <c r="Y20" s="24">
        <v>-187638</v>
      </c>
      <c r="Z20" s="24">
        <v>-257102</v>
      </c>
      <c r="AA20" s="24">
        <v>-444740</v>
      </c>
      <c r="AB20" s="24">
        <v>-230654</v>
      </c>
      <c r="AC20" s="24">
        <v>-675395</v>
      </c>
      <c r="AD20" s="24">
        <v>-321040</v>
      </c>
      <c r="AE20" s="24">
        <v>-996434</v>
      </c>
      <c r="AF20" s="24">
        <v>-180649.72030465715</v>
      </c>
      <c r="AG20" s="24">
        <v>-279624.05903341208</v>
      </c>
      <c r="AH20" s="24">
        <v>-460273.77933806926</v>
      </c>
      <c r="AI20" s="24">
        <v>-248591.35944959146</v>
      </c>
      <c r="AJ20" s="24">
        <v>-708865.13878766075</v>
      </c>
      <c r="AK20" s="123">
        <v>-346882.76353854465</v>
      </c>
      <c r="AL20" s="24">
        <v>-1055747.9023262053</v>
      </c>
      <c r="AM20" s="24">
        <v>-206779</v>
      </c>
      <c r="AN20" s="24">
        <v>-290145</v>
      </c>
      <c r="AO20" s="24">
        <v>-496924</v>
      </c>
      <c r="AP20" s="24">
        <v>-282458</v>
      </c>
      <c r="AQ20" s="24">
        <v>-779382</v>
      </c>
      <c r="AR20" s="24">
        <v>-402984</v>
      </c>
      <c r="AS20" s="24">
        <v>-1182366</v>
      </c>
      <c r="AT20" s="24">
        <v>-243393</v>
      </c>
      <c r="AU20" s="24">
        <v>-345698</v>
      </c>
      <c r="AV20" s="24">
        <v>-589091</v>
      </c>
      <c r="AW20" s="24">
        <v>-327502</v>
      </c>
      <c r="AX20" s="24">
        <v>-916593</v>
      </c>
      <c r="AY20" s="24">
        <v>-458652</v>
      </c>
      <c r="AZ20" s="24">
        <v>-1375245</v>
      </c>
      <c r="BA20" s="24">
        <v>-290630</v>
      </c>
      <c r="BB20" s="24">
        <v>-387880</v>
      </c>
      <c r="BC20" s="24">
        <v>-678510</v>
      </c>
      <c r="BD20" s="24">
        <v>-390194</v>
      </c>
      <c r="BE20" s="24">
        <v>-1068704</v>
      </c>
      <c r="BF20" s="24">
        <v>-547708</v>
      </c>
      <c r="BG20" s="24">
        <v>-1616412</v>
      </c>
      <c r="BH20" s="24">
        <v>-354819</v>
      </c>
      <c r="BI20" s="24">
        <v>-440050</v>
      </c>
      <c r="BJ20" s="24">
        <v>-794869</v>
      </c>
      <c r="BK20" s="24">
        <v>-452488</v>
      </c>
      <c r="BL20" s="24">
        <v>-1247357</v>
      </c>
      <c r="BM20" s="24">
        <v>-603450</v>
      </c>
      <c r="BN20" s="24">
        <v>-1850807</v>
      </c>
      <c r="BO20" s="24">
        <v>-392224</v>
      </c>
      <c r="BP20" s="24">
        <v>-509222</v>
      </c>
      <c r="BQ20" s="24">
        <v>-901446</v>
      </c>
      <c r="BR20" s="24">
        <v>-501369</v>
      </c>
      <c r="BS20" s="24">
        <v>-1402815</v>
      </c>
      <c r="BT20" s="24">
        <v>-740326</v>
      </c>
      <c r="BU20" s="24">
        <v>-2143141</v>
      </c>
      <c r="BV20" s="24">
        <v>-460582</v>
      </c>
      <c r="BW20" s="24">
        <v>-604983</v>
      </c>
      <c r="BX20" s="24">
        <v>-1065565</v>
      </c>
      <c r="BY20" s="24">
        <v>-586005</v>
      </c>
      <c r="BZ20" s="24">
        <v>-1651570</v>
      </c>
      <c r="CA20" s="24">
        <v>-814610</v>
      </c>
      <c r="CB20" s="24">
        <v>-2466180</v>
      </c>
      <c r="CC20" s="24">
        <v>-477582</v>
      </c>
      <c r="CD20" s="24">
        <v>-626777</v>
      </c>
      <c r="CE20" s="24">
        <v>-1104359</v>
      </c>
      <c r="CF20" s="24">
        <v>-583810</v>
      </c>
      <c r="CG20" s="24">
        <v>-1688169</v>
      </c>
      <c r="CH20" s="24">
        <v>-848461</v>
      </c>
      <c r="CI20" s="24">
        <f>SUM(CG20:CH20)</f>
        <v>-2536630</v>
      </c>
      <c r="CJ20" s="24">
        <v>-563126</v>
      </c>
      <c r="CK20" s="24">
        <v>-706711</v>
      </c>
      <c r="CL20" s="24">
        <v>-1269837</v>
      </c>
      <c r="CM20" s="24">
        <v>-696818</v>
      </c>
      <c r="CN20" s="24">
        <v>-1966655</v>
      </c>
      <c r="CO20" s="24">
        <v>-956227</v>
      </c>
      <c r="CP20" s="24">
        <v>-2922882</v>
      </c>
      <c r="CQ20" s="24">
        <v>-612639</v>
      </c>
      <c r="CR20" s="24">
        <v>-757798</v>
      </c>
      <c r="CS20" s="24">
        <v>-1370437</v>
      </c>
      <c r="CT20" s="24">
        <v>-782320</v>
      </c>
      <c r="CU20" s="24">
        <v>-2152757</v>
      </c>
      <c r="CV20" s="24">
        <v>-1104641</v>
      </c>
      <c r="CW20" s="24">
        <v>-3257398</v>
      </c>
      <c r="CX20" s="24">
        <v>-738430</v>
      </c>
      <c r="CY20" s="24">
        <v>-879737</v>
      </c>
      <c r="CZ20" s="24">
        <v>-1618167</v>
      </c>
      <c r="DA20" s="24">
        <v>-882033</v>
      </c>
      <c r="DB20" s="24">
        <v>-2500200</v>
      </c>
      <c r="DC20" s="24">
        <v>-1207106</v>
      </c>
      <c r="DD20" s="24">
        <v>-3707306</v>
      </c>
      <c r="DE20" s="24">
        <v>-691240</v>
      </c>
      <c r="DF20" s="24">
        <v>-297841</v>
      </c>
      <c r="DG20" s="24">
        <v>-989081</v>
      </c>
      <c r="DH20" s="24">
        <v>-862993</v>
      </c>
      <c r="DI20" s="24">
        <v>-1852074</v>
      </c>
      <c r="DJ20" s="24">
        <v>-1349235</v>
      </c>
      <c r="DK20" s="24">
        <v>-3201309</v>
      </c>
      <c r="DL20" s="80">
        <v>-653502</v>
      </c>
      <c r="DM20" s="80">
        <v>-1016802</v>
      </c>
      <c r="DN20" s="24">
        <v>-1670304</v>
      </c>
      <c r="DO20" s="80">
        <v>-1105690</v>
      </c>
      <c r="DP20" s="24">
        <v>-2775994</v>
      </c>
      <c r="DQ20" s="80">
        <v>-1600683</v>
      </c>
      <c r="DR20" s="24">
        <v>-4376677</v>
      </c>
      <c r="DS20" s="24">
        <v>-1001768</v>
      </c>
      <c r="DT20" s="24">
        <v>-1394012</v>
      </c>
      <c r="DU20" s="24">
        <v>-2395780</v>
      </c>
      <c r="DV20" s="24">
        <v>-1207204</v>
      </c>
      <c r="DW20" s="24">
        <v>-3602984</v>
      </c>
      <c r="DX20" s="24">
        <v>-1573290</v>
      </c>
      <c r="DY20" s="24">
        <v>-5176274</v>
      </c>
      <c r="DZ20" s="24">
        <v>-1044471</v>
      </c>
      <c r="EA20" s="24">
        <v>-1375910</v>
      </c>
      <c r="EB20" s="24">
        <v>-2420381</v>
      </c>
      <c r="EC20" s="24">
        <v>-1223052</v>
      </c>
      <c r="ED20" s="24">
        <v>-3643433</v>
      </c>
      <c r="EE20" s="24">
        <v>-1678128</v>
      </c>
      <c r="EF20" s="24">
        <v>-5321561</v>
      </c>
      <c r="EG20" s="24">
        <v>-1121075</v>
      </c>
      <c r="EH20" s="24">
        <v>-1348375</v>
      </c>
      <c r="EI20" s="24">
        <f t="shared" ref="EI20:EI23" si="16">SUM(EG20:EH20)</f>
        <v>-2469450</v>
      </c>
      <c r="EJ20" s="24">
        <v>-1340034</v>
      </c>
      <c r="EK20" s="24">
        <f t="shared" si="11"/>
        <v>-3809484</v>
      </c>
      <c r="EL20" s="24">
        <v>-1846711</v>
      </c>
      <c r="EM20" s="24">
        <f t="shared" si="11"/>
        <v>-5656195</v>
      </c>
      <c r="EN20" s="24">
        <v>-1238915</v>
      </c>
      <c r="EO20" s="24">
        <v>-1565380</v>
      </c>
      <c r="EP20" s="24">
        <v>-2804295</v>
      </c>
      <c r="EQ20" s="24">
        <v>-1383359</v>
      </c>
      <c r="ER20" s="24">
        <f>SUM(EP20:EQ20)</f>
        <v>-4187654</v>
      </c>
      <c r="ES20" s="24">
        <f>SUM(ES21:ES22)</f>
        <v>-1891423</v>
      </c>
      <c r="ET20" s="24">
        <f>SUM(ER20:ES20)</f>
        <v>-6079077</v>
      </c>
      <c r="EU20" s="24">
        <v>-1245900</v>
      </c>
      <c r="EV20" s="24">
        <v>-1567936</v>
      </c>
      <c r="EW20" s="24">
        <f>SUM(EU20:EV20)</f>
        <v>-2813836</v>
      </c>
    </row>
    <row r="21" spans="1:153" ht="16.350000000000001" customHeight="1">
      <c r="A21" s="18"/>
      <c r="B21" s="121" t="s">
        <v>71</v>
      </c>
      <c r="C21" s="121" t="s">
        <v>66</v>
      </c>
      <c r="D21" s="24">
        <v>-97245</v>
      </c>
      <c r="E21" s="24">
        <v>-144161</v>
      </c>
      <c r="F21" s="24">
        <v>-241406</v>
      </c>
      <c r="G21" s="24">
        <v>-133558</v>
      </c>
      <c r="H21" s="24">
        <v>-374964</v>
      </c>
      <c r="I21" s="24">
        <v>-211853</v>
      </c>
      <c r="J21" s="24">
        <v>-586817</v>
      </c>
      <c r="K21" s="24">
        <v>-123931</v>
      </c>
      <c r="L21" s="24">
        <v>-181548</v>
      </c>
      <c r="M21" s="24">
        <v>-305479</v>
      </c>
      <c r="N21" s="24">
        <v>-167080</v>
      </c>
      <c r="O21" s="24">
        <v>-472559</v>
      </c>
      <c r="P21" s="24">
        <v>-261808</v>
      </c>
      <c r="Q21" s="24">
        <v>-734367</v>
      </c>
      <c r="R21" s="24">
        <v>-154823</v>
      </c>
      <c r="S21" s="24">
        <v>-229283</v>
      </c>
      <c r="T21" s="24">
        <v>-384106</v>
      </c>
      <c r="U21" s="24">
        <v>-201887</v>
      </c>
      <c r="V21" s="24">
        <v>-585993</v>
      </c>
      <c r="W21" s="24">
        <v>-306237</v>
      </c>
      <c r="X21" s="24">
        <v>-892230</v>
      </c>
      <c r="Y21" s="24">
        <v>-187638</v>
      </c>
      <c r="Z21" s="24">
        <v>-257102</v>
      </c>
      <c r="AA21" s="24">
        <v>-444740</v>
      </c>
      <c r="AB21" s="24">
        <v>-230654</v>
      </c>
      <c r="AC21" s="24">
        <v>-675395</v>
      </c>
      <c r="AD21" s="24">
        <v>-321040</v>
      </c>
      <c r="AE21" s="24">
        <v>-996434</v>
      </c>
      <c r="AF21" s="24">
        <v>-180649.72030465715</v>
      </c>
      <c r="AG21" s="24">
        <v>-279624.05903341208</v>
      </c>
      <c r="AH21" s="24">
        <v>-460273.77933806926</v>
      </c>
      <c r="AI21" s="24">
        <v>-248591.35944959146</v>
      </c>
      <c r="AJ21" s="24">
        <v>-708865.13878766075</v>
      </c>
      <c r="AK21" s="120">
        <v>-346882.76353854465</v>
      </c>
      <c r="AL21" s="24">
        <v>-1055747.9023262053</v>
      </c>
      <c r="AM21" s="24">
        <v>-206779</v>
      </c>
      <c r="AN21" s="24">
        <v>-290145</v>
      </c>
      <c r="AO21" s="24">
        <v>-496924</v>
      </c>
      <c r="AP21" s="24">
        <v>-282458</v>
      </c>
      <c r="AQ21" s="24">
        <v>-779382</v>
      </c>
      <c r="AR21" s="24">
        <v>-402984</v>
      </c>
      <c r="AS21" s="24">
        <v>-1182366</v>
      </c>
      <c r="AT21" s="24">
        <v>-243393</v>
      </c>
      <c r="AU21" s="24">
        <v>-345698</v>
      </c>
      <c r="AV21" s="24">
        <v>-589091</v>
      </c>
      <c r="AW21" s="24">
        <v>-327502</v>
      </c>
      <c r="AX21" s="24">
        <v>-916593</v>
      </c>
      <c r="AY21" s="24">
        <v>-458652</v>
      </c>
      <c r="AZ21" s="24">
        <v>-1375245</v>
      </c>
      <c r="BA21" s="24">
        <v>-290630</v>
      </c>
      <c r="BB21" s="24">
        <v>-387880</v>
      </c>
      <c r="BC21" s="24">
        <v>-678510</v>
      </c>
      <c r="BD21" s="24">
        <v>-390194</v>
      </c>
      <c r="BE21" s="24">
        <v>-1068704</v>
      </c>
      <c r="BF21" s="24">
        <v>-547708</v>
      </c>
      <c r="BG21" s="24">
        <v>-1616412</v>
      </c>
      <c r="BH21" s="24">
        <v>-354819</v>
      </c>
      <c r="BI21" s="24">
        <v>-440050</v>
      </c>
      <c r="BJ21" s="24">
        <v>-794869</v>
      </c>
      <c r="BK21" s="24">
        <v>-452488</v>
      </c>
      <c r="BL21" s="24">
        <v>-1247357</v>
      </c>
      <c r="BM21" s="24">
        <v>-603450</v>
      </c>
      <c r="BN21" s="24">
        <v>-1850807</v>
      </c>
      <c r="BO21" s="24">
        <v>-392224</v>
      </c>
      <c r="BP21" s="24">
        <v>-509222</v>
      </c>
      <c r="BQ21" s="24">
        <v>-901446</v>
      </c>
      <c r="BR21" s="24">
        <v>-501369</v>
      </c>
      <c r="BS21" s="24">
        <v>-1402815</v>
      </c>
      <c r="BT21" s="24">
        <v>-740326</v>
      </c>
      <c r="BU21" s="24">
        <v>-2143141</v>
      </c>
      <c r="BV21" s="24">
        <v>-460582</v>
      </c>
      <c r="BW21" s="24">
        <v>-604983</v>
      </c>
      <c r="BX21" s="24">
        <v>-1065565</v>
      </c>
      <c r="BY21" s="24">
        <v>-586005</v>
      </c>
      <c r="BZ21" s="24">
        <v>-1651570</v>
      </c>
      <c r="CA21" s="24">
        <v>-814610</v>
      </c>
      <c r="CB21" s="24">
        <v>-2466180</v>
      </c>
      <c r="CC21" s="24">
        <v>-477582</v>
      </c>
      <c r="CD21" s="24">
        <v>-626777</v>
      </c>
      <c r="CE21" s="24">
        <v>-1104359</v>
      </c>
      <c r="CF21" s="24">
        <v>-583810</v>
      </c>
      <c r="CG21" s="24">
        <v>-1688169</v>
      </c>
      <c r="CH21" s="24">
        <v>-848461</v>
      </c>
      <c r="CI21" s="24">
        <f>SUM(CG21:CH21)</f>
        <v>-2536630</v>
      </c>
      <c r="CJ21" s="24">
        <v>-563126</v>
      </c>
      <c r="CK21" s="24">
        <v>-706711</v>
      </c>
      <c r="CL21" s="24">
        <v>-1269837</v>
      </c>
      <c r="CM21" s="24">
        <v>-696818</v>
      </c>
      <c r="CN21" s="24">
        <v>-1966655</v>
      </c>
      <c r="CO21" s="24">
        <v>-956227</v>
      </c>
      <c r="CP21" s="24">
        <v>-2922882</v>
      </c>
      <c r="CQ21" s="24">
        <v>-612639</v>
      </c>
      <c r="CR21" s="24">
        <v>-757798</v>
      </c>
      <c r="CS21" s="24">
        <v>-1370437</v>
      </c>
      <c r="CT21" s="24">
        <v>-782320</v>
      </c>
      <c r="CU21" s="24">
        <v>-2152757</v>
      </c>
      <c r="CV21" s="24">
        <v>-1104641</v>
      </c>
      <c r="CW21" s="24">
        <v>-3257398</v>
      </c>
      <c r="CX21" s="24">
        <v>-738430</v>
      </c>
      <c r="CY21" s="24">
        <v>-879737</v>
      </c>
      <c r="CZ21" s="24">
        <v>-1618167</v>
      </c>
      <c r="DA21" s="24">
        <v>-882033</v>
      </c>
      <c r="DB21" s="24">
        <v>-2500200</v>
      </c>
      <c r="DC21" s="24">
        <v>-1207106</v>
      </c>
      <c r="DD21" s="24">
        <v>-3707306</v>
      </c>
      <c r="DE21" s="24">
        <v>-691240</v>
      </c>
      <c r="DF21" s="24">
        <v>-297841</v>
      </c>
      <c r="DG21" s="24">
        <v>-989081</v>
      </c>
      <c r="DH21" s="24">
        <v>-862993</v>
      </c>
      <c r="DI21" s="24">
        <v>-1852074</v>
      </c>
      <c r="DJ21" s="24">
        <v>-1349235</v>
      </c>
      <c r="DK21" s="24">
        <v>-3201309</v>
      </c>
      <c r="DL21" s="80">
        <v>-653502</v>
      </c>
      <c r="DM21" s="80">
        <v>-1016802</v>
      </c>
      <c r="DN21" s="24">
        <v>-1670304</v>
      </c>
      <c r="DO21" s="80">
        <v>-1105494</v>
      </c>
      <c r="DP21" s="24">
        <v>-2775798</v>
      </c>
      <c r="DQ21" s="80">
        <v>-1599088</v>
      </c>
      <c r="DR21" s="24">
        <v>-4374886</v>
      </c>
      <c r="DS21" s="24">
        <v>-1001569</v>
      </c>
      <c r="DT21" s="24">
        <v>-1388470</v>
      </c>
      <c r="DU21" s="24">
        <v>-2390039</v>
      </c>
      <c r="DV21" s="24">
        <v>-1201983</v>
      </c>
      <c r="DW21" s="24">
        <v>-3592022</v>
      </c>
      <c r="DX21" s="24">
        <v>-1564567</v>
      </c>
      <c r="DY21" s="24">
        <v>-5156589</v>
      </c>
      <c r="DZ21" s="24">
        <v>-1037844</v>
      </c>
      <c r="EA21" s="24">
        <v>-1369741</v>
      </c>
      <c r="EB21" s="24">
        <v>-2407585</v>
      </c>
      <c r="EC21" s="24">
        <v>-1217112</v>
      </c>
      <c r="ED21" s="24">
        <v>-3624697</v>
      </c>
      <c r="EE21" s="24">
        <v>-1669559</v>
      </c>
      <c r="EF21" s="24">
        <v>-5294256</v>
      </c>
      <c r="EG21" s="24">
        <v>-1116317</v>
      </c>
      <c r="EH21" s="24">
        <v>-1344178</v>
      </c>
      <c r="EI21" s="24">
        <f t="shared" si="16"/>
        <v>-2460495</v>
      </c>
      <c r="EJ21" s="24">
        <v>-1336767</v>
      </c>
      <c r="EK21" s="24">
        <f t="shared" si="11"/>
        <v>-3797262</v>
      </c>
      <c r="EL21" s="24">
        <v>-1841972</v>
      </c>
      <c r="EM21" s="24">
        <f t="shared" si="11"/>
        <v>-5639234</v>
      </c>
      <c r="EN21" s="24">
        <v>-1234703</v>
      </c>
      <c r="EO21" s="24">
        <v>-1561551</v>
      </c>
      <c r="EP21" s="24">
        <v>-2796254</v>
      </c>
      <c r="EQ21" s="24">
        <v>-1379807</v>
      </c>
      <c r="ER21" s="24">
        <f>SUM(EP21:EQ21)</f>
        <v>-4176061</v>
      </c>
      <c r="ES21" s="24">
        <v>-1886658</v>
      </c>
      <c r="ET21" s="24">
        <f>SUM(ER21:ES21)</f>
        <v>-6062719</v>
      </c>
      <c r="EU21" s="24">
        <v>-1242347</v>
      </c>
      <c r="EV21" s="24">
        <v>-1563023</v>
      </c>
      <c r="EW21" s="24">
        <f>SUM(EU21:EV21)</f>
        <v>-2805370</v>
      </c>
    </row>
    <row r="22" spans="1:153" ht="16.350000000000001" customHeight="1">
      <c r="A22" s="18"/>
      <c r="B22" s="121" t="s">
        <v>395</v>
      </c>
      <c r="C22" s="121" t="s">
        <v>396</v>
      </c>
      <c r="D22" s="24">
        <v>0</v>
      </c>
      <c r="E22" s="24">
        <v>0</v>
      </c>
      <c r="F22" s="24">
        <v>0</v>
      </c>
      <c r="G22" s="24">
        <v>0</v>
      </c>
      <c r="H22" s="24">
        <v>0</v>
      </c>
      <c r="I22" s="24">
        <v>0</v>
      </c>
      <c r="J22" s="24">
        <v>0</v>
      </c>
      <c r="K22" s="24">
        <v>0</v>
      </c>
      <c r="L22" s="24">
        <v>0</v>
      </c>
      <c r="M22" s="24">
        <v>0</v>
      </c>
      <c r="N22" s="24">
        <v>0</v>
      </c>
      <c r="O22" s="24">
        <v>0</v>
      </c>
      <c r="P22" s="24">
        <v>0</v>
      </c>
      <c r="Q22" s="24">
        <v>0</v>
      </c>
      <c r="R22" s="24">
        <v>0</v>
      </c>
      <c r="S22" s="24">
        <v>0</v>
      </c>
      <c r="T22" s="24">
        <v>0</v>
      </c>
      <c r="U22" s="24">
        <v>0</v>
      </c>
      <c r="V22" s="24">
        <v>0</v>
      </c>
      <c r="W22" s="24">
        <v>0</v>
      </c>
      <c r="X22" s="24">
        <v>0</v>
      </c>
      <c r="Y22" s="24">
        <v>0</v>
      </c>
      <c r="Z22" s="24">
        <v>0</v>
      </c>
      <c r="AA22" s="24">
        <v>0</v>
      </c>
      <c r="AB22" s="24">
        <v>0</v>
      </c>
      <c r="AC22" s="24">
        <v>0</v>
      </c>
      <c r="AD22" s="24">
        <v>0</v>
      </c>
      <c r="AE22" s="24">
        <v>0</v>
      </c>
      <c r="AF22" s="24">
        <v>0</v>
      </c>
      <c r="AG22" s="24">
        <v>0</v>
      </c>
      <c r="AH22" s="24">
        <v>0</v>
      </c>
      <c r="AI22" s="24">
        <v>0</v>
      </c>
      <c r="AJ22" s="24">
        <v>0</v>
      </c>
      <c r="AK22" s="24">
        <v>0</v>
      </c>
      <c r="AL22" s="24">
        <v>0</v>
      </c>
      <c r="AM22" s="24">
        <v>0</v>
      </c>
      <c r="AN22" s="24">
        <v>0</v>
      </c>
      <c r="AO22" s="24">
        <v>0</v>
      </c>
      <c r="AP22" s="24">
        <v>0</v>
      </c>
      <c r="AQ22" s="24">
        <v>0</v>
      </c>
      <c r="AR22" s="24">
        <v>0</v>
      </c>
      <c r="AS22" s="24">
        <v>0</v>
      </c>
      <c r="AT22" s="24">
        <v>0</v>
      </c>
      <c r="AU22" s="24">
        <v>0</v>
      </c>
      <c r="AV22" s="24">
        <v>0</v>
      </c>
      <c r="AW22" s="24">
        <v>0</v>
      </c>
      <c r="AX22" s="24">
        <v>0</v>
      </c>
      <c r="AY22" s="24">
        <v>0</v>
      </c>
      <c r="AZ22" s="24">
        <v>0</v>
      </c>
      <c r="BA22" s="24">
        <v>0</v>
      </c>
      <c r="BB22" s="24">
        <v>0</v>
      </c>
      <c r="BC22" s="24">
        <v>0</v>
      </c>
      <c r="BD22" s="24">
        <v>0</v>
      </c>
      <c r="BE22" s="24">
        <v>0</v>
      </c>
      <c r="BF22" s="24">
        <v>0</v>
      </c>
      <c r="BG22" s="24">
        <v>0</v>
      </c>
      <c r="BH22" s="24">
        <v>0</v>
      </c>
      <c r="BI22" s="24">
        <v>0</v>
      </c>
      <c r="BJ22" s="24">
        <v>0</v>
      </c>
      <c r="BK22" s="24">
        <v>0</v>
      </c>
      <c r="BL22" s="24">
        <v>0</v>
      </c>
      <c r="BM22" s="24">
        <v>0</v>
      </c>
      <c r="BN22" s="24">
        <v>0</v>
      </c>
      <c r="BO22" s="24">
        <v>0</v>
      </c>
      <c r="BP22" s="24">
        <v>0</v>
      </c>
      <c r="BQ22" s="24">
        <v>0</v>
      </c>
      <c r="BR22" s="24">
        <v>0</v>
      </c>
      <c r="BS22" s="24">
        <v>0</v>
      </c>
      <c r="BT22" s="24">
        <v>0</v>
      </c>
      <c r="BU22" s="24">
        <v>0</v>
      </c>
      <c r="BV22" s="24">
        <v>0</v>
      </c>
      <c r="BW22" s="24">
        <v>0</v>
      </c>
      <c r="BX22" s="24">
        <v>0</v>
      </c>
      <c r="BY22" s="24">
        <v>0</v>
      </c>
      <c r="BZ22" s="24">
        <v>0</v>
      </c>
      <c r="CA22" s="24">
        <v>0</v>
      </c>
      <c r="CB22" s="24">
        <v>0</v>
      </c>
      <c r="CC22" s="24">
        <v>0</v>
      </c>
      <c r="CD22" s="24">
        <v>0</v>
      </c>
      <c r="CE22" s="24">
        <v>0</v>
      </c>
      <c r="CF22" s="24">
        <v>0</v>
      </c>
      <c r="CG22" s="24">
        <v>0</v>
      </c>
      <c r="CH22" s="24">
        <v>0</v>
      </c>
      <c r="CI22" s="24">
        <f>SUM(CG22:CH22)</f>
        <v>0</v>
      </c>
      <c r="CJ22" s="24">
        <v>0</v>
      </c>
      <c r="CK22" s="24">
        <v>0</v>
      </c>
      <c r="CL22" s="24">
        <v>0</v>
      </c>
      <c r="CM22" s="24">
        <v>0</v>
      </c>
      <c r="CN22" s="24">
        <v>0</v>
      </c>
      <c r="CO22" s="24">
        <v>0</v>
      </c>
      <c r="CP22" s="24">
        <v>0</v>
      </c>
      <c r="CQ22" s="24">
        <v>0</v>
      </c>
      <c r="CR22" s="24">
        <v>0</v>
      </c>
      <c r="CS22" s="24">
        <v>0</v>
      </c>
      <c r="CT22" s="24">
        <v>0</v>
      </c>
      <c r="CU22" s="24">
        <v>0</v>
      </c>
      <c r="CV22" s="24">
        <v>0</v>
      </c>
      <c r="CW22" s="24">
        <v>0</v>
      </c>
      <c r="CX22" s="24">
        <v>0</v>
      </c>
      <c r="CY22" s="24">
        <v>0</v>
      </c>
      <c r="CZ22" s="24">
        <v>0</v>
      </c>
      <c r="DA22" s="24">
        <v>0</v>
      </c>
      <c r="DB22" s="24">
        <v>0</v>
      </c>
      <c r="DC22" s="24">
        <v>0</v>
      </c>
      <c r="DD22" s="24">
        <v>0</v>
      </c>
      <c r="DE22" s="24">
        <v>0</v>
      </c>
      <c r="DF22" s="24">
        <v>0</v>
      </c>
      <c r="DG22" s="24">
        <v>0</v>
      </c>
      <c r="DH22" s="24">
        <v>0</v>
      </c>
      <c r="DI22" s="24">
        <v>0</v>
      </c>
      <c r="DJ22" s="24">
        <v>0</v>
      </c>
      <c r="DK22" s="24">
        <v>0</v>
      </c>
      <c r="DL22" s="24">
        <v>0</v>
      </c>
      <c r="DM22" s="24">
        <v>0</v>
      </c>
      <c r="DN22" s="24">
        <v>0</v>
      </c>
      <c r="DO22" s="24">
        <v>-196</v>
      </c>
      <c r="DP22" s="24">
        <v>-196</v>
      </c>
      <c r="DQ22" s="24">
        <v>-1595</v>
      </c>
      <c r="DR22" s="24">
        <v>-1791</v>
      </c>
      <c r="DS22" s="24">
        <v>-199</v>
      </c>
      <c r="DT22" s="24">
        <v>-5542</v>
      </c>
      <c r="DU22" s="24">
        <v>-5741</v>
      </c>
      <c r="DV22" s="24">
        <v>-5221</v>
      </c>
      <c r="DW22" s="24">
        <v>-10962</v>
      </c>
      <c r="DX22" s="24">
        <v>-8723</v>
      </c>
      <c r="DY22" s="24">
        <v>-19685</v>
      </c>
      <c r="DZ22" s="24">
        <v>-6627</v>
      </c>
      <c r="EA22" s="24">
        <v>-6169</v>
      </c>
      <c r="EB22" s="24">
        <v>-12796</v>
      </c>
      <c r="EC22" s="24">
        <v>-5940</v>
      </c>
      <c r="ED22" s="24">
        <v>-18736</v>
      </c>
      <c r="EE22" s="24">
        <v>-8569</v>
      </c>
      <c r="EF22" s="24">
        <v>-27305</v>
      </c>
      <c r="EG22" s="24">
        <f>EG20-EG21</f>
        <v>-4758</v>
      </c>
      <c r="EH22" s="24">
        <f>EH20-EH21</f>
        <v>-4197</v>
      </c>
      <c r="EI22" s="24">
        <f t="shared" si="16"/>
        <v>-8955</v>
      </c>
      <c r="EJ22" s="24">
        <f>EJ20-EJ21</f>
        <v>-3267</v>
      </c>
      <c r="EK22" s="24">
        <f t="shared" si="11"/>
        <v>-12222</v>
      </c>
      <c r="EL22" s="24">
        <f>EL20-EL21</f>
        <v>-4739</v>
      </c>
      <c r="EM22" s="24">
        <f t="shared" si="11"/>
        <v>-16961</v>
      </c>
      <c r="EN22" s="24">
        <f>EN20-EN21</f>
        <v>-4212</v>
      </c>
      <c r="EO22" s="24">
        <v>-3829</v>
      </c>
      <c r="EP22" s="24">
        <v>-8041</v>
      </c>
      <c r="EQ22" s="24">
        <f>EQ20-EQ21</f>
        <v>-3552</v>
      </c>
      <c r="ER22" s="24">
        <f>SUM(EP22:EQ22)</f>
        <v>-11593</v>
      </c>
      <c r="ES22" s="24">
        <f>2334-ES23</f>
        <v>-4765</v>
      </c>
      <c r="ET22" s="24">
        <f>SUM(ER22:ES22)</f>
        <v>-16358</v>
      </c>
      <c r="EU22" s="24">
        <f>EU20-EU21</f>
        <v>-3553</v>
      </c>
      <c r="EV22" s="24">
        <v>-4913</v>
      </c>
      <c r="EW22" s="24">
        <f>SUM(EU22:EV22)</f>
        <v>-8466</v>
      </c>
    </row>
    <row r="23" spans="1:153" ht="16.350000000000001" customHeight="1">
      <c r="A23" s="9"/>
      <c r="B23" s="109" t="s">
        <v>72</v>
      </c>
      <c r="C23" s="109" t="s">
        <v>397</v>
      </c>
      <c r="D23" s="112">
        <v>-2320</v>
      </c>
      <c r="E23" s="112">
        <v>1457</v>
      </c>
      <c r="F23" s="112">
        <v>-863</v>
      </c>
      <c r="G23" s="112">
        <v>-5701</v>
      </c>
      <c r="H23" s="112">
        <v>-6564</v>
      </c>
      <c r="I23" s="112">
        <v>-241</v>
      </c>
      <c r="J23" s="112">
        <v>-6805</v>
      </c>
      <c r="K23" s="112">
        <v>-679</v>
      </c>
      <c r="L23" s="112">
        <v>-7153</v>
      </c>
      <c r="M23" s="112">
        <v>-7832</v>
      </c>
      <c r="N23" s="112">
        <v>-6692</v>
      </c>
      <c r="O23" s="112">
        <v>-14524</v>
      </c>
      <c r="P23" s="112">
        <v>-2892</v>
      </c>
      <c r="Q23" s="112">
        <v>-17416</v>
      </c>
      <c r="R23" s="112">
        <v>-3026</v>
      </c>
      <c r="S23" s="112">
        <v>-2864</v>
      </c>
      <c r="T23" s="112">
        <v>-5890</v>
      </c>
      <c r="U23" s="112">
        <v>-3489</v>
      </c>
      <c r="V23" s="112">
        <v>-9379</v>
      </c>
      <c r="W23" s="112">
        <v>-5103</v>
      </c>
      <c r="X23" s="112">
        <v>-14482</v>
      </c>
      <c r="Y23" s="112">
        <v>-3774</v>
      </c>
      <c r="Z23" s="112">
        <v>-4391</v>
      </c>
      <c r="AA23" s="112">
        <v>-8165</v>
      </c>
      <c r="AB23" s="112">
        <v>-7155</v>
      </c>
      <c r="AC23" s="112">
        <v>-15321</v>
      </c>
      <c r="AD23" s="112">
        <v>-10782</v>
      </c>
      <c r="AE23" s="112">
        <v>-26102</v>
      </c>
      <c r="AF23" s="112">
        <v>-6368</v>
      </c>
      <c r="AG23" s="112">
        <v>-7939</v>
      </c>
      <c r="AH23" s="112">
        <v>-14307</v>
      </c>
      <c r="AI23" s="112">
        <v>-8275</v>
      </c>
      <c r="AJ23" s="112">
        <v>-22582</v>
      </c>
      <c r="AK23" s="124">
        <v>-6581</v>
      </c>
      <c r="AL23" s="112">
        <v>-29163</v>
      </c>
      <c r="AM23" s="112">
        <v>-6011</v>
      </c>
      <c r="AN23" s="112">
        <v>-6811</v>
      </c>
      <c r="AO23" s="112">
        <v>-12822</v>
      </c>
      <c r="AP23" s="112">
        <v>-7522</v>
      </c>
      <c r="AQ23" s="112">
        <v>-20344</v>
      </c>
      <c r="AR23" s="112">
        <v>-6748</v>
      </c>
      <c r="AS23" s="112">
        <v>-27092</v>
      </c>
      <c r="AT23" s="112">
        <v>-6154</v>
      </c>
      <c r="AU23" s="112">
        <v>-5525</v>
      </c>
      <c r="AV23" s="112">
        <v>-11679</v>
      </c>
      <c r="AW23" s="112">
        <v>-5287</v>
      </c>
      <c r="AX23" s="112">
        <v>-16966</v>
      </c>
      <c r="AY23" s="112">
        <v>-3917</v>
      </c>
      <c r="AZ23" s="112">
        <v>-20883</v>
      </c>
      <c r="BA23" s="112">
        <v>-4212</v>
      </c>
      <c r="BB23" s="112">
        <v>-5384</v>
      </c>
      <c r="BC23" s="112">
        <v>-9596</v>
      </c>
      <c r="BD23" s="112">
        <v>-4409</v>
      </c>
      <c r="BE23" s="112">
        <v>-14005</v>
      </c>
      <c r="BF23" s="112">
        <v>-3829</v>
      </c>
      <c r="BG23" s="112">
        <v>-17834</v>
      </c>
      <c r="BH23" s="112">
        <v>-3127</v>
      </c>
      <c r="BI23" s="112">
        <v>-4242</v>
      </c>
      <c r="BJ23" s="112">
        <v>-7369</v>
      </c>
      <c r="BK23" s="112">
        <v>-5062</v>
      </c>
      <c r="BL23" s="112">
        <v>-12431</v>
      </c>
      <c r="BM23" s="112">
        <v>-4345</v>
      </c>
      <c r="BN23" s="112">
        <v>-16776</v>
      </c>
      <c r="BO23" s="112">
        <v>-4318</v>
      </c>
      <c r="BP23" s="112">
        <v>-3566</v>
      </c>
      <c r="BQ23" s="112">
        <v>-7884</v>
      </c>
      <c r="BR23" s="112">
        <v>-6231</v>
      </c>
      <c r="BS23" s="112">
        <v>-14115</v>
      </c>
      <c r="BT23" s="112">
        <v>-8657</v>
      </c>
      <c r="BU23" s="112">
        <v>-22772</v>
      </c>
      <c r="BV23" s="112">
        <v>-11593</v>
      </c>
      <c r="BW23" s="112">
        <v>-13634</v>
      </c>
      <c r="BX23" s="112">
        <v>-25227</v>
      </c>
      <c r="BY23" s="112">
        <v>-10692</v>
      </c>
      <c r="BZ23" s="112">
        <v>-35919</v>
      </c>
      <c r="CA23" s="112">
        <v>-9253</v>
      </c>
      <c r="CB23" s="112">
        <v>-45172</v>
      </c>
      <c r="CC23" s="112">
        <v>-10842</v>
      </c>
      <c r="CD23" s="112">
        <v>-10298</v>
      </c>
      <c r="CE23" s="112">
        <v>-21140</v>
      </c>
      <c r="CF23" s="112">
        <v>-10406</v>
      </c>
      <c r="CG23" s="112">
        <v>-31546</v>
      </c>
      <c r="CH23" s="112">
        <v>-6907</v>
      </c>
      <c r="CI23" s="112">
        <f>SUM(CG23:CH23)</f>
        <v>-38453</v>
      </c>
      <c r="CJ23" s="112">
        <v>-6430</v>
      </c>
      <c r="CK23" s="112">
        <v>-5328</v>
      </c>
      <c r="CL23" s="112">
        <v>-11758</v>
      </c>
      <c r="CM23" s="112">
        <v>-5735</v>
      </c>
      <c r="CN23" s="112">
        <v>-17493</v>
      </c>
      <c r="CO23" s="112">
        <v>-4538</v>
      </c>
      <c r="CP23" s="112">
        <v>-22031</v>
      </c>
      <c r="CQ23" s="112">
        <v>-6783</v>
      </c>
      <c r="CR23" s="112">
        <v>-7226</v>
      </c>
      <c r="CS23" s="112">
        <v>-14009</v>
      </c>
      <c r="CT23" s="112">
        <v>-6861</v>
      </c>
      <c r="CU23" s="112">
        <v>-20870</v>
      </c>
      <c r="CV23" s="112">
        <v>-6249</v>
      </c>
      <c r="CW23" s="112">
        <v>-27119</v>
      </c>
      <c r="CX23" s="112">
        <v>-5601</v>
      </c>
      <c r="CY23" s="112">
        <v>-5755</v>
      </c>
      <c r="CZ23" s="112">
        <v>-11356</v>
      </c>
      <c r="DA23" s="112">
        <v>-7164</v>
      </c>
      <c r="DB23" s="112">
        <v>-18520</v>
      </c>
      <c r="DC23" s="112">
        <v>-4695</v>
      </c>
      <c r="DD23" s="112">
        <v>-23215</v>
      </c>
      <c r="DE23" s="112">
        <v>-5434</v>
      </c>
      <c r="DF23" s="112">
        <v>-6802</v>
      </c>
      <c r="DG23" s="112">
        <v>-12236</v>
      </c>
      <c r="DH23" s="112">
        <v>-6368</v>
      </c>
      <c r="DI23" s="112">
        <v>-18604</v>
      </c>
      <c r="DJ23" s="112">
        <v>-3657</v>
      </c>
      <c r="DK23" s="112">
        <v>-22261</v>
      </c>
      <c r="DL23" s="85">
        <v>-3898</v>
      </c>
      <c r="DM23" s="85">
        <v>-3556</v>
      </c>
      <c r="DN23" s="112">
        <v>-7454</v>
      </c>
      <c r="DO23" s="85">
        <v>-5532</v>
      </c>
      <c r="DP23" s="112">
        <v>-12986</v>
      </c>
      <c r="DQ23" s="85">
        <v>-9515</v>
      </c>
      <c r="DR23" s="112">
        <v>-22501</v>
      </c>
      <c r="DS23" s="112">
        <v>-16616</v>
      </c>
      <c r="DT23" s="112">
        <v>-27404</v>
      </c>
      <c r="DU23" s="112">
        <v>-44020</v>
      </c>
      <c r="DV23" s="112">
        <v>-34224</v>
      </c>
      <c r="DW23" s="112">
        <v>-78244</v>
      </c>
      <c r="DX23" s="112">
        <v>-31804</v>
      </c>
      <c r="DY23" s="112">
        <v>-110048</v>
      </c>
      <c r="DZ23" s="112">
        <v>-28356</v>
      </c>
      <c r="EA23" s="112">
        <v>-30387</v>
      </c>
      <c r="EB23" s="112">
        <v>-58743</v>
      </c>
      <c r="EC23" s="112">
        <v>-26363</v>
      </c>
      <c r="ED23" s="112">
        <v>-85106</v>
      </c>
      <c r="EE23" s="112">
        <v>-20580</v>
      </c>
      <c r="EF23" s="112">
        <v>-105686</v>
      </c>
      <c r="EG23" s="112">
        <v>-17659</v>
      </c>
      <c r="EH23" s="112">
        <v>-14447</v>
      </c>
      <c r="EI23" s="112">
        <f t="shared" si="16"/>
        <v>-32106</v>
      </c>
      <c r="EJ23" s="112">
        <v>-7748</v>
      </c>
      <c r="EK23" s="112">
        <f t="shared" si="11"/>
        <v>-39854</v>
      </c>
      <c r="EL23" s="112">
        <v>1632</v>
      </c>
      <c r="EM23" s="112">
        <f t="shared" si="11"/>
        <v>-38222</v>
      </c>
      <c r="EN23" s="112">
        <v>2809</v>
      </c>
      <c r="EO23" s="112">
        <v>1614</v>
      </c>
      <c r="EP23" s="112">
        <v>4423</v>
      </c>
      <c r="EQ23" s="112">
        <v>5977</v>
      </c>
      <c r="ER23" s="112">
        <f>SUM(EP23:EQ23)</f>
        <v>10400</v>
      </c>
      <c r="ES23" s="112">
        <v>7099</v>
      </c>
      <c r="ET23" s="112">
        <f>SUM(ER23:ES23)</f>
        <v>17499</v>
      </c>
      <c r="EU23" s="112">
        <v>7740</v>
      </c>
      <c r="EV23" s="112">
        <v>-3016</v>
      </c>
      <c r="EW23" s="112">
        <f>SUM(EU23:EV23)</f>
        <v>4724</v>
      </c>
    </row>
    <row r="24" spans="1:153" ht="16.350000000000001" customHeight="1">
      <c r="A24" s="9"/>
      <c r="B24" s="117"/>
      <c r="C24" s="117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45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D24" s="51"/>
      <c r="EE24" s="6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</row>
    <row r="25" spans="1:153" ht="16.350000000000001" customHeight="1">
      <c r="A25" s="18"/>
      <c r="B25" s="19" t="s">
        <v>360</v>
      </c>
      <c r="C25" s="19" t="s">
        <v>654</v>
      </c>
      <c r="D25" s="20">
        <v>110639</v>
      </c>
      <c r="E25" s="20">
        <v>153078</v>
      </c>
      <c r="F25" s="20">
        <v>263717</v>
      </c>
      <c r="G25" s="20">
        <v>132608</v>
      </c>
      <c r="H25" s="20">
        <v>396325</v>
      </c>
      <c r="I25" s="20">
        <v>212181</v>
      </c>
      <c r="J25" s="20">
        <v>608506</v>
      </c>
      <c r="K25" s="20">
        <v>142142</v>
      </c>
      <c r="L25" s="20">
        <v>192159</v>
      </c>
      <c r="M25" s="20">
        <v>334301</v>
      </c>
      <c r="N25" s="20">
        <v>173015</v>
      </c>
      <c r="O25" s="20">
        <v>507316</v>
      </c>
      <c r="P25" s="20">
        <v>272139</v>
      </c>
      <c r="Q25" s="20">
        <v>779455</v>
      </c>
      <c r="R25" s="20">
        <v>189706</v>
      </c>
      <c r="S25" s="20">
        <v>258725</v>
      </c>
      <c r="T25" s="20">
        <v>448431</v>
      </c>
      <c r="U25" s="20">
        <v>238636</v>
      </c>
      <c r="V25" s="20">
        <v>687067</v>
      </c>
      <c r="W25" s="20">
        <v>337160</v>
      </c>
      <c r="X25" s="20">
        <v>1024227</v>
      </c>
      <c r="Y25" s="20">
        <v>240385</v>
      </c>
      <c r="Z25" s="20">
        <v>305254</v>
      </c>
      <c r="AA25" s="20">
        <v>545639</v>
      </c>
      <c r="AB25" s="20">
        <v>273561</v>
      </c>
      <c r="AC25" s="20">
        <v>819198</v>
      </c>
      <c r="AD25" s="20">
        <v>341671</v>
      </c>
      <c r="AE25" s="20">
        <v>1160871</v>
      </c>
      <c r="AF25" s="20">
        <v>232116.27969534285</v>
      </c>
      <c r="AG25" s="20">
        <v>325850.94096658792</v>
      </c>
      <c r="AH25" s="20">
        <v>557967.22066193074</v>
      </c>
      <c r="AI25" s="20">
        <v>295444.64055040851</v>
      </c>
      <c r="AJ25" s="20">
        <v>853411.86121233925</v>
      </c>
      <c r="AK25" s="20">
        <v>425305.23646145535</v>
      </c>
      <c r="AL25" s="20">
        <v>1278717.0976737947</v>
      </c>
      <c r="AM25" s="20">
        <v>292944</v>
      </c>
      <c r="AN25" s="20">
        <v>405023</v>
      </c>
      <c r="AO25" s="20">
        <v>697967</v>
      </c>
      <c r="AP25" s="20">
        <v>353893</v>
      </c>
      <c r="AQ25" s="20">
        <v>1051860</v>
      </c>
      <c r="AR25" s="20">
        <v>490020</v>
      </c>
      <c r="AS25" s="20">
        <v>1541880</v>
      </c>
      <c r="AT25" s="20">
        <v>349220</v>
      </c>
      <c r="AU25" s="20">
        <v>485196</v>
      </c>
      <c r="AV25" s="20">
        <v>834416</v>
      </c>
      <c r="AW25" s="20">
        <v>409133</v>
      </c>
      <c r="AX25" s="20">
        <v>1243549</v>
      </c>
      <c r="AY25" s="20">
        <v>598865</v>
      </c>
      <c r="AZ25" s="20">
        <v>1842414</v>
      </c>
      <c r="BA25" s="20">
        <v>414434</v>
      </c>
      <c r="BB25" s="20">
        <v>562190</v>
      </c>
      <c r="BC25" s="20">
        <v>976624</v>
      </c>
      <c r="BD25" s="20">
        <v>510455</v>
      </c>
      <c r="BE25" s="20">
        <v>1487079</v>
      </c>
      <c r="BF25" s="20">
        <v>741183</v>
      </c>
      <c r="BG25" s="20">
        <v>2228262</v>
      </c>
      <c r="BH25" s="20">
        <v>475850</v>
      </c>
      <c r="BI25" s="20">
        <v>616110</v>
      </c>
      <c r="BJ25" s="20">
        <v>1091960</v>
      </c>
      <c r="BK25" s="20">
        <v>563885</v>
      </c>
      <c r="BL25" s="20">
        <v>1655845</v>
      </c>
      <c r="BM25" s="20">
        <v>846897</v>
      </c>
      <c r="BN25" s="20">
        <v>2502742</v>
      </c>
      <c r="BO25" s="20">
        <v>542358</v>
      </c>
      <c r="BP25" s="20">
        <v>742439</v>
      </c>
      <c r="BQ25" s="20">
        <v>1284797</v>
      </c>
      <c r="BR25" s="20">
        <v>696693</v>
      </c>
      <c r="BS25" s="20">
        <v>1981490</v>
      </c>
      <c r="BT25" s="20">
        <v>1069416</v>
      </c>
      <c r="BU25" s="20">
        <v>3050906</v>
      </c>
      <c r="BV25" s="20">
        <v>701772</v>
      </c>
      <c r="BW25" s="20">
        <v>917784</v>
      </c>
      <c r="BX25" s="20">
        <v>1619556</v>
      </c>
      <c r="BY25" s="20">
        <v>823908</v>
      </c>
      <c r="BZ25" s="20">
        <v>2443464</v>
      </c>
      <c r="CA25" s="20">
        <v>1190382</v>
      </c>
      <c r="CB25" s="20">
        <v>3633846</v>
      </c>
      <c r="CC25" s="20">
        <v>758945</v>
      </c>
      <c r="CD25" s="20">
        <v>1010505</v>
      </c>
      <c r="CE25" s="20">
        <v>1769450</v>
      </c>
      <c r="CF25" s="20">
        <v>851613</v>
      </c>
      <c r="CG25" s="20">
        <v>2621063</v>
      </c>
      <c r="CH25" s="20">
        <v>1255434</v>
      </c>
      <c r="CI25" s="20">
        <f t="shared" ref="CI25:CI29" si="17">SUM(CG25:CH25)</f>
        <v>3876497</v>
      </c>
      <c r="CJ25" s="20">
        <v>845768</v>
      </c>
      <c r="CK25" s="20">
        <v>1119093</v>
      </c>
      <c r="CL25" s="20">
        <v>1964861</v>
      </c>
      <c r="CM25" s="20">
        <v>1043824</v>
      </c>
      <c r="CN25" s="20">
        <v>3008685</v>
      </c>
      <c r="CO25" s="20">
        <v>1490707</v>
      </c>
      <c r="CP25" s="20">
        <v>4499392</v>
      </c>
      <c r="CQ25" s="20">
        <v>1008863</v>
      </c>
      <c r="CR25" s="20">
        <v>1255073</v>
      </c>
      <c r="CS25" s="20">
        <v>2263936</v>
      </c>
      <c r="CT25" s="20">
        <v>1154107</v>
      </c>
      <c r="CU25" s="20">
        <v>3418043</v>
      </c>
      <c r="CV25" s="20">
        <v>1723981</v>
      </c>
      <c r="CW25" s="20">
        <v>5142024</v>
      </c>
      <c r="CX25" s="20">
        <v>1148086</v>
      </c>
      <c r="CY25" s="20">
        <v>1406512</v>
      </c>
      <c r="CZ25" s="20">
        <v>2554598</v>
      </c>
      <c r="DA25" s="20">
        <v>1336558</v>
      </c>
      <c r="DB25" s="20">
        <v>3891156</v>
      </c>
      <c r="DC25" s="20">
        <v>1966760</v>
      </c>
      <c r="DD25" s="20">
        <v>5857916</v>
      </c>
      <c r="DE25" s="20">
        <v>1167087</v>
      </c>
      <c r="DF25" s="20">
        <v>503863</v>
      </c>
      <c r="DG25" s="20">
        <v>1670950</v>
      </c>
      <c r="DH25" s="20">
        <v>920678</v>
      </c>
      <c r="DI25" s="20">
        <v>2591628</v>
      </c>
      <c r="DJ25" s="20">
        <v>1721982</v>
      </c>
      <c r="DK25" s="20">
        <v>4313610</v>
      </c>
      <c r="DL25" s="20">
        <v>923994</v>
      </c>
      <c r="DM25" s="20">
        <v>1469935</v>
      </c>
      <c r="DN25" s="20">
        <v>2393929</v>
      </c>
      <c r="DO25" s="20">
        <v>1517067</v>
      </c>
      <c r="DP25" s="20">
        <v>3910996</v>
      </c>
      <c r="DQ25" s="20">
        <v>2261392</v>
      </c>
      <c r="DR25" s="20">
        <v>6172388</v>
      </c>
      <c r="DS25" s="20">
        <v>1594640</v>
      </c>
      <c r="DT25" s="20">
        <v>2204922</v>
      </c>
      <c r="DU25" s="20">
        <v>3799562</v>
      </c>
      <c r="DV25" s="20">
        <v>1776204</v>
      </c>
      <c r="DW25" s="20">
        <v>5575766</v>
      </c>
      <c r="DX25" s="20">
        <v>2409050</v>
      </c>
      <c r="DY25" s="20">
        <v>7984816</v>
      </c>
      <c r="DZ25" s="20">
        <v>1702465</v>
      </c>
      <c r="EA25" s="20">
        <v>2097786</v>
      </c>
      <c r="EB25" s="20">
        <v>3800251</v>
      </c>
      <c r="EC25" s="20">
        <v>1847681</v>
      </c>
      <c r="ED25" s="20">
        <v>5647932</v>
      </c>
      <c r="EE25" s="20">
        <v>2572670</v>
      </c>
      <c r="EF25" s="20">
        <v>8220602</v>
      </c>
      <c r="EG25" s="20">
        <f>EG26+EG29</f>
        <v>1769515</v>
      </c>
      <c r="EH25" s="20">
        <f>EH26+EH29</f>
        <v>2157569</v>
      </c>
      <c r="EI25" s="20">
        <f t="shared" ref="EI25:EI29" si="18">SUM(EG25:EH25)</f>
        <v>3927084</v>
      </c>
      <c r="EJ25" s="20">
        <f>EJ26+EJ29</f>
        <v>2042727</v>
      </c>
      <c r="EK25" s="20">
        <f t="shared" ref="EK25:EK29" si="19">SUM(EI25:EJ25)</f>
        <v>5969811</v>
      </c>
      <c r="EL25" s="20">
        <f>EL26+EL29</f>
        <v>2772138</v>
      </c>
      <c r="EM25" s="20">
        <f t="shared" ref="EM25:EM29" si="20">SUM(EK25:EL25)</f>
        <v>8741949</v>
      </c>
      <c r="EN25" s="20">
        <f>EN26+EN29</f>
        <v>2021470</v>
      </c>
      <c r="EO25" s="20">
        <v>2603800</v>
      </c>
      <c r="EP25" s="20">
        <v>4625270</v>
      </c>
      <c r="EQ25" s="20">
        <f>EQ26+EQ29</f>
        <v>2186090</v>
      </c>
      <c r="ER25" s="20">
        <f t="shared" ref="ER25:ER29" si="21">SUM(EP25:EQ25)</f>
        <v>6811360</v>
      </c>
      <c r="ES25" s="20">
        <f>ES26+ES29</f>
        <v>2956522</v>
      </c>
      <c r="ET25" s="20">
        <f t="shared" ref="ET25:ET29" si="22">SUM(ER25:ES25)</f>
        <v>9767882</v>
      </c>
      <c r="EU25" s="20">
        <f>EU26+EU29</f>
        <v>2127535</v>
      </c>
      <c r="EV25" s="20">
        <f>EV26+EV29</f>
        <v>2630544</v>
      </c>
      <c r="EW25" s="20">
        <f t="shared" ref="EW25:EW29" si="23">SUM(EU25:EV25)</f>
        <v>4758079</v>
      </c>
    </row>
    <row r="26" spans="1:153" ht="16.350000000000001" customHeight="1">
      <c r="A26" s="18"/>
      <c r="B26" s="23" t="s">
        <v>454</v>
      </c>
      <c r="C26" s="23" t="s">
        <v>651</v>
      </c>
      <c r="D26" s="24">
        <v>100767</v>
      </c>
      <c r="E26" s="24">
        <v>134987</v>
      </c>
      <c r="F26" s="24">
        <v>235754</v>
      </c>
      <c r="G26" s="24">
        <v>121855</v>
      </c>
      <c r="H26" s="24">
        <v>357609</v>
      </c>
      <c r="I26" s="24">
        <v>192008</v>
      </c>
      <c r="J26" s="24">
        <v>549617</v>
      </c>
      <c r="K26" s="24">
        <v>127064</v>
      </c>
      <c r="L26" s="24">
        <v>176161</v>
      </c>
      <c r="M26" s="24">
        <v>303225</v>
      </c>
      <c r="N26" s="24">
        <v>153443</v>
      </c>
      <c r="O26" s="24">
        <v>456668</v>
      </c>
      <c r="P26" s="24">
        <v>245071</v>
      </c>
      <c r="Q26" s="24">
        <v>701739</v>
      </c>
      <c r="R26" s="24">
        <v>155470</v>
      </c>
      <c r="S26" s="24">
        <v>215072</v>
      </c>
      <c r="T26" s="24">
        <v>370542</v>
      </c>
      <c r="U26" s="24">
        <v>193471</v>
      </c>
      <c r="V26" s="24">
        <v>564013</v>
      </c>
      <c r="W26" s="24">
        <v>295485</v>
      </c>
      <c r="X26" s="24">
        <v>859498</v>
      </c>
      <c r="Y26" s="24">
        <v>195745</v>
      </c>
      <c r="Z26" s="24">
        <v>253144</v>
      </c>
      <c r="AA26" s="24">
        <v>448889</v>
      </c>
      <c r="AB26" s="24">
        <v>218380</v>
      </c>
      <c r="AC26" s="24">
        <v>667269</v>
      </c>
      <c r="AD26" s="24">
        <v>292718</v>
      </c>
      <c r="AE26" s="24">
        <v>959987</v>
      </c>
      <c r="AF26" s="24">
        <v>181999.27969534285</v>
      </c>
      <c r="AG26" s="24">
        <v>275107.94096658792</v>
      </c>
      <c r="AH26" s="24">
        <v>457107.22066193074</v>
      </c>
      <c r="AI26" s="24">
        <v>238138.64055040854</v>
      </c>
      <c r="AJ26" s="24">
        <v>695245.86121233925</v>
      </c>
      <c r="AK26" s="24">
        <v>364975.23646145535</v>
      </c>
      <c r="AL26" s="24">
        <v>1060221.0976737947</v>
      </c>
      <c r="AM26" s="24">
        <v>233467</v>
      </c>
      <c r="AN26" s="24">
        <v>339844</v>
      </c>
      <c r="AO26" s="24">
        <v>573311</v>
      </c>
      <c r="AP26" s="24">
        <v>286282</v>
      </c>
      <c r="AQ26" s="24">
        <v>859593</v>
      </c>
      <c r="AR26" s="24">
        <v>420725</v>
      </c>
      <c r="AS26" s="24">
        <v>1280318</v>
      </c>
      <c r="AT26" s="24">
        <v>274314</v>
      </c>
      <c r="AU26" s="24">
        <v>403955</v>
      </c>
      <c r="AV26" s="24">
        <v>678269</v>
      </c>
      <c r="AW26" s="24">
        <v>329574</v>
      </c>
      <c r="AX26" s="24">
        <v>1007843</v>
      </c>
      <c r="AY26" s="24">
        <v>513528</v>
      </c>
      <c r="AZ26" s="24">
        <v>1521371</v>
      </c>
      <c r="BA26" s="24">
        <v>328569</v>
      </c>
      <c r="BB26" s="24">
        <v>467289</v>
      </c>
      <c r="BC26" s="24">
        <v>795858</v>
      </c>
      <c r="BD26" s="24">
        <v>413066</v>
      </c>
      <c r="BE26" s="24">
        <v>1208924</v>
      </c>
      <c r="BF26" s="24">
        <v>636624</v>
      </c>
      <c r="BG26" s="24">
        <v>1845548</v>
      </c>
      <c r="BH26" s="24">
        <v>371912</v>
      </c>
      <c r="BI26" s="24">
        <v>507153</v>
      </c>
      <c r="BJ26" s="24">
        <v>879065</v>
      </c>
      <c r="BK26" s="24">
        <v>454430</v>
      </c>
      <c r="BL26" s="24">
        <v>1333495</v>
      </c>
      <c r="BM26" s="24">
        <v>729504</v>
      </c>
      <c r="BN26" s="24">
        <v>2062999</v>
      </c>
      <c r="BO26" s="24">
        <v>422292</v>
      </c>
      <c r="BP26" s="24">
        <v>601976</v>
      </c>
      <c r="BQ26" s="24">
        <v>1024268</v>
      </c>
      <c r="BR26" s="24">
        <v>545722</v>
      </c>
      <c r="BS26" s="24">
        <v>1569990</v>
      </c>
      <c r="BT26" s="24">
        <v>929481</v>
      </c>
      <c r="BU26" s="24">
        <v>2499471</v>
      </c>
      <c r="BV26" s="24">
        <v>550313</v>
      </c>
      <c r="BW26" s="24">
        <v>749243</v>
      </c>
      <c r="BX26" s="24">
        <v>1299556</v>
      </c>
      <c r="BY26" s="24">
        <v>662360</v>
      </c>
      <c r="BZ26" s="24">
        <v>1961916</v>
      </c>
      <c r="CA26" s="24">
        <v>1022756</v>
      </c>
      <c r="CB26" s="24">
        <v>2984672</v>
      </c>
      <c r="CC26" s="24">
        <v>598566</v>
      </c>
      <c r="CD26" s="24">
        <v>837911</v>
      </c>
      <c r="CE26" s="24">
        <v>1436477</v>
      </c>
      <c r="CF26" s="24">
        <v>676608</v>
      </c>
      <c r="CG26" s="24">
        <v>2113085</v>
      </c>
      <c r="CH26" s="24">
        <v>1072043</v>
      </c>
      <c r="CI26" s="24">
        <f t="shared" si="17"/>
        <v>3185128</v>
      </c>
      <c r="CJ26" s="24">
        <v>671558</v>
      </c>
      <c r="CK26" s="24">
        <v>923745</v>
      </c>
      <c r="CL26" s="24">
        <v>1595303</v>
      </c>
      <c r="CM26" s="24">
        <v>815760</v>
      </c>
      <c r="CN26" s="24">
        <v>2411063</v>
      </c>
      <c r="CO26" s="24">
        <v>1266128</v>
      </c>
      <c r="CP26" s="24">
        <v>3677191</v>
      </c>
      <c r="CQ26" s="24">
        <v>786180</v>
      </c>
      <c r="CR26" s="24">
        <v>1022233</v>
      </c>
      <c r="CS26" s="24">
        <v>1808413</v>
      </c>
      <c r="CT26" s="24">
        <v>929141</v>
      </c>
      <c r="CU26" s="24">
        <v>2737554</v>
      </c>
      <c r="CV26" s="24">
        <v>1490481</v>
      </c>
      <c r="CW26" s="24">
        <v>4228035</v>
      </c>
      <c r="CX26" s="24">
        <v>911907</v>
      </c>
      <c r="CY26" s="24">
        <v>1139637</v>
      </c>
      <c r="CZ26" s="24">
        <v>2051544</v>
      </c>
      <c r="DA26" s="24">
        <v>1049891</v>
      </c>
      <c r="DB26" s="24">
        <v>3101435</v>
      </c>
      <c r="DC26" s="24">
        <v>1665952</v>
      </c>
      <c r="DD26" s="24">
        <v>4767387</v>
      </c>
      <c r="DE26" s="24">
        <v>858940</v>
      </c>
      <c r="DF26" s="24">
        <v>241795</v>
      </c>
      <c r="DG26" s="24">
        <v>1100735</v>
      </c>
      <c r="DH26" s="24">
        <v>788204</v>
      </c>
      <c r="DI26" s="24">
        <v>1888939</v>
      </c>
      <c r="DJ26" s="24">
        <v>1570323</v>
      </c>
      <c r="DK26" s="24">
        <v>3459262</v>
      </c>
      <c r="DL26" s="24">
        <v>710915</v>
      </c>
      <c r="DM26" s="24">
        <v>1241922</v>
      </c>
      <c r="DN26" s="24">
        <v>1952837</v>
      </c>
      <c r="DO26" s="24">
        <v>1266142</v>
      </c>
      <c r="DP26" s="24">
        <v>3218979</v>
      </c>
      <c r="DQ26" s="24">
        <v>1959777</v>
      </c>
      <c r="DR26" s="24">
        <v>5178756</v>
      </c>
      <c r="DS26" s="24">
        <v>1227897</v>
      </c>
      <c r="DT26" s="24">
        <v>1781734</v>
      </c>
      <c r="DU26" s="24">
        <v>3009631</v>
      </c>
      <c r="DV26" s="24">
        <v>1408317</v>
      </c>
      <c r="DW26" s="24">
        <v>4417948</v>
      </c>
      <c r="DX26" s="24">
        <v>1981574</v>
      </c>
      <c r="DY26" s="24">
        <v>6399522</v>
      </c>
      <c r="DZ26" s="24">
        <v>1233528</v>
      </c>
      <c r="EA26" s="24">
        <v>1609394</v>
      </c>
      <c r="EB26" s="24">
        <v>2842922</v>
      </c>
      <c r="EC26" s="24">
        <v>1413054</v>
      </c>
      <c r="ED26" s="24">
        <v>4255976</v>
      </c>
      <c r="EE26" s="24">
        <v>2128803</v>
      </c>
      <c r="EF26" s="24">
        <v>6384779</v>
      </c>
      <c r="EG26" s="24">
        <f>SUM(EG27:EG28)</f>
        <v>1340221</v>
      </c>
      <c r="EH26" s="24">
        <f>SUM(EH27:EH28)</f>
        <v>1731548</v>
      </c>
      <c r="EI26" s="24">
        <f t="shared" si="18"/>
        <v>3071769</v>
      </c>
      <c r="EJ26" s="24">
        <f>SUM(EJ27:EJ28)</f>
        <v>1615918</v>
      </c>
      <c r="EK26" s="24">
        <f t="shared" si="19"/>
        <v>4687687</v>
      </c>
      <c r="EL26" s="24">
        <f t="shared" ref="EL26:EL27" si="24">EL14+EL20</f>
        <v>2328068</v>
      </c>
      <c r="EM26" s="24">
        <f t="shared" si="20"/>
        <v>7015755</v>
      </c>
      <c r="EN26" s="24">
        <f t="shared" ref="EN26" si="25">EN14+EN20</f>
        <v>1517925</v>
      </c>
      <c r="EO26" s="24">
        <v>2084289</v>
      </c>
      <c r="EP26" s="24">
        <v>3602214</v>
      </c>
      <c r="EQ26" s="24">
        <f>SUM(EQ27:EQ28)</f>
        <v>1695790</v>
      </c>
      <c r="ER26" s="24">
        <f t="shared" si="21"/>
        <v>5298004</v>
      </c>
      <c r="ES26" s="24">
        <f>SUM(ES27:ES28)</f>
        <v>2461099</v>
      </c>
      <c r="ET26" s="24">
        <f t="shared" si="22"/>
        <v>7759103</v>
      </c>
      <c r="EU26" s="24">
        <f t="shared" ref="EU26:EV29" si="26">EU14+EU20</f>
        <v>1630029</v>
      </c>
      <c r="EV26" s="24">
        <f>SUM(EV27:EV28)</f>
        <v>2121302</v>
      </c>
      <c r="EW26" s="24">
        <f t="shared" si="23"/>
        <v>3751331</v>
      </c>
    </row>
    <row r="27" spans="1:153" ht="16.350000000000001" customHeight="1">
      <c r="A27" s="18"/>
      <c r="B27" s="121" t="s">
        <v>652</v>
      </c>
      <c r="C27" s="121" t="s">
        <v>2309</v>
      </c>
      <c r="D27" s="24">
        <v>100767</v>
      </c>
      <c r="E27" s="24">
        <v>134987</v>
      </c>
      <c r="F27" s="24">
        <v>235754</v>
      </c>
      <c r="G27" s="24">
        <v>121855</v>
      </c>
      <c r="H27" s="24">
        <v>357609</v>
      </c>
      <c r="I27" s="24">
        <v>192008</v>
      </c>
      <c r="J27" s="24">
        <v>549617</v>
      </c>
      <c r="K27" s="24">
        <v>127064</v>
      </c>
      <c r="L27" s="24">
        <v>176161</v>
      </c>
      <c r="M27" s="24">
        <v>303225</v>
      </c>
      <c r="N27" s="24">
        <v>153443</v>
      </c>
      <c r="O27" s="24">
        <v>456668</v>
      </c>
      <c r="P27" s="24">
        <v>245071</v>
      </c>
      <c r="Q27" s="24">
        <v>701739</v>
      </c>
      <c r="R27" s="24">
        <v>155470</v>
      </c>
      <c r="S27" s="24">
        <v>215072</v>
      </c>
      <c r="T27" s="24">
        <v>370542</v>
      </c>
      <c r="U27" s="24">
        <v>193471</v>
      </c>
      <c r="V27" s="24">
        <v>564013</v>
      </c>
      <c r="W27" s="24">
        <v>295485</v>
      </c>
      <c r="X27" s="24">
        <v>859498</v>
      </c>
      <c r="Y27" s="24">
        <v>195745</v>
      </c>
      <c r="Z27" s="24">
        <v>253144</v>
      </c>
      <c r="AA27" s="24">
        <v>448889</v>
      </c>
      <c r="AB27" s="24">
        <v>218380</v>
      </c>
      <c r="AC27" s="24">
        <v>667269</v>
      </c>
      <c r="AD27" s="24">
        <v>292718</v>
      </c>
      <c r="AE27" s="24">
        <v>959987</v>
      </c>
      <c r="AF27" s="24">
        <v>181999.27969534285</v>
      </c>
      <c r="AG27" s="24">
        <v>275107.94096658792</v>
      </c>
      <c r="AH27" s="24">
        <v>457107.22066193074</v>
      </c>
      <c r="AI27" s="24">
        <v>238138.64055040854</v>
      </c>
      <c r="AJ27" s="24">
        <v>695245.86121233925</v>
      </c>
      <c r="AK27" s="24">
        <v>364975.23646145535</v>
      </c>
      <c r="AL27" s="24">
        <v>1060221.0976737947</v>
      </c>
      <c r="AM27" s="24">
        <v>233467</v>
      </c>
      <c r="AN27" s="24">
        <v>339844</v>
      </c>
      <c r="AO27" s="24">
        <v>573311</v>
      </c>
      <c r="AP27" s="24">
        <v>286282</v>
      </c>
      <c r="AQ27" s="24">
        <v>859593</v>
      </c>
      <c r="AR27" s="24">
        <v>420725</v>
      </c>
      <c r="AS27" s="24">
        <v>1280318</v>
      </c>
      <c r="AT27" s="24">
        <v>274314</v>
      </c>
      <c r="AU27" s="24">
        <v>403955</v>
      </c>
      <c r="AV27" s="24">
        <v>678269</v>
      </c>
      <c r="AW27" s="24">
        <v>329574</v>
      </c>
      <c r="AX27" s="24">
        <v>1007843</v>
      </c>
      <c r="AY27" s="24">
        <v>513528</v>
      </c>
      <c r="AZ27" s="24">
        <v>1521371</v>
      </c>
      <c r="BA27" s="24">
        <v>328569</v>
      </c>
      <c r="BB27" s="24">
        <v>467289</v>
      </c>
      <c r="BC27" s="24">
        <v>795858</v>
      </c>
      <c r="BD27" s="24">
        <v>413066</v>
      </c>
      <c r="BE27" s="24">
        <v>1208924</v>
      </c>
      <c r="BF27" s="24">
        <v>636624</v>
      </c>
      <c r="BG27" s="24">
        <v>1845548</v>
      </c>
      <c r="BH27" s="24">
        <v>371912</v>
      </c>
      <c r="BI27" s="24">
        <v>507153</v>
      </c>
      <c r="BJ27" s="24">
        <v>879065</v>
      </c>
      <c r="BK27" s="24">
        <v>454430</v>
      </c>
      <c r="BL27" s="24">
        <v>1333495</v>
      </c>
      <c r="BM27" s="24">
        <v>729504</v>
      </c>
      <c r="BN27" s="24">
        <v>2062999</v>
      </c>
      <c r="BO27" s="24">
        <v>422292</v>
      </c>
      <c r="BP27" s="24">
        <v>601976</v>
      </c>
      <c r="BQ27" s="24">
        <v>1024268</v>
      </c>
      <c r="BR27" s="24">
        <v>545722</v>
      </c>
      <c r="BS27" s="24">
        <v>1569990</v>
      </c>
      <c r="BT27" s="24">
        <v>929481</v>
      </c>
      <c r="BU27" s="24">
        <v>2499471</v>
      </c>
      <c r="BV27" s="24">
        <v>550313</v>
      </c>
      <c r="BW27" s="24">
        <v>749243</v>
      </c>
      <c r="BX27" s="24">
        <v>1299556</v>
      </c>
      <c r="BY27" s="24">
        <v>662360</v>
      </c>
      <c r="BZ27" s="24">
        <v>1961916</v>
      </c>
      <c r="CA27" s="24">
        <v>1022756</v>
      </c>
      <c r="CB27" s="24">
        <v>2984672</v>
      </c>
      <c r="CC27" s="24">
        <v>598566</v>
      </c>
      <c r="CD27" s="24">
        <v>837911</v>
      </c>
      <c r="CE27" s="24">
        <v>1436477</v>
      </c>
      <c r="CF27" s="24">
        <v>676608</v>
      </c>
      <c r="CG27" s="24">
        <v>2113085</v>
      </c>
      <c r="CH27" s="24">
        <v>1072043</v>
      </c>
      <c r="CI27" s="24">
        <f t="shared" si="17"/>
        <v>3185128</v>
      </c>
      <c r="CJ27" s="24">
        <v>671558</v>
      </c>
      <c r="CK27" s="24">
        <v>923745</v>
      </c>
      <c r="CL27" s="24">
        <v>1595303</v>
      </c>
      <c r="CM27" s="24">
        <v>815760</v>
      </c>
      <c r="CN27" s="24">
        <v>2411063</v>
      </c>
      <c r="CO27" s="24">
        <v>1266128</v>
      </c>
      <c r="CP27" s="24">
        <v>3677191</v>
      </c>
      <c r="CQ27" s="24">
        <v>786180</v>
      </c>
      <c r="CR27" s="24">
        <v>1022233</v>
      </c>
      <c r="CS27" s="24">
        <v>1808413</v>
      </c>
      <c r="CT27" s="24">
        <v>929141</v>
      </c>
      <c r="CU27" s="24">
        <v>2737554</v>
      </c>
      <c r="CV27" s="24">
        <v>1490481</v>
      </c>
      <c r="CW27" s="24">
        <v>4228035</v>
      </c>
      <c r="CX27" s="24">
        <v>911907</v>
      </c>
      <c r="CY27" s="24">
        <v>1139637</v>
      </c>
      <c r="CZ27" s="24">
        <v>2051544</v>
      </c>
      <c r="DA27" s="24">
        <v>1049891</v>
      </c>
      <c r="DB27" s="24">
        <v>3101435</v>
      </c>
      <c r="DC27" s="24">
        <v>1665952</v>
      </c>
      <c r="DD27" s="24">
        <v>4767387</v>
      </c>
      <c r="DE27" s="24">
        <v>858940</v>
      </c>
      <c r="DF27" s="24">
        <v>241795</v>
      </c>
      <c r="DG27" s="24">
        <v>1100735</v>
      </c>
      <c r="DH27" s="24">
        <v>788204</v>
      </c>
      <c r="DI27" s="24">
        <v>1888939</v>
      </c>
      <c r="DJ27" s="24">
        <v>1570323</v>
      </c>
      <c r="DK27" s="24">
        <v>3459262</v>
      </c>
      <c r="DL27" s="24">
        <v>710215</v>
      </c>
      <c r="DM27" s="24">
        <v>1240733</v>
      </c>
      <c r="DN27" s="24">
        <v>1950948</v>
      </c>
      <c r="DO27" s="24">
        <v>1264155</v>
      </c>
      <c r="DP27" s="24">
        <v>3215103</v>
      </c>
      <c r="DQ27" s="24">
        <v>1957451</v>
      </c>
      <c r="DR27" s="24">
        <v>5172554</v>
      </c>
      <c r="DS27" s="24">
        <v>1223070</v>
      </c>
      <c r="DT27" s="24">
        <v>1774547</v>
      </c>
      <c r="DU27" s="24">
        <v>2997617</v>
      </c>
      <c r="DV27" s="24">
        <v>1400800</v>
      </c>
      <c r="DW27" s="24">
        <v>4398417</v>
      </c>
      <c r="DX27" s="24">
        <v>1974890</v>
      </c>
      <c r="DY27" s="24">
        <v>6373307</v>
      </c>
      <c r="DZ27" s="24">
        <v>1227380</v>
      </c>
      <c r="EA27" s="24">
        <v>1597682</v>
      </c>
      <c r="EB27" s="24">
        <v>2825062</v>
      </c>
      <c r="EC27" s="24">
        <v>1403831</v>
      </c>
      <c r="ED27" s="24">
        <v>4228893</v>
      </c>
      <c r="EE27" s="24">
        <v>2120108</v>
      </c>
      <c r="EF27" s="24">
        <v>6349001</v>
      </c>
      <c r="EG27" s="24">
        <f t="shared" ref="EG27:EH29" si="27">EG15+EG21</f>
        <v>1332890</v>
      </c>
      <c r="EH27" s="24">
        <f t="shared" si="27"/>
        <v>1725110</v>
      </c>
      <c r="EI27" s="24">
        <f t="shared" si="18"/>
        <v>3058000</v>
      </c>
      <c r="EJ27" s="24">
        <f t="shared" ref="EJ27" si="28">EJ15+EJ21</f>
        <v>1608857</v>
      </c>
      <c r="EK27" s="24">
        <f t="shared" si="19"/>
        <v>4666857</v>
      </c>
      <c r="EL27" s="24">
        <f t="shared" si="24"/>
        <v>2323765</v>
      </c>
      <c r="EM27" s="24">
        <f t="shared" si="20"/>
        <v>6990622</v>
      </c>
      <c r="EN27" s="24">
        <f t="shared" ref="EN27" si="29">EN15+EN21</f>
        <v>1513578</v>
      </c>
      <c r="EO27" s="24">
        <v>2081162</v>
      </c>
      <c r="EP27" s="24">
        <v>3594740</v>
      </c>
      <c r="EQ27" s="24">
        <f t="shared" ref="EQ27:ES27" si="30">EQ15+EQ21</f>
        <v>1692245</v>
      </c>
      <c r="ER27" s="24">
        <f t="shared" si="21"/>
        <v>5286985</v>
      </c>
      <c r="ES27" s="24">
        <f t="shared" si="30"/>
        <v>2460260</v>
      </c>
      <c r="ET27" s="24">
        <f>SUM(ER27:ES27)</f>
        <v>7747245</v>
      </c>
      <c r="EU27" s="24">
        <f t="shared" si="26"/>
        <v>1627667</v>
      </c>
      <c r="EV27" s="24">
        <f t="shared" si="26"/>
        <v>2120474</v>
      </c>
      <c r="EW27" s="24">
        <f t="shared" si="23"/>
        <v>3748141</v>
      </c>
    </row>
    <row r="28" spans="1:153" ht="16.350000000000001" customHeight="1">
      <c r="A28" s="18"/>
      <c r="B28" s="121" t="s">
        <v>648</v>
      </c>
      <c r="C28" s="121" t="s">
        <v>2310</v>
      </c>
      <c r="D28" s="24">
        <v>0</v>
      </c>
      <c r="E28" s="24">
        <v>0</v>
      </c>
      <c r="F28" s="24">
        <v>0</v>
      </c>
      <c r="G28" s="24">
        <v>0</v>
      </c>
      <c r="H28" s="24">
        <v>0</v>
      </c>
      <c r="I28" s="24">
        <v>0</v>
      </c>
      <c r="J28" s="24">
        <v>0</v>
      </c>
      <c r="K28" s="24">
        <v>0</v>
      </c>
      <c r="L28" s="24">
        <v>0</v>
      </c>
      <c r="M28" s="24">
        <v>0</v>
      </c>
      <c r="N28" s="24">
        <v>0</v>
      </c>
      <c r="O28" s="24">
        <v>0</v>
      </c>
      <c r="P28" s="24">
        <v>0</v>
      </c>
      <c r="Q28" s="24">
        <v>0</v>
      </c>
      <c r="R28" s="24">
        <v>0</v>
      </c>
      <c r="S28" s="24">
        <v>0</v>
      </c>
      <c r="T28" s="24">
        <v>0</v>
      </c>
      <c r="U28" s="24">
        <v>0</v>
      </c>
      <c r="V28" s="24">
        <v>0</v>
      </c>
      <c r="W28" s="24">
        <v>0</v>
      </c>
      <c r="X28" s="24">
        <v>0</v>
      </c>
      <c r="Y28" s="24">
        <v>0</v>
      </c>
      <c r="Z28" s="24">
        <v>0</v>
      </c>
      <c r="AA28" s="24">
        <v>0</v>
      </c>
      <c r="AB28" s="24">
        <v>0</v>
      </c>
      <c r="AC28" s="24">
        <v>0</v>
      </c>
      <c r="AD28" s="24">
        <v>0</v>
      </c>
      <c r="AE28" s="24">
        <v>0</v>
      </c>
      <c r="AF28" s="24">
        <v>0</v>
      </c>
      <c r="AG28" s="24">
        <v>0</v>
      </c>
      <c r="AH28" s="24">
        <v>0</v>
      </c>
      <c r="AI28" s="24">
        <v>0</v>
      </c>
      <c r="AJ28" s="24">
        <v>0</v>
      </c>
      <c r="AK28" s="24">
        <v>0</v>
      </c>
      <c r="AL28" s="24">
        <v>0</v>
      </c>
      <c r="AM28" s="24">
        <v>0</v>
      </c>
      <c r="AN28" s="24">
        <v>0</v>
      </c>
      <c r="AO28" s="24">
        <v>0</v>
      </c>
      <c r="AP28" s="24">
        <v>0</v>
      </c>
      <c r="AQ28" s="24">
        <v>0</v>
      </c>
      <c r="AR28" s="24">
        <v>0</v>
      </c>
      <c r="AS28" s="24">
        <v>0</v>
      </c>
      <c r="AT28" s="24">
        <v>0</v>
      </c>
      <c r="AU28" s="24">
        <v>0</v>
      </c>
      <c r="AV28" s="24">
        <v>0</v>
      </c>
      <c r="AW28" s="24">
        <v>0</v>
      </c>
      <c r="AX28" s="24">
        <v>0</v>
      </c>
      <c r="AY28" s="24">
        <v>0</v>
      </c>
      <c r="AZ28" s="24">
        <v>0</v>
      </c>
      <c r="BA28" s="24">
        <v>0</v>
      </c>
      <c r="BB28" s="24">
        <v>0</v>
      </c>
      <c r="BC28" s="24">
        <v>0</v>
      </c>
      <c r="BD28" s="24">
        <v>0</v>
      </c>
      <c r="BE28" s="24">
        <v>0</v>
      </c>
      <c r="BF28" s="24">
        <v>0</v>
      </c>
      <c r="BG28" s="24">
        <v>0</v>
      </c>
      <c r="BH28" s="24">
        <v>0</v>
      </c>
      <c r="BI28" s="24">
        <v>0</v>
      </c>
      <c r="BJ28" s="24">
        <v>0</v>
      </c>
      <c r="BK28" s="24">
        <v>0</v>
      </c>
      <c r="BL28" s="24">
        <v>0</v>
      </c>
      <c r="BM28" s="24">
        <v>0</v>
      </c>
      <c r="BN28" s="24">
        <v>0</v>
      </c>
      <c r="BO28" s="24">
        <v>0</v>
      </c>
      <c r="BP28" s="24">
        <v>0</v>
      </c>
      <c r="BQ28" s="24">
        <v>0</v>
      </c>
      <c r="BR28" s="24">
        <v>0</v>
      </c>
      <c r="BS28" s="24">
        <v>0</v>
      </c>
      <c r="BT28" s="24">
        <v>0</v>
      </c>
      <c r="BU28" s="24">
        <v>0</v>
      </c>
      <c r="BV28" s="24">
        <v>0</v>
      </c>
      <c r="BW28" s="24">
        <v>0</v>
      </c>
      <c r="BX28" s="24">
        <v>0</v>
      </c>
      <c r="BY28" s="24">
        <v>0</v>
      </c>
      <c r="BZ28" s="24">
        <v>0</v>
      </c>
      <c r="CA28" s="24">
        <v>0</v>
      </c>
      <c r="CB28" s="24">
        <v>0</v>
      </c>
      <c r="CC28" s="24">
        <v>0</v>
      </c>
      <c r="CD28" s="24">
        <v>0</v>
      </c>
      <c r="CE28" s="24">
        <v>0</v>
      </c>
      <c r="CF28" s="24">
        <v>0</v>
      </c>
      <c r="CG28" s="24">
        <v>0</v>
      </c>
      <c r="CH28" s="24">
        <v>0</v>
      </c>
      <c r="CI28" s="24">
        <f t="shared" si="17"/>
        <v>0</v>
      </c>
      <c r="CJ28" s="24">
        <v>0</v>
      </c>
      <c r="CK28" s="24">
        <v>0</v>
      </c>
      <c r="CL28" s="24">
        <v>0</v>
      </c>
      <c r="CM28" s="24">
        <v>0</v>
      </c>
      <c r="CN28" s="24">
        <v>0</v>
      </c>
      <c r="CO28" s="24">
        <v>0</v>
      </c>
      <c r="CP28" s="24">
        <v>0</v>
      </c>
      <c r="CQ28" s="24">
        <v>0</v>
      </c>
      <c r="CR28" s="24">
        <v>0</v>
      </c>
      <c r="CS28" s="24">
        <v>0</v>
      </c>
      <c r="CT28" s="24">
        <v>0</v>
      </c>
      <c r="CU28" s="24">
        <v>0</v>
      </c>
      <c r="CV28" s="24">
        <v>0</v>
      </c>
      <c r="CW28" s="24">
        <v>0</v>
      </c>
      <c r="CX28" s="24">
        <v>0</v>
      </c>
      <c r="CY28" s="24">
        <v>0</v>
      </c>
      <c r="CZ28" s="24">
        <v>0</v>
      </c>
      <c r="DA28" s="24">
        <v>0</v>
      </c>
      <c r="DB28" s="24">
        <v>0</v>
      </c>
      <c r="DC28" s="24">
        <v>0</v>
      </c>
      <c r="DD28" s="24">
        <v>0</v>
      </c>
      <c r="DE28" s="24">
        <v>0</v>
      </c>
      <c r="DF28" s="24">
        <v>0</v>
      </c>
      <c r="DG28" s="24">
        <v>0</v>
      </c>
      <c r="DH28" s="24">
        <v>0</v>
      </c>
      <c r="DI28" s="24">
        <v>0</v>
      </c>
      <c r="DJ28" s="24">
        <v>0</v>
      </c>
      <c r="DK28" s="24">
        <v>0</v>
      </c>
      <c r="DL28" s="24">
        <v>700</v>
      </c>
      <c r="DM28" s="24">
        <v>1189</v>
      </c>
      <c r="DN28" s="24">
        <v>1889</v>
      </c>
      <c r="DO28" s="24">
        <v>1987</v>
      </c>
      <c r="DP28" s="24">
        <v>3876</v>
      </c>
      <c r="DQ28" s="24">
        <v>2326</v>
      </c>
      <c r="DR28" s="24">
        <v>6202</v>
      </c>
      <c r="DS28" s="24">
        <v>4827</v>
      </c>
      <c r="DT28" s="24">
        <v>7187</v>
      </c>
      <c r="DU28" s="24">
        <v>12014</v>
      </c>
      <c r="DV28" s="24">
        <v>7517</v>
      </c>
      <c r="DW28" s="24">
        <v>19531</v>
      </c>
      <c r="DX28" s="24">
        <v>6684</v>
      </c>
      <c r="DY28" s="24">
        <v>26215</v>
      </c>
      <c r="DZ28" s="24">
        <v>6148</v>
      </c>
      <c r="EA28" s="24">
        <v>11712</v>
      </c>
      <c r="EB28" s="24">
        <v>17860</v>
      </c>
      <c r="EC28" s="24">
        <v>9223</v>
      </c>
      <c r="ED28" s="24">
        <v>27083</v>
      </c>
      <c r="EE28" s="24">
        <v>8695</v>
      </c>
      <c r="EF28" s="24">
        <v>35778</v>
      </c>
      <c r="EG28" s="24">
        <f t="shared" si="27"/>
        <v>7331</v>
      </c>
      <c r="EH28" s="24">
        <f t="shared" si="27"/>
        <v>6438</v>
      </c>
      <c r="EI28" s="24">
        <f t="shared" si="18"/>
        <v>13769</v>
      </c>
      <c r="EJ28" s="24">
        <f t="shared" ref="EJ28:EL28" si="31">EJ16+EJ22</f>
        <v>7061</v>
      </c>
      <c r="EK28" s="24">
        <f t="shared" si="19"/>
        <v>20830</v>
      </c>
      <c r="EL28" s="24">
        <f t="shared" si="31"/>
        <v>4303</v>
      </c>
      <c r="EM28" s="24">
        <f t="shared" si="20"/>
        <v>25133</v>
      </c>
      <c r="EN28" s="24">
        <f t="shared" ref="EN28" si="32">EN16+EN22</f>
        <v>4347</v>
      </c>
      <c r="EO28" s="24">
        <v>3127</v>
      </c>
      <c r="EP28" s="24">
        <v>7474</v>
      </c>
      <c r="EQ28" s="24">
        <f t="shared" ref="EQ28:ES28" si="33">EQ16+EQ22</f>
        <v>3545</v>
      </c>
      <c r="ER28" s="24">
        <f t="shared" si="21"/>
        <v>11019</v>
      </c>
      <c r="ES28" s="24">
        <f t="shared" si="33"/>
        <v>839</v>
      </c>
      <c r="ET28" s="24">
        <f t="shared" si="22"/>
        <v>11858</v>
      </c>
      <c r="EU28" s="24">
        <f t="shared" si="26"/>
        <v>2362</v>
      </c>
      <c r="EV28" s="24">
        <f t="shared" si="26"/>
        <v>828</v>
      </c>
      <c r="EW28" s="24">
        <f t="shared" si="23"/>
        <v>3190</v>
      </c>
    </row>
    <row r="29" spans="1:153" ht="16.350000000000001" customHeight="1">
      <c r="A29" s="18"/>
      <c r="B29" s="109" t="s">
        <v>455</v>
      </c>
      <c r="C29" s="109" t="s">
        <v>453</v>
      </c>
      <c r="D29" s="112">
        <v>9872</v>
      </c>
      <c r="E29" s="112">
        <v>18091</v>
      </c>
      <c r="F29" s="112">
        <v>27963</v>
      </c>
      <c r="G29" s="112">
        <v>10753</v>
      </c>
      <c r="H29" s="112">
        <v>38716</v>
      </c>
      <c r="I29" s="112">
        <v>20173</v>
      </c>
      <c r="J29" s="112">
        <v>58889</v>
      </c>
      <c r="K29" s="112">
        <v>15078</v>
      </c>
      <c r="L29" s="112">
        <v>15998</v>
      </c>
      <c r="M29" s="112">
        <v>31076</v>
      </c>
      <c r="N29" s="112">
        <v>19572</v>
      </c>
      <c r="O29" s="112">
        <v>50648</v>
      </c>
      <c r="P29" s="112">
        <v>27068</v>
      </c>
      <c r="Q29" s="112">
        <v>77716</v>
      </c>
      <c r="R29" s="112">
        <v>34236</v>
      </c>
      <c r="S29" s="112">
        <v>43653</v>
      </c>
      <c r="T29" s="112">
        <v>77889</v>
      </c>
      <c r="U29" s="112">
        <v>45165</v>
      </c>
      <c r="V29" s="112">
        <v>123054</v>
      </c>
      <c r="W29" s="112">
        <v>41675</v>
      </c>
      <c r="X29" s="112">
        <v>164729</v>
      </c>
      <c r="Y29" s="112">
        <v>44640</v>
      </c>
      <c r="Z29" s="112">
        <v>52110</v>
      </c>
      <c r="AA29" s="112">
        <v>96750</v>
      </c>
      <c r="AB29" s="112">
        <v>55181</v>
      </c>
      <c r="AC29" s="112">
        <v>151929</v>
      </c>
      <c r="AD29" s="112">
        <v>48953</v>
      </c>
      <c r="AE29" s="112">
        <v>200884</v>
      </c>
      <c r="AF29" s="112">
        <v>50117</v>
      </c>
      <c r="AG29" s="112">
        <v>50743</v>
      </c>
      <c r="AH29" s="112">
        <v>100860</v>
      </c>
      <c r="AI29" s="112">
        <v>57306</v>
      </c>
      <c r="AJ29" s="112">
        <v>158166</v>
      </c>
      <c r="AK29" s="112">
        <v>60330</v>
      </c>
      <c r="AL29" s="112">
        <v>218496</v>
      </c>
      <c r="AM29" s="112">
        <v>59477</v>
      </c>
      <c r="AN29" s="112">
        <v>65179</v>
      </c>
      <c r="AO29" s="112">
        <v>124656</v>
      </c>
      <c r="AP29" s="112">
        <v>67611</v>
      </c>
      <c r="AQ29" s="112">
        <v>192267</v>
      </c>
      <c r="AR29" s="112">
        <v>69295</v>
      </c>
      <c r="AS29" s="112">
        <v>261562</v>
      </c>
      <c r="AT29" s="112">
        <v>74906</v>
      </c>
      <c r="AU29" s="112">
        <v>81241</v>
      </c>
      <c r="AV29" s="112">
        <v>156147</v>
      </c>
      <c r="AW29" s="112">
        <v>79559</v>
      </c>
      <c r="AX29" s="112">
        <v>235706</v>
      </c>
      <c r="AY29" s="112">
        <v>85337</v>
      </c>
      <c r="AZ29" s="112">
        <v>321043</v>
      </c>
      <c r="BA29" s="112">
        <v>85865</v>
      </c>
      <c r="BB29" s="112">
        <v>94901</v>
      </c>
      <c r="BC29" s="112">
        <v>180766</v>
      </c>
      <c r="BD29" s="112">
        <v>97389</v>
      </c>
      <c r="BE29" s="112">
        <v>278155</v>
      </c>
      <c r="BF29" s="112">
        <v>104559</v>
      </c>
      <c r="BG29" s="112">
        <v>382714</v>
      </c>
      <c r="BH29" s="112">
        <v>103938</v>
      </c>
      <c r="BI29" s="112">
        <v>108957</v>
      </c>
      <c r="BJ29" s="112">
        <v>212895</v>
      </c>
      <c r="BK29" s="112">
        <v>109455</v>
      </c>
      <c r="BL29" s="112">
        <v>322350</v>
      </c>
      <c r="BM29" s="112">
        <v>117393</v>
      </c>
      <c r="BN29" s="112">
        <v>439743</v>
      </c>
      <c r="BO29" s="112">
        <v>120066</v>
      </c>
      <c r="BP29" s="112">
        <v>140463</v>
      </c>
      <c r="BQ29" s="112">
        <v>260529</v>
      </c>
      <c r="BR29" s="112">
        <v>150971</v>
      </c>
      <c r="BS29" s="112">
        <v>411500</v>
      </c>
      <c r="BT29" s="112">
        <v>139935</v>
      </c>
      <c r="BU29" s="112">
        <v>551435</v>
      </c>
      <c r="BV29" s="112">
        <v>151459</v>
      </c>
      <c r="BW29" s="112">
        <v>168541</v>
      </c>
      <c r="BX29" s="112">
        <v>320000</v>
      </c>
      <c r="BY29" s="112">
        <v>161548</v>
      </c>
      <c r="BZ29" s="112">
        <v>481548</v>
      </c>
      <c r="CA29" s="112">
        <v>167626</v>
      </c>
      <c r="CB29" s="112">
        <v>649174</v>
      </c>
      <c r="CC29" s="112">
        <v>160379</v>
      </c>
      <c r="CD29" s="112">
        <v>172594</v>
      </c>
      <c r="CE29" s="112">
        <v>332973</v>
      </c>
      <c r="CF29" s="112">
        <v>175005</v>
      </c>
      <c r="CG29" s="112">
        <v>507978</v>
      </c>
      <c r="CH29" s="112">
        <v>183391</v>
      </c>
      <c r="CI29" s="112">
        <f t="shared" si="17"/>
        <v>691369</v>
      </c>
      <c r="CJ29" s="112">
        <v>174210</v>
      </c>
      <c r="CK29" s="112">
        <v>195348</v>
      </c>
      <c r="CL29" s="112">
        <v>369558</v>
      </c>
      <c r="CM29" s="112">
        <v>228064</v>
      </c>
      <c r="CN29" s="112">
        <v>597622</v>
      </c>
      <c r="CO29" s="112">
        <v>224579</v>
      </c>
      <c r="CP29" s="112">
        <v>822201</v>
      </c>
      <c r="CQ29" s="112">
        <v>222683</v>
      </c>
      <c r="CR29" s="112">
        <v>232840</v>
      </c>
      <c r="CS29" s="112">
        <v>455523</v>
      </c>
      <c r="CT29" s="112">
        <v>224966</v>
      </c>
      <c r="CU29" s="112">
        <v>680489</v>
      </c>
      <c r="CV29" s="112">
        <v>233500</v>
      </c>
      <c r="CW29" s="112">
        <v>913989</v>
      </c>
      <c r="CX29" s="112">
        <v>236179</v>
      </c>
      <c r="CY29" s="112">
        <v>266875</v>
      </c>
      <c r="CZ29" s="112">
        <v>503054</v>
      </c>
      <c r="DA29" s="112">
        <v>286667</v>
      </c>
      <c r="DB29" s="112">
        <v>789721</v>
      </c>
      <c r="DC29" s="112">
        <v>300808</v>
      </c>
      <c r="DD29" s="112">
        <v>1090529</v>
      </c>
      <c r="DE29" s="112">
        <v>308147</v>
      </c>
      <c r="DF29" s="112">
        <v>262068</v>
      </c>
      <c r="DG29" s="112">
        <v>570215</v>
      </c>
      <c r="DH29" s="112">
        <v>132474</v>
      </c>
      <c r="DI29" s="112">
        <v>702689</v>
      </c>
      <c r="DJ29" s="112">
        <v>151659</v>
      </c>
      <c r="DK29" s="112">
        <v>854348</v>
      </c>
      <c r="DL29" s="112">
        <v>213079</v>
      </c>
      <c r="DM29" s="112">
        <v>228013</v>
      </c>
      <c r="DN29" s="112">
        <v>441092</v>
      </c>
      <c r="DO29" s="112">
        <v>250925</v>
      </c>
      <c r="DP29" s="112">
        <v>692017</v>
      </c>
      <c r="DQ29" s="112">
        <v>301615</v>
      </c>
      <c r="DR29" s="112">
        <v>993632</v>
      </c>
      <c r="DS29" s="112">
        <v>366743</v>
      </c>
      <c r="DT29" s="112">
        <v>423188</v>
      </c>
      <c r="DU29" s="112">
        <v>789931</v>
      </c>
      <c r="DV29" s="112">
        <v>367887</v>
      </c>
      <c r="DW29" s="112">
        <v>1157818</v>
      </c>
      <c r="DX29" s="112">
        <v>427476</v>
      </c>
      <c r="DY29" s="112">
        <v>1585294</v>
      </c>
      <c r="DZ29" s="112">
        <v>468937</v>
      </c>
      <c r="EA29" s="112">
        <v>488392</v>
      </c>
      <c r="EB29" s="112">
        <v>957329</v>
      </c>
      <c r="EC29" s="112">
        <v>434627</v>
      </c>
      <c r="ED29" s="112">
        <v>1391956</v>
      </c>
      <c r="EE29" s="112">
        <v>443867</v>
      </c>
      <c r="EF29" s="112">
        <v>1835823</v>
      </c>
      <c r="EG29" s="112">
        <f t="shared" si="27"/>
        <v>429294</v>
      </c>
      <c r="EH29" s="112">
        <f t="shared" si="27"/>
        <v>426021</v>
      </c>
      <c r="EI29" s="112">
        <f t="shared" si="18"/>
        <v>855315</v>
      </c>
      <c r="EJ29" s="112">
        <f t="shared" ref="EJ29:EL29" si="34">EJ17+EJ23</f>
        <v>426809</v>
      </c>
      <c r="EK29" s="112">
        <f t="shared" si="19"/>
        <v>1282124</v>
      </c>
      <c r="EL29" s="112">
        <f t="shared" si="34"/>
        <v>444070</v>
      </c>
      <c r="EM29" s="112">
        <f t="shared" si="20"/>
        <v>1726194</v>
      </c>
      <c r="EN29" s="112">
        <f t="shared" ref="EN29" si="35">EN17+EN23</f>
        <v>503545</v>
      </c>
      <c r="EO29" s="112">
        <v>519511</v>
      </c>
      <c r="EP29" s="112">
        <v>1023056</v>
      </c>
      <c r="EQ29" s="112">
        <f t="shared" ref="EQ29:ES29" si="36">EQ17+EQ23</f>
        <v>490300</v>
      </c>
      <c r="ER29" s="112">
        <f t="shared" si="21"/>
        <v>1513356</v>
      </c>
      <c r="ES29" s="112">
        <f t="shared" si="36"/>
        <v>495423</v>
      </c>
      <c r="ET29" s="112">
        <f t="shared" si="22"/>
        <v>2008779</v>
      </c>
      <c r="EU29" s="112">
        <f t="shared" si="26"/>
        <v>497506</v>
      </c>
      <c r="EV29" s="112">
        <f t="shared" si="26"/>
        <v>509242</v>
      </c>
      <c r="EW29" s="112">
        <f t="shared" si="23"/>
        <v>1006748</v>
      </c>
    </row>
    <row r="30" spans="1:153" ht="16.350000000000001" customHeight="1">
      <c r="A30" s="9"/>
      <c r="B30" s="117"/>
      <c r="C30" s="117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>
        <v>1</v>
      </c>
      <c r="AC30" s="51"/>
      <c r="AD30" s="51"/>
      <c r="AE30" s="51"/>
      <c r="AF30" s="51"/>
      <c r="AG30" s="51"/>
      <c r="AH30" s="51"/>
      <c r="AI30" s="51"/>
      <c r="AJ30" s="51"/>
      <c r="AK30" s="45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412"/>
      <c r="DZ30" s="51"/>
      <c r="EA30" s="51"/>
      <c r="EB30" s="51"/>
      <c r="ED30" s="51"/>
      <c r="EE30" s="6"/>
      <c r="EF30" s="412"/>
      <c r="EG30" s="51"/>
      <c r="EH30" s="51"/>
      <c r="EI30" s="51"/>
      <c r="EJ30" s="51"/>
      <c r="EK30" s="51"/>
      <c r="EL30" s="51"/>
      <c r="EM30" s="412"/>
      <c r="EN30" s="412"/>
      <c r="EO30" s="412"/>
      <c r="EP30" s="51"/>
      <c r="EQ30" s="51"/>
      <c r="ER30" s="51"/>
      <c r="ES30" s="51"/>
      <c r="ET30" s="412"/>
      <c r="EU30" s="51"/>
      <c r="EV30" s="412"/>
      <c r="EW30" s="51"/>
    </row>
    <row r="31" spans="1:153" ht="16.350000000000001" customHeight="1">
      <c r="A31" s="18"/>
      <c r="B31" s="19" t="s">
        <v>360</v>
      </c>
      <c r="C31" s="19" t="s">
        <v>655</v>
      </c>
      <c r="D31" s="125">
        <v>0.52634107819070997</v>
      </c>
      <c r="E31" s="125">
        <v>0.51753656409112114</v>
      </c>
      <c r="F31" s="125">
        <v>0.52119426229184207</v>
      </c>
      <c r="G31" s="125">
        <v>0.48776791592948021</v>
      </c>
      <c r="H31" s="125">
        <v>0.50951143725099735</v>
      </c>
      <c r="I31" s="125">
        <v>0.50010252784161213</v>
      </c>
      <c r="J31" s="125">
        <v>0.50619068851237137</v>
      </c>
      <c r="K31" s="125">
        <v>0.53286198416506714</v>
      </c>
      <c r="L31" s="125">
        <v>0.5045397258835268</v>
      </c>
      <c r="M31" s="125">
        <v>0.51620569106193215</v>
      </c>
      <c r="N31" s="125">
        <v>0.49890855193533784</v>
      </c>
      <c r="O31" s="125">
        <v>0.51017348167083831</v>
      </c>
      <c r="P31" s="125">
        <v>0.50692852046889292</v>
      </c>
      <c r="Q31" s="125">
        <v>0.50903582591341123</v>
      </c>
      <c r="R31" s="125">
        <v>0.54583015637812715</v>
      </c>
      <c r="S31" s="125">
        <v>0.52707223064261155</v>
      </c>
      <c r="T31" s="125">
        <v>0.53484799511466119</v>
      </c>
      <c r="U31" s="125">
        <v>0.5374539426862337</v>
      </c>
      <c r="V31" s="125">
        <v>0.53575023841289915</v>
      </c>
      <c r="W31" s="125">
        <v>0.51990747879722432</v>
      </c>
      <c r="X31" s="125">
        <v>0.53042949570131426</v>
      </c>
      <c r="Y31" s="125">
        <v>0.55670836064169038</v>
      </c>
      <c r="Z31" s="125">
        <v>0.53860717392416724</v>
      </c>
      <c r="AA31" s="125">
        <v>0.54643460879039885</v>
      </c>
      <c r="AB31" s="125">
        <f t="shared" ref="AB31:AD31" si="37">AB25/AB13</f>
        <v>0.48268627800411823</v>
      </c>
      <c r="AC31" s="125">
        <f t="shared" si="37"/>
        <v>0.82039249146757676</v>
      </c>
      <c r="AD31" s="125">
        <f t="shared" si="37"/>
        <v>0.50731188000469196</v>
      </c>
      <c r="AE31" s="125">
        <v>0.53167870213844692</v>
      </c>
      <c r="AF31" s="125">
        <v>0.55379969101848781</v>
      </c>
      <c r="AG31" s="125">
        <v>0.53120884258687917</v>
      </c>
      <c r="AH31" s="125">
        <v>0.54037896607414937</v>
      </c>
      <c r="AI31" s="125">
        <v>0.53492441858012696</v>
      </c>
      <c r="AJ31" s="125">
        <v>0.5384780988165756</v>
      </c>
      <c r="AK31" s="125">
        <v>0.54612502097728</v>
      </c>
      <c r="AL31" s="125">
        <v>0.54099760946891584</v>
      </c>
      <c r="AM31" s="125">
        <v>0.57924521586446631</v>
      </c>
      <c r="AN31" s="125">
        <v>0.57697310033491034</v>
      </c>
      <c r="AO31" s="125">
        <v>0.57792455657925357</v>
      </c>
      <c r="AP31" s="125">
        <v>0.54963168202425017</v>
      </c>
      <c r="AQ31" s="125">
        <v>0.56808595441961651</v>
      </c>
      <c r="AR31" s="125">
        <v>0.54461673883470108</v>
      </c>
      <c r="AS31" s="125">
        <v>0.56041097095304171</v>
      </c>
      <c r="AT31" s="125">
        <v>0.5832318748361216</v>
      </c>
      <c r="AU31" s="125">
        <v>0.58008725291988827</v>
      </c>
      <c r="AV31" s="125">
        <v>0.58139920539916079</v>
      </c>
      <c r="AW31" s="125">
        <v>0.55145015244190088</v>
      </c>
      <c r="AX31" s="125">
        <v>0.57119306897039557</v>
      </c>
      <c r="AY31" s="125">
        <v>0.56420370932154051</v>
      </c>
      <c r="AZ31" s="125">
        <v>0.56890230233234584</v>
      </c>
      <c r="BA31" s="125">
        <v>0.58430568636186764</v>
      </c>
      <c r="BB31" s="125">
        <v>0.58840090679404766</v>
      </c>
      <c r="BC31" s="125">
        <v>0.58665609438167154</v>
      </c>
      <c r="BD31" s="125">
        <v>0.56400252801477913</v>
      </c>
      <c r="BE31" s="125">
        <v>0.57867769637028421</v>
      </c>
      <c r="BF31" s="125">
        <v>0.57335153784268833</v>
      </c>
      <c r="BG31" s="125">
        <v>0.57689511581594133</v>
      </c>
      <c r="BH31" s="125">
        <v>0.5707031456135554</v>
      </c>
      <c r="BI31" s="125">
        <v>0.58101550166823523</v>
      </c>
      <c r="BJ31" s="125">
        <v>0.57647616563843906</v>
      </c>
      <c r="BK31" s="125">
        <v>0.55205177030354358</v>
      </c>
      <c r="BL31" s="125">
        <v>0.56791955640507563</v>
      </c>
      <c r="BM31" s="125">
        <v>0.58218303255946968</v>
      </c>
      <c r="BN31" s="125">
        <v>0.57266725014730024</v>
      </c>
      <c r="BO31" s="125">
        <v>0.57765257215890942</v>
      </c>
      <c r="BP31" s="125">
        <v>0.59147787611324487</v>
      </c>
      <c r="BQ31" s="125">
        <v>0.58556182025926484</v>
      </c>
      <c r="BR31" s="125">
        <v>0.57850788803057063</v>
      </c>
      <c r="BS31" s="125">
        <v>0.5830621288716521</v>
      </c>
      <c r="BT31" s="125">
        <v>0.58810855043365073</v>
      </c>
      <c r="BU31" s="125">
        <v>0.58482113333815111</v>
      </c>
      <c r="BV31" s="125">
        <v>0.59778848619230684</v>
      </c>
      <c r="BW31" s="125">
        <v>0.59735967367894194</v>
      </c>
      <c r="BX31" s="125">
        <v>0.59754540745321261</v>
      </c>
      <c r="BY31" s="125">
        <v>0.57996980159861466</v>
      </c>
      <c r="BZ31" s="125">
        <v>0.59150128311796335</v>
      </c>
      <c r="CA31" s="125">
        <v>0.59098173260948894</v>
      </c>
      <c r="CB31" s="125">
        <v>0.59133098721961441</v>
      </c>
      <c r="CC31" s="125">
        <v>0.60843663743447207</v>
      </c>
      <c r="CD31" s="125">
        <v>0.61332681872807393</v>
      </c>
      <c r="CE31" s="125">
        <v>0.61121974860351602</v>
      </c>
      <c r="CF31" s="125">
        <v>0.58901363854231725</v>
      </c>
      <c r="CG31" s="125">
        <v>0.60382332383733972</v>
      </c>
      <c r="CH31" s="125">
        <v>0.59476634947285434</v>
      </c>
      <c r="CI31" s="125">
        <f t="shared" ref="CI31" si="38">CI25/CI13</f>
        <v>0.60086009938650686</v>
      </c>
      <c r="CJ31" s="125">
        <v>0.59757907023409484</v>
      </c>
      <c r="CK31" s="125">
        <v>0.6111481859308886</v>
      </c>
      <c r="CL31" s="125">
        <v>0.60523259825483544</v>
      </c>
      <c r="CM31" s="125">
        <v>0.59770828406466647</v>
      </c>
      <c r="CN31" s="125">
        <v>0.60260076794076634</v>
      </c>
      <c r="CO31" s="125">
        <v>0.60808648844449376</v>
      </c>
      <c r="CP31" s="125">
        <v>0.60440726165840863</v>
      </c>
      <c r="CQ31" s="125">
        <v>0.61958625179253013</v>
      </c>
      <c r="CR31" s="125">
        <v>0.62129343293911132</v>
      </c>
      <c r="CS31" s="125">
        <v>0.62053151232518966</v>
      </c>
      <c r="CT31" s="125">
        <v>0.59389395704599623</v>
      </c>
      <c r="CU31" s="125">
        <v>0.61127409163988577</v>
      </c>
      <c r="CV31" s="125">
        <v>0.60813384453825237</v>
      </c>
      <c r="CW31" s="125">
        <v>0.61021764446408078</v>
      </c>
      <c r="CX31" s="125">
        <v>0.60677325979313124</v>
      </c>
      <c r="CY31" s="125">
        <v>0.61366036010408354</v>
      </c>
      <c r="CZ31" s="125">
        <v>0.61054591872462582</v>
      </c>
      <c r="DA31" s="125">
        <v>0.6004964607515203</v>
      </c>
      <c r="DB31" s="125">
        <v>0.60705636115269623</v>
      </c>
      <c r="DC31" s="125">
        <v>0.61875798513855795</v>
      </c>
      <c r="DD31" s="125">
        <v>0.6109354423458172</v>
      </c>
      <c r="DE31" s="125">
        <v>0.62619992584886153</v>
      </c>
      <c r="DF31" s="125">
        <v>0.6232025488988332</v>
      </c>
      <c r="DG31" s="125">
        <v>0.6252930564198862</v>
      </c>
      <c r="DH31" s="125">
        <v>0.51433404523588588</v>
      </c>
      <c r="DI31" s="125">
        <v>0.58078222336164309</v>
      </c>
      <c r="DJ31" s="125">
        <v>0.5600170933833386</v>
      </c>
      <c r="DK31" s="125">
        <v>0.57231086427549827</v>
      </c>
      <c r="DL31" s="125">
        <v>0.58429082189511283</v>
      </c>
      <c r="DM31" s="125">
        <v>0.59026588437585459</v>
      </c>
      <c r="DN31" s="125">
        <v>0.58794524235286261</v>
      </c>
      <c r="DO31" s="125">
        <v>0.57720707273819583</v>
      </c>
      <c r="DP31" s="125">
        <v>0.58373283725195435</v>
      </c>
      <c r="DQ31" s="125">
        <v>0.58409903941274777</v>
      </c>
      <c r="DR31" s="125">
        <v>0.58386695027018698</v>
      </c>
      <c r="DS31" s="125">
        <v>0.61026611313175849</v>
      </c>
      <c r="DT31" s="125">
        <v>0.60802991888786984</v>
      </c>
      <c r="DU31" s="125">
        <v>0.60896642958046032</v>
      </c>
      <c r="DV31" s="125">
        <v>0.58860855134091894</v>
      </c>
      <c r="DW31" s="125">
        <v>0.60233008685108791</v>
      </c>
      <c r="DX31" s="125">
        <v>0.60014040353310694</v>
      </c>
      <c r="DY31" s="125">
        <v>0.60166776956128409</v>
      </c>
      <c r="DZ31" s="125">
        <v>0.61343635192260848</v>
      </c>
      <c r="EA31" s="125">
        <v>0.59866903837608865</v>
      </c>
      <c r="EB31" s="125">
        <v>0.60519574002189713</v>
      </c>
      <c r="EC31" s="125">
        <v>0.59658499445932578</v>
      </c>
      <c r="ED31" s="125">
        <v>0.60235156702345694</v>
      </c>
      <c r="EE31" s="125">
        <v>0.60230445537716404</v>
      </c>
      <c r="EF31" s="125">
        <v>0.60233682245458608</v>
      </c>
      <c r="EG31" s="125">
        <f t="shared" ref="EG31:EI32" si="39">EG25/EG13</f>
        <v>0.60844686957684846</v>
      </c>
      <c r="EH31" s="125">
        <f t="shared" si="39"/>
        <v>0.61287766046442005</v>
      </c>
      <c r="EI31" s="125">
        <f t="shared" si="39"/>
        <v>0.61087321735234823</v>
      </c>
      <c r="EJ31" s="125">
        <f t="shared" ref="EJ31:EK31" si="40">EJ25/EJ13</f>
        <v>0.60248387484003141</v>
      </c>
      <c r="EK31" s="125">
        <f t="shared" si="40"/>
        <v>0.60797641424934079</v>
      </c>
      <c r="EL31" s="125">
        <f t="shared" ref="EL31:EM31" si="41">EL25/EL13</f>
        <v>0.60039153455425642</v>
      </c>
      <c r="EM31" s="125">
        <f t="shared" si="41"/>
        <v>0.60555052428014089</v>
      </c>
      <c r="EN31" s="125">
        <f t="shared" ref="EN31" si="42">EN25/EN13</f>
        <v>0.62054423288973148</v>
      </c>
      <c r="EO31" s="125">
        <v>0.62477714810035401</v>
      </c>
      <c r="EP31" s="125">
        <v>0.62292007344775358</v>
      </c>
      <c r="EQ31" s="125">
        <f t="shared" ref="EQ31:ER31" si="43">EQ25/EQ13</f>
        <v>0.61347191727618455</v>
      </c>
      <c r="ER31" s="125">
        <f t="shared" si="43"/>
        <v>0.61985615292338048</v>
      </c>
      <c r="ES31" s="125">
        <f t="shared" ref="ES31:EV32" si="44">ES25/ES13</f>
        <v>0.61074489872224813</v>
      </c>
      <c r="ET31" s="125">
        <f t="shared" si="44"/>
        <v>0.61706981792177373</v>
      </c>
      <c r="EU31" s="125">
        <f t="shared" si="44"/>
        <v>0.6321235287214082</v>
      </c>
      <c r="EV31" s="125">
        <f t="shared" ref="EV31" si="45">EV25/EV13</f>
        <v>0.62609699021491394</v>
      </c>
      <c r="EW31" s="125">
        <f t="shared" ref="EW31" si="46">EW25/EW13</f>
        <v>0.62877744198606855</v>
      </c>
    </row>
    <row r="32" spans="1:153" ht="16.350000000000001" customHeight="1">
      <c r="A32" s="18"/>
      <c r="B32" s="23" t="s">
        <v>2584</v>
      </c>
      <c r="C32" s="23" t="s">
        <v>657</v>
      </c>
      <c r="D32" s="126">
        <v>0.50889340039997577</v>
      </c>
      <c r="E32" s="126">
        <v>0.48356785647756745</v>
      </c>
      <c r="F32" s="126">
        <v>0.49407745829491156</v>
      </c>
      <c r="G32" s="126">
        <v>0.47709004631714125</v>
      </c>
      <c r="H32" s="126">
        <v>0.48815476409859493</v>
      </c>
      <c r="I32" s="126">
        <v>0.47543090320679637</v>
      </c>
      <c r="J32" s="126">
        <v>0.48363301344380755</v>
      </c>
      <c r="K32" s="126">
        <v>0.50624116018247378</v>
      </c>
      <c r="L32" s="126">
        <v>0.49247013633987402</v>
      </c>
      <c r="M32" s="126">
        <v>0.49814852539165178</v>
      </c>
      <c r="N32" s="126">
        <v>0.47872695563188911</v>
      </c>
      <c r="O32" s="126">
        <v>0.49144934445512239</v>
      </c>
      <c r="P32" s="126">
        <v>0.48349014261786344</v>
      </c>
      <c r="Q32" s="126">
        <v>0.48864011430911086</v>
      </c>
      <c r="R32" s="126">
        <v>0.50104256299690941</v>
      </c>
      <c r="S32" s="126">
        <v>0.48400940689313726</v>
      </c>
      <c r="T32" s="126">
        <v>0.49101302859081319</v>
      </c>
      <c r="U32" s="126">
        <v>0.48935648197330017</v>
      </c>
      <c r="V32" s="126">
        <v>0.49044352812072284</v>
      </c>
      <c r="W32" s="126">
        <v>0.49106564160858335</v>
      </c>
      <c r="X32" s="126">
        <v>0.49065722532265282</v>
      </c>
      <c r="Y32" s="126">
        <v>0.51057297793590217</v>
      </c>
      <c r="Z32" s="126">
        <v>0.49612147865931333</v>
      </c>
      <c r="AA32" s="126">
        <v>0.50232143316745537</v>
      </c>
      <c r="AB32" s="126">
        <f t="shared" ref="AB32:AD32" si="47">AB26/AB14</f>
        <v>0.48633288347875664</v>
      </c>
      <c r="AC32" s="126">
        <f t="shared" si="47"/>
        <v>0.49697392646261462</v>
      </c>
      <c r="AD32" s="126">
        <f t="shared" si="47"/>
        <v>0.47692738831917464</v>
      </c>
      <c r="AE32" s="126">
        <v>0.49068528706244718</v>
      </c>
      <c r="AF32" s="126">
        <v>0.50186069641814224</v>
      </c>
      <c r="AG32" s="126">
        <v>0.49592945957072593</v>
      </c>
      <c r="AH32" s="126">
        <v>0.49827413109921692</v>
      </c>
      <c r="AI32" s="126">
        <v>0.48926230261214337</v>
      </c>
      <c r="AJ32" s="126">
        <v>0.49515021334662235</v>
      </c>
      <c r="AK32" s="126">
        <v>0.51270792273382526</v>
      </c>
      <c r="AL32" s="126">
        <v>0.50105700871505898</v>
      </c>
      <c r="AM32" s="126">
        <v>0.53031032649927545</v>
      </c>
      <c r="AN32" s="126">
        <v>0.53944433950434056</v>
      </c>
      <c r="AO32" s="126">
        <v>0.53568702200918494</v>
      </c>
      <c r="AP32" s="126">
        <v>0.50336181735063479</v>
      </c>
      <c r="AQ32" s="126">
        <v>0.52446986683750518</v>
      </c>
      <c r="AR32" s="126">
        <v>0.51076897302323998</v>
      </c>
      <c r="AS32" s="126">
        <v>0.51988724497337047</v>
      </c>
      <c r="AT32" s="126">
        <v>0.52986341695205974</v>
      </c>
      <c r="AU32" s="126">
        <v>0.53885597736552782</v>
      </c>
      <c r="AV32" s="126">
        <v>0.53518258426966292</v>
      </c>
      <c r="AW32" s="126">
        <v>0.50157668214940132</v>
      </c>
      <c r="AX32" s="126">
        <v>0.52370824490915779</v>
      </c>
      <c r="AY32" s="126">
        <v>0.52822316854903417</v>
      </c>
      <c r="AZ32" s="126">
        <v>0.52522357122932417</v>
      </c>
      <c r="BA32" s="126">
        <v>0.53063554689203307</v>
      </c>
      <c r="BB32" s="126">
        <v>0.54642883453446045</v>
      </c>
      <c r="BC32" s="126">
        <v>0.53979603463992709</v>
      </c>
      <c r="BD32" s="126">
        <v>0.5142369842890222</v>
      </c>
      <c r="BE32" s="126">
        <v>0.53078202410578024</v>
      </c>
      <c r="BF32" s="126">
        <v>0.53753846049925191</v>
      </c>
      <c r="BG32" s="126">
        <v>0.5330933921824631</v>
      </c>
      <c r="BH32" s="126">
        <v>0.51176019737702116</v>
      </c>
      <c r="BI32" s="126">
        <v>0.53542165723714985</v>
      </c>
      <c r="BJ32" s="126">
        <v>0.52514913969129007</v>
      </c>
      <c r="BK32" s="126">
        <v>0.50107065908935533</v>
      </c>
      <c r="BL32" s="126">
        <v>0.51668789996481779</v>
      </c>
      <c r="BM32" s="126">
        <v>0.54728370221327971</v>
      </c>
      <c r="BN32" s="126">
        <v>0.52710813974938975</v>
      </c>
      <c r="BO32" s="126">
        <v>0.51845758708238998</v>
      </c>
      <c r="BP32" s="126">
        <v>0.54173603624196587</v>
      </c>
      <c r="BQ32" s="126">
        <v>0.5318899898946573</v>
      </c>
      <c r="BR32" s="126">
        <v>0.52117915252829028</v>
      </c>
      <c r="BS32" s="126">
        <v>0.52811738408674636</v>
      </c>
      <c r="BT32" s="126">
        <v>0.55663977932779063</v>
      </c>
      <c r="BU32" s="126">
        <v>0.53837602625418624</v>
      </c>
      <c r="BV32" s="126">
        <v>0.54438195856147276</v>
      </c>
      <c r="BW32" s="126">
        <v>0.55326289703491149</v>
      </c>
      <c r="BX32" s="126">
        <v>0.54946702515431556</v>
      </c>
      <c r="BY32" s="126">
        <v>0.53058200125764499</v>
      </c>
      <c r="BZ32" s="126">
        <v>0.54294274282507249</v>
      </c>
      <c r="CA32" s="126">
        <v>0.55664249801073928</v>
      </c>
      <c r="CB32" s="126">
        <v>0.54756063822683132</v>
      </c>
      <c r="CC32" s="126">
        <v>0.55621159914807261</v>
      </c>
      <c r="CD32" s="126">
        <v>0.57207473537026321</v>
      </c>
      <c r="CE32" s="126">
        <v>0.56535604816682383</v>
      </c>
      <c r="CF32" s="126">
        <v>0.53681239081003285</v>
      </c>
      <c r="CG32" s="126">
        <v>0.55589155578659044</v>
      </c>
      <c r="CH32" s="126">
        <v>0.55820919925186308</v>
      </c>
      <c r="CI32" s="126">
        <f t="shared" ref="CI32" si="48">CI26/CI14</f>
        <v>0.55666947116602972</v>
      </c>
      <c r="CJ32" s="126">
        <v>0.54391083062548795</v>
      </c>
      <c r="CK32" s="126">
        <v>0.56655622721496313</v>
      </c>
      <c r="CL32" s="126">
        <v>0.55679757359151738</v>
      </c>
      <c r="CM32" s="126">
        <v>0.53931764180095176</v>
      </c>
      <c r="CN32" s="126">
        <v>0.55075795197406507</v>
      </c>
      <c r="CO32" s="126">
        <v>0.56972355901734872</v>
      </c>
      <c r="CP32" s="126">
        <v>0.55714398916496832</v>
      </c>
      <c r="CQ32" s="126">
        <v>0.56203125636697815</v>
      </c>
      <c r="CR32" s="126">
        <v>0.57427820077290792</v>
      </c>
      <c r="CS32" s="126">
        <v>0.56888906365509539</v>
      </c>
      <c r="CT32" s="126">
        <v>0.54289346938083893</v>
      </c>
      <c r="CU32" s="126">
        <v>0.55979139159043256</v>
      </c>
      <c r="CV32" s="126">
        <v>0.574339472286852</v>
      </c>
      <c r="CW32" s="126">
        <v>0.56483506030980435</v>
      </c>
      <c r="CX32" s="126">
        <v>0.55255805329456953</v>
      </c>
      <c r="CY32" s="126">
        <v>0.56435162580086695</v>
      </c>
      <c r="CZ32" s="126">
        <v>0.5590478378270114</v>
      </c>
      <c r="DA32" s="126">
        <v>0.54344322033371917</v>
      </c>
      <c r="DB32" s="126">
        <v>0.55366602786507868</v>
      </c>
      <c r="DC32" s="126">
        <v>0.57985324347785527</v>
      </c>
      <c r="DD32" s="126">
        <v>0.56254391752008004</v>
      </c>
      <c r="DE32" s="126">
        <v>0.55409049271697486</v>
      </c>
      <c r="DF32" s="126">
        <v>0.44807055126047929</v>
      </c>
      <c r="DG32" s="126">
        <v>0.52671383509361591</v>
      </c>
      <c r="DH32" s="126">
        <v>0.47735309596613851</v>
      </c>
      <c r="DI32" s="126">
        <v>0.50492714139191708</v>
      </c>
      <c r="DJ32" s="126">
        <v>0.53786326560390307</v>
      </c>
      <c r="DK32" s="126">
        <v>0.51936418063856682</v>
      </c>
      <c r="DL32" s="126">
        <v>0.52103938898445268</v>
      </c>
      <c r="DM32" s="126">
        <v>0.54983344578620497</v>
      </c>
      <c r="DN32" s="126">
        <v>0.53899006414599926</v>
      </c>
      <c r="DO32" s="126">
        <v>0.53382448672587268</v>
      </c>
      <c r="DP32" s="126">
        <v>0.53694637156831226</v>
      </c>
      <c r="DQ32" s="126">
        <v>0.5504280345798015</v>
      </c>
      <c r="DR32" s="126">
        <v>0.54196978828693587</v>
      </c>
      <c r="DS32" s="126">
        <v>0.55070918725458762</v>
      </c>
      <c r="DT32" s="126">
        <v>0.56104423968415607</v>
      </c>
      <c r="DU32" s="126">
        <v>0.55678115873150069</v>
      </c>
      <c r="DV32" s="126">
        <v>0.53844606868000677</v>
      </c>
      <c r="DW32" s="126">
        <v>0.55080232571476728</v>
      </c>
      <c r="DX32" s="126">
        <v>0.55742610687778771</v>
      </c>
      <c r="DY32" s="126">
        <v>0.55283645288842342</v>
      </c>
      <c r="DZ32" s="126">
        <v>0.54149628687282125</v>
      </c>
      <c r="EA32" s="126">
        <v>0.53910556512837549</v>
      </c>
      <c r="EB32" s="126">
        <v>0.5401402883322507</v>
      </c>
      <c r="EC32" s="126">
        <v>0.53603838388896352</v>
      </c>
      <c r="ED32" s="126">
        <v>0.53877144480049077</v>
      </c>
      <c r="EE32" s="126">
        <v>0.55919138014321768</v>
      </c>
      <c r="EF32" s="126">
        <v>0.54541205876473775</v>
      </c>
      <c r="EG32" s="126">
        <f t="shared" si="39"/>
        <v>0.54451841631400688</v>
      </c>
      <c r="EH32" s="126">
        <f t="shared" si="39"/>
        <v>0.56220496421501442</v>
      </c>
      <c r="EI32" s="126">
        <f t="shared" si="39"/>
        <v>0.55434896184395532</v>
      </c>
      <c r="EJ32" s="126">
        <f t="shared" ref="EJ32:EK32" si="49">EJ26/EJ14</f>
        <v>0.54666584572415244</v>
      </c>
      <c r="EK32" s="126">
        <f t="shared" si="49"/>
        <v>0.55167619905495602</v>
      </c>
      <c r="EL32" s="126">
        <f t="shared" ref="EL32:EM32" si="50">EL26/EL14</f>
        <v>0.55765059659445448</v>
      </c>
      <c r="EM32" s="126">
        <f t="shared" si="50"/>
        <v>0.55364446671585665</v>
      </c>
      <c r="EN32" s="126">
        <f t="shared" ref="EN32" si="51">EN26/EN14</f>
        <v>0.55060322688295293</v>
      </c>
      <c r="EO32" s="126">
        <v>0.57108987143765644</v>
      </c>
      <c r="EP32" s="126">
        <v>0.56227408718227045</v>
      </c>
      <c r="EQ32" s="126">
        <f t="shared" ref="EQ32:ER32" si="52">EQ26/EQ14</f>
        <v>0.55073333573659478</v>
      </c>
      <c r="ER32" s="126">
        <f t="shared" si="52"/>
        <v>0.55852783222840208</v>
      </c>
      <c r="ES32" s="126">
        <f t="shared" ref="ES32:ET32" si="53">ES26/ES14</f>
        <v>0.5654420586501343</v>
      </c>
      <c r="ET32" s="126">
        <f t="shared" si="53"/>
        <v>0.560702563487395</v>
      </c>
      <c r="EU32" s="126">
        <f t="shared" si="44"/>
        <v>0.56678346370859645</v>
      </c>
      <c r="EV32" s="126">
        <f t="shared" si="44"/>
        <v>0.57499733007195519</v>
      </c>
      <c r="EW32" s="126">
        <f t="shared" ref="EW32" si="54">EW26/EW14</f>
        <v>0.57139917385193706</v>
      </c>
    </row>
    <row r="33" spans="1:153" ht="16.350000000000001" customHeight="1">
      <c r="A33" s="18"/>
      <c r="B33" s="121" t="s">
        <v>652</v>
      </c>
      <c r="C33" s="121" t="s">
        <v>2311</v>
      </c>
      <c r="D33" s="126">
        <v>0.50889340039997577</v>
      </c>
      <c r="E33" s="126">
        <v>0.48356785647756745</v>
      </c>
      <c r="F33" s="126">
        <v>0.49407745829491156</v>
      </c>
      <c r="G33" s="126">
        <v>0.47709004631714125</v>
      </c>
      <c r="H33" s="126">
        <v>0.48815476409859493</v>
      </c>
      <c r="I33" s="126">
        <v>0.47543090320679637</v>
      </c>
      <c r="J33" s="126">
        <v>0.48363301344380755</v>
      </c>
      <c r="K33" s="126">
        <v>0.50624116018247378</v>
      </c>
      <c r="L33" s="126">
        <v>0.49247013633987402</v>
      </c>
      <c r="M33" s="126">
        <v>0.49814852539165178</v>
      </c>
      <c r="N33" s="126">
        <v>0.47872695563188911</v>
      </c>
      <c r="O33" s="126">
        <v>0.49144934445512239</v>
      </c>
      <c r="P33" s="126">
        <v>0.48349014261786344</v>
      </c>
      <c r="Q33" s="126">
        <v>0.48864011430911086</v>
      </c>
      <c r="R33" s="126">
        <v>0.50104256299690941</v>
      </c>
      <c r="S33" s="126">
        <v>0.48400940689313726</v>
      </c>
      <c r="T33" s="126">
        <v>0.49101302859081319</v>
      </c>
      <c r="U33" s="126">
        <v>0.48935648197330017</v>
      </c>
      <c r="V33" s="126">
        <v>0.49044352812072284</v>
      </c>
      <c r="W33" s="126">
        <v>0.49106564160858335</v>
      </c>
      <c r="X33" s="126">
        <v>0.49065722532265282</v>
      </c>
      <c r="Y33" s="126">
        <v>0.51057297793590217</v>
      </c>
      <c r="Z33" s="126">
        <v>0.49612147865931333</v>
      </c>
      <c r="AA33" s="126">
        <v>0.50232143316745537</v>
      </c>
      <c r="AB33" s="126">
        <f t="shared" ref="AB33:AD33" si="55">AB27/AB15</f>
        <v>0.48633288347875664</v>
      </c>
      <c r="AC33" s="126">
        <f t="shared" si="55"/>
        <v>0.49697392646261462</v>
      </c>
      <c r="AD33" s="126">
        <f t="shared" si="55"/>
        <v>0.47692738831917464</v>
      </c>
      <c r="AE33" s="126">
        <v>0.49068528706244718</v>
      </c>
      <c r="AF33" s="126">
        <v>0.50186069641814224</v>
      </c>
      <c r="AG33" s="126">
        <v>0.49592945957072593</v>
      </c>
      <c r="AH33" s="126">
        <v>0.49827413109921692</v>
      </c>
      <c r="AI33" s="126">
        <v>0.48926230261214337</v>
      </c>
      <c r="AJ33" s="126">
        <v>0.49515021334662235</v>
      </c>
      <c r="AK33" s="126">
        <v>0.51270792273382526</v>
      </c>
      <c r="AL33" s="126">
        <v>0.50105700871505898</v>
      </c>
      <c r="AM33" s="126">
        <v>0.53031032649927545</v>
      </c>
      <c r="AN33" s="126">
        <v>0.53944433950434056</v>
      </c>
      <c r="AO33" s="126">
        <v>0.53568702200918494</v>
      </c>
      <c r="AP33" s="126">
        <v>0.50336181735063479</v>
      </c>
      <c r="AQ33" s="126">
        <v>0.52446986683750518</v>
      </c>
      <c r="AR33" s="126">
        <v>0.51076897302323998</v>
      </c>
      <c r="AS33" s="126">
        <v>0.51988724497337047</v>
      </c>
      <c r="AT33" s="126">
        <v>0.52986341695205974</v>
      </c>
      <c r="AU33" s="126">
        <v>0.53885597736552782</v>
      </c>
      <c r="AV33" s="126">
        <v>0.53518258426966292</v>
      </c>
      <c r="AW33" s="126">
        <v>0.50157668214940132</v>
      </c>
      <c r="AX33" s="126">
        <v>0.52370824490915779</v>
      </c>
      <c r="AY33" s="126">
        <v>0.52822316854903417</v>
      </c>
      <c r="AZ33" s="126">
        <v>0.52522357122932417</v>
      </c>
      <c r="BA33" s="126">
        <v>0.53063554689203307</v>
      </c>
      <c r="BB33" s="126">
        <v>0.54642883453446045</v>
      </c>
      <c r="BC33" s="126">
        <v>0.53979603463992709</v>
      </c>
      <c r="BD33" s="126">
        <v>0.5142369842890222</v>
      </c>
      <c r="BE33" s="126">
        <v>0.53078202410578024</v>
      </c>
      <c r="BF33" s="126">
        <v>0.53753846049925191</v>
      </c>
      <c r="BG33" s="126">
        <v>0.5330933921824631</v>
      </c>
      <c r="BH33" s="126">
        <v>0.51176019737702116</v>
      </c>
      <c r="BI33" s="126">
        <v>0.53542165723714985</v>
      </c>
      <c r="BJ33" s="126">
        <v>0.52514913969129007</v>
      </c>
      <c r="BK33" s="126">
        <v>0.50107065908935533</v>
      </c>
      <c r="BL33" s="126">
        <v>0.51668789996481779</v>
      </c>
      <c r="BM33" s="126">
        <v>0.54728370221327971</v>
      </c>
      <c r="BN33" s="126">
        <v>0.52710813974938975</v>
      </c>
      <c r="BO33" s="126">
        <v>0.51845758708238998</v>
      </c>
      <c r="BP33" s="126">
        <v>0.54173603624196587</v>
      </c>
      <c r="BQ33" s="126">
        <v>0.5318899898946573</v>
      </c>
      <c r="BR33" s="126">
        <v>0.52117915252829028</v>
      </c>
      <c r="BS33" s="126">
        <v>0.52811738408674636</v>
      </c>
      <c r="BT33" s="126">
        <v>0.55663977932779063</v>
      </c>
      <c r="BU33" s="126">
        <v>0.53837602625418624</v>
      </c>
      <c r="BV33" s="126">
        <v>0.54438195856147276</v>
      </c>
      <c r="BW33" s="126">
        <v>0.55326289703491149</v>
      </c>
      <c r="BX33" s="126">
        <v>0.54946702515431556</v>
      </c>
      <c r="BY33" s="126">
        <v>0.53058200125764499</v>
      </c>
      <c r="BZ33" s="126">
        <v>0.54294274282507249</v>
      </c>
      <c r="CA33" s="126">
        <v>0.55664249801073928</v>
      </c>
      <c r="CB33" s="126">
        <v>0.54756063822683132</v>
      </c>
      <c r="CC33" s="126">
        <v>0.55621159914807261</v>
      </c>
      <c r="CD33" s="126">
        <v>0.57207473537026321</v>
      </c>
      <c r="CE33" s="126">
        <v>0.56535604816682383</v>
      </c>
      <c r="CF33" s="126">
        <v>0.53681239081003285</v>
      </c>
      <c r="CG33" s="126">
        <v>0.55589155578659044</v>
      </c>
      <c r="CH33" s="126">
        <v>0.55820919925186308</v>
      </c>
      <c r="CI33" s="126">
        <f t="shared" ref="CI33" si="56">CI27/CI15</f>
        <v>0.55666947116602972</v>
      </c>
      <c r="CJ33" s="126">
        <v>0.54391083062548795</v>
      </c>
      <c r="CK33" s="126">
        <v>0.56655622721496313</v>
      </c>
      <c r="CL33" s="126">
        <v>0.55679757359151738</v>
      </c>
      <c r="CM33" s="126">
        <v>0.53931764180095176</v>
      </c>
      <c r="CN33" s="126">
        <v>0.55075795197406507</v>
      </c>
      <c r="CO33" s="126">
        <v>0.56972355901734872</v>
      </c>
      <c r="CP33" s="126">
        <v>0.55714398916496832</v>
      </c>
      <c r="CQ33" s="126">
        <v>0.56203125636697815</v>
      </c>
      <c r="CR33" s="126">
        <v>0.57427820077290792</v>
      </c>
      <c r="CS33" s="126">
        <v>0.56888906365509539</v>
      </c>
      <c r="CT33" s="126">
        <v>0.54289346938083893</v>
      </c>
      <c r="CU33" s="126">
        <v>0.55979139159043256</v>
      </c>
      <c r="CV33" s="126">
        <v>0.574339472286852</v>
      </c>
      <c r="CW33" s="126">
        <v>0.56483506030980435</v>
      </c>
      <c r="CX33" s="126">
        <v>0.55255805329456953</v>
      </c>
      <c r="CY33" s="126">
        <v>0.56435162580086695</v>
      </c>
      <c r="CZ33" s="126">
        <v>0.5590478378270114</v>
      </c>
      <c r="DA33" s="126">
        <v>0.54344322033371917</v>
      </c>
      <c r="DB33" s="126">
        <v>0.55366602786507868</v>
      </c>
      <c r="DC33" s="126">
        <v>0.57985324347785527</v>
      </c>
      <c r="DD33" s="126">
        <v>0.56254391752008004</v>
      </c>
      <c r="DE33" s="126">
        <v>0.55409049271697486</v>
      </c>
      <c r="DF33" s="126">
        <v>0.44807055126047929</v>
      </c>
      <c r="DG33" s="126">
        <v>0.52671383509361591</v>
      </c>
      <c r="DH33" s="126">
        <v>0.47735309596613851</v>
      </c>
      <c r="DI33" s="126">
        <v>0.50492714139191708</v>
      </c>
      <c r="DJ33" s="126">
        <v>0.53786326560390307</v>
      </c>
      <c r="DK33" s="126">
        <v>0.51936418063856682</v>
      </c>
      <c r="DL33" s="126">
        <v>0.52079353707550757</v>
      </c>
      <c r="DM33" s="126">
        <v>0.54959635177306221</v>
      </c>
      <c r="DN33" s="126">
        <v>0.5387495816364064</v>
      </c>
      <c r="DO33" s="126">
        <v>0.53347774290622785</v>
      </c>
      <c r="DP33" s="126">
        <v>0.53666435148903313</v>
      </c>
      <c r="DQ33" s="126">
        <v>0.55038086184349444</v>
      </c>
      <c r="DR33" s="126">
        <v>0.54177392054833551</v>
      </c>
      <c r="DS33" s="126">
        <v>0.54978358286445572</v>
      </c>
      <c r="DT33" s="126">
        <v>0.56102986484106787</v>
      </c>
      <c r="DU33" s="126">
        <v>0.55638611670826799</v>
      </c>
      <c r="DV33" s="126">
        <v>0.53819315709377236</v>
      </c>
      <c r="DW33" s="126">
        <v>0.5504599934997314</v>
      </c>
      <c r="DX33" s="126">
        <v>0.55796411709479732</v>
      </c>
      <c r="DY33" s="126">
        <v>0.55276361556079956</v>
      </c>
      <c r="DZ33" s="126">
        <v>0.54183603917316792</v>
      </c>
      <c r="EA33" s="126">
        <v>0.53840723078576935</v>
      </c>
      <c r="EB33" s="126">
        <v>0.53989156921917336</v>
      </c>
      <c r="EC33" s="126">
        <v>0.53562057625823989</v>
      </c>
      <c r="ED33" s="126">
        <v>0.53846623009349859</v>
      </c>
      <c r="EE33" s="126">
        <v>0.55944440500972781</v>
      </c>
      <c r="EF33" s="126">
        <v>0.54529424198057297</v>
      </c>
      <c r="EG33" s="126">
        <f t="shared" ref="EG33:EH35" si="57">EG27/EG15</f>
        <v>0.5442128819654688</v>
      </c>
      <c r="EH33" s="126">
        <f t="shared" si="57"/>
        <v>0.56205543435480798</v>
      </c>
      <c r="EI33" s="126">
        <f t="shared" ref="EI33:EJ33" si="58">EI27/EI15</f>
        <v>0.55413658977674163</v>
      </c>
      <c r="EJ33" s="126">
        <f t="shared" si="58"/>
        <v>0.54618546019451231</v>
      </c>
      <c r="EK33" s="126">
        <f t="shared" ref="EK33:EL33" si="59">EK27/EK15</f>
        <v>0.55136949279659231</v>
      </c>
      <c r="EL33" s="126">
        <f t="shared" si="59"/>
        <v>0.55782806259732676</v>
      </c>
      <c r="EM33" s="126">
        <f t="shared" ref="EM33:EN33" si="60">EM27/EM15</f>
        <v>0.55349973903107053</v>
      </c>
      <c r="EN33" s="126">
        <f t="shared" si="60"/>
        <v>0.55073626022957622</v>
      </c>
      <c r="EO33" s="126">
        <v>0.57132197897556025</v>
      </c>
      <c r="EP33" s="126">
        <v>0.56246962522574739</v>
      </c>
      <c r="EQ33" s="126">
        <f t="shared" ref="EQ33:ER33" si="61">EQ27/EQ15</f>
        <v>0.55085167829190396</v>
      </c>
      <c r="ER33" s="126">
        <f t="shared" si="61"/>
        <v>0.55869801330353885</v>
      </c>
      <c r="ES33" s="126">
        <f t="shared" ref="ES33:EU33" si="62">ES27/ES15</f>
        <v>0.5659780101672035</v>
      </c>
      <c r="ET33" s="126">
        <f t="shared" si="62"/>
        <v>0.56098951452733692</v>
      </c>
      <c r="EU33" s="126">
        <f t="shared" si="62"/>
        <v>0.56712859240407887</v>
      </c>
      <c r="EV33" s="126">
        <f t="shared" ref="EV33" si="63">EV27/EV15</f>
        <v>0.57566871915465112</v>
      </c>
      <c r="EW33" s="126">
        <f t="shared" ref="EW33" si="64">EW27/EW15</f>
        <v>0.57192869593108187</v>
      </c>
    </row>
    <row r="34" spans="1:153" ht="16.350000000000001" customHeight="1">
      <c r="A34" s="18"/>
      <c r="B34" s="121" t="s">
        <v>648</v>
      </c>
      <c r="C34" s="121" t="s">
        <v>2312</v>
      </c>
      <c r="D34" s="126">
        <v>0</v>
      </c>
      <c r="E34" s="126">
        <v>0</v>
      </c>
      <c r="F34" s="126">
        <v>0</v>
      </c>
      <c r="G34" s="126">
        <v>0</v>
      </c>
      <c r="H34" s="126">
        <v>0</v>
      </c>
      <c r="I34" s="126">
        <v>0</v>
      </c>
      <c r="J34" s="126">
        <v>0</v>
      </c>
      <c r="K34" s="126">
        <v>0</v>
      </c>
      <c r="L34" s="126">
        <v>0</v>
      </c>
      <c r="M34" s="126">
        <v>0</v>
      </c>
      <c r="N34" s="126">
        <v>0</v>
      </c>
      <c r="O34" s="126">
        <v>0</v>
      </c>
      <c r="P34" s="126">
        <v>0</v>
      </c>
      <c r="Q34" s="126">
        <v>0</v>
      </c>
      <c r="R34" s="126">
        <v>0</v>
      </c>
      <c r="S34" s="126">
        <v>0</v>
      </c>
      <c r="T34" s="126">
        <v>0</v>
      </c>
      <c r="U34" s="126">
        <v>0</v>
      </c>
      <c r="V34" s="126">
        <v>0</v>
      </c>
      <c r="W34" s="126">
        <v>0</v>
      </c>
      <c r="X34" s="126">
        <v>0</v>
      </c>
      <c r="Y34" s="126">
        <v>0</v>
      </c>
      <c r="Z34" s="126">
        <v>0</v>
      </c>
      <c r="AA34" s="126">
        <v>0</v>
      </c>
      <c r="AB34" s="126">
        <v>0</v>
      </c>
      <c r="AC34" s="126">
        <v>0</v>
      </c>
      <c r="AD34" s="126">
        <v>0</v>
      </c>
      <c r="AE34" s="126">
        <v>0</v>
      </c>
      <c r="AF34" s="126">
        <v>0</v>
      </c>
      <c r="AG34" s="126">
        <v>0</v>
      </c>
      <c r="AH34" s="126">
        <v>0</v>
      </c>
      <c r="AI34" s="126">
        <v>0</v>
      </c>
      <c r="AJ34" s="126">
        <v>0</v>
      </c>
      <c r="AK34" s="126">
        <v>0</v>
      </c>
      <c r="AL34" s="126">
        <v>0</v>
      </c>
      <c r="AM34" s="126">
        <v>0</v>
      </c>
      <c r="AN34" s="126">
        <v>0</v>
      </c>
      <c r="AO34" s="126">
        <v>0</v>
      </c>
      <c r="AP34" s="126">
        <v>0</v>
      </c>
      <c r="AQ34" s="126">
        <v>0</v>
      </c>
      <c r="AR34" s="126">
        <v>0</v>
      </c>
      <c r="AS34" s="126">
        <v>0</v>
      </c>
      <c r="AT34" s="126">
        <v>0</v>
      </c>
      <c r="AU34" s="126">
        <v>0</v>
      </c>
      <c r="AV34" s="126">
        <v>0</v>
      </c>
      <c r="AW34" s="126">
        <v>0</v>
      </c>
      <c r="AX34" s="126">
        <v>0</v>
      </c>
      <c r="AY34" s="126">
        <v>0</v>
      </c>
      <c r="AZ34" s="126">
        <v>0</v>
      </c>
      <c r="BA34" s="126">
        <v>0</v>
      </c>
      <c r="BB34" s="126">
        <v>0</v>
      </c>
      <c r="BC34" s="126">
        <v>0</v>
      </c>
      <c r="BD34" s="126">
        <v>0</v>
      </c>
      <c r="BE34" s="126">
        <v>0</v>
      </c>
      <c r="BF34" s="126">
        <v>0</v>
      </c>
      <c r="BG34" s="126">
        <v>0</v>
      </c>
      <c r="BH34" s="126">
        <v>0</v>
      </c>
      <c r="BI34" s="126">
        <v>0</v>
      </c>
      <c r="BJ34" s="126">
        <v>0</v>
      </c>
      <c r="BK34" s="126">
        <v>0</v>
      </c>
      <c r="BL34" s="126">
        <v>0</v>
      </c>
      <c r="BM34" s="126">
        <v>0</v>
      </c>
      <c r="BN34" s="126">
        <v>0</v>
      </c>
      <c r="BO34" s="126">
        <v>0</v>
      </c>
      <c r="BP34" s="126">
        <v>0</v>
      </c>
      <c r="BQ34" s="126">
        <v>0</v>
      </c>
      <c r="BR34" s="126">
        <v>0</v>
      </c>
      <c r="BS34" s="126">
        <v>0</v>
      </c>
      <c r="BT34" s="126">
        <v>0</v>
      </c>
      <c r="BU34" s="126">
        <v>0</v>
      </c>
      <c r="BV34" s="126">
        <v>0</v>
      </c>
      <c r="BW34" s="126">
        <v>0</v>
      </c>
      <c r="BX34" s="126">
        <v>0</v>
      </c>
      <c r="BY34" s="126">
        <v>0</v>
      </c>
      <c r="BZ34" s="126">
        <v>0</v>
      </c>
      <c r="CA34" s="126">
        <v>0</v>
      </c>
      <c r="CB34" s="126">
        <v>0</v>
      </c>
      <c r="CC34" s="126">
        <v>0</v>
      </c>
      <c r="CD34" s="126">
        <v>0</v>
      </c>
      <c r="CE34" s="126">
        <v>0</v>
      </c>
      <c r="CF34" s="126">
        <v>0</v>
      </c>
      <c r="CG34" s="126">
        <v>0</v>
      </c>
      <c r="CH34" s="126">
        <v>0</v>
      </c>
      <c r="CI34" s="126" t="e">
        <f t="shared" ref="CI34" si="65">CI28/CI16</f>
        <v>#DIV/0!</v>
      </c>
      <c r="CJ34" s="126">
        <v>0</v>
      </c>
      <c r="CK34" s="126">
        <v>0</v>
      </c>
      <c r="CL34" s="126">
        <v>0</v>
      </c>
      <c r="CM34" s="126">
        <v>0</v>
      </c>
      <c r="CN34" s="126">
        <v>0</v>
      </c>
      <c r="CO34" s="126">
        <v>0</v>
      </c>
      <c r="CP34" s="126">
        <v>0</v>
      </c>
      <c r="CQ34" s="126">
        <v>0</v>
      </c>
      <c r="CR34" s="126">
        <v>0</v>
      </c>
      <c r="CS34" s="126">
        <v>0</v>
      </c>
      <c r="CT34" s="126">
        <v>0</v>
      </c>
      <c r="CU34" s="126">
        <v>0</v>
      </c>
      <c r="CV34" s="126">
        <v>0</v>
      </c>
      <c r="CW34" s="126">
        <v>0</v>
      </c>
      <c r="CX34" s="126">
        <v>0</v>
      </c>
      <c r="CY34" s="126">
        <v>0</v>
      </c>
      <c r="CZ34" s="126">
        <v>0</v>
      </c>
      <c r="DA34" s="126">
        <v>0</v>
      </c>
      <c r="DB34" s="126">
        <v>0</v>
      </c>
      <c r="DC34" s="126">
        <v>0</v>
      </c>
      <c r="DD34" s="126">
        <v>0</v>
      </c>
      <c r="DE34" s="126">
        <v>0</v>
      </c>
      <c r="DF34" s="126">
        <v>0</v>
      </c>
      <c r="DG34" s="126">
        <v>0</v>
      </c>
      <c r="DH34" s="126">
        <v>0</v>
      </c>
      <c r="DI34" s="126">
        <v>0</v>
      </c>
      <c r="DJ34" s="126">
        <v>0</v>
      </c>
      <c r="DK34" s="126">
        <v>0</v>
      </c>
      <c r="DL34" s="126">
        <v>1</v>
      </c>
      <c r="DM34" s="126">
        <v>1</v>
      </c>
      <c r="DN34" s="126">
        <v>0</v>
      </c>
      <c r="DO34" s="126">
        <v>0.91021530004580853</v>
      </c>
      <c r="DP34" s="126">
        <v>0</v>
      </c>
      <c r="DQ34" s="126">
        <v>0.59321601632236676</v>
      </c>
      <c r="DR34" s="126">
        <v>0</v>
      </c>
      <c r="DS34" s="126">
        <v>0.96040588937524873</v>
      </c>
      <c r="DT34" s="126">
        <v>0.56461623065441113</v>
      </c>
      <c r="DU34" s="126">
        <v>0</v>
      </c>
      <c r="DV34" s="126">
        <v>0.59012403831056681</v>
      </c>
      <c r="DW34" s="126">
        <v>0</v>
      </c>
      <c r="DX34" s="126">
        <v>0.43382877912637113</v>
      </c>
      <c r="DY34" s="126">
        <v>0</v>
      </c>
      <c r="DZ34" s="126">
        <v>0.48125244618395302</v>
      </c>
      <c r="EA34" s="126">
        <v>0.65499692410938981</v>
      </c>
      <c r="EB34" s="126">
        <v>0</v>
      </c>
      <c r="EC34" s="126">
        <v>0.60825694123854124</v>
      </c>
      <c r="ED34" s="126">
        <v>0</v>
      </c>
      <c r="EE34" s="126">
        <v>0.50364921223354964</v>
      </c>
      <c r="EF34" s="126">
        <v>0</v>
      </c>
      <c r="EG34" s="126">
        <f t="shared" si="57"/>
        <v>0.60641905864835799</v>
      </c>
      <c r="EH34" s="126">
        <f t="shared" si="57"/>
        <v>0.60535966149506348</v>
      </c>
      <c r="EI34" s="126">
        <f t="shared" ref="EI34:EJ34" si="66">EI28/EI16</f>
        <v>0.60592325294842453</v>
      </c>
      <c r="EJ34" s="126">
        <f t="shared" si="66"/>
        <v>0.68367544539116964</v>
      </c>
      <c r="EK34" s="126">
        <f t="shared" ref="EK34:EL34" si="67">EK28/EK16</f>
        <v>0.6302190487716326</v>
      </c>
      <c r="EL34" s="126">
        <f t="shared" si="67"/>
        <v>0.47589028975890291</v>
      </c>
      <c r="EM34" s="126">
        <f t="shared" ref="EM34:EN34" si="68">EM28/EM16</f>
        <v>0.59706846581460538</v>
      </c>
      <c r="EN34" s="126">
        <f t="shared" si="68"/>
        <v>0.50788643533123023</v>
      </c>
      <c r="EO34" s="126">
        <v>0.44953996549741232</v>
      </c>
      <c r="EP34" s="126">
        <v>0.48172736061875604</v>
      </c>
      <c r="EQ34" s="126">
        <f t="shared" ref="EQ34:ER34" si="69">EQ28/EQ16</f>
        <v>0.49950683387346767</v>
      </c>
      <c r="ER34" s="126">
        <f t="shared" si="69"/>
        <v>0.48730762427029894</v>
      </c>
      <c r="ES34" s="126">
        <f t="shared" ref="ES34:EU34" si="70">ES28/ES16</f>
        <v>0.14971448965024983</v>
      </c>
      <c r="ET34" s="126">
        <f t="shared" si="70"/>
        <v>0.4202580096399206</v>
      </c>
      <c r="EU34" s="126">
        <f t="shared" si="70"/>
        <v>0.39932375316990704</v>
      </c>
      <c r="EV34" s="126">
        <f t="shared" ref="EV34" si="71">EV28/EV16</f>
        <v>0.14422574464379029</v>
      </c>
      <c r="EW34" s="126">
        <f t="shared" ref="EW34" si="72">EW28/EW16</f>
        <v>0.27367879203843515</v>
      </c>
    </row>
    <row r="35" spans="1:153" ht="16.350000000000001" customHeight="1">
      <c r="A35" s="18"/>
      <c r="B35" s="109" t="s">
        <v>455</v>
      </c>
      <c r="C35" s="109" t="s">
        <v>656</v>
      </c>
      <c r="D35" s="127">
        <v>0.80971128608923881</v>
      </c>
      <c r="E35" s="127">
        <v>1.0875916796921967</v>
      </c>
      <c r="F35" s="127">
        <v>0.97006174980920001</v>
      </c>
      <c r="G35" s="127">
        <v>0.65351890117904465</v>
      </c>
      <c r="H35" s="127">
        <v>0.85503533568904588</v>
      </c>
      <c r="I35" s="127">
        <v>0.98819437640834717</v>
      </c>
      <c r="J35" s="127">
        <v>0.89641367552592321</v>
      </c>
      <c r="K35" s="127">
        <v>0.95690804087072412</v>
      </c>
      <c r="L35" s="127">
        <v>0.69102846529307593</v>
      </c>
      <c r="M35" s="127">
        <v>0.79870463657859569</v>
      </c>
      <c r="N35" s="127">
        <v>0.74520255863539442</v>
      </c>
      <c r="O35" s="127">
        <v>0.77714355858344075</v>
      </c>
      <c r="P35" s="127">
        <v>0.90347129506008006</v>
      </c>
      <c r="Q35" s="127">
        <v>0.81692805785645206</v>
      </c>
      <c r="R35" s="127">
        <v>0.91879126187536897</v>
      </c>
      <c r="S35" s="127">
        <v>0.93843111120665568</v>
      </c>
      <c r="T35" s="127">
        <v>0.92969598586758018</v>
      </c>
      <c r="U35" s="127">
        <v>0.92828955481563691</v>
      </c>
      <c r="V35" s="127">
        <v>0.92917928310919484</v>
      </c>
      <c r="W35" s="127">
        <v>0.8909102569583992</v>
      </c>
      <c r="X35" s="127">
        <v>0.91919022827839814</v>
      </c>
      <c r="Y35" s="127">
        <v>0.92204734167802704</v>
      </c>
      <c r="Z35" s="127">
        <v>0.92228456133519765</v>
      </c>
      <c r="AA35" s="127">
        <v>0.92217509412381449</v>
      </c>
      <c r="AB35" s="127">
        <f t="shared" ref="AB35:AD35" si="73">AB29/AB17</f>
        <v>0.88521881416837778</v>
      </c>
      <c r="AC35" s="127">
        <f t="shared" si="73"/>
        <v>0.90839461883408068</v>
      </c>
      <c r="AD35" s="127">
        <f t="shared" si="73"/>
        <v>0.81950280405122622</v>
      </c>
      <c r="AE35" s="127">
        <v>0.88500612372569232</v>
      </c>
      <c r="AF35" s="127">
        <v>0.88726210498362401</v>
      </c>
      <c r="AG35" s="127">
        <v>0.86471149585903684</v>
      </c>
      <c r="AH35" s="127">
        <v>0.87577170543645311</v>
      </c>
      <c r="AI35" s="127">
        <v>0.87382016132721363</v>
      </c>
      <c r="AJ35" s="127">
        <v>0.87506362449377029</v>
      </c>
      <c r="AK35" s="127">
        <v>0.9016454693548146</v>
      </c>
      <c r="AL35" s="127">
        <v>0.88224534541446098</v>
      </c>
      <c r="AM35" s="127">
        <v>0.90821219154654287</v>
      </c>
      <c r="AN35" s="127">
        <v>0.90538963744964573</v>
      </c>
      <c r="AO35" s="127">
        <v>0.90673416837603105</v>
      </c>
      <c r="AP35" s="127">
        <v>0.89988420534252589</v>
      </c>
      <c r="AQ35" s="127">
        <v>0.90431351153044759</v>
      </c>
      <c r="AR35" s="127">
        <v>0.91126073405836172</v>
      </c>
      <c r="AS35" s="127">
        <v>0.90614368759830111</v>
      </c>
      <c r="AT35" s="127">
        <v>0.92408092770787076</v>
      </c>
      <c r="AU35" s="127">
        <v>0.93632298365719291</v>
      </c>
      <c r="AV35" s="127">
        <v>0.93041006756998323</v>
      </c>
      <c r="AW35" s="127">
        <v>0.93768710369375108</v>
      </c>
      <c r="AX35" s="127">
        <v>0.93285366008105375</v>
      </c>
      <c r="AY35" s="127">
        <v>0.95611401169695476</v>
      </c>
      <c r="AZ35" s="127">
        <v>0.93892538151529858</v>
      </c>
      <c r="BA35" s="127">
        <v>0.95324000577283874</v>
      </c>
      <c r="BB35" s="127">
        <v>0.94631300792740691</v>
      </c>
      <c r="BC35" s="127">
        <v>0.94959077967241357</v>
      </c>
      <c r="BD35" s="127">
        <v>0.95668873651741682</v>
      </c>
      <c r="BE35" s="127">
        <v>0.95206393756845564</v>
      </c>
      <c r="BF35" s="127">
        <v>0.96467321105657455</v>
      </c>
      <c r="BG35" s="127">
        <v>0.95547599788290039</v>
      </c>
      <c r="BH35" s="127">
        <v>0.97079344323541772</v>
      </c>
      <c r="BI35" s="127">
        <v>0.96252617072588975</v>
      </c>
      <c r="BJ35" s="127">
        <v>0.96654469182435621</v>
      </c>
      <c r="BK35" s="127">
        <v>0.9557969559104762</v>
      </c>
      <c r="BL35" s="127">
        <v>0.9628682631332125</v>
      </c>
      <c r="BM35" s="127">
        <v>0.96430859715125927</v>
      </c>
      <c r="BN35" s="127">
        <v>0.96325235094267714</v>
      </c>
      <c r="BO35" s="127">
        <v>0.96528492410599431</v>
      </c>
      <c r="BP35" s="127">
        <v>0.9752410972790202</v>
      </c>
      <c r="BQ35" s="127">
        <v>0.9706273541147411</v>
      </c>
      <c r="BR35" s="127">
        <v>0.96036309970611056</v>
      </c>
      <c r="BS35" s="127">
        <v>0.96683622522702439</v>
      </c>
      <c r="BT35" s="127">
        <v>0.94173979756649084</v>
      </c>
      <c r="BU35" s="127">
        <v>0.96034182794706435</v>
      </c>
      <c r="BV35" s="127">
        <v>0.92889998282756425</v>
      </c>
      <c r="BW35" s="127">
        <v>0.92515987374776998</v>
      </c>
      <c r="BX35" s="127">
        <v>0.92692634121896611</v>
      </c>
      <c r="BY35" s="127">
        <v>0.93792382721783563</v>
      </c>
      <c r="BZ35" s="127">
        <v>0.93058687800381479</v>
      </c>
      <c r="CA35" s="127">
        <v>0.94768740212235481</v>
      </c>
      <c r="CB35" s="127">
        <v>0.93494309753350635</v>
      </c>
      <c r="CC35" s="127">
        <v>0.93667832800883066</v>
      </c>
      <c r="CD35" s="127">
        <v>0.94369354591780941</v>
      </c>
      <c r="CE35" s="127">
        <v>0.94030154216309481</v>
      </c>
      <c r="CF35" s="127">
        <v>0.94387603755979954</v>
      </c>
      <c r="CG35" s="127">
        <v>0.94152994120743472</v>
      </c>
      <c r="CH35" s="127">
        <v>0.96370429536831703</v>
      </c>
      <c r="CI35" s="127">
        <f t="shared" ref="CI35" si="74">CI29/CI17</f>
        <v>0.94731181027702649</v>
      </c>
      <c r="CJ35" s="127">
        <v>0.96440434012400356</v>
      </c>
      <c r="CK35" s="127">
        <v>0.97344973987920824</v>
      </c>
      <c r="CL35" s="127">
        <v>0.96916468231073438</v>
      </c>
      <c r="CM35" s="127">
        <v>0.97547038267913888</v>
      </c>
      <c r="CN35" s="127">
        <v>0.9715614153450981</v>
      </c>
      <c r="CO35" s="127">
        <v>0.98019352557863448</v>
      </c>
      <c r="CP35" s="127">
        <v>0.97390409271385114</v>
      </c>
      <c r="CQ35" s="127">
        <v>0.97044006519484372</v>
      </c>
      <c r="CR35" s="127">
        <v>0.96989994418201664</v>
      </c>
      <c r="CS35" s="127">
        <v>0.97016390789126195</v>
      </c>
      <c r="CT35" s="127">
        <v>0.97040465519546903</v>
      </c>
      <c r="CU35" s="127">
        <v>0.97024348443521791</v>
      </c>
      <c r="CV35" s="127">
        <v>0.97393524060580028</v>
      </c>
      <c r="CW35" s="127">
        <v>0.97118396613353619</v>
      </c>
      <c r="CX35" s="127">
        <v>0.97683431218463068</v>
      </c>
      <c r="CY35" s="127">
        <v>0.97889080438689802</v>
      </c>
      <c r="CZ35" s="127">
        <v>0.97792422386812072</v>
      </c>
      <c r="DA35" s="127">
        <v>0.97561863792452119</v>
      </c>
      <c r="DB35" s="127">
        <v>0.97708604240566865</v>
      </c>
      <c r="DC35" s="127">
        <v>0.98463190214171381</v>
      </c>
      <c r="DD35" s="127">
        <v>0.97915589219784793</v>
      </c>
      <c r="DE35" s="127">
        <v>0.98267114397874866</v>
      </c>
      <c r="DF35" s="127">
        <v>0.9747015286197791</v>
      </c>
      <c r="DG35" s="127">
        <v>0.97899222423860544</v>
      </c>
      <c r="DH35" s="127">
        <v>0.9541349159476239</v>
      </c>
      <c r="DI35" s="127">
        <v>0.97420743026758894</v>
      </c>
      <c r="DJ35" s="127">
        <v>0.97645445414509768</v>
      </c>
      <c r="DK35" s="127">
        <v>0.97460555390145431</v>
      </c>
      <c r="DL35" s="127">
        <v>0.98203496223101983</v>
      </c>
      <c r="DM35" s="127">
        <v>0.9846438858396418</v>
      </c>
      <c r="DN35" s="127">
        <v>0.98338186050037235</v>
      </c>
      <c r="DO35" s="127">
        <v>0.97842913236916906</v>
      </c>
      <c r="DP35" s="127">
        <v>0.98158022022601321</v>
      </c>
      <c r="DQ35" s="127">
        <v>0.96941792819721662</v>
      </c>
      <c r="DR35" s="127">
        <v>0.97785624519624892</v>
      </c>
      <c r="DS35" s="127">
        <v>0.95665681515237677</v>
      </c>
      <c r="DT35" s="127">
        <v>0.93918223137561252</v>
      </c>
      <c r="DU35" s="127">
        <v>0.94721512414997999</v>
      </c>
      <c r="DV35" s="127">
        <v>0.91488917239269751</v>
      </c>
      <c r="DW35" s="127">
        <v>0.93669896817473552</v>
      </c>
      <c r="DX35" s="127">
        <v>0.93075248214596762</v>
      </c>
      <c r="DY35" s="127">
        <v>0.9350880235374337</v>
      </c>
      <c r="DZ35" s="127">
        <v>0.94297928987538537</v>
      </c>
      <c r="EA35" s="127">
        <v>0.94142592510490974</v>
      </c>
      <c r="EB35" s="127">
        <v>0.94218618365627638</v>
      </c>
      <c r="EC35" s="127">
        <v>0.94281220850777669</v>
      </c>
      <c r="ED35" s="127">
        <v>0.94238156556732211</v>
      </c>
      <c r="EE35" s="127">
        <v>0.95568923903050296</v>
      </c>
      <c r="EF35" s="127">
        <v>0.94556502184640912</v>
      </c>
      <c r="EG35" s="127">
        <f t="shared" si="57"/>
        <v>0.96049025289012491</v>
      </c>
      <c r="EH35" s="127">
        <f t="shared" si="57"/>
        <v>0.96720079551749505</v>
      </c>
      <c r="EI35" s="127">
        <f t="shared" ref="EI35:EJ35" si="75">EI29/EI17</f>
        <v>0.96382100491198652</v>
      </c>
      <c r="EJ35" s="127">
        <f t="shared" si="75"/>
        <v>0.98217034819367766</v>
      </c>
      <c r="EK35" s="127">
        <f t="shared" ref="EK35:EL35" si="76">EK29/EK17</f>
        <v>0.96985275095349543</v>
      </c>
      <c r="EL35" s="127">
        <f t="shared" si="76"/>
        <v>1.0036886524213562</v>
      </c>
      <c r="EM35" s="127">
        <f t="shared" ref="EM35:EN35" si="77">EM29/EM17</f>
        <v>0.97833730820849507</v>
      </c>
      <c r="EN35" s="127">
        <f t="shared" si="77"/>
        <v>1.0056097424591002</v>
      </c>
      <c r="EO35" s="127">
        <v>1.0031164497960019</v>
      </c>
      <c r="EP35" s="127">
        <v>1.0043420937668424</v>
      </c>
      <c r="EQ35" s="127">
        <f t="shared" ref="EQ35:ER35" si="78">EQ29/EQ17</f>
        <v>1.0123409377626089</v>
      </c>
      <c r="ER35" s="127">
        <f t="shared" si="78"/>
        <v>1.0069196969172751</v>
      </c>
      <c r="ES35" s="127">
        <f t="shared" ref="ES35:EU35" si="79">ES29/ES17</f>
        <v>1.0145374792146198</v>
      </c>
      <c r="ET35" s="127">
        <f t="shared" si="79"/>
        <v>1.0087878148728455</v>
      </c>
      <c r="EU35" s="127">
        <f t="shared" si="79"/>
        <v>1.0158034653283405</v>
      </c>
      <c r="EV35" s="127">
        <f t="shared" ref="EV35" si="80">EV29/EV17</f>
        <v>0.99411234182775088</v>
      </c>
      <c r="EW35" s="127">
        <f t="shared" ref="EW35" si="81">EW29/EW17</f>
        <v>1.0047144579371352</v>
      </c>
    </row>
    <row r="36" spans="1:153" ht="16.350000000000001" customHeight="1">
      <c r="A36" s="9"/>
      <c r="B36" s="117"/>
      <c r="C36" s="117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45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  <c r="BE36" s="51"/>
      <c r="BF36" s="51"/>
      <c r="BG36" s="51"/>
      <c r="BH36" s="51"/>
      <c r="BI36" s="51"/>
      <c r="BJ36" s="51"/>
      <c r="BK36" s="51"/>
      <c r="BL36" s="51"/>
      <c r="BM36" s="51"/>
      <c r="BN36" s="51"/>
      <c r="BO36" s="51"/>
      <c r="BP36" s="51"/>
      <c r="BQ36" s="51"/>
      <c r="BR36" s="51"/>
      <c r="BS36" s="51"/>
      <c r="BT36" s="51"/>
      <c r="BU36" s="51"/>
      <c r="BV36" s="51"/>
      <c r="BW36" s="51"/>
      <c r="BX36" s="51"/>
      <c r="BY36" s="51"/>
      <c r="BZ36" s="51"/>
      <c r="CA36" s="51"/>
      <c r="CB36" s="51"/>
      <c r="CC36" s="51"/>
      <c r="CD36" s="51"/>
      <c r="CE36" s="51"/>
      <c r="CF36" s="51"/>
      <c r="CG36" s="51"/>
      <c r="CH36" s="51"/>
      <c r="CI36" s="51"/>
      <c r="CJ36" s="51"/>
      <c r="CK36" s="51"/>
      <c r="CL36" s="51"/>
      <c r="CM36" s="51"/>
      <c r="CN36" s="51"/>
      <c r="CO36" s="51"/>
      <c r="CP36" s="51"/>
      <c r="CQ36" s="51"/>
      <c r="CR36" s="51"/>
      <c r="CS36" s="51"/>
      <c r="CT36" s="51"/>
      <c r="CU36" s="51"/>
      <c r="CV36" s="51"/>
      <c r="CW36" s="51"/>
      <c r="CX36" s="51"/>
      <c r="CY36" s="51"/>
      <c r="CZ36" s="51"/>
      <c r="DA36" s="51"/>
      <c r="DB36" s="51"/>
      <c r="DC36" s="51"/>
      <c r="DD36" s="51"/>
      <c r="DE36" s="51"/>
      <c r="DF36" s="51"/>
      <c r="DG36" s="51"/>
      <c r="DH36" s="51"/>
      <c r="DI36" s="51"/>
      <c r="DJ36" s="51"/>
      <c r="DK36" s="51"/>
      <c r="DL36" s="51"/>
      <c r="DM36" s="51"/>
      <c r="DN36" s="51"/>
      <c r="DO36" s="51"/>
      <c r="DP36" s="51"/>
      <c r="DQ36" s="51"/>
      <c r="DR36" s="51"/>
      <c r="DS36" s="51"/>
      <c r="DT36" s="51"/>
      <c r="DU36" s="51"/>
      <c r="DV36" s="51"/>
      <c r="DW36" s="51"/>
      <c r="DX36" s="51"/>
      <c r="DY36" s="51"/>
      <c r="DZ36" s="51"/>
      <c r="EA36" s="51"/>
      <c r="EB36" s="51"/>
      <c r="ED36" s="51"/>
      <c r="EE36" s="6"/>
      <c r="EF36" s="51"/>
      <c r="EG36" s="51"/>
      <c r="EH36" s="51"/>
      <c r="EI36" s="51"/>
      <c r="EJ36" s="51"/>
      <c r="EK36" s="51"/>
      <c r="EL36" s="51"/>
      <c r="EM36" s="51"/>
      <c r="EN36" s="51"/>
      <c r="EO36" s="51"/>
      <c r="EP36" s="51"/>
      <c r="EQ36" s="51"/>
      <c r="ER36" s="51"/>
      <c r="ES36" s="51"/>
      <c r="ET36" s="51"/>
      <c r="EU36" s="51"/>
      <c r="EV36" s="51"/>
      <c r="EW36" s="51"/>
    </row>
    <row r="37" spans="1:153" ht="16.350000000000001" customHeight="1">
      <c r="A37" s="18"/>
      <c r="B37" s="76" t="s">
        <v>361</v>
      </c>
      <c r="C37" s="76" t="s">
        <v>362</v>
      </c>
      <c r="D37" s="119">
        <v>-99068</v>
      </c>
      <c r="E37" s="119">
        <v>-123639</v>
      </c>
      <c r="F37" s="119">
        <v>-222707</v>
      </c>
      <c r="G37" s="119">
        <v>-134167</v>
      </c>
      <c r="H37" s="119">
        <v>-356874</v>
      </c>
      <c r="I37" s="119">
        <v>-162617</v>
      </c>
      <c r="J37" s="119">
        <v>-519491</v>
      </c>
      <c r="K37" s="119">
        <v>-121348</v>
      </c>
      <c r="L37" s="119">
        <v>-156553</v>
      </c>
      <c r="M37" s="119">
        <v>-277901</v>
      </c>
      <c r="N37" s="119">
        <v>-150135</v>
      </c>
      <c r="O37" s="119">
        <v>-428036</v>
      </c>
      <c r="P37" s="119">
        <v>-218743</v>
      </c>
      <c r="Q37" s="119">
        <v>-646779</v>
      </c>
      <c r="R37" s="119">
        <v>-162489</v>
      </c>
      <c r="S37" s="119">
        <v>-196111</v>
      </c>
      <c r="T37" s="119">
        <v>-358600</v>
      </c>
      <c r="U37" s="119">
        <v>-183617</v>
      </c>
      <c r="V37" s="119">
        <v>-542217</v>
      </c>
      <c r="W37" s="119">
        <v>-261026</v>
      </c>
      <c r="X37" s="119">
        <v>-803243</v>
      </c>
      <c r="Y37" s="119">
        <v>-202594</v>
      </c>
      <c r="Z37" s="119">
        <v>-237987</v>
      </c>
      <c r="AA37" s="119">
        <v>-440581</v>
      </c>
      <c r="AB37" s="119">
        <v>-237987</v>
      </c>
      <c r="AC37" s="119">
        <v>-440581</v>
      </c>
      <c r="AD37" s="119">
        <v>-268156</v>
      </c>
      <c r="AE37" s="119">
        <v>-939841</v>
      </c>
      <c r="AF37" s="119">
        <v>-215657</v>
      </c>
      <c r="AG37" s="119">
        <v>-255681</v>
      </c>
      <c r="AH37" s="119">
        <v>-471338</v>
      </c>
      <c r="AI37" s="119">
        <v>-250553</v>
      </c>
      <c r="AJ37" s="119">
        <v>-721891</v>
      </c>
      <c r="AK37" s="119">
        <v>-298583</v>
      </c>
      <c r="AL37" s="119">
        <v>-1020474</v>
      </c>
      <c r="AM37" s="119">
        <v>-242834</v>
      </c>
      <c r="AN37" s="119">
        <v>-275480</v>
      </c>
      <c r="AO37" s="119">
        <v>-518314</v>
      </c>
      <c r="AP37" s="119">
        <v>-275741</v>
      </c>
      <c r="AQ37" s="119">
        <v>-794055</v>
      </c>
      <c r="AR37" s="119">
        <v>-343352</v>
      </c>
      <c r="AS37" s="119">
        <v>-1137407</v>
      </c>
      <c r="AT37" s="119">
        <v>-290161</v>
      </c>
      <c r="AU37" s="119">
        <v>-333704</v>
      </c>
      <c r="AV37" s="119">
        <v>-623865</v>
      </c>
      <c r="AW37" s="119">
        <v>-332503.44176000002</v>
      </c>
      <c r="AX37" s="119">
        <v>-956368.44175999996</v>
      </c>
      <c r="AY37" s="119">
        <v>-413413</v>
      </c>
      <c r="AZ37" s="119">
        <v>-1369781.4417600001</v>
      </c>
      <c r="BA37" s="119">
        <v>-365206</v>
      </c>
      <c r="BB37" s="119">
        <v>-407715</v>
      </c>
      <c r="BC37" s="119">
        <v>-772921</v>
      </c>
      <c r="BD37" s="119">
        <v>-400138</v>
      </c>
      <c r="BE37" s="119">
        <v>-1173059</v>
      </c>
      <c r="BF37" s="119">
        <v>-495952</v>
      </c>
      <c r="BG37" s="119">
        <v>-1669011</v>
      </c>
      <c r="BH37" s="119">
        <v>-429673</v>
      </c>
      <c r="BI37" s="119">
        <v>-458689</v>
      </c>
      <c r="BJ37" s="119">
        <v>-888362</v>
      </c>
      <c r="BK37" s="119">
        <v>-453196</v>
      </c>
      <c r="BL37" s="119">
        <v>-1341558</v>
      </c>
      <c r="BM37" s="119">
        <v>-510748</v>
      </c>
      <c r="BN37" s="119">
        <v>-1852306</v>
      </c>
      <c r="BO37" s="119">
        <v>-458621.55</v>
      </c>
      <c r="BP37" s="119">
        <v>-553031</v>
      </c>
      <c r="BQ37" s="119">
        <v>-1011652.55</v>
      </c>
      <c r="BR37" s="119">
        <v>-554792</v>
      </c>
      <c r="BS37" s="119">
        <v>-1566444.55</v>
      </c>
      <c r="BT37" s="119">
        <v>-682410.08100000001</v>
      </c>
      <c r="BU37" s="119">
        <v>-2248854.6310000001</v>
      </c>
      <c r="BV37" s="119">
        <v>-571198.72048999986</v>
      </c>
      <c r="BW37" s="119">
        <v>-663910.35935999989</v>
      </c>
      <c r="BX37" s="119">
        <v>-1235109.0798499996</v>
      </c>
      <c r="BY37" s="119">
        <v>-667252</v>
      </c>
      <c r="BZ37" s="119">
        <v>-1902361.0798499999</v>
      </c>
      <c r="CA37" s="119">
        <v>-798232.69659000007</v>
      </c>
      <c r="CB37" s="119">
        <v>-2700593.7764399997</v>
      </c>
      <c r="CC37" s="119">
        <v>-653402</v>
      </c>
      <c r="CD37" s="119">
        <v>-738046</v>
      </c>
      <c r="CE37" s="119">
        <v>-1391448</v>
      </c>
      <c r="CF37" s="119">
        <v>-718718</v>
      </c>
      <c r="CG37" s="119">
        <v>-2110166</v>
      </c>
      <c r="CH37" s="119">
        <v>-790639</v>
      </c>
      <c r="CI37" s="119">
        <f t="shared" ref="CI37:CI52" si="82">SUM(CG37:CH37)</f>
        <v>-2900805</v>
      </c>
      <c r="CJ37" s="119">
        <v>-741732</v>
      </c>
      <c r="CK37" s="119">
        <v>-824385</v>
      </c>
      <c r="CL37" s="119">
        <v>-1566117</v>
      </c>
      <c r="CM37" s="119">
        <v>-837896</v>
      </c>
      <c r="CN37" s="119">
        <v>-2404013</v>
      </c>
      <c r="CO37" s="119">
        <v>-1008140</v>
      </c>
      <c r="CP37" s="119">
        <v>-3412153</v>
      </c>
      <c r="CQ37" s="119">
        <v>-838808</v>
      </c>
      <c r="CR37" s="119">
        <v>-903099.03514000005</v>
      </c>
      <c r="CS37" s="119">
        <v>-1741907.0351400001</v>
      </c>
      <c r="CT37" s="119">
        <v>-895618.56825000001</v>
      </c>
      <c r="CU37" s="119">
        <v>-2637525.6033899998</v>
      </c>
      <c r="CV37" s="119">
        <v>-1080677.7492</v>
      </c>
      <c r="CW37" s="119">
        <v>-3718203.3525900003</v>
      </c>
      <c r="CX37" s="119">
        <v>-900210</v>
      </c>
      <c r="CY37" s="119">
        <v>-1032647</v>
      </c>
      <c r="CZ37" s="119">
        <v>-1932857</v>
      </c>
      <c r="DA37" s="119">
        <v>-1046516</v>
      </c>
      <c r="DB37" s="119">
        <v>-2979373</v>
      </c>
      <c r="DC37" s="119">
        <v>-1202165</v>
      </c>
      <c r="DD37" s="119">
        <v>-4181538</v>
      </c>
      <c r="DE37" s="119">
        <v>-1134752</v>
      </c>
      <c r="DF37" s="119">
        <v>-83607</v>
      </c>
      <c r="DG37" s="119">
        <v>-1218359</v>
      </c>
      <c r="DH37" s="119">
        <v>-1047291</v>
      </c>
      <c r="DI37" s="119">
        <v>-2265650</v>
      </c>
      <c r="DJ37" s="119">
        <v>-1191081</v>
      </c>
      <c r="DK37" s="119">
        <v>-3456731</v>
      </c>
      <c r="DL37" s="119">
        <v>-1097357</v>
      </c>
      <c r="DM37" s="119">
        <v>-1209341</v>
      </c>
      <c r="DN37" s="119">
        <v>-2306698</v>
      </c>
      <c r="DO37" s="119">
        <v>-1309314</v>
      </c>
      <c r="DP37" s="119">
        <v>-3616012</v>
      </c>
      <c r="DQ37" s="119">
        <v>-1742422</v>
      </c>
      <c r="DR37" s="119">
        <v>-5358434</v>
      </c>
      <c r="DS37" s="119">
        <v>-1450798</v>
      </c>
      <c r="DT37" s="119">
        <v>-1770282</v>
      </c>
      <c r="DU37" s="119">
        <v>-3221080</v>
      </c>
      <c r="DV37" s="119">
        <v>-1575209</v>
      </c>
      <c r="DW37" s="119">
        <v>-4796289</v>
      </c>
      <c r="DX37" s="119">
        <v>-1781126</v>
      </c>
      <c r="DY37" s="119">
        <v>-6577415</v>
      </c>
      <c r="DZ37" s="119">
        <v>-1729126</v>
      </c>
      <c r="EA37" s="119">
        <v>-1873356</v>
      </c>
      <c r="EB37" s="119">
        <v>-3602482</v>
      </c>
      <c r="EC37" s="119">
        <v>-1755853</v>
      </c>
      <c r="ED37" s="119">
        <v>-5358335</v>
      </c>
      <c r="EE37" s="119">
        <v>-1973190</v>
      </c>
      <c r="EF37" s="119">
        <v>-7331525</v>
      </c>
      <c r="EG37" s="119">
        <f>SUM(EG38:EG41,EG51:EG52)</f>
        <v>-1693305</v>
      </c>
      <c r="EH37" s="119">
        <f>SUM(EH38:EH41,EH51:EH52)</f>
        <v>-1802851</v>
      </c>
      <c r="EI37" s="119">
        <f t="shared" ref="EI37:EI52" si="83">SUM(EG37:EH37)</f>
        <v>-3496156</v>
      </c>
      <c r="EJ37" s="119">
        <f>SUM(EJ38:EJ41,EJ51:EJ52)</f>
        <v>-1769774</v>
      </c>
      <c r="EK37" s="119">
        <f t="shared" ref="EK37:EM52" si="84">SUM(EI37:EJ37)</f>
        <v>-5265930</v>
      </c>
      <c r="EL37" s="119">
        <f>SUM(EL38:EL41,EL51:EL52)</f>
        <v>-2216676</v>
      </c>
      <c r="EM37" s="119">
        <f t="shared" ref="EM37" si="85">SUM(EK37:EL37)</f>
        <v>-7482606</v>
      </c>
      <c r="EN37" s="119">
        <f>SUM(EN38:EN41,EN51:EN52)</f>
        <v>-1748464</v>
      </c>
      <c r="EO37" s="119">
        <f>SUM(EO38:EO41,EO51:EO52)</f>
        <v>-2045899</v>
      </c>
      <c r="EP37" s="119">
        <f t="shared" ref="EP37:ET37" si="86">SUM(EN37:EO37)</f>
        <v>-3794363</v>
      </c>
      <c r="EQ37" s="119">
        <f>SUM(EQ38:EQ41,EQ51:EQ52)</f>
        <v>-1907387</v>
      </c>
      <c r="ER37" s="119">
        <f t="shared" si="86"/>
        <v>-5701750</v>
      </c>
      <c r="ES37" s="119">
        <f>SUM(ES38:ES41,ES51:ES52)</f>
        <v>-2268972</v>
      </c>
      <c r="ET37" s="119">
        <f t="shared" si="86"/>
        <v>-7970722</v>
      </c>
      <c r="EU37" s="119">
        <f>SUM(EU38:EU41,EU51:EU52)</f>
        <v>-1838084</v>
      </c>
      <c r="EV37" s="119">
        <f>SUM(EV38:EV41,EV51:EV52)</f>
        <v>-2103925</v>
      </c>
      <c r="EW37" s="119">
        <f t="shared" ref="EW37" si="87">SUM(EU37:EV37)</f>
        <v>-3942009</v>
      </c>
    </row>
    <row r="38" spans="1:153" ht="16.350000000000001" customHeight="1">
      <c r="A38" s="9"/>
      <c r="B38" s="23" t="s">
        <v>458</v>
      </c>
      <c r="C38" s="23" t="s">
        <v>347</v>
      </c>
      <c r="D38" s="24">
        <v>-59875</v>
      </c>
      <c r="E38" s="24">
        <v>-74554</v>
      </c>
      <c r="F38" s="24">
        <v>-134429</v>
      </c>
      <c r="G38" s="24">
        <v>-71689</v>
      </c>
      <c r="H38" s="24">
        <v>-206118</v>
      </c>
      <c r="I38" s="24">
        <v>-92534</v>
      </c>
      <c r="J38" s="24">
        <v>-298652</v>
      </c>
      <c r="K38" s="24">
        <v>-75638</v>
      </c>
      <c r="L38" s="24">
        <v>-94012</v>
      </c>
      <c r="M38" s="24">
        <v>-169650</v>
      </c>
      <c r="N38" s="24">
        <v>-89403</v>
      </c>
      <c r="O38" s="24">
        <v>-259053</v>
      </c>
      <c r="P38" s="24">
        <v>-119546</v>
      </c>
      <c r="Q38" s="24">
        <v>-378599</v>
      </c>
      <c r="R38" s="24">
        <v>-91089</v>
      </c>
      <c r="S38" s="24">
        <v>-107330</v>
      </c>
      <c r="T38" s="24">
        <v>-198419</v>
      </c>
      <c r="U38" s="24">
        <v>-104190</v>
      </c>
      <c r="V38" s="24">
        <v>-302609</v>
      </c>
      <c r="W38" s="24">
        <v>-137318</v>
      </c>
      <c r="X38" s="24">
        <v>-439927</v>
      </c>
      <c r="Y38" s="24">
        <v>-113624</v>
      </c>
      <c r="Z38" s="24">
        <v>-130237</v>
      </c>
      <c r="AA38" s="24">
        <v>-243861</v>
      </c>
      <c r="AB38" s="24">
        <v>-121301</v>
      </c>
      <c r="AC38" s="24">
        <v>-365162</v>
      </c>
      <c r="AD38" s="24">
        <v>-149932</v>
      </c>
      <c r="AE38" s="24">
        <v>-515094</v>
      </c>
      <c r="AF38" s="24">
        <v>-120897</v>
      </c>
      <c r="AG38" s="24">
        <v>-136055</v>
      </c>
      <c r="AH38" s="24">
        <v>-256952</v>
      </c>
      <c r="AI38" s="24">
        <v>-137375</v>
      </c>
      <c r="AJ38" s="24">
        <v>-394327</v>
      </c>
      <c r="AK38" s="24">
        <v>-160143</v>
      </c>
      <c r="AL38" s="24">
        <v>-554470</v>
      </c>
      <c r="AM38" s="24">
        <v>-137053</v>
      </c>
      <c r="AN38" s="24">
        <v>-148731</v>
      </c>
      <c r="AO38" s="24">
        <v>-285784</v>
      </c>
      <c r="AP38" s="24">
        <v>-159934</v>
      </c>
      <c r="AQ38" s="24">
        <v>-445718</v>
      </c>
      <c r="AR38" s="24">
        <v>-195985</v>
      </c>
      <c r="AS38" s="24">
        <v>-641703</v>
      </c>
      <c r="AT38" s="128">
        <v>-167000</v>
      </c>
      <c r="AU38" s="128">
        <v>-185211</v>
      </c>
      <c r="AV38" s="24">
        <v>-352211</v>
      </c>
      <c r="AW38" s="128">
        <v>-189434</v>
      </c>
      <c r="AX38" s="24">
        <v>-541645</v>
      </c>
      <c r="AY38" s="128">
        <v>-233896</v>
      </c>
      <c r="AZ38" s="24">
        <v>-775541</v>
      </c>
      <c r="BA38" s="128">
        <v>-208242</v>
      </c>
      <c r="BB38" s="128">
        <v>-226085</v>
      </c>
      <c r="BC38" s="24">
        <v>-434327</v>
      </c>
      <c r="BD38" s="24">
        <v>-217724</v>
      </c>
      <c r="BE38" s="24">
        <v>-652051</v>
      </c>
      <c r="BF38" s="24">
        <v>-277504</v>
      </c>
      <c r="BG38" s="24">
        <v>-929555</v>
      </c>
      <c r="BH38" s="128">
        <v>-240057</v>
      </c>
      <c r="BI38" s="128">
        <v>-249580</v>
      </c>
      <c r="BJ38" s="24">
        <v>-489637</v>
      </c>
      <c r="BK38" s="128">
        <v>-249297</v>
      </c>
      <c r="BL38" s="24">
        <v>-738934</v>
      </c>
      <c r="BM38" s="128">
        <v>-291122</v>
      </c>
      <c r="BN38" s="24">
        <v>-1030056</v>
      </c>
      <c r="BO38" s="128">
        <v>-256198</v>
      </c>
      <c r="BP38" s="128">
        <v>-286169</v>
      </c>
      <c r="BQ38" s="24">
        <v>-542367</v>
      </c>
      <c r="BR38" s="128">
        <v>-287355</v>
      </c>
      <c r="BS38" s="24">
        <v>-829722</v>
      </c>
      <c r="BT38" s="128">
        <v>-342031</v>
      </c>
      <c r="BU38" s="24">
        <v>-1171753</v>
      </c>
      <c r="BV38" s="128">
        <v>-307292</v>
      </c>
      <c r="BW38" s="128">
        <v>-343999</v>
      </c>
      <c r="BX38" s="24">
        <v>-651291</v>
      </c>
      <c r="BY38" s="128">
        <v>-339070</v>
      </c>
      <c r="BZ38" s="24">
        <v>-990361</v>
      </c>
      <c r="CA38" s="128">
        <v>-399367</v>
      </c>
      <c r="CB38" s="24">
        <v>-1389728</v>
      </c>
      <c r="CC38" s="128">
        <v>-353110</v>
      </c>
      <c r="CD38" s="128">
        <v>-394357</v>
      </c>
      <c r="CE38" s="24">
        <v>-747467</v>
      </c>
      <c r="CF38" s="128">
        <v>-375259</v>
      </c>
      <c r="CG38" s="24">
        <v>-1122726</v>
      </c>
      <c r="CH38" s="128">
        <v>-424735</v>
      </c>
      <c r="CI38" s="24">
        <f t="shared" si="82"/>
        <v>-1547461</v>
      </c>
      <c r="CJ38" s="128">
        <v>-418444.63346000004</v>
      </c>
      <c r="CK38" s="128">
        <v>-463130.49000999995</v>
      </c>
      <c r="CL38" s="24">
        <v>-881575.12346999999</v>
      </c>
      <c r="CM38" s="128">
        <v>-455512.74192999996</v>
      </c>
      <c r="CN38" s="24">
        <v>-1337087.8654</v>
      </c>
      <c r="CO38" s="128">
        <v>-528912.49598000001</v>
      </c>
      <c r="CP38" s="24">
        <v>-1866000.3613800001</v>
      </c>
      <c r="CQ38" s="128">
        <v>-478099</v>
      </c>
      <c r="CR38" s="128">
        <v>-507826</v>
      </c>
      <c r="CS38" s="24">
        <v>-985925</v>
      </c>
      <c r="CT38" s="128">
        <v>-504648</v>
      </c>
      <c r="CU38" s="24">
        <v>-1490573</v>
      </c>
      <c r="CV38" s="128">
        <v>-584814</v>
      </c>
      <c r="CW38" s="24">
        <v>-2075387</v>
      </c>
      <c r="CX38" s="128">
        <v>-439174</v>
      </c>
      <c r="CY38" s="128">
        <v>-495829</v>
      </c>
      <c r="CZ38" s="24">
        <v>-935003</v>
      </c>
      <c r="DA38" s="128">
        <v>-481346</v>
      </c>
      <c r="DB38" s="24">
        <v>-1416349</v>
      </c>
      <c r="DC38" s="128">
        <v>-559371</v>
      </c>
      <c r="DD38" s="24">
        <v>-1975720</v>
      </c>
      <c r="DE38" s="128">
        <v>-475090</v>
      </c>
      <c r="DF38" s="128">
        <v>-271005</v>
      </c>
      <c r="DG38" s="24">
        <v>-746095</v>
      </c>
      <c r="DH38" s="128">
        <v>-478255</v>
      </c>
      <c r="DI38" s="24">
        <v>-1224350</v>
      </c>
      <c r="DJ38" s="128">
        <v>-661278</v>
      </c>
      <c r="DK38" s="24">
        <v>-1885628</v>
      </c>
      <c r="DL38" s="128">
        <v>-538038</v>
      </c>
      <c r="DM38" s="128">
        <v>-600683</v>
      </c>
      <c r="DN38" s="24">
        <v>-1138721</v>
      </c>
      <c r="DO38" s="128">
        <v>-629903</v>
      </c>
      <c r="DP38" s="24">
        <v>-1768624</v>
      </c>
      <c r="DQ38" s="128">
        <v>-776488</v>
      </c>
      <c r="DR38" s="24">
        <v>-2545112</v>
      </c>
      <c r="DS38" s="128">
        <v>-629768</v>
      </c>
      <c r="DT38" s="128">
        <v>-729685</v>
      </c>
      <c r="DU38" s="24">
        <v>-1359453</v>
      </c>
      <c r="DV38" s="128">
        <v>-675481</v>
      </c>
      <c r="DW38" s="24">
        <v>-2034934</v>
      </c>
      <c r="DX38" s="128">
        <v>-794501</v>
      </c>
      <c r="DY38" s="24">
        <v>-2829435</v>
      </c>
      <c r="DZ38" s="128">
        <v>-673995</v>
      </c>
      <c r="EA38" s="128">
        <v>-738945</v>
      </c>
      <c r="EB38" s="24">
        <v>-1412940</v>
      </c>
      <c r="EC38" s="128">
        <v>-690457</v>
      </c>
      <c r="ED38" s="24">
        <v>-2103397</v>
      </c>
      <c r="EE38" s="128">
        <v>-841203</v>
      </c>
      <c r="EF38" s="24">
        <v>-2944600</v>
      </c>
      <c r="EG38" s="128">
        <v>-697554</v>
      </c>
      <c r="EH38" s="128">
        <v>-763573</v>
      </c>
      <c r="EI38" s="128">
        <f t="shared" si="83"/>
        <v>-1461127</v>
      </c>
      <c r="EJ38" s="128">
        <v>-745907</v>
      </c>
      <c r="EK38" s="128">
        <f t="shared" si="84"/>
        <v>-2207034</v>
      </c>
      <c r="EL38" s="128">
        <v>-912334</v>
      </c>
      <c r="EM38" s="128">
        <f t="shared" si="84"/>
        <v>-3119368</v>
      </c>
      <c r="EN38" s="128">
        <v>-757318</v>
      </c>
      <c r="EO38" s="128">
        <v>-861220</v>
      </c>
      <c r="EP38" s="128">
        <f>SUM(EN38:EO38)</f>
        <v>-1618538</v>
      </c>
      <c r="EQ38" s="128">
        <v>-803045</v>
      </c>
      <c r="ER38" s="128">
        <f>SUM(EP38:EQ38)</f>
        <v>-2421583</v>
      </c>
      <c r="ES38" s="128">
        <v>-937826</v>
      </c>
      <c r="ET38" s="128">
        <f>SUM(ER38:ES38)</f>
        <v>-3359409</v>
      </c>
      <c r="EU38" s="128">
        <v>-810499</v>
      </c>
      <c r="EV38" s="128">
        <v>-892360</v>
      </c>
      <c r="EW38" s="128">
        <f>SUM(EU38:EV38)</f>
        <v>-1702859</v>
      </c>
    </row>
    <row r="39" spans="1:153" ht="16.350000000000001" customHeight="1">
      <c r="A39" s="9"/>
      <c r="B39" s="23" t="s">
        <v>459</v>
      </c>
      <c r="C39" s="23" t="s">
        <v>348</v>
      </c>
      <c r="D39" s="24">
        <v>-17328</v>
      </c>
      <c r="E39" s="24">
        <v>-22856</v>
      </c>
      <c r="F39" s="24">
        <v>-40184</v>
      </c>
      <c r="G39" s="24">
        <v>-22355</v>
      </c>
      <c r="H39" s="24">
        <v>-62539</v>
      </c>
      <c r="I39" s="24">
        <v>-27692</v>
      </c>
      <c r="J39" s="24">
        <v>-90231</v>
      </c>
      <c r="K39" s="24">
        <v>-23220</v>
      </c>
      <c r="L39" s="24">
        <v>-32309</v>
      </c>
      <c r="M39" s="24">
        <v>-55529</v>
      </c>
      <c r="N39" s="24">
        <v>-31618</v>
      </c>
      <c r="O39" s="24">
        <v>-87147</v>
      </c>
      <c r="P39" s="24">
        <v>-41292</v>
      </c>
      <c r="Q39" s="24">
        <v>-128439</v>
      </c>
      <c r="R39" s="24">
        <v>-32044</v>
      </c>
      <c r="S39" s="24">
        <v>-34024</v>
      </c>
      <c r="T39" s="24">
        <v>-66068</v>
      </c>
      <c r="U39" s="24">
        <v>-36511</v>
      </c>
      <c r="V39" s="24">
        <v>-102579</v>
      </c>
      <c r="W39" s="24">
        <v>-48809</v>
      </c>
      <c r="X39" s="24">
        <v>-151388</v>
      </c>
      <c r="Y39" s="24">
        <v>-36682</v>
      </c>
      <c r="Z39" s="24">
        <v>-43903</v>
      </c>
      <c r="AA39" s="24">
        <v>-80585</v>
      </c>
      <c r="AB39" s="24">
        <v>-46977</v>
      </c>
      <c r="AC39" s="24">
        <v>-127562</v>
      </c>
      <c r="AD39" s="24">
        <v>-51406</v>
      </c>
      <c r="AE39" s="24">
        <v>-178968</v>
      </c>
      <c r="AF39" s="24">
        <v>-38003</v>
      </c>
      <c r="AG39" s="24">
        <v>-46198</v>
      </c>
      <c r="AH39" s="24">
        <v>-84201</v>
      </c>
      <c r="AI39" s="24">
        <v>-43957</v>
      </c>
      <c r="AJ39" s="24">
        <v>-128158</v>
      </c>
      <c r="AK39" s="24">
        <v>-52188</v>
      </c>
      <c r="AL39" s="24">
        <v>-180346</v>
      </c>
      <c r="AM39" s="24">
        <v>-40966</v>
      </c>
      <c r="AN39" s="24">
        <v>-50098</v>
      </c>
      <c r="AO39" s="24">
        <v>-91064</v>
      </c>
      <c r="AP39" s="24">
        <v>-56810</v>
      </c>
      <c r="AQ39" s="24">
        <v>-147874</v>
      </c>
      <c r="AR39" s="24">
        <v>-63890</v>
      </c>
      <c r="AS39" s="24">
        <v>-211764</v>
      </c>
      <c r="AT39" s="128">
        <v>-51523</v>
      </c>
      <c r="AU39" s="128">
        <v>-60560</v>
      </c>
      <c r="AV39" s="24">
        <v>-112083</v>
      </c>
      <c r="AW39" s="128">
        <v>-63936</v>
      </c>
      <c r="AX39" s="24">
        <v>-176019</v>
      </c>
      <c r="AY39" s="128">
        <v>-74662</v>
      </c>
      <c r="AZ39" s="24">
        <v>-250681</v>
      </c>
      <c r="BA39" s="128">
        <v>-64196</v>
      </c>
      <c r="BB39" s="128">
        <v>-68973</v>
      </c>
      <c r="BC39" s="24">
        <v>-133169</v>
      </c>
      <c r="BD39" s="24">
        <v>-74110</v>
      </c>
      <c r="BE39" s="24">
        <v>-207279</v>
      </c>
      <c r="BF39" s="24">
        <v>-86652</v>
      </c>
      <c r="BG39" s="24">
        <v>-293931</v>
      </c>
      <c r="BH39" s="128">
        <v>-78755</v>
      </c>
      <c r="BI39" s="128">
        <v>-79154</v>
      </c>
      <c r="BJ39" s="24">
        <v>-157909</v>
      </c>
      <c r="BK39" s="128">
        <v>-86293</v>
      </c>
      <c r="BL39" s="24">
        <v>-244202</v>
      </c>
      <c r="BM39" s="128">
        <v>-86053</v>
      </c>
      <c r="BN39" s="24">
        <v>-330255</v>
      </c>
      <c r="BO39" s="128">
        <v>-81634</v>
      </c>
      <c r="BP39" s="128">
        <v>-92299</v>
      </c>
      <c r="BQ39" s="24">
        <v>-173933</v>
      </c>
      <c r="BR39" s="128">
        <v>-98792</v>
      </c>
      <c r="BS39" s="24">
        <v>-272725</v>
      </c>
      <c r="BT39" s="128">
        <v>-125275</v>
      </c>
      <c r="BU39" s="24">
        <v>-398000</v>
      </c>
      <c r="BV39" s="128">
        <v>-100353</v>
      </c>
      <c r="BW39" s="128">
        <v>-116651</v>
      </c>
      <c r="BX39" s="24">
        <v>-217004</v>
      </c>
      <c r="BY39" s="128">
        <v>-122131</v>
      </c>
      <c r="BZ39" s="24">
        <v>-339135</v>
      </c>
      <c r="CA39" s="128">
        <v>-130254</v>
      </c>
      <c r="CB39" s="24">
        <v>-469389</v>
      </c>
      <c r="CC39" s="128">
        <v>-120667</v>
      </c>
      <c r="CD39" s="128">
        <v>-130629</v>
      </c>
      <c r="CE39" s="24">
        <v>-251296</v>
      </c>
      <c r="CF39" s="128">
        <v>-134271</v>
      </c>
      <c r="CG39" s="24">
        <v>-385567</v>
      </c>
      <c r="CH39" s="128">
        <v>-135497</v>
      </c>
      <c r="CI39" s="24">
        <f t="shared" si="82"/>
        <v>-521064</v>
      </c>
      <c r="CJ39" s="128">
        <v>-129705.13443000001</v>
      </c>
      <c r="CK39" s="128">
        <v>-135603.50086</v>
      </c>
      <c r="CL39" s="24">
        <v>-265308.63529000001</v>
      </c>
      <c r="CM39" s="128">
        <v>-150096.68736000001</v>
      </c>
      <c r="CN39" s="24">
        <v>-415405.32264999999</v>
      </c>
      <c r="CO39" s="128">
        <v>-169379.93951</v>
      </c>
      <c r="CP39" s="24">
        <v>-584785.26215999993</v>
      </c>
      <c r="CQ39" s="128">
        <v>-149298</v>
      </c>
      <c r="CR39" s="128">
        <v>-161412</v>
      </c>
      <c r="CS39" s="24">
        <v>-310710</v>
      </c>
      <c r="CT39" s="128">
        <v>-176513</v>
      </c>
      <c r="CU39" s="24">
        <v>-487223</v>
      </c>
      <c r="CV39" s="128">
        <v>-200229</v>
      </c>
      <c r="CW39" s="24">
        <v>-687452</v>
      </c>
      <c r="CX39" s="128">
        <v>-170241</v>
      </c>
      <c r="CY39" s="128">
        <v>-182454</v>
      </c>
      <c r="CZ39" s="24">
        <v>-352695</v>
      </c>
      <c r="DA39" s="128">
        <v>-196024</v>
      </c>
      <c r="DB39" s="24">
        <v>-548719</v>
      </c>
      <c r="DC39" s="128">
        <v>-212317</v>
      </c>
      <c r="DD39" s="24">
        <v>-761036</v>
      </c>
      <c r="DE39" s="128">
        <v>-190264</v>
      </c>
      <c r="DF39" s="128">
        <v>-150478</v>
      </c>
      <c r="DG39" s="24">
        <v>-340742</v>
      </c>
      <c r="DH39" s="128">
        <v>-175639</v>
      </c>
      <c r="DI39" s="24">
        <v>-516381</v>
      </c>
      <c r="DJ39" s="128">
        <v>-206902</v>
      </c>
      <c r="DK39" s="24">
        <v>-723283</v>
      </c>
      <c r="DL39" s="128">
        <v>-211522</v>
      </c>
      <c r="DM39" s="128">
        <v>-236832</v>
      </c>
      <c r="DN39" s="24">
        <v>-448354</v>
      </c>
      <c r="DO39" s="128">
        <v>-236496</v>
      </c>
      <c r="DP39" s="24">
        <v>-684850</v>
      </c>
      <c r="DQ39" s="128">
        <v>-299809</v>
      </c>
      <c r="DR39" s="24">
        <v>-984659</v>
      </c>
      <c r="DS39" s="128">
        <v>-298222</v>
      </c>
      <c r="DT39" s="128">
        <v>-327798</v>
      </c>
      <c r="DU39" s="24">
        <v>-626020</v>
      </c>
      <c r="DV39" s="128">
        <v>-332496</v>
      </c>
      <c r="DW39" s="24">
        <v>-958516</v>
      </c>
      <c r="DX39" s="128">
        <v>-337320</v>
      </c>
      <c r="DY39" s="24">
        <v>-1295836</v>
      </c>
      <c r="DZ39" s="128">
        <v>-335436</v>
      </c>
      <c r="EA39" s="128">
        <v>-354084</v>
      </c>
      <c r="EB39" s="24">
        <v>-689520</v>
      </c>
      <c r="EC39" s="128">
        <v>-346603</v>
      </c>
      <c r="ED39" s="24">
        <v>-1036123</v>
      </c>
      <c r="EE39" s="128">
        <v>-380173</v>
      </c>
      <c r="EF39" s="24">
        <v>-1416296</v>
      </c>
      <c r="EG39" s="128">
        <f>-338911-EG50</f>
        <v>-334793.56599999999</v>
      </c>
      <c r="EH39" s="128">
        <f>-357670-EH50</f>
        <v>-355336.64500000002</v>
      </c>
      <c r="EI39" s="128">
        <f t="shared" si="83"/>
        <v>-690130.21100000001</v>
      </c>
      <c r="EJ39" s="128">
        <f>-357141-EJ50</f>
        <v>-345309.39500000002</v>
      </c>
      <c r="EK39" s="128">
        <f t="shared" si="84"/>
        <v>-1035439.606</v>
      </c>
      <c r="EL39" s="128">
        <f>-393110-EL50</f>
        <v>-390841.19900000002</v>
      </c>
      <c r="EM39" s="128">
        <f t="shared" si="84"/>
        <v>-1426280.8050000002</v>
      </c>
      <c r="EN39" s="128">
        <f>-363661-EN50</f>
        <v>-353330.78</v>
      </c>
      <c r="EO39" s="128">
        <f>-414964+921-EO50</f>
        <v>-393836.29</v>
      </c>
      <c r="EP39" s="128">
        <f t="shared" ref="EP39:ET51" si="88">SUM(EN39:EO39)</f>
        <v>-747167.07000000007</v>
      </c>
      <c r="EQ39" s="128">
        <f>-372974-EQ50</f>
        <v>-369506.59</v>
      </c>
      <c r="ER39" s="128">
        <f t="shared" si="88"/>
        <v>-1116673.6600000001</v>
      </c>
      <c r="ES39" s="128">
        <f>-410074-ES50</f>
        <v>-402966.59</v>
      </c>
      <c r="ET39" s="128">
        <f t="shared" si="88"/>
        <v>-1519640.2500000002</v>
      </c>
      <c r="EU39" s="128">
        <v>-366426</v>
      </c>
      <c r="EV39" s="128">
        <v>-398660</v>
      </c>
      <c r="EW39" s="128">
        <f t="shared" ref="EW39:EW51" si="89">SUM(EU39:EV39)</f>
        <v>-765086</v>
      </c>
    </row>
    <row r="40" spans="1:153" ht="16.350000000000001" customHeight="1">
      <c r="A40" s="9"/>
      <c r="B40" s="23" t="s">
        <v>366</v>
      </c>
      <c r="C40" s="23" t="s">
        <v>55</v>
      </c>
      <c r="D40" s="24">
        <v>-9771</v>
      </c>
      <c r="E40" s="24">
        <v>-8075</v>
      </c>
      <c r="F40" s="24">
        <v>-17846</v>
      </c>
      <c r="G40" s="24">
        <v>-8020</v>
      </c>
      <c r="H40" s="24">
        <v>-25866</v>
      </c>
      <c r="I40" s="24">
        <v>-8159</v>
      </c>
      <c r="J40" s="24">
        <v>-34025</v>
      </c>
      <c r="K40" s="24">
        <v>-8642</v>
      </c>
      <c r="L40" s="24">
        <v>-9384</v>
      </c>
      <c r="M40" s="24">
        <v>-18026</v>
      </c>
      <c r="N40" s="24">
        <v>-10072</v>
      </c>
      <c r="O40" s="24">
        <v>-28098</v>
      </c>
      <c r="P40" s="24">
        <v>-10721</v>
      </c>
      <c r="Q40" s="24">
        <v>-38819</v>
      </c>
      <c r="R40" s="24">
        <v>-11703</v>
      </c>
      <c r="S40" s="24">
        <v>-12100</v>
      </c>
      <c r="T40" s="24">
        <v>-23803</v>
      </c>
      <c r="U40" s="24">
        <v>-12625</v>
      </c>
      <c r="V40" s="24">
        <v>-36428</v>
      </c>
      <c r="W40" s="24">
        <v>-13279</v>
      </c>
      <c r="X40" s="24">
        <v>-49707</v>
      </c>
      <c r="Y40" s="24">
        <v>-14580</v>
      </c>
      <c r="Z40" s="24">
        <v>-15314</v>
      </c>
      <c r="AA40" s="24">
        <v>-29894</v>
      </c>
      <c r="AB40" s="24">
        <v>-15975</v>
      </c>
      <c r="AC40" s="24">
        <v>-45868</v>
      </c>
      <c r="AD40" s="24">
        <v>-16157</v>
      </c>
      <c r="AE40" s="24">
        <v>-62026</v>
      </c>
      <c r="AF40" s="24">
        <v>-18139</v>
      </c>
      <c r="AG40" s="24">
        <v>-18342</v>
      </c>
      <c r="AH40" s="24">
        <v>-36481</v>
      </c>
      <c r="AI40" s="24">
        <v>-18799</v>
      </c>
      <c r="AJ40" s="24">
        <v>-55280</v>
      </c>
      <c r="AK40" s="24">
        <v>-18793</v>
      </c>
      <c r="AL40" s="24">
        <v>-74073</v>
      </c>
      <c r="AM40" s="24">
        <v>-18795</v>
      </c>
      <c r="AN40" s="24">
        <v>-17923</v>
      </c>
      <c r="AO40" s="24">
        <v>-36718</v>
      </c>
      <c r="AP40" s="24">
        <v>-18294</v>
      </c>
      <c r="AQ40" s="24">
        <v>-55012</v>
      </c>
      <c r="AR40" s="24">
        <v>-20775</v>
      </c>
      <c r="AS40" s="24">
        <v>-75787</v>
      </c>
      <c r="AT40" s="128">
        <v>-21515</v>
      </c>
      <c r="AU40" s="128">
        <v>-22579</v>
      </c>
      <c r="AV40" s="24">
        <v>-44094</v>
      </c>
      <c r="AW40" s="128">
        <v>-24173</v>
      </c>
      <c r="AX40" s="24">
        <v>-68267</v>
      </c>
      <c r="AY40" s="128">
        <v>-29371</v>
      </c>
      <c r="AZ40" s="24">
        <v>-97638</v>
      </c>
      <c r="BA40" s="128">
        <v>-30147</v>
      </c>
      <c r="BB40" s="128">
        <v>-31930</v>
      </c>
      <c r="BC40" s="24">
        <v>-62077</v>
      </c>
      <c r="BD40" s="128">
        <v>-33749</v>
      </c>
      <c r="BE40" s="24">
        <v>-95826</v>
      </c>
      <c r="BF40" s="128">
        <v>-37124</v>
      </c>
      <c r="BG40" s="24">
        <v>-132950</v>
      </c>
      <c r="BH40" s="128">
        <v>-39291</v>
      </c>
      <c r="BI40" s="128">
        <v>-40586</v>
      </c>
      <c r="BJ40" s="24">
        <v>-79877</v>
      </c>
      <c r="BK40" s="128">
        <v>-42276</v>
      </c>
      <c r="BL40" s="24">
        <v>-122153</v>
      </c>
      <c r="BM40" s="128">
        <v>-45284</v>
      </c>
      <c r="BN40" s="24">
        <v>-167437</v>
      </c>
      <c r="BO40" s="128">
        <v>-48304.26</v>
      </c>
      <c r="BP40" s="128">
        <v>-51633</v>
      </c>
      <c r="BQ40" s="24">
        <v>-99937.260000000009</v>
      </c>
      <c r="BR40" s="128">
        <v>-55024</v>
      </c>
      <c r="BS40" s="24">
        <v>-154961.26</v>
      </c>
      <c r="BT40" s="128">
        <v>-57769.084999999999</v>
      </c>
      <c r="BU40" s="24">
        <v>-212730.345</v>
      </c>
      <c r="BV40" s="128">
        <v>-61385.209040000002</v>
      </c>
      <c r="BW40" s="128">
        <v>-63684.935679999799</v>
      </c>
      <c r="BX40" s="24">
        <v>-125070.14471999981</v>
      </c>
      <c r="BY40" s="128">
        <v>-68235</v>
      </c>
      <c r="BZ40" s="24">
        <v>-193305.14471999981</v>
      </c>
      <c r="CA40" s="128">
        <v>-71475</v>
      </c>
      <c r="CB40" s="24">
        <v>-264780.14471999981</v>
      </c>
      <c r="CC40" s="128">
        <v>-73366</v>
      </c>
      <c r="CD40" s="128">
        <v>-76912</v>
      </c>
      <c r="CE40" s="24">
        <v>-150278</v>
      </c>
      <c r="CF40" s="128">
        <v>-78601</v>
      </c>
      <c r="CG40" s="24">
        <v>-228879</v>
      </c>
      <c r="CH40" s="128">
        <v>-82382</v>
      </c>
      <c r="CI40" s="24">
        <f t="shared" si="82"/>
        <v>-311261</v>
      </c>
      <c r="CJ40" s="128">
        <v>-79114</v>
      </c>
      <c r="CK40" s="128">
        <v>-79710</v>
      </c>
      <c r="CL40" s="24">
        <v>-158824</v>
      </c>
      <c r="CM40" s="128">
        <v>-82769</v>
      </c>
      <c r="CN40" s="24">
        <v>-241593</v>
      </c>
      <c r="CO40" s="128">
        <v>-87459</v>
      </c>
      <c r="CP40" s="24">
        <v>-329052</v>
      </c>
      <c r="CQ40" s="128">
        <v>-73848</v>
      </c>
      <c r="CR40" s="128">
        <v>-76281</v>
      </c>
      <c r="CS40" s="24">
        <v>-150129</v>
      </c>
      <c r="CT40" s="128">
        <v>-81285</v>
      </c>
      <c r="CU40" s="24">
        <v>-231414</v>
      </c>
      <c r="CV40" s="128">
        <v>-83160</v>
      </c>
      <c r="CW40" s="24">
        <v>-314574</v>
      </c>
      <c r="CX40" s="128">
        <v>-162480</v>
      </c>
      <c r="CY40" s="128">
        <v>-164860</v>
      </c>
      <c r="CZ40" s="24">
        <v>-327340</v>
      </c>
      <c r="DA40" s="128">
        <v>-167151</v>
      </c>
      <c r="DB40" s="24">
        <v>-494491</v>
      </c>
      <c r="DC40" s="128">
        <v>-167262</v>
      </c>
      <c r="DD40" s="24">
        <v>-661753</v>
      </c>
      <c r="DE40" s="128">
        <v>-181578</v>
      </c>
      <c r="DF40" s="128">
        <v>-183013</v>
      </c>
      <c r="DG40" s="24">
        <v>-364591</v>
      </c>
      <c r="DH40" s="128">
        <v>-198282</v>
      </c>
      <c r="DI40" s="24">
        <v>-562873</v>
      </c>
      <c r="DJ40" s="128">
        <v>-196768</v>
      </c>
      <c r="DK40" s="24">
        <v>-759641</v>
      </c>
      <c r="DL40" s="128">
        <v>-201481</v>
      </c>
      <c r="DM40" s="128">
        <v>-212132</v>
      </c>
      <c r="DN40" s="24">
        <v>-413613</v>
      </c>
      <c r="DO40" s="128">
        <v>-226397</v>
      </c>
      <c r="DP40" s="24">
        <v>-640010</v>
      </c>
      <c r="DQ40" s="128">
        <v>-237007</v>
      </c>
      <c r="DR40" s="24">
        <v>-877017</v>
      </c>
      <c r="DS40" s="128">
        <v>-235030</v>
      </c>
      <c r="DT40" s="128">
        <v>-251053</v>
      </c>
      <c r="DU40" s="24">
        <v>-486083</v>
      </c>
      <c r="DV40" s="128">
        <v>-251178</v>
      </c>
      <c r="DW40" s="24">
        <v>-737261</v>
      </c>
      <c r="DX40" s="128">
        <v>-256589</v>
      </c>
      <c r="DY40" s="24">
        <v>-993850</v>
      </c>
      <c r="DZ40" s="128">
        <v>-256590</v>
      </c>
      <c r="EA40" s="128">
        <v>-247648</v>
      </c>
      <c r="EB40" s="24">
        <v>-504238</v>
      </c>
      <c r="EC40" s="128">
        <v>-264253</v>
      </c>
      <c r="ED40" s="24">
        <v>-768491</v>
      </c>
      <c r="EE40" s="128">
        <v>-281753</v>
      </c>
      <c r="EF40" s="24">
        <v>-1050244</v>
      </c>
      <c r="EG40" s="128">
        <v>-295856</v>
      </c>
      <c r="EH40" s="128">
        <v>-299295</v>
      </c>
      <c r="EI40" s="128">
        <f t="shared" si="83"/>
        <v>-595151</v>
      </c>
      <c r="EJ40" s="128">
        <v>-296223</v>
      </c>
      <c r="EK40" s="128">
        <f t="shared" si="84"/>
        <v>-891374</v>
      </c>
      <c r="EL40" s="128">
        <v>-306470</v>
      </c>
      <c r="EM40" s="128">
        <f t="shared" si="84"/>
        <v>-1197844</v>
      </c>
      <c r="EN40" s="128">
        <f>-304951</f>
        <v>-304951</v>
      </c>
      <c r="EO40" s="128">
        <f>-323073-921</f>
        <v>-323994</v>
      </c>
      <c r="EP40" s="128">
        <f t="shared" si="88"/>
        <v>-628945</v>
      </c>
      <c r="EQ40" s="128">
        <v>-307242</v>
      </c>
      <c r="ER40" s="128">
        <f t="shared" si="88"/>
        <v>-936187</v>
      </c>
      <c r="ES40" s="128">
        <v>-309848</v>
      </c>
      <c r="ET40" s="128">
        <f t="shared" si="88"/>
        <v>-1246035</v>
      </c>
      <c r="EU40" s="128">
        <v>-316165</v>
      </c>
      <c r="EV40" s="128">
        <v>-317047</v>
      </c>
      <c r="EW40" s="128">
        <f t="shared" si="89"/>
        <v>-633212</v>
      </c>
    </row>
    <row r="41" spans="1:153" ht="16.350000000000001" customHeight="1">
      <c r="A41" s="9"/>
      <c r="B41" s="480" t="s">
        <v>367</v>
      </c>
      <c r="C41" s="480" t="s">
        <v>0</v>
      </c>
      <c r="D41" s="481">
        <v>-6021</v>
      </c>
      <c r="E41" s="481">
        <v>-8706</v>
      </c>
      <c r="F41" s="481">
        <v>-14727</v>
      </c>
      <c r="G41" s="481">
        <v>-23815</v>
      </c>
      <c r="H41" s="481">
        <v>-38542</v>
      </c>
      <c r="I41" s="481">
        <v>-19132</v>
      </c>
      <c r="J41" s="481">
        <v>-57674</v>
      </c>
      <c r="K41" s="481">
        <v>-5598</v>
      </c>
      <c r="L41" s="481">
        <v>-8767</v>
      </c>
      <c r="M41" s="481">
        <v>-14365</v>
      </c>
      <c r="N41" s="481">
        <v>-7682</v>
      </c>
      <c r="O41" s="481">
        <v>-22047</v>
      </c>
      <c r="P41" s="481">
        <v>-26877</v>
      </c>
      <c r="Q41" s="481">
        <v>-48924</v>
      </c>
      <c r="R41" s="481">
        <v>-11463</v>
      </c>
      <c r="S41" s="481">
        <v>-15414</v>
      </c>
      <c r="T41" s="481">
        <v>-26877</v>
      </c>
      <c r="U41" s="481">
        <v>-6518</v>
      </c>
      <c r="V41" s="481">
        <v>-33395</v>
      </c>
      <c r="W41" s="481">
        <v>-28621</v>
      </c>
      <c r="X41" s="481">
        <v>-62016</v>
      </c>
      <c r="Y41" s="481">
        <v>-15629</v>
      </c>
      <c r="Z41" s="481">
        <v>-18574</v>
      </c>
      <c r="AA41" s="481">
        <v>-34203</v>
      </c>
      <c r="AB41" s="481">
        <v>-20387</v>
      </c>
      <c r="AC41" s="481">
        <v>-54587</v>
      </c>
      <c r="AD41" s="481">
        <v>-18036</v>
      </c>
      <c r="AE41" s="481">
        <v>-72626</v>
      </c>
      <c r="AF41" s="481">
        <v>-16356</v>
      </c>
      <c r="AG41" s="481">
        <v>-23051</v>
      </c>
      <c r="AH41" s="481">
        <v>-39407</v>
      </c>
      <c r="AI41" s="481">
        <v>-21935</v>
      </c>
      <c r="AJ41" s="481">
        <v>-61342</v>
      </c>
      <c r="AK41" s="481">
        <v>-37824</v>
      </c>
      <c r="AL41" s="481">
        <v>-99166</v>
      </c>
      <c r="AM41" s="481">
        <v>-22436</v>
      </c>
      <c r="AN41" s="481">
        <v>-30160</v>
      </c>
      <c r="AO41" s="481">
        <v>-52596</v>
      </c>
      <c r="AP41" s="481">
        <v>-21945</v>
      </c>
      <c r="AQ41" s="481">
        <v>-74541</v>
      </c>
      <c r="AR41" s="481">
        <v>-45440</v>
      </c>
      <c r="AS41" s="481">
        <v>-119981</v>
      </c>
      <c r="AT41" s="481">
        <v>-31314</v>
      </c>
      <c r="AU41" s="481">
        <v>-36428</v>
      </c>
      <c r="AV41" s="481">
        <v>-67742</v>
      </c>
      <c r="AW41" s="481">
        <v>-30576.441760000002</v>
      </c>
      <c r="AX41" s="481">
        <v>-98318.441760000002</v>
      </c>
      <c r="AY41" s="481">
        <v>-38177</v>
      </c>
      <c r="AZ41" s="481">
        <v>-136495.44176000002</v>
      </c>
      <c r="BA41" s="481">
        <v>-42394</v>
      </c>
      <c r="BB41" s="481">
        <v>-47330</v>
      </c>
      <c r="BC41" s="481">
        <v>-89724</v>
      </c>
      <c r="BD41" s="481">
        <v>-45537</v>
      </c>
      <c r="BE41" s="481">
        <v>-135261</v>
      </c>
      <c r="BF41" s="481">
        <v>-51234</v>
      </c>
      <c r="BG41" s="481">
        <v>-186495</v>
      </c>
      <c r="BH41" s="481">
        <v>-42745</v>
      </c>
      <c r="BI41" s="481">
        <v>-52224</v>
      </c>
      <c r="BJ41" s="481">
        <v>-94969</v>
      </c>
      <c r="BK41" s="481">
        <v>-42215</v>
      </c>
      <c r="BL41" s="481">
        <v>-137184</v>
      </c>
      <c r="BM41" s="481">
        <v>-44886</v>
      </c>
      <c r="BN41" s="481">
        <v>-182070</v>
      </c>
      <c r="BO41" s="481">
        <v>-43314.29</v>
      </c>
      <c r="BP41" s="481">
        <v>-68887</v>
      </c>
      <c r="BQ41" s="481">
        <v>-112201.29000000001</v>
      </c>
      <c r="BR41" s="481">
        <v>-61769</v>
      </c>
      <c r="BS41" s="481">
        <v>-173970.29</v>
      </c>
      <c r="BT41" s="481">
        <v>-103942.99600000001</v>
      </c>
      <c r="BU41" s="481">
        <v>-277913.28600000002</v>
      </c>
      <c r="BV41" s="481">
        <v>-56431.511449999889</v>
      </c>
      <c r="BW41" s="481">
        <v>-65439.423680000094</v>
      </c>
      <c r="BX41" s="481">
        <v>-121870.93512999998</v>
      </c>
      <c r="BY41" s="481">
        <v>-61509</v>
      </c>
      <c r="BZ41" s="481">
        <v>-183379.93513</v>
      </c>
      <c r="CA41" s="481">
        <v>-112173.69659000001</v>
      </c>
      <c r="CB41" s="481">
        <v>-295553.63172</v>
      </c>
      <c r="CC41" s="481">
        <v>-56082</v>
      </c>
      <c r="CD41" s="481">
        <v>-58625</v>
      </c>
      <c r="CE41" s="481">
        <v>-114707</v>
      </c>
      <c r="CF41" s="481">
        <v>-61776</v>
      </c>
      <c r="CG41" s="481">
        <v>-176483</v>
      </c>
      <c r="CH41" s="481">
        <v>-82333</v>
      </c>
      <c r="CI41" s="481">
        <f t="shared" si="82"/>
        <v>-258816</v>
      </c>
      <c r="CJ41" s="481">
        <v>-68102.232110000041</v>
      </c>
      <c r="CK41" s="481">
        <v>-86664.009129999962</v>
      </c>
      <c r="CL41" s="481">
        <v>-154766.24124</v>
      </c>
      <c r="CM41" s="481">
        <v>-78109.57071</v>
      </c>
      <c r="CN41" s="481">
        <v>-232875.81195</v>
      </c>
      <c r="CO41" s="481">
        <v>-143604.56450999988</v>
      </c>
      <c r="CP41" s="481">
        <v>-376480.37645999988</v>
      </c>
      <c r="CQ41" s="481">
        <v>-80140</v>
      </c>
      <c r="CR41" s="481">
        <v>-78461.035139999993</v>
      </c>
      <c r="CS41" s="481">
        <v>-158601.03513999999</v>
      </c>
      <c r="CT41" s="481">
        <v>-64912.568249999997</v>
      </c>
      <c r="CU41" s="481">
        <v>-223513.60339</v>
      </c>
      <c r="CV41" s="481">
        <v>-136603.74920000002</v>
      </c>
      <c r="CW41" s="481">
        <v>-360117.35259000002</v>
      </c>
      <c r="CX41" s="481">
        <v>-55799</v>
      </c>
      <c r="CY41" s="481">
        <v>-91049</v>
      </c>
      <c r="CZ41" s="481">
        <v>-146848</v>
      </c>
      <c r="DA41" s="481">
        <v>-100624</v>
      </c>
      <c r="DB41" s="481">
        <v>-247472</v>
      </c>
      <c r="DC41" s="481">
        <v>-154508</v>
      </c>
      <c r="DD41" s="481">
        <v>-401980</v>
      </c>
      <c r="DE41" s="481">
        <v>-88495</v>
      </c>
      <c r="DF41" s="481">
        <v>654755</v>
      </c>
      <c r="DG41" s="481">
        <v>566260</v>
      </c>
      <c r="DH41" s="481">
        <v>-103716</v>
      </c>
      <c r="DI41" s="481">
        <v>462544</v>
      </c>
      <c r="DJ41" s="481">
        <v>-138087</v>
      </c>
      <c r="DK41" s="481">
        <v>324457</v>
      </c>
      <c r="DL41" s="481">
        <v>-94211</v>
      </c>
      <c r="DM41" s="481">
        <v>-82260</v>
      </c>
      <c r="DN41" s="481">
        <v>-176471</v>
      </c>
      <c r="DO41" s="481">
        <v>-141753</v>
      </c>
      <c r="DP41" s="481">
        <v>-318224</v>
      </c>
      <c r="DQ41" s="481">
        <v>-293621</v>
      </c>
      <c r="DR41" s="481">
        <v>-611845</v>
      </c>
      <c r="DS41" s="481">
        <v>-120324</v>
      </c>
      <c r="DT41" s="481">
        <v>-180225</v>
      </c>
      <c r="DU41" s="481">
        <v>-300549</v>
      </c>
      <c r="DV41" s="481">
        <v>-79166</v>
      </c>
      <c r="DW41" s="481">
        <v>-379715</v>
      </c>
      <c r="DX41" s="481">
        <v>-86836</v>
      </c>
      <c r="DY41" s="481">
        <v>-466551</v>
      </c>
      <c r="DZ41" s="481">
        <v>-116293</v>
      </c>
      <c r="EA41" s="481">
        <v>-136571</v>
      </c>
      <c r="EB41" s="481">
        <v>-252864</v>
      </c>
      <c r="EC41" s="481">
        <v>-124979</v>
      </c>
      <c r="ED41" s="481">
        <v>-377843</v>
      </c>
      <c r="EE41" s="481">
        <v>-199265</v>
      </c>
      <c r="EF41" s="481">
        <v>-577108</v>
      </c>
      <c r="EG41" s="481">
        <f>SUM(EG42:EG48)</f>
        <v>-100562.43400000001</v>
      </c>
      <c r="EH41" s="481">
        <f>SUM(EH42:EH48)</f>
        <v>-131100.35500000001</v>
      </c>
      <c r="EI41" s="481">
        <f t="shared" si="83"/>
        <v>-231662.78900000002</v>
      </c>
      <c r="EJ41" s="481">
        <f>SUM(EJ42:EJ48)</f>
        <v>-157538.60499999998</v>
      </c>
      <c r="EK41" s="481">
        <f t="shared" si="84"/>
        <v>-389201.39399999997</v>
      </c>
      <c r="EL41" s="481">
        <f>SUM(EL42:EL48)</f>
        <v>-392631.80099999998</v>
      </c>
      <c r="EM41" s="481">
        <f t="shared" si="84"/>
        <v>-781833.19499999995</v>
      </c>
      <c r="EN41" s="481">
        <f t="shared" ref="EN41:EU41" si="90">SUM(EN42:EN48)</f>
        <v>-155723.22</v>
      </c>
      <c r="EO41" s="481">
        <f t="shared" si="90"/>
        <v>-211113.71</v>
      </c>
      <c r="EP41" s="481">
        <f t="shared" si="90"/>
        <v>-366836.93</v>
      </c>
      <c r="EQ41" s="481">
        <f t="shared" si="90"/>
        <v>-164462.41</v>
      </c>
      <c r="ER41" s="481">
        <f t="shared" si="90"/>
        <v>-531299.34</v>
      </c>
      <c r="ES41" s="481">
        <f t="shared" si="90"/>
        <v>-363795.41000000003</v>
      </c>
      <c r="ET41" s="481">
        <f t="shared" si="90"/>
        <v>-895094.75</v>
      </c>
      <c r="EU41" s="481">
        <f t="shared" si="90"/>
        <v>-112211</v>
      </c>
      <c r="EV41" s="481">
        <f t="shared" ref="EV41:EW41" si="91">SUM(EV42:EV48)</f>
        <v>-197241</v>
      </c>
      <c r="EW41" s="481">
        <f t="shared" si="91"/>
        <v>-309452</v>
      </c>
    </row>
    <row r="42" spans="1:153" ht="16.350000000000001" customHeight="1" outlineLevel="1">
      <c r="A42" s="9"/>
      <c r="B42" s="121" t="s">
        <v>365</v>
      </c>
      <c r="C42" s="121" t="s">
        <v>373</v>
      </c>
      <c r="D42" s="24">
        <v>-2379</v>
      </c>
      <c r="E42" s="24">
        <v>-2775</v>
      </c>
      <c r="F42" s="24">
        <v>-5154</v>
      </c>
      <c r="G42" s="24">
        <v>-3034</v>
      </c>
      <c r="H42" s="24">
        <v>-8188</v>
      </c>
      <c r="I42" s="24">
        <v>-3290</v>
      </c>
      <c r="J42" s="24">
        <v>-11478</v>
      </c>
      <c r="K42" s="24">
        <v>-2910</v>
      </c>
      <c r="L42" s="24">
        <v>-4254</v>
      </c>
      <c r="M42" s="24">
        <v>-7164</v>
      </c>
      <c r="N42" s="24">
        <v>-4230</v>
      </c>
      <c r="O42" s="24">
        <v>-11394</v>
      </c>
      <c r="P42" s="24">
        <v>-4706</v>
      </c>
      <c r="Q42" s="24">
        <v>-16100</v>
      </c>
      <c r="R42" s="24">
        <v>-5112</v>
      </c>
      <c r="S42" s="24">
        <v>-7000</v>
      </c>
      <c r="T42" s="24">
        <v>-12112</v>
      </c>
      <c r="U42" s="24">
        <v>-7056</v>
      </c>
      <c r="V42" s="24">
        <v>-19168</v>
      </c>
      <c r="W42" s="24">
        <v>-9905</v>
      </c>
      <c r="X42" s="24">
        <v>-29073</v>
      </c>
      <c r="Y42" s="24">
        <v>-7829</v>
      </c>
      <c r="Z42" s="24">
        <v>-10547</v>
      </c>
      <c r="AA42" s="24">
        <v>-18376</v>
      </c>
      <c r="AB42" s="24">
        <v>-9061</v>
      </c>
      <c r="AC42" s="24">
        <v>-27436</v>
      </c>
      <c r="AD42" s="24">
        <v>-10648</v>
      </c>
      <c r="AE42" s="24">
        <v>-38085</v>
      </c>
      <c r="AF42" s="24">
        <v>-7767</v>
      </c>
      <c r="AG42" s="24">
        <v>-9636</v>
      </c>
      <c r="AH42" s="24">
        <v>-17403</v>
      </c>
      <c r="AI42" s="24">
        <v>-9667</v>
      </c>
      <c r="AJ42" s="24">
        <v>-27070</v>
      </c>
      <c r="AK42" s="24">
        <v>-11431</v>
      </c>
      <c r="AL42" s="24">
        <v>-38501</v>
      </c>
      <c r="AM42" s="24">
        <v>-9571</v>
      </c>
      <c r="AN42" s="24">
        <v>-11872</v>
      </c>
      <c r="AO42" s="24">
        <v>-21443</v>
      </c>
      <c r="AP42" s="24">
        <v>-12363</v>
      </c>
      <c r="AQ42" s="24">
        <v>-33806</v>
      </c>
      <c r="AR42" s="24">
        <v>-18540</v>
      </c>
      <c r="AS42" s="24">
        <v>-52346</v>
      </c>
      <c r="AT42" s="128">
        <v>-17629</v>
      </c>
      <c r="AU42" s="128">
        <v>-20167</v>
      </c>
      <c r="AV42" s="24">
        <v>-37796</v>
      </c>
      <c r="AW42" s="128">
        <v>-21205.325000000001</v>
      </c>
      <c r="AX42" s="24">
        <v>-59001.324999999997</v>
      </c>
      <c r="AY42" s="128">
        <v>-27541</v>
      </c>
      <c r="AZ42" s="24">
        <v>-86542.324999999997</v>
      </c>
      <c r="BA42" s="128">
        <v>-24735</v>
      </c>
      <c r="BB42" s="128">
        <v>-29247</v>
      </c>
      <c r="BC42" s="24">
        <v>-53982</v>
      </c>
      <c r="BD42" s="128">
        <v>-25387</v>
      </c>
      <c r="BE42" s="24">
        <v>-79369</v>
      </c>
      <c r="BF42" s="128">
        <v>-28405</v>
      </c>
      <c r="BG42" s="24">
        <v>-107774</v>
      </c>
      <c r="BH42" s="128">
        <v>-27545</v>
      </c>
      <c r="BI42" s="128">
        <v>-30667</v>
      </c>
      <c r="BJ42" s="24">
        <v>-58212</v>
      </c>
      <c r="BK42" s="128">
        <v>-31322</v>
      </c>
      <c r="BL42" s="24">
        <v>-89534</v>
      </c>
      <c r="BM42" s="128">
        <v>-33864</v>
      </c>
      <c r="BN42" s="24">
        <v>-123398</v>
      </c>
      <c r="BO42" s="128">
        <v>-29477.52</v>
      </c>
      <c r="BP42" s="128">
        <v>-34028</v>
      </c>
      <c r="BQ42" s="24">
        <v>-63505.520000000004</v>
      </c>
      <c r="BR42" s="128">
        <v>-37435</v>
      </c>
      <c r="BS42" s="24">
        <v>-100940.52</v>
      </c>
      <c r="BT42" s="128">
        <v>-44477.508999999998</v>
      </c>
      <c r="BU42" s="24">
        <v>-145418.02900000001</v>
      </c>
      <c r="BV42" s="128">
        <v>-37620.853289999897</v>
      </c>
      <c r="BW42" s="128">
        <v>-40432.8753800001</v>
      </c>
      <c r="BX42" s="24">
        <v>-78053.728669999997</v>
      </c>
      <c r="BY42" s="128">
        <v>-37366</v>
      </c>
      <c r="BZ42" s="24">
        <v>-115419.72867</v>
      </c>
      <c r="CA42" s="128">
        <v>-44218</v>
      </c>
      <c r="CB42" s="24">
        <v>-159637.72866999998</v>
      </c>
      <c r="CC42" s="128">
        <v>-41368</v>
      </c>
      <c r="CD42" s="128">
        <v>-40828</v>
      </c>
      <c r="CE42" s="24">
        <v>-82196</v>
      </c>
      <c r="CF42" s="128">
        <v>-40858</v>
      </c>
      <c r="CG42" s="24">
        <v>-123054</v>
      </c>
      <c r="CH42" s="128">
        <v>-54845</v>
      </c>
      <c r="CI42" s="24">
        <f t="shared" si="82"/>
        <v>-177899</v>
      </c>
      <c r="CJ42" s="128">
        <v>-48785</v>
      </c>
      <c r="CK42" s="128">
        <v>-56839</v>
      </c>
      <c r="CL42" s="24">
        <v>-105624</v>
      </c>
      <c r="CM42" s="128">
        <v>-58469</v>
      </c>
      <c r="CN42" s="24">
        <v>-164093</v>
      </c>
      <c r="CO42" s="128">
        <v>-69772</v>
      </c>
      <c r="CP42" s="24">
        <v>-233865</v>
      </c>
      <c r="CQ42" s="128">
        <v>-62226</v>
      </c>
      <c r="CR42" s="128">
        <v>-72174</v>
      </c>
      <c r="CS42" s="24">
        <v>-134400</v>
      </c>
      <c r="CT42" s="128">
        <v>-69896</v>
      </c>
      <c r="CU42" s="24">
        <v>-204296</v>
      </c>
      <c r="CV42" s="128">
        <v>-78766</v>
      </c>
      <c r="CW42" s="24">
        <v>-283062</v>
      </c>
      <c r="CX42" s="128">
        <v>-65655</v>
      </c>
      <c r="CY42" s="128">
        <v>-76757</v>
      </c>
      <c r="CZ42" s="24">
        <v>-142412</v>
      </c>
      <c r="DA42" s="128">
        <v>-81478</v>
      </c>
      <c r="DB42" s="24">
        <v>-223890</v>
      </c>
      <c r="DC42" s="128">
        <v>-92209</v>
      </c>
      <c r="DD42" s="24">
        <v>-316099</v>
      </c>
      <c r="DE42" s="128">
        <v>-87571</v>
      </c>
      <c r="DF42" s="128">
        <v>-74857</v>
      </c>
      <c r="DG42" s="24">
        <v>-162428</v>
      </c>
      <c r="DH42" s="128">
        <v>-91593</v>
      </c>
      <c r="DI42" s="24">
        <v>-254021</v>
      </c>
      <c r="DJ42" s="128">
        <v>-103393</v>
      </c>
      <c r="DK42" s="24">
        <v>-357414</v>
      </c>
      <c r="DL42" s="128">
        <v>-91006</v>
      </c>
      <c r="DM42" s="128">
        <v>-98211</v>
      </c>
      <c r="DN42" s="24">
        <v>-189217</v>
      </c>
      <c r="DO42" s="128">
        <v>-101114</v>
      </c>
      <c r="DP42" s="24">
        <v>-290331</v>
      </c>
      <c r="DQ42" s="128">
        <v>-114112</v>
      </c>
      <c r="DR42" s="24">
        <v>-404443</v>
      </c>
      <c r="DS42" s="128">
        <v>-113611</v>
      </c>
      <c r="DT42" s="128">
        <v>-129208</v>
      </c>
      <c r="DU42" s="24">
        <v>-242819</v>
      </c>
      <c r="DV42" s="128">
        <v>-111354</v>
      </c>
      <c r="DW42" s="24">
        <v>-354173</v>
      </c>
      <c r="DX42" s="128">
        <v>-155622</v>
      </c>
      <c r="DY42" s="24">
        <v>-509795</v>
      </c>
      <c r="DZ42" s="128">
        <v>-131749</v>
      </c>
      <c r="EA42" s="128">
        <v>-145323</v>
      </c>
      <c r="EB42" s="24">
        <v>-277072</v>
      </c>
      <c r="EC42" s="128">
        <v>-139401</v>
      </c>
      <c r="ED42" s="24">
        <v>-416473</v>
      </c>
      <c r="EE42" s="128">
        <v>-169393</v>
      </c>
      <c r="EF42" s="24">
        <v>-585866</v>
      </c>
      <c r="EG42" s="128">
        <v>-150799</v>
      </c>
      <c r="EH42" s="128">
        <v>-137174</v>
      </c>
      <c r="EI42" s="128">
        <f t="shared" si="83"/>
        <v>-287973</v>
      </c>
      <c r="EJ42" s="128">
        <v>-143163</v>
      </c>
      <c r="EK42" s="128">
        <f t="shared" si="84"/>
        <v>-431136</v>
      </c>
      <c r="EL42" s="128">
        <v>-167749</v>
      </c>
      <c r="EM42" s="128">
        <f t="shared" si="84"/>
        <v>-598885</v>
      </c>
      <c r="EN42" s="128">
        <v>-135328</v>
      </c>
      <c r="EO42" s="128">
        <v>-144714</v>
      </c>
      <c r="EP42" s="128">
        <f t="shared" si="88"/>
        <v>-280042</v>
      </c>
      <c r="EQ42" s="128">
        <v>-146804</v>
      </c>
      <c r="ER42" s="128">
        <f t="shared" si="88"/>
        <v>-426846</v>
      </c>
      <c r="ES42" s="128">
        <v>-176631</v>
      </c>
      <c r="ET42" s="128">
        <f t="shared" si="88"/>
        <v>-603477</v>
      </c>
      <c r="EU42" s="128">
        <v>-141778</v>
      </c>
      <c r="EV42" s="128">
        <v>-157145</v>
      </c>
      <c r="EW42" s="128">
        <f t="shared" si="89"/>
        <v>-298923</v>
      </c>
    </row>
    <row r="43" spans="1:153" ht="16.350000000000001" customHeight="1" outlineLevel="1">
      <c r="A43" s="9"/>
      <c r="B43" s="121" t="s">
        <v>206</v>
      </c>
      <c r="C43" s="121" t="s">
        <v>391</v>
      </c>
      <c r="D43" s="24">
        <v>-59</v>
      </c>
      <c r="E43" s="24">
        <v>-250</v>
      </c>
      <c r="F43" s="24">
        <v>-309</v>
      </c>
      <c r="G43" s="24">
        <v>-225</v>
      </c>
      <c r="H43" s="24">
        <v>-534</v>
      </c>
      <c r="I43" s="24">
        <v>-58</v>
      </c>
      <c r="J43" s="24">
        <v>-592</v>
      </c>
      <c r="K43" s="24">
        <v>-316</v>
      </c>
      <c r="L43" s="24">
        <v>-29</v>
      </c>
      <c r="M43" s="24">
        <v>-345</v>
      </c>
      <c r="N43" s="24">
        <v>-127</v>
      </c>
      <c r="O43" s="24">
        <v>-472</v>
      </c>
      <c r="P43" s="24">
        <v>-479</v>
      </c>
      <c r="Q43" s="24">
        <v>-951</v>
      </c>
      <c r="R43" s="24">
        <v>62</v>
      </c>
      <c r="S43" s="24">
        <v>-520</v>
      </c>
      <c r="T43" s="24">
        <v>-458</v>
      </c>
      <c r="U43" s="24">
        <v>-2085</v>
      </c>
      <c r="V43" s="24">
        <v>-2543</v>
      </c>
      <c r="W43" s="24">
        <v>-1433</v>
      </c>
      <c r="X43" s="24">
        <v>-3976</v>
      </c>
      <c r="Y43" s="24">
        <v>3</v>
      </c>
      <c r="Z43" s="24">
        <v>-67</v>
      </c>
      <c r="AA43" s="24">
        <v>-64</v>
      </c>
      <c r="AB43" s="24">
        <v>-194</v>
      </c>
      <c r="AC43" s="24">
        <v>-258</v>
      </c>
      <c r="AD43" s="24">
        <v>-33</v>
      </c>
      <c r="AE43" s="24">
        <v>-291</v>
      </c>
      <c r="AF43" s="24">
        <v>59</v>
      </c>
      <c r="AG43" s="24">
        <v>-152</v>
      </c>
      <c r="AH43" s="24">
        <v>-93</v>
      </c>
      <c r="AI43" s="24">
        <v>-50</v>
      </c>
      <c r="AJ43" s="24">
        <v>-143</v>
      </c>
      <c r="AK43" s="24">
        <v>-200</v>
      </c>
      <c r="AL43" s="24">
        <v>-343</v>
      </c>
      <c r="AM43" s="24">
        <v>-377</v>
      </c>
      <c r="AN43" s="24">
        <v>-410</v>
      </c>
      <c r="AO43" s="24">
        <v>-787</v>
      </c>
      <c r="AP43" s="24">
        <v>-338</v>
      </c>
      <c r="AQ43" s="24">
        <v>-1125</v>
      </c>
      <c r="AR43" s="24">
        <v>705</v>
      </c>
      <c r="AS43" s="24">
        <v>-420</v>
      </c>
      <c r="AT43" s="128">
        <v>142</v>
      </c>
      <c r="AU43" s="128">
        <v>-49</v>
      </c>
      <c r="AV43" s="24">
        <v>93</v>
      </c>
      <c r="AW43" s="128">
        <v>-180.07400000000001</v>
      </c>
      <c r="AX43" s="24">
        <v>-87.074000000000012</v>
      </c>
      <c r="AY43" s="128">
        <v>-574</v>
      </c>
      <c r="AZ43" s="24">
        <v>-661.07400000000007</v>
      </c>
      <c r="BA43" s="128">
        <v>-138</v>
      </c>
      <c r="BB43" s="128">
        <v>16</v>
      </c>
      <c r="BC43" s="24">
        <v>-122</v>
      </c>
      <c r="BD43" s="128">
        <v>-117</v>
      </c>
      <c r="BE43" s="24">
        <v>-239</v>
      </c>
      <c r="BF43" s="128">
        <v>-46</v>
      </c>
      <c r="BG43" s="24">
        <v>-285</v>
      </c>
      <c r="BH43" s="128">
        <v>-21</v>
      </c>
      <c r="BI43" s="128">
        <v>-471</v>
      </c>
      <c r="BJ43" s="24">
        <v>-492</v>
      </c>
      <c r="BK43" s="128">
        <v>26</v>
      </c>
      <c r="BL43" s="24">
        <v>-466</v>
      </c>
      <c r="BM43" s="128">
        <v>-56</v>
      </c>
      <c r="BN43" s="24">
        <v>-522</v>
      </c>
      <c r="BO43" s="128">
        <v>-136.77000000000001</v>
      </c>
      <c r="BP43" s="128">
        <v>-61</v>
      </c>
      <c r="BQ43" s="24">
        <v>-197.77</v>
      </c>
      <c r="BR43" s="128">
        <v>-98</v>
      </c>
      <c r="BS43" s="24">
        <v>-295.77</v>
      </c>
      <c r="BT43" s="128">
        <v>-1444.5619999999999</v>
      </c>
      <c r="BU43" s="24">
        <v>-1740.3319999999999</v>
      </c>
      <c r="BV43" s="128">
        <v>-378.03440999999998</v>
      </c>
      <c r="BW43" s="128">
        <v>-1057</v>
      </c>
      <c r="BX43" s="24">
        <v>-1435.03441</v>
      </c>
      <c r="BY43" s="128">
        <v>-144</v>
      </c>
      <c r="BZ43" s="24">
        <v>-1579.03441</v>
      </c>
      <c r="CA43" s="128">
        <v>-11178</v>
      </c>
      <c r="CB43" s="24">
        <v>-12757.03441</v>
      </c>
      <c r="CC43" s="128">
        <v>-153</v>
      </c>
      <c r="CD43" s="128">
        <v>-962</v>
      </c>
      <c r="CE43" s="24">
        <v>-1115</v>
      </c>
      <c r="CF43" s="128">
        <v>-12228</v>
      </c>
      <c r="CG43" s="24">
        <v>-13343</v>
      </c>
      <c r="CH43" s="128">
        <v>-8035</v>
      </c>
      <c r="CI43" s="24">
        <f t="shared" si="82"/>
        <v>-21378</v>
      </c>
      <c r="CJ43" s="128">
        <v>-431</v>
      </c>
      <c r="CK43" s="128">
        <v>-725</v>
      </c>
      <c r="CL43" s="24">
        <v>-1156</v>
      </c>
      <c r="CM43" s="128">
        <v>-3411</v>
      </c>
      <c r="CN43" s="24">
        <v>-4567</v>
      </c>
      <c r="CO43" s="128">
        <v>-16783</v>
      </c>
      <c r="CP43" s="24">
        <v>-21350</v>
      </c>
      <c r="CQ43" s="128">
        <v>-523</v>
      </c>
      <c r="CR43" s="128">
        <v>-1220.03514</v>
      </c>
      <c r="CS43" s="24">
        <v>-1743.03514</v>
      </c>
      <c r="CT43" s="128">
        <v>-1268.56825</v>
      </c>
      <c r="CU43" s="24">
        <v>-3011.6033900000002</v>
      </c>
      <c r="CV43" s="128">
        <v>-3119</v>
      </c>
      <c r="CW43" s="24">
        <v>-6130.6033900000002</v>
      </c>
      <c r="CX43" s="128">
        <v>-500</v>
      </c>
      <c r="CY43" s="128">
        <v>-289</v>
      </c>
      <c r="CZ43" s="24">
        <v>-789</v>
      </c>
      <c r="DA43" s="128">
        <v>-1926</v>
      </c>
      <c r="DB43" s="24">
        <v>-2715</v>
      </c>
      <c r="DC43" s="128">
        <v>-21053</v>
      </c>
      <c r="DD43" s="24">
        <v>-23768</v>
      </c>
      <c r="DE43" s="128">
        <v>168</v>
      </c>
      <c r="DF43" s="128">
        <v>-9905</v>
      </c>
      <c r="DG43" s="24">
        <v>-9737</v>
      </c>
      <c r="DH43" s="128">
        <v>-10240</v>
      </c>
      <c r="DI43" s="24">
        <v>-19977</v>
      </c>
      <c r="DJ43" s="128">
        <v>-556</v>
      </c>
      <c r="DK43" s="24">
        <v>-20533</v>
      </c>
      <c r="DL43" s="128">
        <v>67</v>
      </c>
      <c r="DM43" s="128">
        <v>-228</v>
      </c>
      <c r="DN43" s="24">
        <v>-161</v>
      </c>
      <c r="DO43" s="128">
        <v>84</v>
      </c>
      <c r="DP43" s="24">
        <v>-77</v>
      </c>
      <c r="DQ43" s="128">
        <v>-8917</v>
      </c>
      <c r="DR43" s="24">
        <v>-8994</v>
      </c>
      <c r="DS43" s="128">
        <v>7</v>
      </c>
      <c r="DT43" s="128">
        <v>-9510</v>
      </c>
      <c r="DU43" s="24">
        <v>-9503</v>
      </c>
      <c r="DV43" s="128">
        <v>-845</v>
      </c>
      <c r="DW43" s="24">
        <v>-10348</v>
      </c>
      <c r="DX43" s="128">
        <v>-27356</v>
      </c>
      <c r="DY43" s="24">
        <v>-37704</v>
      </c>
      <c r="DZ43" s="128">
        <v>-16040</v>
      </c>
      <c r="EA43" s="128">
        <v>-3076</v>
      </c>
      <c r="EB43" s="24">
        <v>-19116</v>
      </c>
      <c r="EC43" s="128">
        <v>27</v>
      </c>
      <c r="ED43" s="24">
        <v>-19089</v>
      </c>
      <c r="EE43" s="128">
        <v>-121753</v>
      </c>
      <c r="EF43" s="24">
        <v>-140842</v>
      </c>
      <c r="EG43" s="128">
        <v>78</v>
      </c>
      <c r="EH43" s="128">
        <v>-8600</v>
      </c>
      <c r="EI43" s="128">
        <f t="shared" si="83"/>
        <v>-8522</v>
      </c>
      <c r="EJ43" s="128">
        <v>-1311</v>
      </c>
      <c r="EK43" s="128">
        <f t="shared" si="84"/>
        <v>-9833</v>
      </c>
      <c r="EL43" s="128">
        <v>-133504</v>
      </c>
      <c r="EM43" s="128">
        <f t="shared" si="84"/>
        <v>-143337</v>
      </c>
      <c r="EN43" s="128">
        <v>-3563</v>
      </c>
      <c r="EO43" s="128">
        <v>-1328</v>
      </c>
      <c r="EP43" s="128">
        <f t="shared" si="88"/>
        <v>-4891</v>
      </c>
      <c r="EQ43" s="128">
        <v>-3034</v>
      </c>
      <c r="ER43" s="128">
        <f t="shared" si="88"/>
        <v>-7925</v>
      </c>
      <c r="ES43" s="128">
        <v>-99073</v>
      </c>
      <c r="ET43" s="128">
        <f t="shared" si="88"/>
        <v>-106998</v>
      </c>
      <c r="EU43" s="128">
        <v>-221</v>
      </c>
      <c r="EV43" s="128">
        <v>2220</v>
      </c>
      <c r="EW43" s="128">
        <f t="shared" si="89"/>
        <v>1999</v>
      </c>
    </row>
    <row r="44" spans="1:153" ht="16.350000000000001" customHeight="1" outlineLevel="1">
      <c r="A44" s="9"/>
      <c r="B44" s="121" t="s">
        <v>363</v>
      </c>
      <c r="C44" s="121" t="s">
        <v>54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  <c r="U44" s="24">
        <v>0</v>
      </c>
      <c r="V44" s="24">
        <v>0</v>
      </c>
      <c r="W44" s="24">
        <v>-5190</v>
      </c>
      <c r="X44" s="24">
        <v>-5190</v>
      </c>
      <c r="Y44" s="24">
        <v>-2077</v>
      </c>
      <c r="Z44" s="24">
        <v>-3029</v>
      </c>
      <c r="AA44" s="24">
        <v>-5106</v>
      </c>
      <c r="AB44" s="24">
        <v>-3096</v>
      </c>
      <c r="AC44" s="24">
        <v>-8202</v>
      </c>
      <c r="AD44" s="24">
        <v>-2858</v>
      </c>
      <c r="AE44" s="24">
        <v>-11060</v>
      </c>
      <c r="AF44" s="24">
        <v>-3585</v>
      </c>
      <c r="AG44" s="24">
        <v>-4835</v>
      </c>
      <c r="AH44" s="24">
        <v>-8420</v>
      </c>
      <c r="AI44" s="24">
        <v>-4431</v>
      </c>
      <c r="AJ44" s="24">
        <v>-12851</v>
      </c>
      <c r="AK44" s="24">
        <v>-4392</v>
      </c>
      <c r="AL44" s="24">
        <v>-17243</v>
      </c>
      <c r="AM44" s="24">
        <v>-3829</v>
      </c>
      <c r="AN44" s="24">
        <v>-4629</v>
      </c>
      <c r="AO44" s="24">
        <v>-8458</v>
      </c>
      <c r="AP44" s="24">
        <v>-4459</v>
      </c>
      <c r="AQ44" s="24">
        <v>-12917</v>
      </c>
      <c r="AR44" s="24">
        <v>-4468</v>
      </c>
      <c r="AS44" s="24">
        <v>-17385</v>
      </c>
      <c r="AT44" s="128">
        <v>-4727</v>
      </c>
      <c r="AU44" s="128">
        <v>-5549</v>
      </c>
      <c r="AV44" s="24">
        <v>-10276</v>
      </c>
      <c r="AW44" s="128">
        <v>-4259.549</v>
      </c>
      <c r="AX44" s="24">
        <v>-14535.548999999999</v>
      </c>
      <c r="AY44" s="128">
        <v>-3538</v>
      </c>
      <c r="AZ44" s="24">
        <v>-18073.548999999999</v>
      </c>
      <c r="BA44" s="128">
        <v>-4075</v>
      </c>
      <c r="BB44" s="128">
        <v>-4006</v>
      </c>
      <c r="BC44" s="24">
        <v>-8081</v>
      </c>
      <c r="BD44" s="128">
        <v>-4001</v>
      </c>
      <c r="BE44" s="24">
        <v>-12082</v>
      </c>
      <c r="BF44" s="128">
        <v>-4045</v>
      </c>
      <c r="BG44" s="24">
        <v>-16127</v>
      </c>
      <c r="BH44" s="128">
        <v>-4479</v>
      </c>
      <c r="BI44" s="128">
        <v>-3360</v>
      </c>
      <c r="BJ44" s="24">
        <v>-7839</v>
      </c>
      <c r="BK44" s="128">
        <v>-1687</v>
      </c>
      <c r="BL44" s="24">
        <v>-9526</v>
      </c>
      <c r="BM44" s="128">
        <v>-3613</v>
      </c>
      <c r="BN44" s="24">
        <v>-13139</v>
      </c>
      <c r="BO44" s="128">
        <v>-2883</v>
      </c>
      <c r="BP44" s="128">
        <v>-7003</v>
      </c>
      <c r="BQ44" s="24">
        <v>-9886</v>
      </c>
      <c r="BR44" s="128">
        <v>-7319</v>
      </c>
      <c r="BS44" s="24">
        <v>-17205</v>
      </c>
      <c r="BT44" s="128">
        <v>-7747.7449999999999</v>
      </c>
      <c r="BU44" s="24">
        <v>-24952.744999999999</v>
      </c>
      <c r="BV44" s="128">
        <v>-6467.0164500000001</v>
      </c>
      <c r="BW44" s="128">
        <v>-7543.4621100000004</v>
      </c>
      <c r="BX44" s="24">
        <v>-14010.47856</v>
      </c>
      <c r="BY44" s="128">
        <v>-5498</v>
      </c>
      <c r="BZ44" s="24">
        <v>-19508.47856</v>
      </c>
      <c r="CA44" s="128">
        <v>-6923</v>
      </c>
      <c r="CB44" s="24">
        <v>-26431.47856</v>
      </c>
      <c r="CC44" s="128">
        <v>-6736</v>
      </c>
      <c r="CD44" s="128">
        <v>-5739</v>
      </c>
      <c r="CE44" s="24">
        <v>-12475</v>
      </c>
      <c r="CF44" s="128">
        <v>-5786</v>
      </c>
      <c r="CG44" s="24">
        <v>-18261</v>
      </c>
      <c r="CH44" s="128">
        <v>-5783</v>
      </c>
      <c r="CI44" s="24">
        <f t="shared" si="82"/>
        <v>-24044</v>
      </c>
      <c r="CJ44" s="128">
        <v>-6861</v>
      </c>
      <c r="CK44" s="128">
        <v>-7591</v>
      </c>
      <c r="CL44" s="24">
        <v>-14452</v>
      </c>
      <c r="CM44" s="128">
        <v>-7129</v>
      </c>
      <c r="CN44" s="24">
        <v>-21581</v>
      </c>
      <c r="CO44" s="128">
        <v>-6057</v>
      </c>
      <c r="CP44" s="24">
        <v>-27638</v>
      </c>
      <c r="CQ44" s="128">
        <v>-5084</v>
      </c>
      <c r="CR44" s="128">
        <v>-4716</v>
      </c>
      <c r="CS44" s="24">
        <v>-9800</v>
      </c>
      <c r="CT44" s="128">
        <v>-5920</v>
      </c>
      <c r="CU44" s="24">
        <v>-15720</v>
      </c>
      <c r="CV44" s="128">
        <v>-4778</v>
      </c>
      <c r="CW44" s="24">
        <v>-20498</v>
      </c>
      <c r="CX44" s="128">
        <v>-4805</v>
      </c>
      <c r="CY44" s="128">
        <v>-5160</v>
      </c>
      <c r="CZ44" s="24">
        <v>-9965</v>
      </c>
      <c r="DA44" s="128">
        <v>-5247</v>
      </c>
      <c r="DB44" s="24">
        <v>-15212</v>
      </c>
      <c r="DC44" s="128">
        <v>-5863</v>
      </c>
      <c r="DD44" s="24">
        <v>-21075</v>
      </c>
      <c r="DE44" s="128">
        <v>-4982</v>
      </c>
      <c r="DF44" s="128">
        <v>-5392</v>
      </c>
      <c r="DG44" s="24">
        <v>-10374</v>
      </c>
      <c r="DH44" s="128">
        <v>-5440</v>
      </c>
      <c r="DI44" s="24">
        <v>-15814</v>
      </c>
      <c r="DJ44" s="128">
        <v>-7018</v>
      </c>
      <c r="DK44" s="24">
        <v>-22832</v>
      </c>
      <c r="DL44" s="128">
        <v>-3734</v>
      </c>
      <c r="DM44" s="128">
        <v>-4239</v>
      </c>
      <c r="DN44" s="24">
        <v>-7973</v>
      </c>
      <c r="DO44" s="128">
        <v>-3430</v>
      </c>
      <c r="DP44" s="24">
        <v>-11403</v>
      </c>
      <c r="DQ44" s="128">
        <v>-3948</v>
      </c>
      <c r="DR44" s="24">
        <v>-15351</v>
      </c>
      <c r="DS44" s="128">
        <v>-4381</v>
      </c>
      <c r="DT44" s="128">
        <v>-6429</v>
      </c>
      <c r="DU44" s="24">
        <v>-10810</v>
      </c>
      <c r="DV44" s="128">
        <v>-6511</v>
      </c>
      <c r="DW44" s="24">
        <v>-17321</v>
      </c>
      <c r="DX44" s="128">
        <v>-4478</v>
      </c>
      <c r="DY44" s="24">
        <v>-21799</v>
      </c>
      <c r="DZ44" s="128">
        <v>-5811</v>
      </c>
      <c r="EA44" s="128">
        <v>-6447</v>
      </c>
      <c r="EB44" s="24">
        <v>-12258</v>
      </c>
      <c r="EC44" s="128">
        <v>-6523</v>
      </c>
      <c r="ED44" s="24">
        <v>-18781</v>
      </c>
      <c r="EE44" s="128">
        <v>-4677</v>
      </c>
      <c r="EF44" s="24">
        <v>-23458</v>
      </c>
      <c r="EG44" s="128">
        <v>-5917</v>
      </c>
      <c r="EH44" s="128">
        <v>-6200</v>
      </c>
      <c r="EI44" s="128">
        <f t="shared" si="83"/>
        <v>-12117</v>
      </c>
      <c r="EJ44" s="128">
        <v>-6269</v>
      </c>
      <c r="EK44" s="128">
        <f t="shared" si="84"/>
        <v>-18386</v>
      </c>
      <c r="EL44" s="128">
        <v>-13498</v>
      </c>
      <c r="EM44" s="128">
        <f t="shared" si="84"/>
        <v>-31884</v>
      </c>
      <c r="EN44" s="128">
        <v>-3642</v>
      </c>
      <c r="EO44" s="128">
        <v>-8629</v>
      </c>
      <c r="EP44" s="128">
        <f t="shared" si="88"/>
        <v>-12271</v>
      </c>
      <c r="EQ44" s="128">
        <v>-4928</v>
      </c>
      <c r="ER44" s="128">
        <f t="shared" si="88"/>
        <v>-17199</v>
      </c>
      <c r="ES44" s="128">
        <v>-4608</v>
      </c>
      <c r="ET44" s="128">
        <f t="shared" si="88"/>
        <v>-21807</v>
      </c>
      <c r="EU44" s="128">
        <v>-4640</v>
      </c>
      <c r="EV44" s="128">
        <v>-3202</v>
      </c>
      <c r="EW44" s="128">
        <f t="shared" si="89"/>
        <v>-7842</v>
      </c>
    </row>
    <row r="45" spans="1:153" ht="16.350000000000001" customHeight="1" outlineLevel="1">
      <c r="A45" s="9"/>
      <c r="B45" s="121" t="s">
        <v>62</v>
      </c>
      <c r="C45" s="121" t="s">
        <v>59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-3078</v>
      </c>
      <c r="J45" s="24">
        <v>-3078</v>
      </c>
      <c r="K45" s="24">
        <v>0</v>
      </c>
      <c r="L45" s="24">
        <v>0</v>
      </c>
      <c r="M45" s="24">
        <v>0</v>
      </c>
      <c r="N45" s="24">
        <v>0</v>
      </c>
      <c r="O45" s="24">
        <v>0</v>
      </c>
      <c r="P45" s="24">
        <v>-4329</v>
      </c>
      <c r="Q45" s="24">
        <v>-4329</v>
      </c>
      <c r="R45" s="24">
        <v>0</v>
      </c>
      <c r="S45" s="24">
        <v>0</v>
      </c>
      <c r="T45" s="24">
        <v>0</v>
      </c>
      <c r="U45" s="24">
        <v>0</v>
      </c>
      <c r="V45" s="24">
        <v>0</v>
      </c>
      <c r="W45" s="24">
        <v>-5368</v>
      </c>
      <c r="X45" s="24">
        <v>-5368</v>
      </c>
      <c r="Y45" s="24">
        <v>0</v>
      </c>
      <c r="Z45" s="24">
        <v>0</v>
      </c>
      <c r="AA45" s="24">
        <v>0</v>
      </c>
      <c r="AB45" s="24">
        <v>0</v>
      </c>
      <c r="AC45" s="24">
        <v>0</v>
      </c>
      <c r="AD45" s="24">
        <v>-2701</v>
      </c>
      <c r="AE45" s="24">
        <v>-2701</v>
      </c>
      <c r="AF45" s="24">
        <v>0</v>
      </c>
      <c r="AG45" s="24">
        <v>0</v>
      </c>
      <c r="AH45" s="24">
        <v>0</v>
      </c>
      <c r="AI45" s="24">
        <v>0</v>
      </c>
      <c r="AJ45" s="24">
        <v>0</v>
      </c>
      <c r="AK45" s="24">
        <v>-6007</v>
      </c>
      <c r="AL45" s="24">
        <v>-6007</v>
      </c>
      <c r="AM45" s="24">
        <v>0</v>
      </c>
      <c r="AN45" s="24">
        <v>0</v>
      </c>
      <c r="AO45" s="24">
        <v>0</v>
      </c>
      <c r="AP45" s="24">
        <v>0</v>
      </c>
      <c r="AQ45" s="24">
        <v>0</v>
      </c>
      <c r="AR45" s="24">
        <v>-7054</v>
      </c>
      <c r="AS45" s="24">
        <v>-7054</v>
      </c>
      <c r="AT45" s="128">
        <v>0</v>
      </c>
      <c r="AU45" s="128">
        <v>0</v>
      </c>
      <c r="AV45" s="24">
        <v>0</v>
      </c>
      <c r="AW45" s="128">
        <v>0</v>
      </c>
      <c r="AX45" s="24">
        <v>0</v>
      </c>
      <c r="AY45" s="128">
        <v>-3622</v>
      </c>
      <c r="AZ45" s="24">
        <v>-3622</v>
      </c>
      <c r="BA45" s="128">
        <v>0</v>
      </c>
      <c r="BB45" s="128">
        <v>0</v>
      </c>
      <c r="BC45" s="24">
        <v>0</v>
      </c>
      <c r="BD45" s="128">
        <v>0</v>
      </c>
      <c r="BE45" s="24">
        <v>0</v>
      </c>
      <c r="BF45" s="128">
        <v>-5837</v>
      </c>
      <c r="BG45" s="24">
        <v>-5837</v>
      </c>
      <c r="BH45" s="128">
        <v>0</v>
      </c>
      <c r="BI45" s="128">
        <v>17</v>
      </c>
      <c r="BJ45" s="24">
        <v>17</v>
      </c>
      <c r="BK45" s="128">
        <v>0</v>
      </c>
      <c r="BL45" s="24">
        <v>17</v>
      </c>
      <c r="BM45" s="128">
        <v>-5616</v>
      </c>
      <c r="BN45" s="24">
        <v>-5599</v>
      </c>
      <c r="BO45" s="128">
        <v>0</v>
      </c>
      <c r="BP45" s="128">
        <v>0</v>
      </c>
      <c r="BQ45" s="24">
        <v>0</v>
      </c>
      <c r="BR45" s="128">
        <v>0</v>
      </c>
      <c r="BS45" s="24">
        <v>0</v>
      </c>
      <c r="BT45" s="128">
        <v>-11657.135</v>
      </c>
      <c r="BU45" s="24">
        <v>-11657.135</v>
      </c>
      <c r="BV45" s="128">
        <v>0</v>
      </c>
      <c r="BW45" s="128">
        <v>0</v>
      </c>
      <c r="BX45" s="24">
        <v>0</v>
      </c>
      <c r="BY45" s="128">
        <v>0</v>
      </c>
      <c r="BZ45" s="24">
        <v>0</v>
      </c>
      <c r="CA45" s="128">
        <v>-9943.6965899999996</v>
      </c>
      <c r="CB45" s="24">
        <v>-9943.6965899999996</v>
      </c>
      <c r="CC45" s="128">
        <v>0</v>
      </c>
      <c r="CD45" s="128">
        <v>0</v>
      </c>
      <c r="CE45" s="24">
        <v>0</v>
      </c>
      <c r="CF45" s="128">
        <v>0</v>
      </c>
      <c r="CG45" s="24">
        <v>0</v>
      </c>
      <c r="CH45" s="128">
        <v>-6734</v>
      </c>
      <c r="CI45" s="24">
        <f t="shared" si="82"/>
        <v>-6734</v>
      </c>
      <c r="CJ45" s="128">
        <v>0</v>
      </c>
      <c r="CK45" s="128">
        <v>0</v>
      </c>
      <c r="CL45" s="24">
        <v>0</v>
      </c>
      <c r="CM45" s="128">
        <v>0</v>
      </c>
      <c r="CN45" s="24">
        <v>0</v>
      </c>
      <c r="CO45" s="128">
        <v>-10551</v>
      </c>
      <c r="CP45" s="24">
        <v>-10551</v>
      </c>
      <c r="CQ45" s="128">
        <v>0</v>
      </c>
      <c r="CR45" s="128">
        <v>0</v>
      </c>
      <c r="CS45" s="24">
        <v>0</v>
      </c>
      <c r="CT45" s="128">
        <v>0</v>
      </c>
      <c r="CU45" s="24">
        <v>0</v>
      </c>
      <c r="CV45" s="128">
        <v>-8294.7492000000002</v>
      </c>
      <c r="CW45" s="24">
        <v>-8294.7492000000002</v>
      </c>
      <c r="CX45" s="128">
        <v>0</v>
      </c>
      <c r="CY45" s="128">
        <v>0</v>
      </c>
      <c r="CZ45" s="24">
        <v>0</v>
      </c>
      <c r="DA45" s="128">
        <v>0</v>
      </c>
      <c r="DB45" s="24">
        <v>0</v>
      </c>
      <c r="DC45" s="128">
        <v>-5855</v>
      </c>
      <c r="DD45" s="24">
        <v>-5855</v>
      </c>
      <c r="DE45" s="128">
        <v>0</v>
      </c>
      <c r="DF45" s="128">
        <v>517</v>
      </c>
      <c r="DG45" s="24">
        <v>517</v>
      </c>
      <c r="DH45" s="128">
        <v>0</v>
      </c>
      <c r="DI45" s="24">
        <v>517</v>
      </c>
      <c r="DJ45" s="128">
        <v>-1880</v>
      </c>
      <c r="DK45" s="24">
        <v>-1363</v>
      </c>
      <c r="DL45" s="128">
        <v>0</v>
      </c>
      <c r="DM45" s="128">
        <v>0</v>
      </c>
      <c r="DN45" s="24">
        <v>0</v>
      </c>
      <c r="DO45" s="128">
        <v>0</v>
      </c>
      <c r="DP45" s="24">
        <v>0</v>
      </c>
      <c r="DQ45" s="128">
        <v>-6754</v>
      </c>
      <c r="DR45" s="24">
        <v>-6754</v>
      </c>
      <c r="DS45" s="128">
        <v>0</v>
      </c>
      <c r="DT45" s="128">
        <v>0</v>
      </c>
      <c r="DU45" s="24">
        <v>0</v>
      </c>
      <c r="DV45" s="128">
        <v>0</v>
      </c>
      <c r="DW45" s="24">
        <v>0</v>
      </c>
      <c r="DX45" s="128">
        <v>-2282</v>
      </c>
      <c r="DY45" s="24">
        <v>-2282</v>
      </c>
      <c r="DZ45" s="128">
        <v>0</v>
      </c>
      <c r="EA45" s="128">
        <v>0</v>
      </c>
      <c r="EB45" s="24">
        <v>0</v>
      </c>
      <c r="EC45" s="128">
        <v>0</v>
      </c>
      <c r="ED45" s="24">
        <v>0</v>
      </c>
      <c r="EE45" s="128">
        <v>0</v>
      </c>
      <c r="EF45" s="24">
        <v>0</v>
      </c>
      <c r="EG45" s="128">
        <v>0</v>
      </c>
      <c r="EH45" s="128">
        <v>0</v>
      </c>
      <c r="EI45" s="128">
        <f t="shared" si="83"/>
        <v>0</v>
      </c>
      <c r="EJ45" s="128">
        <v>0</v>
      </c>
      <c r="EK45" s="128">
        <f t="shared" si="84"/>
        <v>0</v>
      </c>
      <c r="EL45" s="128">
        <v>-12987</v>
      </c>
      <c r="EM45" s="128">
        <f t="shared" si="84"/>
        <v>-12987</v>
      </c>
      <c r="EN45" s="128">
        <v>0</v>
      </c>
      <c r="EO45" s="128">
        <v>0</v>
      </c>
      <c r="EP45" s="128">
        <f t="shared" si="88"/>
        <v>0</v>
      </c>
      <c r="EQ45" s="128"/>
      <c r="ER45" s="128">
        <f t="shared" si="88"/>
        <v>0</v>
      </c>
      <c r="ES45" s="128">
        <v>-12675</v>
      </c>
      <c r="ET45" s="128">
        <f t="shared" si="88"/>
        <v>-12675</v>
      </c>
      <c r="EU45" s="128">
        <v>0</v>
      </c>
      <c r="EV45" s="128">
        <v>0</v>
      </c>
      <c r="EW45" s="128">
        <f t="shared" si="89"/>
        <v>0</v>
      </c>
    </row>
    <row r="46" spans="1:153" ht="16.350000000000001" customHeight="1" outlineLevel="1">
      <c r="A46" s="9"/>
      <c r="B46" s="121" t="s">
        <v>460</v>
      </c>
      <c r="C46" s="121" t="s">
        <v>349</v>
      </c>
      <c r="D46" s="24">
        <v>-250</v>
      </c>
      <c r="E46" s="24">
        <v>-777</v>
      </c>
      <c r="F46" s="24">
        <v>-1027</v>
      </c>
      <c r="G46" s="24">
        <v>-726</v>
      </c>
      <c r="H46" s="24">
        <v>-1753</v>
      </c>
      <c r="I46" s="24">
        <v>-1363</v>
      </c>
      <c r="J46" s="24">
        <v>-3116</v>
      </c>
      <c r="K46" s="24">
        <v>-856</v>
      </c>
      <c r="L46" s="24">
        <v>-884</v>
      </c>
      <c r="M46" s="24">
        <v>-1740</v>
      </c>
      <c r="N46" s="24">
        <v>-914</v>
      </c>
      <c r="O46" s="24">
        <v>-2654</v>
      </c>
      <c r="P46" s="24">
        <v>-1677</v>
      </c>
      <c r="Q46" s="24">
        <v>-4331</v>
      </c>
      <c r="R46" s="24">
        <v>-1176</v>
      </c>
      <c r="S46" s="24">
        <v>-1470</v>
      </c>
      <c r="T46" s="24">
        <v>-2646</v>
      </c>
      <c r="U46" s="24">
        <v>-959</v>
      </c>
      <c r="V46" s="24">
        <v>-3605</v>
      </c>
      <c r="W46" s="24">
        <v>-1823</v>
      </c>
      <c r="X46" s="24">
        <v>-5428</v>
      </c>
      <c r="Y46" s="24">
        <v>-1023</v>
      </c>
      <c r="Z46" s="24">
        <v>-1137</v>
      </c>
      <c r="AA46" s="24">
        <v>-2160</v>
      </c>
      <c r="AB46" s="24">
        <v>-1157</v>
      </c>
      <c r="AC46" s="24">
        <v>-3317</v>
      </c>
      <c r="AD46" s="24">
        <v>-1215</v>
      </c>
      <c r="AE46" s="24">
        <v>-4532</v>
      </c>
      <c r="AF46" s="24">
        <v>-1335</v>
      </c>
      <c r="AG46" s="24">
        <v>-1334</v>
      </c>
      <c r="AH46" s="24">
        <v>-2669</v>
      </c>
      <c r="AI46" s="24">
        <v>-1252</v>
      </c>
      <c r="AJ46" s="24">
        <v>-3921</v>
      </c>
      <c r="AK46" s="24">
        <v>-2105</v>
      </c>
      <c r="AL46" s="24">
        <v>-6026</v>
      </c>
      <c r="AM46" s="24">
        <v>-1801</v>
      </c>
      <c r="AN46" s="24">
        <v>-1908</v>
      </c>
      <c r="AO46" s="24">
        <v>-3709</v>
      </c>
      <c r="AP46" s="24">
        <v>-1441</v>
      </c>
      <c r="AQ46" s="24">
        <v>-5150</v>
      </c>
      <c r="AR46" s="24">
        <v>-1961</v>
      </c>
      <c r="AS46" s="24">
        <v>-7111</v>
      </c>
      <c r="AT46" s="128">
        <v>-1413</v>
      </c>
      <c r="AU46" s="128">
        <v>-1607</v>
      </c>
      <c r="AV46" s="24">
        <v>-3020</v>
      </c>
      <c r="AW46" s="128">
        <v>-1528.3899999999999</v>
      </c>
      <c r="AX46" s="24">
        <v>-4548.3899999999994</v>
      </c>
      <c r="AY46" s="128">
        <v>-1565</v>
      </c>
      <c r="AZ46" s="24">
        <v>-6113.3899999999994</v>
      </c>
      <c r="BA46" s="128">
        <v>-1653</v>
      </c>
      <c r="BB46" s="128">
        <v>-1752</v>
      </c>
      <c r="BC46" s="24">
        <v>-3405</v>
      </c>
      <c r="BD46" s="128">
        <v>-1764</v>
      </c>
      <c r="BE46" s="24">
        <v>-5169</v>
      </c>
      <c r="BF46" s="128">
        <v>-1762</v>
      </c>
      <c r="BG46" s="24">
        <v>-6931</v>
      </c>
      <c r="BH46" s="128">
        <v>-1873</v>
      </c>
      <c r="BI46" s="128">
        <v>-1887</v>
      </c>
      <c r="BJ46" s="24">
        <v>-3760</v>
      </c>
      <c r="BK46" s="128">
        <v>-1916</v>
      </c>
      <c r="BL46" s="24">
        <v>-5676</v>
      </c>
      <c r="BM46" s="128">
        <v>-1827</v>
      </c>
      <c r="BN46" s="24">
        <v>-7503</v>
      </c>
      <c r="BO46" s="128">
        <v>-2032.81</v>
      </c>
      <c r="BP46" s="128">
        <v>-4019</v>
      </c>
      <c r="BQ46" s="24">
        <v>-6051.8099999999995</v>
      </c>
      <c r="BR46" s="128">
        <v>-2102</v>
      </c>
      <c r="BS46" s="24">
        <v>-8153.8099999999995</v>
      </c>
      <c r="BT46" s="128">
        <v>-3704.52</v>
      </c>
      <c r="BU46" s="24">
        <v>-11858.33</v>
      </c>
      <c r="BV46" s="128">
        <v>-2294.39</v>
      </c>
      <c r="BW46" s="128">
        <v>-2673.2147</v>
      </c>
      <c r="BX46" s="24">
        <v>-4967.6046999999999</v>
      </c>
      <c r="BY46" s="128">
        <v>-2285</v>
      </c>
      <c r="BZ46" s="24">
        <v>-7252.6046999999999</v>
      </c>
      <c r="CA46" s="128">
        <v>-2718</v>
      </c>
      <c r="CB46" s="24">
        <v>-9970.6046999999999</v>
      </c>
      <c r="CC46" s="128">
        <v>-2065</v>
      </c>
      <c r="CD46" s="128">
        <v>-2526</v>
      </c>
      <c r="CE46" s="24">
        <v>-4591</v>
      </c>
      <c r="CF46" s="128">
        <v>-2598</v>
      </c>
      <c r="CG46" s="24">
        <v>-7189</v>
      </c>
      <c r="CH46" s="128">
        <v>-2608</v>
      </c>
      <c r="CI46" s="24">
        <f t="shared" si="82"/>
        <v>-9797</v>
      </c>
      <c r="CJ46" s="128">
        <v>-2786</v>
      </c>
      <c r="CK46" s="128">
        <v>-3483</v>
      </c>
      <c r="CL46" s="24">
        <v>-6269</v>
      </c>
      <c r="CM46" s="128">
        <v>-2962</v>
      </c>
      <c r="CN46" s="24">
        <v>-9231</v>
      </c>
      <c r="CO46" s="128">
        <v>-2985</v>
      </c>
      <c r="CP46" s="24">
        <v>-12216</v>
      </c>
      <c r="CQ46" s="128">
        <v>-3050</v>
      </c>
      <c r="CR46" s="128">
        <v>-3091</v>
      </c>
      <c r="CS46" s="24">
        <v>-6141</v>
      </c>
      <c r="CT46" s="128">
        <v>-3077</v>
      </c>
      <c r="CU46" s="24">
        <v>-9218</v>
      </c>
      <c r="CV46" s="128">
        <v>-2901</v>
      </c>
      <c r="CW46" s="24">
        <v>-12119</v>
      </c>
      <c r="CX46" s="128">
        <v>0</v>
      </c>
      <c r="CY46" s="128">
        <v>0</v>
      </c>
      <c r="CZ46" s="24">
        <v>0</v>
      </c>
      <c r="DA46" s="128">
        <v>0</v>
      </c>
      <c r="DB46" s="24">
        <v>0</v>
      </c>
      <c r="DC46" s="128">
        <v>0</v>
      </c>
      <c r="DD46" s="24">
        <v>0</v>
      </c>
      <c r="DE46" s="128">
        <v>0</v>
      </c>
      <c r="DF46" s="128">
        <v>0</v>
      </c>
      <c r="DG46" s="24">
        <v>0</v>
      </c>
      <c r="DH46" s="128">
        <v>0</v>
      </c>
      <c r="DI46" s="24">
        <v>0</v>
      </c>
      <c r="DJ46" s="128">
        <v>0</v>
      </c>
      <c r="DK46" s="24">
        <v>0</v>
      </c>
      <c r="DL46" s="128">
        <v>0</v>
      </c>
      <c r="DM46" s="128">
        <v>0</v>
      </c>
      <c r="DN46" s="24">
        <v>0</v>
      </c>
      <c r="DO46" s="128">
        <v>0</v>
      </c>
      <c r="DP46" s="24">
        <v>0</v>
      </c>
      <c r="DQ46" s="128">
        <v>0</v>
      </c>
      <c r="DR46" s="24">
        <v>0</v>
      </c>
      <c r="DS46" s="128">
        <v>0</v>
      </c>
      <c r="DT46" s="128">
        <v>0</v>
      </c>
      <c r="DU46" s="24">
        <v>0</v>
      </c>
      <c r="DV46" s="128">
        <v>0</v>
      </c>
      <c r="DW46" s="24">
        <v>0</v>
      </c>
      <c r="DX46" s="128">
        <v>0</v>
      </c>
      <c r="DY46" s="24">
        <v>0</v>
      </c>
      <c r="DZ46" s="128">
        <v>0</v>
      </c>
      <c r="EA46" s="128">
        <v>0</v>
      </c>
      <c r="EB46" s="24">
        <v>0</v>
      </c>
      <c r="EC46" s="128">
        <v>0</v>
      </c>
      <c r="ED46" s="24">
        <v>0</v>
      </c>
      <c r="EE46" s="128">
        <v>0</v>
      </c>
      <c r="EF46" s="24">
        <v>0</v>
      </c>
      <c r="EG46" s="128">
        <v>0</v>
      </c>
      <c r="EH46" s="128">
        <v>0</v>
      </c>
      <c r="EI46" s="128">
        <f t="shared" si="83"/>
        <v>0</v>
      </c>
      <c r="EJ46" s="128">
        <v>0</v>
      </c>
      <c r="EK46" s="128">
        <f t="shared" si="84"/>
        <v>0</v>
      </c>
      <c r="EL46" s="128">
        <v>0</v>
      </c>
      <c r="EM46" s="128">
        <f t="shared" si="84"/>
        <v>0</v>
      </c>
      <c r="EN46" s="128">
        <v>0</v>
      </c>
      <c r="EO46" s="128">
        <v>0</v>
      </c>
      <c r="EP46" s="128">
        <f t="shared" si="88"/>
        <v>0</v>
      </c>
      <c r="EQ46" s="128"/>
      <c r="ER46" s="128">
        <f t="shared" si="88"/>
        <v>0</v>
      </c>
      <c r="ES46" s="128">
        <v>0</v>
      </c>
      <c r="ET46" s="128">
        <f t="shared" si="88"/>
        <v>0</v>
      </c>
      <c r="EU46" s="128">
        <v>0</v>
      </c>
      <c r="EV46" s="128">
        <v>0</v>
      </c>
      <c r="EW46" s="128">
        <f t="shared" si="89"/>
        <v>0</v>
      </c>
    </row>
    <row r="47" spans="1:153" ht="16.350000000000001" customHeight="1" outlineLevel="1">
      <c r="A47" s="9"/>
      <c r="B47" s="121" t="s">
        <v>2314</v>
      </c>
      <c r="C47" s="121" t="s">
        <v>2313</v>
      </c>
      <c r="D47" s="24">
        <v>-3347</v>
      </c>
      <c r="E47" s="24">
        <v>-4763</v>
      </c>
      <c r="F47" s="24">
        <v>-8110</v>
      </c>
      <c r="G47" s="24">
        <v>-19829</v>
      </c>
      <c r="H47" s="24">
        <v>-27939</v>
      </c>
      <c r="I47" s="24">
        <v>-3135</v>
      </c>
      <c r="J47" s="24">
        <v>-31074</v>
      </c>
      <c r="K47" s="24">
        <v>-505</v>
      </c>
      <c r="L47" s="24">
        <v>-3542</v>
      </c>
      <c r="M47" s="24">
        <v>-4047</v>
      </c>
      <c r="N47" s="24">
        <v>-2399</v>
      </c>
      <c r="O47" s="24">
        <v>-6446</v>
      </c>
      <c r="P47" s="24">
        <v>-2703</v>
      </c>
      <c r="Q47" s="24">
        <v>-9149</v>
      </c>
      <c r="R47" s="24">
        <v>-3836</v>
      </c>
      <c r="S47" s="24">
        <v>-3120</v>
      </c>
      <c r="T47" s="24">
        <v>-6956</v>
      </c>
      <c r="U47" s="24">
        <v>6946</v>
      </c>
      <c r="V47" s="24">
        <v>-10</v>
      </c>
      <c r="W47" s="24">
        <v>131</v>
      </c>
      <c r="X47" s="24">
        <v>121</v>
      </c>
      <c r="Y47" s="24">
        <v>-2654</v>
      </c>
      <c r="Z47" s="24">
        <v>-3439</v>
      </c>
      <c r="AA47" s="24">
        <v>-6093</v>
      </c>
      <c r="AB47" s="24">
        <v>-5393</v>
      </c>
      <c r="AC47" s="24">
        <v>-11485</v>
      </c>
      <c r="AD47" s="24">
        <v>-3133</v>
      </c>
      <c r="AE47" s="24">
        <v>-14619</v>
      </c>
      <c r="AF47" s="24">
        <v>-2315</v>
      </c>
      <c r="AG47" s="24">
        <v>-3413</v>
      </c>
      <c r="AH47" s="24">
        <v>-5728</v>
      </c>
      <c r="AI47" s="24">
        <v>-3659</v>
      </c>
      <c r="AJ47" s="24">
        <v>-9387</v>
      </c>
      <c r="AK47" s="24">
        <v>-2568</v>
      </c>
      <c r="AL47" s="24">
        <v>-11955</v>
      </c>
      <c r="AM47" s="24">
        <v>-4150</v>
      </c>
      <c r="AN47" s="24">
        <v>-5730</v>
      </c>
      <c r="AO47" s="24">
        <v>-9880</v>
      </c>
      <c r="AP47" s="24">
        <v>1981</v>
      </c>
      <c r="AQ47" s="24">
        <v>-7899</v>
      </c>
      <c r="AR47" s="24">
        <v>-5894</v>
      </c>
      <c r="AS47" s="24">
        <v>-13793</v>
      </c>
      <c r="AT47" s="128">
        <v>-5431</v>
      </c>
      <c r="AU47" s="128">
        <v>-5643</v>
      </c>
      <c r="AV47" s="24">
        <v>-11074</v>
      </c>
      <c r="AW47" s="128">
        <v>-3357</v>
      </c>
      <c r="AX47" s="24">
        <v>-14431</v>
      </c>
      <c r="AY47" s="128">
        <v>-2103</v>
      </c>
      <c r="AZ47" s="24">
        <v>-16534</v>
      </c>
      <c r="BA47" s="128">
        <v>-9064</v>
      </c>
      <c r="BB47" s="128">
        <v>-6043</v>
      </c>
      <c r="BC47" s="24">
        <v>-15107</v>
      </c>
      <c r="BD47" s="128">
        <v>-7852</v>
      </c>
      <c r="BE47" s="24">
        <v>-22959</v>
      </c>
      <c r="BF47" s="128">
        <v>964</v>
      </c>
      <c r="BG47" s="24">
        <v>-21995</v>
      </c>
      <c r="BH47" s="128">
        <v>-5611</v>
      </c>
      <c r="BI47" s="128">
        <v>-7777</v>
      </c>
      <c r="BJ47" s="24">
        <v>-13388</v>
      </c>
      <c r="BK47" s="128">
        <v>-7252</v>
      </c>
      <c r="BL47" s="24">
        <v>-20640</v>
      </c>
      <c r="BM47" s="128">
        <v>22764</v>
      </c>
      <c r="BN47" s="24">
        <v>2124</v>
      </c>
      <c r="BO47" s="128">
        <v>-4409.6499999999996</v>
      </c>
      <c r="BP47" s="128">
        <v>-6393</v>
      </c>
      <c r="BQ47" s="24">
        <v>-10802.65</v>
      </c>
      <c r="BR47" s="128">
        <v>-4726</v>
      </c>
      <c r="BS47" s="24">
        <v>-15528.65</v>
      </c>
      <c r="BT47" s="128">
        <v>-3855.346</v>
      </c>
      <c r="BU47" s="24">
        <v>-19383.995999999999</v>
      </c>
      <c r="BV47" s="128">
        <v>-2878.1205099999897</v>
      </c>
      <c r="BW47" s="128">
        <v>2788.6838799999987</v>
      </c>
      <c r="BX47" s="24">
        <v>-89.436629999991055</v>
      </c>
      <c r="BY47" s="128">
        <v>-7285</v>
      </c>
      <c r="BZ47" s="24">
        <v>-7374.4366299999911</v>
      </c>
      <c r="CA47" s="128">
        <v>-5153</v>
      </c>
      <c r="CB47" s="24">
        <v>-12527.436629999991</v>
      </c>
      <c r="CC47" s="128">
        <v>-1456</v>
      </c>
      <c r="CD47" s="128">
        <v>1350</v>
      </c>
      <c r="CE47" s="24">
        <v>-106</v>
      </c>
      <c r="CF47" s="128">
        <v>2794</v>
      </c>
      <c r="CG47" s="24">
        <v>2688</v>
      </c>
      <c r="CH47" s="128">
        <v>25603</v>
      </c>
      <c r="CI47" s="24">
        <f>SUM(CG47:CH47)</f>
        <v>28291</v>
      </c>
      <c r="CJ47" s="128">
        <v>482.76788999996097</v>
      </c>
      <c r="CK47" s="128">
        <v>3163.9908700000415</v>
      </c>
      <c r="CL47" s="24">
        <v>3646.7587600000024</v>
      </c>
      <c r="CM47" s="128">
        <v>4518.4292900000037</v>
      </c>
      <c r="CN47" s="24">
        <v>8165.1880500000061</v>
      </c>
      <c r="CO47" s="128">
        <v>-1379.5645099998947</v>
      </c>
      <c r="CP47" s="24">
        <v>6785.6235400001115</v>
      </c>
      <c r="CQ47" s="128">
        <v>-749</v>
      </c>
      <c r="CR47" s="128">
        <v>8586</v>
      </c>
      <c r="CS47" s="24">
        <v>7837</v>
      </c>
      <c r="CT47" s="128">
        <v>24010</v>
      </c>
      <c r="CU47" s="24">
        <v>31847</v>
      </c>
      <c r="CV47" s="128">
        <v>-2024</v>
      </c>
      <c r="CW47" s="24">
        <v>29823</v>
      </c>
      <c r="CX47" s="128">
        <v>28122</v>
      </c>
      <c r="CY47" s="128">
        <v>9834</v>
      </c>
      <c r="CZ47" s="24">
        <v>37956</v>
      </c>
      <c r="DA47" s="128">
        <v>2308</v>
      </c>
      <c r="DB47" s="24">
        <v>40264</v>
      </c>
      <c r="DC47" s="128">
        <v>21305</v>
      </c>
      <c r="DD47" s="24">
        <v>61569</v>
      </c>
      <c r="DE47" s="128">
        <v>3918</v>
      </c>
      <c r="DF47" s="128">
        <v>742921</v>
      </c>
      <c r="DG47" s="24">
        <v>746839</v>
      </c>
      <c r="DH47" s="128">
        <v>3606</v>
      </c>
      <c r="DI47" s="24">
        <v>750445</v>
      </c>
      <c r="DJ47" s="128">
        <v>-1320</v>
      </c>
      <c r="DK47" s="24">
        <v>749125</v>
      </c>
      <c r="DL47" s="128">
        <v>462</v>
      </c>
      <c r="DM47" s="128">
        <v>47740</v>
      </c>
      <c r="DN47" s="24">
        <v>48202</v>
      </c>
      <c r="DO47" s="128">
        <v>4961</v>
      </c>
      <c r="DP47" s="24">
        <v>53163</v>
      </c>
      <c r="DQ47" s="128">
        <v>-12133</v>
      </c>
      <c r="DR47" s="24">
        <v>41030</v>
      </c>
      <c r="DS47" s="128">
        <v>14638</v>
      </c>
      <c r="DT47" s="128">
        <v>5175</v>
      </c>
      <c r="DU47" s="24">
        <v>19813</v>
      </c>
      <c r="DV47" s="128">
        <v>40014</v>
      </c>
      <c r="DW47" s="24">
        <v>59827</v>
      </c>
      <c r="DX47" s="128">
        <v>58846</v>
      </c>
      <c r="DY47" s="24">
        <v>118673</v>
      </c>
      <c r="DZ47" s="128">
        <v>39265</v>
      </c>
      <c r="EA47" s="128">
        <v>17708</v>
      </c>
      <c r="EB47" s="24">
        <v>56973</v>
      </c>
      <c r="EC47" s="128">
        <v>21008</v>
      </c>
      <c r="ED47" s="24">
        <v>77981</v>
      </c>
      <c r="EE47" s="128">
        <v>120769</v>
      </c>
      <c r="EF47" s="24">
        <v>198750</v>
      </c>
      <c r="EG47" s="128">
        <v>76820</v>
      </c>
      <c r="EH47" s="128">
        <v>42742</v>
      </c>
      <c r="EI47" s="128">
        <f>SUM(EG47:EH47)</f>
        <v>119562</v>
      </c>
      <c r="EJ47" s="128">
        <v>31266</v>
      </c>
      <c r="EK47" s="128">
        <f>SUM(EI47:EJ47)</f>
        <v>150828</v>
      </c>
      <c r="EL47" s="128">
        <v>25685</v>
      </c>
      <c r="EM47" s="128">
        <f>SUM(EK47:EL47)</f>
        <v>176513</v>
      </c>
      <c r="EN47" s="128">
        <v>19786</v>
      </c>
      <c r="EO47" s="128">
        <v>9378</v>
      </c>
      <c r="EP47" s="128">
        <f t="shared" si="88"/>
        <v>29164</v>
      </c>
      <c r="EQ47" s="128">
        <v>26638</v>
      </c>
      <c r="ER47" s="128">
        <f t="shared" si="88"/>
        <v>55802</v>
      </c>
      <c r="ES47" s="128">
        <v>10017</v>
      </c>
      <c r="ET47" s="128">
        <f t="shared" si="88"/>
        <v>65819</v>
      </c>
      <c r="EU47" s="128">
        <v>71829</v>
      </c>
      <c r="EV47" s="128">
        <v>10956</v>
      </c>
      <c r="EW47" s="128">
        <f t="shared" si="89"/>
        <v>82785</v>
      </c>
    </row>
    <row r="48" spans="1:153" ht="16.350000000000001" customHeight="1" outlineLevel="1">
      <c r="A48" s="9"/>
      <c r="B48" s="121" t="s">
        <v>2561</v>
      </c>
      <c r="C48" s="121" t="s">
        <v>2560</v>
      </c>
      <c r="D48" s="24">
        <v>14</v>
      </c>
      <c r="E48" s="24">
        <v>-141</v>
      </c>
      <c r="F48" s="24">
        <v>-127</v>
      </c>
      <c r="G48" s="24">
        <v>-1</v>
      </c>
      <c r="H48" s="24">
        <v>-128</v>
      </c>
      <c r="I48" s="24">
        <v>-8208</v>
      </c>
      <c r="J48" s="24">
        <v>-8336</v>
      </c>
      <c r="K48" s="24">
        <v>-1011</v>
      </c>
      <c r="L48" s="24">
        <v>-58</v>
      </c>
      <c r="M48" s="24">
        <v>-1069</v>
      </c>
      <c r="N48" s="24">
        <v>-12</v>
      </c>
      <c r="O48" s="24">
        <v>-1081</v>
      </c>
      <c r="P48" s="24">
        <v>-12983</v>
      </c>
      <c r="Q48" s="24">
        <v>-14064</v>
      </c>
      <c r="R48" s="24">
        <v>-1401</v>
      </c>
      <c r="S48" s="24">
        <v>-3304</v>
      </c>
      <c r="T48" s="24">
        <v>-4705</v>
      </c>
      <c r="U48" s="24">
        <v>-3364</v>
      </c>
      <c r="V48" s="24">
        <v>-8069</v>
      </c>
      <c r="W48" s="24">
        <v>-5033</v>
      </c>
      <c r="X48" s="24">
        <v>-13102</v>
      </c>
      <c r="Y48" s="24">
        <v>-2049</v>
      </c>
      <c r="Z48" s="24">
        <v>-355</v>
      </c>
      <c r="AA48" s="24">
        <v>-2404</v>
      </c>
      <c r="AB48" s="24">
        <v>-1486</v>
      </c>
      <c r="AC48" s="24">
        <v>-3889</v>
      </c>
      <c r="AD48" s="24">
        <v>2552</v>
      </c>
      <c r="AE48" s="24">
        <v>-1338</v>
      </c>
      <c r="AF48" s="24">
        <v>-1413</v>
      </c>
      <c r="AG48" s="24">
        <v>-3681</v>
      </c>
      <c r="AH48" s="24">
        <v>-5094</v>
      </c>
      <c r="AI48" s="24">
        <v>-2876</v>
      </c>
      <c r="AJ48" s="24">
        <v>-7970</v>
      </c>
      <c r="AK48" s="24">
        <v>-11121</v>
      </c>
      <c r="AL48" s="24">
        <v>-19091</v>
      </c>
      <c r="AM48" s="24">
        <v>-2708</v>
      </c>
      <c r="AN48" s="24">
        <v>-5611</v>
      </c>
      <c r="AO48" s="24">
        <v>-8319</v>
      </c>
      <c r="AP48" s="24">
        <v>-5325</v>
      </c>
      <c r="AQ48" s="24">
        <v>-13644</v>
      </c>
      <c r="AR48" s="24">
        <v>-8228</v>
      </c>
      <c r="AS48" s="24">
        <v>-21872</v>
      </c>
      <c r="AT48" s="128">
        <v>-2256</v>
      </c>
      <c r="AU48" s="128">
        <v>-3413</v>
      </c>
      <c r="AV48" s="24">
        <v>-5669</v>
      </c>
      <c r="AW48" s="128">
        <v>-46.103759999999994</v>
      </c>
      <c r="AX48" s="24">
        <v>-5715.10376</v>
      </c>
      <c r="AY48" s="128">
        <v>766</v>
      </c>
      <c r="AZ48" s="24">
        <v>-4949.10376</v>
      </c>
      <c r="BA48" s="128">
        <v>-2729</v>
      </c>
      <c r="BB48" s="128">
        <v>-6298</v>
      </c>
      <c r="BC48" s="24">
        <v>-9027</v>
      </c>
      <c r="BD48" s="128">
        <v>-6416</v>
      </c>
      <c r="BE48" s="24">
        <v>-15443</v>
      </c>
      <c r="BF48" s="128">
        <v>-12103</v>
      </c>
      <c r="BG48" s="24">
        <v>-27546</v>
      </c>
      <c r="BH48" s="128">
        <v>-3216</v>
      </c>
      <c r="BI48" s="128">
        <v>-8079</v>
      </c>
      <c r="BJ48" s="24">
        <v>-11295</v>
      </c>
      <c r="BK48" s="128">
        <v>-64</v>
      </c>
      <c r="BL48" s="24">
        <v>-11359</v>
      </c>
      <c r="BM48" s="128">
        <v>-22674</v>
      </c>
      <c r="BN48" s="24">
        <v>-34033</v>
      </c>
      <c r="BO48" s="128">
        <v>-4374.54</v>
      </c>
      <c r="BP48" s="128">
        <v>-17383</v>
      </c>
      <c r="BQ48" s="24">
        <v>-21757.54</v>
      </c>
      <c r="BR48" s="128">
        <v>-10089</v>
      </c>
      <c r="BS48" s="24">
        <v>-31846.54</v>
      </c>
      <c r="BT48" s="128">
        <v>-31056.179</v>
      </c>
      <c r="BU48" s="24">
        <v>-62902.718999999997</v>
      </c>
      <c r="BV48" s="128">
        <v>-6793.0967899999996</v>
      </c>
      <c r="BW48" s="128">
        <v>-16521.555369999998</v>
      </c>
      <c r="BX48" s="24">
        <v>-23314.652159999998</v>
      </c>
      <c r="BY48" s="128">
        <v>-8931</v>
      </c>
      <c r="BZ48" s="24">
        <v>-32245.652159999998</v>
      </c>
      <c r="CA48" s="128">
        <v>-32040</v>
      </c>
      <c r="CB48" s="24">
        <v>-64285.652159999998</v>
      </c>
      <c r="CC48" s="128">
        <v>-4304</v>
      </c>
      <c r="CD48" s="128">
        <v>-9920</v>
      </c>
      <c r="CE48" s="24">
        <v>-14224</v>
      </c>
      <c r="CF48" s="128">
        <v>-3100</v>
      </c>
      <c r="CG48" s="24">
        <v>-17324</v>
      </c>
      <c r="CH48" s="128">
        <v>-29931</v>
      </c>
      <c r="CI48" s="24">
        <f t="shared" si="82"/>
        <v>-47255</v>
      </c>
      <c r="CJ48" s="128">
        <v>-9722</v>
      </c>
      <c r="CK48" s="128">
        <v>-21190</v>
      </c>
      <c r="CL48" s="24">
        <v>-30912</v>
      </c>
      <c r="CM48" s="128">
        <v>-10657</v>
      </c>
      <c r="CN48" s="24">
        <v>-41569</v>
      </c>
      <c r="CO48" s="128">
        <v>-36077</v>
      </c>
      <c r="CP48" s="24">
        <v>-77646</v>
      </c>
      <c r="CQ48" s="128">
        <v>-8508</v>
      </c>
      <c r="CR48" s="128">
        <v>-5846</v>
      </c>
      <c r="CS48" s="24">
        <v>-14354</v>
      </c>
      <c r="CT48" s="128">
        <v>-8761</v>
      </c>
      <c r="CU48" s="24">
        <v>-23115</v>
      </c>
      <c r="CV48" s="128">
        <v>-36721</v>
      </c>
      <c r="CW48" s="24">
        <v>-59836</v>
      </c>
      <c r="CX48" s="128">
        <v>-12961</v>
      </c>
      <c r="CY48" s="128">
        <v>-18677</v>
      </c>
      <c r="CZ48" s="24">
        <v>-31638</v>
      </c>
      <c r="DA48" s="128">
        <v>-14281</v>
      </c>
      <c r="DB48" s="24">
        <v>-45919</v>
      </c>
      <c r="DC48" s="128">
        <v>-50833</v>
      </c>
      <c r="DD48" s="24">
        <v>-96752</v>
      </c>
      <c r="DE48" s="128">
        <v>-28</v>
      </c>
      <c r="DF48" s="128">
        <v>1471</v>
      </c>
      <c r="DG48" s="24">
        <v>1443</v>
      </c>
      <c r="DH48" s="128">
        <v>-49</v>
      </c>
      <c r="DI48" s="24">
        <v>1394</v>
      </c>
      <c r="DJ48" s="128">
        <v>-23920</v>
      </c>
      <c r="DK48" s="24">
        <v>-22526</v>
      </c>
      <c r="DL48" s="128">
        <v>0</v>
      </c>
      <c r="DM48" s="128">
        <v>-27322</v>
      </c>
      <c r="DN48" s="24">
        <v>-27322</v>
      </c>
      <c r="DO48" s="128">
        <v>-42254</v>
      </c>
      <c r="DP48" s="24">
        <v>-69576</v>
      </c>
      <c r="DQ48" s="128">
        <v>-147757</v>
      </c>
      <c r="DR48" s="24">
        <v>-217333</v>
      </c>
      <c r="DS48" s="128">
        <v>-16977</v>
      </c>
      <c r="DT48" s="128">
        <v>-40253</v>
      </c>
      <c r="DU48" s="24">
        <v>-57230</v>
      </c>
      <c r="DV48" s="128">
        <v>-470</v>
      </c>
      <c r="DW48" s="24">
        <v>-57700</v>
      </c>
      <c r="DX48" s="128">
        <v>44056</v>
      </c>
      <c r="DY48" s="24">
        <v>-13644</v>
      </c>
      <c r="DZ48" s="128">
        <v>-1958</v>
      </c>
      <c r="EA48" s="128">
        <v>567</v>
      </c>
      <c r="EB48" s="24">
        <v>-1391</v>
      </c>
      <c r="EC48" s="128">
        <v>-90</v>
      </c>
      <c r="ED48" s="24">
        <v>-1481</v>
      </c>
      <c r="EE48" s="128">
        <v>-24211</v>
      </c>
      <c r="EF48" s="24">
        <v>-25692</v>
      </c>
      <c r="EG48" s="128">
        <f>SUM(EG49:EG50)</f>
        <v>-20744.434000000001</v>
      </c>
      <c r="EH48" s="128">
        <f>SUM(EH49:EH50)</f>
        <v>-21868.355</v>
      </c>
      <c r="EI48" s="128">
        <f t="shared" si="83"/>
        <v>-42612.789000000004</v>
      </c>
      <c r="EJ48" s="128">
        <f>SUM(EJ49:EJ50)</f>
        <v>-38061.604999999996</v>
      </c>
      <c r="EK48" s="128">
        <f t="shared" si="84"/>
        <v>-80674.394</v>
      </c>
      <c r="EL48" s="128">
        <f>SUM(EL49:EL50)</f>
        <v>-90578.801000000007</v>
      </c>
      <c r="EM48" s="128">
        <f t="shared" si="84"/>
        <v>-171253.19500000001</v>
      </c>
      <c r="EN48" s="128">
        <f>SUM(EN49:EN50)</f>
        <v>-32976.22</v>
      </c>
      <c r="EO48" s="128">
        <f>SUM(EO49:EO50)</f>
        <v>-65820.709999999992</v>
      </c>
      <c r="EP48" s="128">
        <f t="shared" si="88"/>
        <v>-98796.93</v>
      </c>
      <c r="EQ48" s="128">
        <f>SUM(EQ49:EQ50)</f>
        <v>-36334.410000000003</v>
      </c>
      <c r="ER48" s="128">
        <f t="shared" si="88"/>
        <v>-135131.34</v>
      </c>
      <c r="ES48" s="128">
        <f>SUM(ES49:ES50)</f>
        <v>-80825.41</v>
      </c>
      <c r="ET48" s="128">
        <f t="shared" si="88"/>
        <v>-215956.75</v>
      </c>
      <c r="EU48" s="128">
        <f>SUM(EU49:EU50)</f>
        <v>-37401</v>
      </c>
      <c r="EV48" s="128">
        <f>SUM(EV49:EV50)</f>
        <v>-50070</v>
      </c>
      <c r="EW48" s="128">
        <f t="shared" si="89"/>
        <v>-87471</v>
      </c>
    </row>
    <row r="49" spans="1:153" ht="16.350000000000001" customHeight="1" outlineLevel="2">
      <c r="A49" s="9"/>
      <c r="B49" s="413" t="s">
        <v>2564</v>
      </c>
      <c r="C49" s="413" t="s">
        <v>2562</v>
      </c>
      <c r="D49" s="24">
        <v>0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24">
        <v>0</v>
      </c>
      <c r="W49" s="24">
        <v>0</v>
      </c>
      <c r="X49" s="24">
        <v>0</v>
      </c>
      <c r="Y49" s="24">
        <v>0</v>
      </c>
      <c r="Z49" s="24">
        <v>0</v>
      </c>
      <c r="AA49" s="24">
        <v>0</v>
      </c>
      <c r="AB49" s="24">
        <v>0</v>
      </c>
      <c r="AC49" s="24">
        <v>0</v>
      </c>
      <c r="AD49" s="24">
        <v>0</v>
      </c>
      <c r="AE49" s="24">
        <v>0</v>
      </c>
      <c r="AF49" s="24">
        <v>0</v>
      </c>
      <c r="AG49" s="24">
        <v>0</v>
      </c>
      <c r="AH49" s="24">
        <v>0</v>
      </c>
      <c r="AI49" s="24">
        <v>0</v>
      </c>
      <c r="AJ49" s="24">
        <v>0</v>
      </c>
      <c r="AK49" s="24">
        <v>0</v>
      </c>
      <c r="AL49" s="24">
        <v>0</v>
      </c>
      <c r="AM49" s="24">
        <v>0</v>
      </c>
      <c r="AN49" s="24">
        <v>0</v>
      </c>
      <c r="AO49" s="24">
        <v>0</v>
      </c>
      <c r="AP49" s="24">
        <v>0</v>
      </c>
      <c r="AQ49" s="24">
        <v>0</v>
      </c>
      <c r="AR49" s="24">
        <v>0</v>
      </c>
      <c r="AS49" s="24">
        <v>0</v>
      </c>
      <c r="AT49" s="128">
        <v>0</v>
      </c>
      <c r="AU49" s="128">
        <v>0</v>
      </c>
      <c r="AV49" s="24">
        <v>0</v>
      </c>
      <c r="AW49" s="128">
        <v>0</v>
      </c>
      <c r="AX49" s="24">
        <v>0</v>
      </c>
      <c r="AY49" s="128">
        <v>0</v>
      </c>
      <c r="AZ49" s="24">
        <v>0</v>
      </c>
      <c r="BA49" s="128">
        <v>0</v>
      </c>
      <c r="BB49" s="128">
        <v>0</v>
      </c>
      <c r="BC49" s="24">
        <v>0</v>
      </c>
      <c r="BD49" s="128">
        <v>0</v>
      </c>
      <c r="BE49" s="24">
        <v>0</v>
      </c>
      <c r="BF49" s="128">
        <v>0</v>
      </c>
      <c r="BG49" s="24">
        <v>0</v>
      </c>
      <c r="BH49" s="128">
        <v>0</v>
      </c>
      <c r="BI49" s="128">
        <v>0</v>
      </c>
      <c r="BJ49" s="24">
        <v>0</v>
      </c>
      <c r="BK49" s="128">
        <v>0</v>
      </c>
      <c r="BL49" s="24">
        <v>0</v>
      </c>
      <c r="BM49" s="128">
        <v>0</v>
      </c>
      <c r="BN49" s="24">
        <v>0</v>
      </c>
      <c r="BO49" s="128">
        <v>0</v>
      </c>
      <c r="BP49" s="128">
        <v>0</v>
      </c>
      <c r="BQ49" s="24">
        <v>0</v>
      </c>
      <c r="BR49" s="128">
        <v>0</v>
      </c>
      <c r="BS49" s="24">
        <v>0</v>
      </c>
      <c r="BT49" s="128">
        <v>0</v>
      </c>
      <c r="BU49" s="24">
        <v>0</v>
      </c>
      <c r="BV49" s="128">
        <v>0</v>
      </c>
      <c r="BW49" s="128">
        <v>0</v>
      </c>
      <c r="BX49" s="24">
        <v>0</v>
      </c>
      <c r="BY49" s="128">
        <v>0</v>
      </c>
      <c r="BZ49" s="24">
        <v>0</v>
      </c>
      <c r="CA49" s="128">
        <v>0</v>
      </c>
      <c r="CB49" s="24">
        <v>0</v>
      </c>
      <c r="CC49" s="128">
        <v>0</v>
      </c>
      <c r="CD49" s="128">
        <v>0</v>
      </c>
      <c r="CE49" s="24">
        <v>0</v>
      </c>
      <c r="CF49" s="128">
        <v>0</v>
      </c>
      <c r="CG49" s="24">
        <v>0</v>
      </c>
      <c r="CH49" s="128">
        <v>0</v>
      </c>
      <c r="CI49" s="24">
        <v>0</v>
      </c>
      <c r="CJ49" s="128">
        <v>0</v>
      </c>
      <c r="CK49" s="128">
        <v>0</v>
      </c>
      <c r="CL49" s="24">
        <v>0</v>
      </c>
      <c r="CM49" s="128">
        <v>0</v>
      </c>
      <c r="CN49" s="24">
        <v>0</v>
      </c>
      <c r="CO49" s="128">
        <v>0</v>
      </c>
      <c r="CP49" s="24">
        <v>0</v>
      </c>
      <c r="CQ49" s="128">
        <v>0</v>
      </c>
      <c r="CR49" s="128">
        <v>0</v>
      </c>
      <c r="CS49" s="24">
        <v>0</v>
      </c>
      <c r="CT49" s="128">
        <v>0</v>
      </c>
      <c r="CU49" s="24">
        <v>0</v>
      </c>
      <c r="CV49" s="128">
        <v>0</v>
      </c>
      <c r="CW49" s="24">
        <v>0</v>
      </c>
      <c r="CX49" s="128">
        <v>0</v>
      </c>
      <c r="CY49" s="128">
        <v>0</v>
      </c>
      <c r="CZ49" s="24">
        <v>0</v>
      </c>
      <c r="DA49" s="128">
        <v>0</v>
      </c>
      <c r="DB49" s="24">
        <v>0</v>
      </c>
      <c r="DC49" s="128">
        <v>0</v>
      </c>
      <c r="DD49" s="24">
        <v>0</v>
      </c>
      <c r="DE49" s="128">
        <v>0</v>
      </c>
      <c r="DF49" s="128">
        <v>0</v>
      </c>
      <c r="DG49" s="24">
        <v>0</v>
      </c>
      <c r="DH49" s="128">
        <v>0</v>
      </c>
      <c r="DI49" s="24">
        <v>0</v>
      </c>
      <c r="DJ49" s="128">
        <v>0</v>
      </c>
      <c r="DK49" s="24">
        <v>0</v>
      </c>
      <c r="DL49" s="128">
        <v>0</v>
      </c>
      <c r="DM49" s="128">
        <v>0</v>
      </c>
      <c r="DN49" s="24">
        <v>0</v>
      </c>
      <c r="DO49" s="128">
        <v>0</v>
      </c>
      <c r="DP49" s="24">
        <v>0</v>
      </c>
      <c r="DQ49" s="128">
        <v>0</v>
      </c>
      <c r="DR49" s="24">
        <v>0</v>
      </c>
      <c r="DS49" s="128">
        <v>0</v>
      </c>
      <c r="DT49" s="128">
        <v>0</v>
      </c>
      <c r="DU49" s="24">
        <v>0</v>
      </c>
      <c r="DV49" s="128">
        <v>0</v>
      </c>
      <c r="DW49" s="24">
        <v>0</v>
      </c>
      <c r="DX49" s="128">
        <v>0</v>
      </c>
      <c r="DY49" s="24">
        <v>0</v>
      </c>
      <c r="DZ49" s="128">
        <v>0</v>
      </c>
      <c r="EA49" s="128">
        <v>0</v>
      </c>
      <c r="EB49" s="24">
        <v>0</v>
      </c>
      <c r="EC49" s="128">
        <v>0</v>
      </c>
      <c r="ED49" s="24">
        <v>0</v>
      </c>
      <c r="EE49" s="128">
        <v>0</v>
      </c>
      <c r="EF49" s="24">
        <v>0</v>
      </c>
      <c r="EG49" s="128">
        <v>-16627</v>
      </c>
      <c r="EH49" s="128">
        <v>-19535</v>
      </c>
      <c r="EI49" s="128">
        <f>SUM(EG49:EH49)</f>
        <v>-36162</v>
      </c>
      <c r="EJ49" s="128">
        <v>-26230</v>
      </c>
      <c r="EK49" s="128">
        <f>SUM(EI49:EJ49)</f>
        <v>-62392</v>
      </c>
      <c r="EL49" s="128">
        <v>-88310</v>
      </c>
      <c r="EM49" s="128">
        <f>SUM(EK49:EL49)</f>
        <v>-150702</v>
      </c>
      <c r="EN49" s="128">
        <v>-22646</v>
      </c>
      <c r="EO49" s="128">
        <v>-45614</v>
      </c>
      <c r="EP49" s="128">
        <f t="shared" si="88"/>
        <v>-68260</v>
      </c>
      <c r="EQ49" s="128">
        <v>-32867</v>
      </c>
      <c r="ER49" s="128">
        <f t="shared" si="88"/>
        <v>-101127</v>
      </c>
      <c r="ES49" s="128">
        <v>-73718</v>
      </c>
      <c r="ET49" s="128">
        <f t="shared" si="88"/>
        <v>-174845</v>
      </c>
      <c r="EU49" s="128">
        <v>-24194</v>
      </c>
      <c r="EV49" s="128">
        <v>-34364</v>
      </c>
      <c r="EW49" s="128">
        <f t="shared" si="89"/>
        <v>-58558</v>
      </c>
    </row>
    <row r="50" spans="1:153" ht="16.350000000000001" customHeight="1" outlineLevel="2">
      <c r="A50" s="9"/>
      <c r="B50" s="413" t="s">
        <v>2565</v>
      </c>
      <c r="C50" s="413" t="s">
        <v>2563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24">
        <v>0</v>
      </c>
      <c r="W50" s="24">
        <v>0</v>
      </c>
      <c r="X50" s="24">
        <v>0</v>
      </c>
      <c r="Y50" s="24">
        <v>0</v>
      </c>
      <c r="Z50" s="24">
        <v>0</v>
      </c>
      <c r="AA50" s="24">
        <v>0</v>
      </c>
      <c r="AB50" s="24">
        <v>0</v>
      </c>
      <c r="AC50" s="24">
        <v>0</v>
      </c>
      <c r="AD50" s="24">
        <v>0</v>
      </c>
      <c r="AE50" s="24">
        <v>0</v>
      </c>
      <c r="AF50" s="24">
        <v>0</v>
      </c>
      <c r="AG50" s="24">
        <v>0</v>
      </c>
      <c r="AH50" s="24">
        <v>0</v>
      </c>
      <c r="AI50" s="24">
        <v>0</v>
      </c>
      <c r="AJ50" s="24">
        <v>0</v>
      </c>
      <c r="AK50" s="24">
        <v>0</v>
      </c>
      <c r="AL50" s="24">
        <v>0</v>
      </c>
      <c r="AM50" s="24">
        <v>0</v>
      </c>
      <c r="AN50" s="24">
        <v>0</v>
      </c>
      <c r="AO50" s="24">
        <v>0</v>
      </c>
      <c r="AP50" s="24">
        <v>0</v>
      </c>
      <c r="AQ50" s="24">
        <v>0</v>
      </c>
      <c r="AR50" s="24">
        <v>0</v>
      </c>
      <c r="AS50" s="24">
        <v>0</v>
      </c>
      <c r="AT50" s="128">
        <v>0</v>
      </c>
      <c r="AU50" s="128">
        <v>0</v>
      </c>
      <c r="AV50" s="24">
        <v>0</v>
      </c>
      <c r="AW50" s="128">
        <v>0</v>
      </c>
      <c r="AX50" s="24">
        <v>0</v>
      </c>
      <c r="AY50" s="128">
        <v>0</v>
      </c>
      <c r="AZ50" s="24">
        <v>0</v>
      </c>
      <c r="BA50" s="128">
        <v>0</v>
      </c>
      <c r="BB50" s="128">
        <v>0</v>
      </c>
      <c r="BC50" s="24">
        <v>0</v>
      </c>
      <c r="BD50" s="128">
        <v>0</v>
      </c>
      <c r="BE50" s="24">
        <v>0</v>
      </c>
      <c r="BF50" s="128">
        <v>0</v>
      </c>
      <c r="BG50" s="24">
        <v>0</v>
      </c>
      <c r="BH50" s="128">
        <v>0</v>
      </c>
      <c r="BI50" s="128">
        <v>0</v>
      </c>
      <c r="BJ50" s="24">
        <v>0</v>
      </c>
      <c r="BK50" s="128">
        <v>0</v>
      </c>
      <c r="BL50" s="24">
        <v>0</v>
      </c>
      <c r="BM50" s="128">
        <v>0</v>
      </c>
      <c r="BN50" s="24">
        <v>0</v>
      </c>
      <c r="BO50" s="128">
        <v>0</v>
      </c>
      <c r="BP50" s="128">
        <v>0</v>
      </c>
      <c r="BQ50" s="24">
        <v>0</v>
      </c>
      <c r="BR50" s="128">
        <v>0</v>
      </c>
      <c r="BS50" s="24">
        <v>0</v>
      </c>
      <c r="BT50" s="128">
        <v>0</v>
      </c>
      <c r="BU50" s="24">
        <v>0</v>
      </c>
      <c r="BV50" s="128">
        <v>0</v>
      </c>
      <c r="BW50" s="128">
        <v>0</v>
      </c>
      <c r="BX50" s="24">
        <v>0</v>
      </c>
      <c r="BY50" s="128">
        <v>0</v>
      </c>
      <c r="BZ50" s="24">
        <v>0</v>
      </c>
      <c r="CA50" s="128">
        <v>0</v>
      </c>
      <c r="CB50" s="24">
        <v>0</v>
      </c>
      <c r="CC50" s="128">
        <v>0</v>
      </c>
      <c r="CD50" s="128">
        <v>0</v>
      </c>
      <c r="CE50" s="24">
        <v>0</v>
      </c>
      <c r="CF50" s="128">
        <v>0</v>
      </c>
      <c r="CG50" s="24">
        <v>0</v>
      </c>
      <c r="CH50" s="128">
        <v>0</v>
      </c>
      <c r="CI50" s="24">
        <v>0</v>
      </c>
      <c r="CJ50" s="128">
        <v>0</v>
      </c>
      <c r="CK50" s="128">
        <v>0</v>
      </c>
      <c r="CL50" s="24">
        <v>0</v>
      </c>
      <c r="CM50" s="128">
        <v>0</v>
      </c>
      <c r="CN50" s="24">
        <v>0</v>
      </c>
      <c r="CO50" s="128">
        <v>0</v>
      </c>
      <c r="CP50" s="24">
        <v>0</v>
      </c>
      <c r="CQ50" s="128">
        <v>0</v>
      </c>
      <c r="CR50" s="128">
        <v>0</v>
      </c>
      <c r="CS50" s="24">
        <v>0</v>
      </c>
      <c r="CT50" s="128">
        <v>0</v>
      </c>
      <c r="CU50" s="24">
        <v>0</v>
      </c>
      <c r="CV50" s="128">
        <v>0</v>
      </c>
      <c r="CW50" s="24">
        <v>0</v>
      </c>
      <c r="CX50" s="128">
        <v>0</v>
      </c>
      <c r="CY50" s="128">
        <v>0</v>
      </c>
      <c r="CZ50" s="24">
        <v>0</v>
      </c>
      <c r="DA50" s="128">
        <v>0</v>
      </c>
      <c r="DB50" s="24">
        <v>0</v>
      </c>
      <c r="DC50" s="128">
        <v>0</v>
      </c>
      <c r="DD50" s="24">
        <v>0</v>
      </c>
      <c r="DE50" s="128">
        <v>0</v>
      </c>
      <c r="DF50" s="128">
        <v>0</v>
      </c>
      <c r="DG50" s="24">
        <v>0</v>
      </c>
      <c r="DH50" s="128">
        <v>0</v>
      </c>
      <c r="DI50" s="24">
        <v>0</v>
      </c>
      <c r="DJ50" s="128">
        <v>0</v>
      </c>
      <c r="DK50" s="24">
        <v>0</v>
      </c>
      <c r="DL50" s="128">
        <v>0</v>
      </c>
      <c r="DM50" s="128">
        <v>0</v>
      </c>
      <c r="DN50" s="24">
        <v>0</v>
      </c>
      <c r="DO50" s="128">
        <v>0</v>
      </c>
      <c r="DP50" s="24">
        <v>0</v>
      </c>
      <c r="DQ50" s="128">
        <v>0</v>
      </c>
      <c r="DR50" s="24">
        <v>0</v>
      </c>
      <c r="DS50" s="128">
        <v>0</v>
      </c>
      <c r="DT50" s="128">
        <v>0</v>
      </c>
      <c r="DU50" s="24">
        <v>0</v>
      </c>
      <c r="DV50" s="128">
        <v>0</v>
      </c>
      <c r="DW50" s="24">
        <v>0</v>
      </c>
      <c r="DX50" s="128">
        <v>0</v>
      </c>
      <c r="DY50" s="24">
        <v>0</v>
      </c>
      <c r="DZ50" s="128">
        <v>0</v>
      </c>
      <c r="EA50" s="128">
        <v>0</v>
      </c>
      <c r="EB50" s="24">
        <v>0</v>
      </c>
      <c r="EC50" s="128">
        <v>0</v>
      </c>
      <c r="ED50" s="24">
        <v>0</v>
      </c>
      <c r="EE50" s="128">
        <v>0</v>
      </c>
      <c r="EF50" s="24">
        <v>0</v>
      </c>
      <c r="EG50" s="128">
        <v>-4117.4340000000002</v>
      </c>
      <c r="EH50" s="128">
        <v>-2333.355</v>
      </c>
      <c r="EI50" s="128">
        <f>SUM(EG50:EH50)</f>
        <v>-6450.7890000000007</v>
      </c>
      <c r="EJ50" s="128">
        <v>-11831.605</v>
      </c>
      <c r="EK50" s="128">
        <f>SUM(EI50:EJ50)</f>
        <v>-18282.394</v>
      </c>
      <c r="EL50" s="128">
        <v>-2268.8009999999999</v>
      </c>
      <c r="EM50" s="128">
        <f>SUM(EK50:EL50)</f>
        <v>-20551.195</v>
      </c>
      <c r="EN50" s="128">
        <v>-10330.219999999999</v>
      </c>
      <c r="EO50" s="128">
        <v>-20206.71</v>
      </c>
      <c r="EP50" s="128">
        <f t="shared" si="88"/>
        <v>-30536.93</v>
      </c>
      <c r="EQ50" s="128">
        <v>-3467.41</v>
      </c>
      <c r="ER50" s="128">
        <f t="shared" si="88"/>
        <v>-34004.339999999997</v>
      </c>
      <c r="ES50" s="128">
        <v>-7107.41</v>
      </c>
      <c r="ET50" s="128">
        <f t="shared" si="88"/>
        <v>-41111.75</v>
      </c>
      <c r="EU50" s="128">
        <v>-13207</v>
      </c>
      <c r="EV50" s="128">
        <v>-15706</v>
      </c>
      <c r="EW50" s="128">
        <f t="shared" si="89"/>
        <v>-28913</v>
      </c>
    </row>
    <row r="51" spans="1:153" ht="16.350000000000001" customHeight="1">
      <c r="A51" s="9"/>
      <c r="B51" s="23" t="s">
        <v>364</v>
      </c>
      <c r="C51" s="23" t="s">
        <v>2369</v>
      </c>
      <c r="D51" s="24">
        <v>-6073</v>
      </c>
      <c r="E51" s="24">
        <v>-9448</v>
      </c>
      <c r="F51" s="24">
        <v>-15521</v>
      </c>
      <c r="G51" s="24">
        <v>-8298</v>
      </c>
      <c r="H51" s="24">
        <v>-23819</v>
      </c>
      <c r="I51" s="24">
        <v>-15100</v>
      </c>
      <c r="J51" s="24">
        <v>-38919</v>
      </c>
      <c r="K51" s="24">
        <v>-8250</v>
      </c>
      <c r="L51" s="24">
        <v>-12081</v>
      </c>
      <c r="M51" s="24">
        <v>-20331</v>
      </c>
      <c r="N51" s="24">
        <v>-11360</v>
      </c>
      <c r="O51" s="24">
        <v>-31691</v>
      </c>
      <c r="P51" s="24">
        <v>-20307</v>
      </c>
      <c r="Q51" s="24">
        <v>-51998</v>
      </c>
      <c r="R51" s="24">
        <v>-16190</v>
      </c>
      <c r="S51" s="24">
        <v>-27243</v>
      </c>
      <c r="T51" s="24">
        <v>-43433</v>
      </c>
      <c r="U51" s="24">
        <v>-23773</v>
      </c>
      <c r="V51" s="24">
        <v>-67206</v>
      </c>
      <c r="W51" s="24">
        <v>-32999</v>
      </c>
      <c r="X51" s="24">
        <v>-100205</v>
      </c>
      <c r="Y51" s="24">
        <v>-22079</v>
      </c>
      <c r="Z51" s="24">
        <v>-29959</v>
      </c>
      <c r="AA51" s="24">
        <v>-52038</v>
      </c>
      <c r="AB51" s="24">
        <v>-26464</v>
      </c>
      <c r="AC51" s="24">
        <v>-78502</v>
      </c>
      <c r="AD51" s="24">
        <v>-32625</v>
      </c>
      <c r="AE51" s="24">
        <v>-111127</v>
      </c>
      <c r="AF51" s="24">
        <v>-22262</v>
      </c>
      <c r="AG51" s="24">
        <v>-32035</v>
      </c>
      <c r="AH51" s="24">
        <v>-54297</v>
      </c>
      <c r="AI51" s="24">
        <v>-28487</v>
      </c>
      <c r="AJ51" s="24">
        <v>-82784</v>
      </c>
      <c r="AK51" s="24">
        <v>-29635</v>
      </c>
      <c r="AL51" s="24">
        <v>-112419</v>
      </c>
      <c r="AM51" s="24">
        <v>-23584</v>
      </c>
      <c r="AN51" s="24">
        <v>-28568</v>
      </c>
      <c r="AO51" s="24">
        <v>-52152</v>
      </c>
      <c r="AP51" s="24">
        <v>-18758</v>
      </c>
      <c r="AQ51" s="24">
        <v>-70910</v>
      </c>
      <c r="AR51" s="24">
        <v>-17262</v>
      </c>
      <c r="AS51" s="24">
        <v>-88172</v>
      </c>
      <c r="AT51" s="128">
        <v>-18809</v>
      </c>
      <c r="AU51" s="128">
        <v>-28926</v>
      </c>
      <c r="AV51" s="24">
        <v>-47735</v>
      </c>
      <c r="AW51" s="128">
        <v>-24384</v>
      </c>
      <c r="AX51" s="24">
        <v>-72119</v>
      </c>
      <c r="AY51" s="128">
        <v>-37307</v>
      </c>
      <c r="AZ51" s="24">
        <v>-109426</v>
      </c>
      <c r="BA51" s="128">
        <v>-20227</v>
      </c>
      <c r="BB51" s="128">
        <v>-33397</v>
      </c>
      <c r="BC51" s="24">
        <v>-53624</v>
      </c>
      <c r="BD51" s="128">
        <v>-29018</v>
      </c>
      <c r="BE51" s="24">
        <v>-82642</v>
      </c>
      <c r="BF51" s="128">
        <v>-43438</v>
      </c>
      <c r="BG51" s="24">
        <v>-126080</v>
      </c>
      <c r="BH51" s="128">
        <v>-28825</v>
      </c>
      <c r="BI51" s="128">
        <v>-37145</v>
      </c>
      <c r="BJ51" s="24">
        <v>-65970</v>
      </c>
      <c r="BK51" s="128">
        <v>-33115</v>
      </c>
      <c r="BL51" s="24">
        <v>-99085</v>
      </c>
      <c r="BM51" s="128">
        <v>-43403</v>
      </c>
      <c r="BN51" s="24">
        <v>-142488</v>
      </c>
      <c r="BO51" s="128">
        <v>-29171</v>
      </c>
      <c r="BP51" s="128">
        <v>-54043</v>
      </c>
      <c r="BQ51" s="24">
        <v>-83214</v>
      </c>
      <c r="BR51" s="128">
        <v>-51852</v>
      </c>
      <c r="BS51" s="24">
        <v>-135066</v>
      </c>
      <c r="BT51" s="128">
        <v>-53392</v>
      </c>
      <c r="BU51" s="24">
        <v>-188458</v>
      </c>
      <c r="BV51" s="128">
        <v>-45737</v>
      </c>
      <c r="BW51" s="128">
        <v>-74136</v>
      </c>
      <c r="BX51" s="24">
        <v>-119873</v>
      </c>
      <c r="BY51" s="128">
        <v>-76307</v>
      </c>
      <c r="BZ51" s="24">
        <v>-196180</v>
      </c>
      <c r="CA51" s="128">
        <v>-84963</v>
      </c>
      <c r="CB51" s="24">
        <v>-281143</v>
      </c>
      <c r="CC51" s="128">
        <v>-50177</v>
      </c>
      <c r="CD51" s="128">
        <v>-77523</v>
      </c>
      <c r="CE51" s="24">
        <v>-127700</v>
      </c>
      <c r="CF51" s="128">
        <v>-68811</v>
      </c>
      <c r="CG51" s="24">
        <v>-196511</v>
      </c>
      <c r="CH51" s="128">
        <v>-65692</v>
      </c>
      <c r="CI51" s="24">
        <f t="shared" si="82"/>
        <v>-262203</v>
      </c>
      <c r="CJ51" s="128">
        <v>-46366</v>
      </c>
      <c r="CK51" s="128">
        <v>-59277</v>
      </c>
      <c r="CL51" s="24">
        <v>-105643</v>
      </c>
      <c r="CM51" s="128">
        <v>-71408</v>
      </c>
      <c r="CN51" s="24">
        <v>-177051</v>
      </c>
      <c r="CO51" s="128">
        <v>-78784</v>
      </c>
      <c r="CP51" s="24">
        <v>-255835</v>
      </c>
      <c r="CQ51" s="128">
        <v>-57423</v>
      </c>
      <c r="CR51" s="128">
        <v>-79119</v>
      </c>
      <c r="CS51" s="24">
        <v>-136542</v>
      </c>
      <c r="CT51" s="128">
        <v>-68260</v>
      </c>
      <c r="CU51" s="24">
        <v>-204802</v>
      </c>
      <c r="CV51" s="128">
        <v>-75871</v>
      </c>
      <c r="CW51" s="24">
        <v>-280673</v>
      </c>
      <c r="CX51" s="128">
        <v>-72516</v>
      </c>
      <c r="CY51" s="128">
        <v>-98455</v>
      </c>
      <c r="CZ51" s="24">
        <v>-170971</v>
      </c>
      <c r="DA51" s="128">
        <v>-101371</v>
      </c>
      <c r="DB51" s="24">
        <v>-272342</v>
      </c>
      <c r="DC51" s="128">
        <v>-108707</v>
      </c>
      <c r="DD51" s="24">
        <v>-381049</v>
      </c>
      <c r="DE51" s="128">
        <v>-199325</v>
      </c>
      <c r="DF51" s="128">
        <v>-133866</v>
      </c>
      <c r="DG51" s="24">
        <v>-333191</v>
      </c>
      <c r="DH51" s="128">
        <v>-91399</v>
      </c>
      <c r="DI51" s="24">
        <v>-424590</v>
      </c>
      <c r="DJ51" s="128">
        <v>11954</v>
      </c>
      <c r="DK51" s="24">
        <v>-412636</v>
      </c>
      <c r="DL51" s="128">
        <v>-52105</v>
      </c>
      <c r="DM51" s="128">
        <v>-77434</v>
      </c>
      <c r="DN51" s="24">
        <v>-129539</v>
      </c>
      <c r="DO51" s="24">
        <v>-74765</v>
      </c>
      <c r="DP51" s="24">
        <v>-204304</v>
      </c>
      <c r="DQ51" s="24">
        <v>-135497</v>
      </c>
      <c r="DR51" s="24">
        <v>-339801</v>
      </c>
      <c r="DS51" s="24">
        <v>-167454</v>
      </c>
      <c r="DT51" s="24">
        <v>-281521</v>
      </c>
      <c r="DU51" s="24">
        <v>-448975</v>
      </c>
      <c r="DV51" s="24">
        <v>-236888</v>
      </c>
      <c r="DW51" s="24">
        <v>-685863</v>
      </c>
      <c r="DX51" s="24">
        <v>-305880</v>
      </c>
      <c r="DY51" s="24">
        <v>-991743</v>
      </c>
      <c r="DZ51" s="24">
        <v>-346812</v>
      </c>
      <c r="EA51" s="24">
        <v>-396108</v>
      </c>
      <c r="EB51" s="24">
        <v>-742920</v>
      </c>
      <c r="EC51" s="24">
        <v>-329561</v>
      </c>
      <c r="ED51" s="24">
        <v>-1072481</v>
      </c>
      <c r="EE51" s="24">
        <v>-270796</v>
      </c>
      <c r="EF51" s="24">
        <v>-1343277</v>
      </c>
      <c r="EG51" s="24">
        <v>-264539</v>
      </c>
      <c r="EH51" s="24">
        <v>-253546</v>
      </c>
      <c r="EI51" s="24">
        <f t="shared" si="83"/>
        <v>-518085</v>
      </c>
      <c r="EJ51" s="24">
        <v>-224796</v>
      </c>
      <c r="EK51" s="24">
        <f t="shared" si="84"/>
        <v>-742881</v>
      </c>
      <c r="EL51" s="24">
        <v>-214399</v>
      </c>
      <c r="EM51" s="24">
        <f t="shared" si="84"/>
        <v>-957280</v>
      </c>
      <c r="EN51" s="24">
        <v>-177141</v>
      </c>
      <c r="EO51" s="24">
        <v>-255735</v>
      </c>
      <c r="EP51" s="128">
        <f t="shared" si="88"/>
        <v>-432876</v>
      </c>
      <c r="EQ51" s="24">
        <v>-263131</v>
      </c>
      <c r="ER51" s="128">
        <f t="shared" si="88"/>
        <v>-696007</v>
      </c>
      <c r="ES51" s="128">
        <v>-254536</v>
      </c>
      <c r="ET51" s="128">
        <f t="shared" si="88"/>
        <v>-950543</v>
      </c>
      <c r="EU51" s="24">
        <v>-232783</v>
      </c>
      <c r="EV51" s="24">
        <v>-298617</v>
      </c>
      <c r="EW51" s="128">
        <f t="shared" si="89"/>
        <v>-531400</v>
      </c>
    </row>
    <row r="52" spans="1:153" ht="16.350000000000001" customHeight="1">
      <c r="A52" s="9"/>
      <c r="B52" s="109" t="s">
        <v>368</v>
      </c>
      <c r="C52" s="109" t="s">
        <v>56</v>
      </c>
      <c r="D52" s="112">
        <v>0</v>
      </c>
      <c r="E52" s="112">
        <v>0</v>
      </c>
      <c r="F52" s="112">
        <v>0</v>
      </c>
      <c r="G52" s="112">
        <v>10</v>
      </c>
      <c r="H52" s="112">
        <v>10</v>
      </c>
      <c r="I52" s="112">
        <v>0</v>
      </c>
      <c r="J52" s="112">
        <v>10</v>
      </c>
      <c r="K52" s="112">
        <v>0</v>
      </c>
      <c r="L52" s="112">
        <v>0</v>
      </c>
      <c r="M52" s="112">
        <v>0</v>
      </c>
      <c r="N52" s="112">
        <v>0</v>
      </c>
      <c r="O52" s="112">
        <v>0</v>
      </c>
      <c r="P52" s="112">
        <v>0</v>
      </c>
      <c r="Q52" s="112">
        <v>0</v>
      </c>
      <c r="R52" s="112">
        <v>0</v>
      </c>
      <c r="S52" s="112">
        <v>0</v>
      </c>
      <c r="T52" s="112">
        <v>0</v>
      </c>
      <c r="U52" s="112">
        <v>0</v>
      </c>
      <c r="V52" s="112">
        <v>0</v>
      </c>
      <c r="W52" s="112">
        <v>0</v>
      </c>
      <c r="X52" s="112">
        <v>0</v>
      </c>
      <c r="Y52" s="112">
        <v>0</v>
      </c>
      <c r="Z52" s="112">
        <v>0</v>
      </c>
      <c r="AA52" s="112">
        <v>0</v>
      </c>
      <c r="AB52" s="112">
        <v>0</v>
      </c>
      <c r="AC52" s="112">
        <v>0</v>
      </c>
      <c r="AD52" s="112">
        <v>0</v>
      </c>
      <c r="AE52" s="112">
        <v>0</v>
      </c>
      <c r="AF52" s="112">
        <v>0</v>
      </c>
      <c r="AG52" s="112">
        <v>0</v>
      </c>
      <c r="AH52" s="112">
        <v>0</v>
      </c>
      <c r="AI52" s="112">
        <v>0</v>
      </c>
      <c r="AJ52" s="112">
        <v>0</v>
      </c>
      <c r="AK52" s="112">
        <v>0</v>
      </c>
      <c r="AL52" s="112">
        <v>0</v>
      </c>
      <c r="AM52" s="112">
        <v>0</v>
      </c>
      <c r="AN52" s="112">
        <v>0</v>
      </c>
      <c r="AO52" s="112">
        <v>0</v>
      </c>
      <c r="AP52" s="112">
        <v>0</v>
      </c>
      <c r="AQ52" s="112">
        <v>0</v>
      </c>
      <c r="AR52" s="112">
        <v>0</v>
      </c>
      <c r="AS52" s="112">
        <v>0</v>
      </c>
      <c r="AT52" s="129">
        <v>0</v>
      </c>
      <c r="AU52" s="129">
        <v>0</v>
      </c>
      <c r="AV52" s="112">
        <v>0</v>
      </c>
      <c r="AW52" s="129">
        <v>0</v>
      </c>
      <c r="AX52" s="112">
        <v>0</v>
      </c>
      <c r="AY52" s="130">
        <v>0</v>
      </c>
      <c r="AZ52" s="112">
        <v>0</v>
      </c>
      <c r="BA52" s="130">
        <v>0</v>
      </c>
      <c r="BB52" s="129">
        <v>0</v>
      </c>
      <c r="BC52" s="112">
        <v>0</v>
      </c>
      <c r="BD52" s="129">
        <v>0</v>
      </c>
      <c r="BE52" s="112">
        <v>0</v>
      </c>
      <c r="BF52" s="129">
        <v>0</v>
      </c>
      <c r="BG52" s="112">
        <v>0</v>
      </c>
      <c r="BH52" s="129" t="s">
        <v>53</v>
      </c>
      <c r="BI52" s="129" t="s">
        <v>53</v>
      </c>
      <c r="BJ52" s="112">
        <v>0</v>
      </c>
      <c r="BK52" s="129">
        <v>0</v>
      </c>
      <c r="BL52" s="112">
        <v>0</v>
      </c>
      <c r="BM52" s="129">
        <v>0</v>
      </c>
      <c r="BN52" s="112">
        <v>0</v>
      </c>
      <c r="BO52" s="129">
        <v>0</v>
      </c>
      <c r="BP52" s="129">
        <v>0</v>
      </c>
      <c r="BQ52" s="112">
        <v>0</v>
      </c>
      <c r="BR52" s="129">
        <v>0</v>
      </c>
      <c r="BS52" s="112">
        <v>0</v>
      </c>
      <c r="BT52" s="129">
        <v>0</v>
      </c>
      <c r="BU52" s="112">
        <v>0</v>
      </c>
      <c r="BV52" s="112">
        <v>0</v>
      </c>
      <c r="BW52" s="129">
        <v>0</v>
      </c>
      <c r="BX52" s="112">
        <v>0</v>
      </c>
      <c r="BY52" s="129">
        <v>0</v>
      </c>
      <c r="BZ52" s="112">
        <v>0</v>
      </c>
      <c r="CA52" s="129">
        <v>0</v>
      </c>
      <c r="CB52" s="112">
        <v>0</v>
      </c>
      <c r="CC52" s="112">
        <v>0</v>
      </c>
      <c r="CD52" s="129">
        <v>0</v>
      </c>
      <c r="CE52" s="112">
        <v>0</v>
      </c>
      <c r="CF52" s="129">
        <v>0</v>
      </c>
      <c r="CG52" s="112">
        <v>0</v>
      </c>
      <c r="CH52" s="129">
        <v>0</v>
      </c>
      <c r="CI52" s="112">
        <f t="shared" si="82"/>
        <v>0</v>
      </c>
      <c r="CJ52" s="112">
        <v>0</v>
      </c>
      <c r="CK52" s="129">
        <v>0</v>
      </c>
      <c r="CL52" s="112">
        <v>0</v>
      </c>
      <c r="CM52" s="129">
        <v>0</v>
      </c>
      <c r="CN52" s="112">
        <v>0</v>
      </c>
      <c r="CO52" s="129">
        <v>0</v>
      </c>
      <c r="CP52" s="112">
        <v>0</v>
      </c>
      <c r="CQ52" s="129">
        <v>0</v>
      </c>
      <c r="CR52" s="129">
        <v>0</v>
      </c>
      <c r="CS52" s="112">
        <v>0</v>
      </c>
      <c r="CT52" s="129">
        <v>0</v>
      </c>
      <c r="CU52" s="112">
        <v>0</v>
      </c>
      <c r="CV52" s="129">
        <v>0</v>
      </c>
      <c r="CW52" s="112">
        <v>0</v>
      </c>
      <c r="CX52" s="129">
        <v>0</v>
      </c>
      <c r="CY52" s="129">
        <v>0</v>
      </c>
      <c r="CZ52" s="112">
        <v>0</v>
      </c>
      <c r="DA52" s="129">
        <v>0</v>
      </c>
      <c r="DB52" s="112">
        <v>0</v>
      </c>
      <c r="DC52" s="129">
        <v>0</v>
      </c>
      <c r="DD52" s="112">
        <v>0</v>
      </c>
      <c r="DE52" s="129">
        <v>0</v>
      </c>
      <c r="DF52" s="129">
        <v>0</v>
      </c>
      <c r="DG52" s="112">
        <v>0</v>
      </c>
      <c r="DH52" s="129">
        <v>0</v>
      </c>
      <c r="DI52" s="112">
        <v>0</v>
      </c>
      <c r="DJ52" s="129">
        <v>0</v>
      </c>
      <c r="DK52" s="112">
        <v>0</v>
      </c>
      <c r="DL52" s="129">
        <v>0</v>
      </c>
      <c r="DM52" s="129">
        <v>0</v>
      </c>
      <c r="DN52" s="112">
        <v>0</v>
      </c>
      <c r="DO52" s="129">
        <v>0</v>
      </c>
      <c r="DP52" s="112">
        <v>0</v>
      </c>
      <c r="DQ52" s="129">
        <v>0</v>
      </c>
      <c r="DR52" s="112">
        <v>0</v>
      </c>
      <c r="DS52" s="129">
        <v>0</v>
      </c>
      <c r="DT52" s="129">
        <v>0</v>
      </c>
      <c r="DU52" s="112">
        <v>0</v>
      </c>
      <c r="DV52" s="129">
        <v>0</v>
      </c>
      <c r="DW52" s="112">
        <v>0</v>
      </c>
      <c r="DX52" s="129">
        <v>0</v>
      </c>
      <c r="DY52" s="112">
        <v>0</v>
      </c>
      <c r="DZ52" s="129">
        <v>0</v>
      </c>
      <c r="EA52" s="129">
        <v>0</v>
      </c>
      <c r="EB52" s="112">
        <v>0</v>
      </c>
      <c r="EC52" s="129">
        <v>0</v>
      </c>
      <c r="ED52" s="112">
        <v>0</v>
      </c>
      <c r="EE52" s="129">
        <v>0</v>
      </c>
      <c r="EF52" s="112">
        <v>0</v>
      </c>
      <c r="EG52" s="129">
        <v>0</v>
      </c>
      <c r="EH52" s="129">
        <v>0</v>
      </c>
      <c r="EI52" s="129">
        <f t="shared" si="83"/>
        <v>0</v>
      </c>
      <c r="EJ52" s="129">
        <v>0</v>
      </c>
      <c r="EK52" s="129">
        <f t="shared" si="84"/>
        <v>0</v>
      </c>
      <c r="EL52" s="129">
        <f t="shared" si="84"/>
        <v>0</v>
      </c>
      <c r="EM52" s="129">
        <f t="shared" si="84"/>
        <v>0</v>
      </c>
      <c r="EN52" s="129">
        <v>0</v>
      </c>
      <c r="EO52" s="129">
        <v>0</v>
      </c>
      <c r="EP52" s="129">
        <v>0</v>
      </c>
      <c r="EQ52" s="129">
        <v>0</v>
      </c>
      <c r="ER52" s="129">
        <v>0</v>
      </c>
      <c r="ES52" s="129">
        <v>0</v>
      </c>
      <c r="ET52" s="129">
        <v>0</v>
      </c>
      <c r="EU52" s="129">
        <v>0</v>
      </c>
      <c r="EV52" s="129">
        <v>0</v>
      </c>
      <c r="EW52" s="129">
        <v>0</v>
      </c>
    </row>
    <row r="53" spans="1:153" ht="16.350000000000001" customHeight="1">
      <c r="A53" s="9"/>
      <c r="B53" s="131"/>
      <c r="C53" s="117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1"/>
      <c r="AI53" s="51"/>
      <c r="AJ53" s="51"/>
      <c r="AK53" s="51"/>
      <c r="AL53" s="51"/>
      <c r="AM53" s="51"/>
      <c r="AN53" s="51"/>
      <c r="AO53" s="51"/>
      <c r="AP53" s="51"/>
      <c r="AQ53" s="51"/>
      <c r="AR53" s="51"/>
      <c r="AS53" s="51"/>
      <c r="AT53" s="132"/>
      <c r="AU53" s="132"/>
      <c r="AV53" s="51"/>
      <c r="AW53" s="132"/>
      <c r="AX53" s="51"/>
      <c r="AY53" s="133"/>
      <c r="AZ53" s="51"/>
      <c r="BA53" s="133"/>
      <c r="BB53" s="132"/>
      <c r="BC53" s="51"/>
      <c r="BD53" s="132"/>
      <c r="BE53" s="51"/>
      <c r="BF53" s="132"/>
      <c r="BG53" s="51"/>
      <c r="BH53" s="132"/>
      <c r="BI53" s="132"/>
      <c r="BJ53" s="51"/>
      <c r="BK53" s="132"/>
      <c r="BL53" s="51"/>
      <c r="BM53" s="132"/>
      <c r="BN53" s="51"/>
      <c r="BO53" s="132"/>
      <c r="BP53" s="132"/>
      <c r="BQ53" s="51"/>
      <c r="BR53" s="132"/>
      <c r="BS53" s="51"/>
      <c r="BT53" s="132"/>
      <c r="BU53" s="51"/>
      <c r="BV53" s="132"/>
      <c r="BW53" s="132"/>
      <c r="BX53" s="51"/>
      <c r="BY53" s="132"/>
      <c r="BZ53" s="51"/>
      <c r="CA53" s="132"/>
      <c r="CB53" s="51"/>
      <c r="CC53" s="132"/>
      <c r="CD53" s="132"/>
      <c r="CE53" s="51"/>
      <c r="CF53" s="132"/>
      <c r="CG53" s="51"/>
      <c r="CH53" s="132"/>
      <c r="CI53" s="51"/>
      <c r="CJ53" s="132"/>
      <c r="CK53" s="132"/>
      <c r="CL53" s="51"/>
      <c r="CM53" s="132"/>
      <c r="CN53" s="51"/>
      <c r="CO53" s="132"/>
      <c r="CP53" s="51"/>
      <c r="CQ53" s="132"/>
      <c r="CR53" s="132"/>
      <c r="CS53" s="51"/>
      <c r="CT53" s="132"/>
      <c r="CU53" s="51"/>
      <c r="CV53" s="132"/>
      <c r="CW53" s="51"/>
      <c r="CX53" s="132"/>
      <c r="CY53" s="132"/>
      <c r="CZ53" s="51"/>
      <c r="DA53" s="132"/>
      <c r="DB53" s="51"/>
      <c r="DC53" s="132"/>
      <c r="DD53" s="51"/>
      <c r="DE53" s="132"/>
      <c r="DF53" s="132"/>
      <c r="DG53" s="51"/>
      <c r="DH53" s="132"/>
      <c r="DI53" s="51"/>
      <c r="DJ53" s="132"/>
      <c r="DK53" s="51"/>
      <c r="DL53" s="132"/>
      <c r="DM53" s="132"/>
      <c r="DN53" s="51"/>
      <c r="DO53" s="132"/>
      <c r="DP53" s="51"/>
      <c r="DQ53" s="132"/>
      <c r="DR53" s="51"/>
      <c r="DS53" s="132"/>
      <c r="DT53" s="132"/>
      <c r="DU53" s="51"/>
      <c r="DV53" s="132"/>
      <c r="DW53" s="51"/>
      <c r="DX53" s="132"/>
      <c r="DY53" s="51"/>
      <c r="DZ53" s="132"/>
      <c r="EA53" s="132"/>
      <c r="EB53" s="51"/>
      <c r="ED53" s="51"/>
      <c r="EF53" s="51"/>
      <c r="EG53" s="132"/>
      <c r="EH53" s="132"/>
      <c r="EI53" s="132"/>
      <c r="EJ53" s="132"/>
      <c r="EK53" s="132"/>
      <c r="EL53" s="132"/>
      <c r="EM53" s="132"/>
      <c r="EN53" s="132"/>
      <c r="EO53" s="132"/>
      <c r="EP53" s="132"/>
      <c r="EQ53" s="132"/>
      <c r="ER53" s="132"/>
      <c r="ES53" s="132"/>
      <c r="ET53" s="132"/>
      <c r="EU53" s="132"/>
      <c r="EV53" s="132"/>
      <c r="EW53" s="132"/>
    </row>
    <row r="54" spans="1:153" ht="16.350000000000001" customHeight="1">
      <c r="A54" s="18"/>
      <c r="B54" s="19" t="s">
        <v>372</v>
      </c>
      <c r="C54" s="19" t="s">
        <v>2368</v>
      </c>
      <c r="D54" s="20">
        <v>11571</v>
      </c>
      <c r="E54" s="20">
        <v>29439</v>
      </c>
      <c r="F54" s="20">
        <v>41010</v>
      </c>
      <c r="G54" s="20">
        <v>-1559</v>
      </c>
      <c r="H54" s="20">
        <v>39451</v>
      </c>
      <c r="I54" s="20">
        <v>49564</v>
      </c>
      <c r="J54" s="20">
        <v>89015</v>
      </c>
      <c r="K54" s="20">
        <v>20794</v>
      </c>
      <c r="L54" s="20">
        <v>35606</v>
      </c>
      <c r="M54" s="20">
        <v>56400</v>
      </c>
      <c r="N54" s="20">
        <v>22880</v>
      </c>
      <c r="O54" s="20">
        <v>79280</v>
      </c>
      <c r="P54" s="20">
        <v>53396</v>
      </c>
      <c r="Q54" s="20">
        <v>132676</v>
      </c>
      <c r="R54" s="20">
        <v>27217</v>
      </c>
      <c r="S54" s="20">
        <v>62614</v>
      </c>
      <c r="T54" s="20">
        <v>89831</v>
      </c>
      <c r="U54" s="20">
        <v>55019</v>
      </c>
      <c r="V54" s="20">
        <v>144850</v>
      </c>
      <c r="W54" s="20">
        <v>76134</v>
      </c>
      <c r="X54" s="20">
        <v>220984</v>
      </c>
      <c r="Y54" s="20">
        <v>37791</v>
      </c>
      <c r="Z54" s="20">
        <v>67267</v>
      </c>
      <c r="AA54" s="20">
        <v>105058</v>
      </c>
      <c r="AB54" s="20">
        <v>42457</v>
      </c>
      <c r="AC54" s="20">
        <v>147517</v>
      </c>
      <c r="AD54" s="20">
        <v>73515</v>
      </c>
      <c r="AE54" s="20">
        <v>221030</v>
      </c>
      <c r="AF54" s="20">
        <v>16459.279695342848</v>
      </c>
      <c r="AG54" s="20">
        <v>70169.940966587921</v>
      </c>
      <c r="AH54" s="20">
        <v>86629.22066193074</v>
      </c>
      <c r="AI54" s="20">
        <v>44891.640550408512</v>
      </c>
      <c r="AJ54" s="20">
        <v>131520.86121233925</v>
      </c>
      <c r="AK54" s="20">
        <v>126722.23646145535</v>
      </c>
      <c r="AL54" s="20">
        <v>258243.09767379472</v>
      </c>
      <c r="AM54" s="20">
        <v>50110</v>
      </c>
      <c r="AN54" s="20">
        <v>129543</v>
      </c>
      <c r="AO54" s="20">
        <v>179653</v>
      </c>
      <c r="AP54" s="20">
        <v>78152</v>
      </c>
      <c r="AQ54" s="20">
        <v>257805</v>
      </c>
      <c r="AR54" s="20">
        <v>146668</v>
      </c>
      <c r="AS54" s="20">
        <v>404473</v>
      </c>
      <c r="AT54" s="20">
        <v>59059</v>
      </c>
      <c r="AU54" s="20">
        <v>151492</v>
      </c>
      <c r="AV54" s="20">
        <v>210551</v>
      </c>
      <c r="AW54" s="20">
        <v>76629.558239999984</v>
      </c>
      <c r="AX54" s="20">
        <v>287180.55824000004</v>
      </c>
      <c r="AY54" s="20">
        <v>185452</v>
      </c>
      <c r="AZ54" s="20">
        <v>472632.55823999993</v>
      </c>
      <c r="BA54" s="20">
        <v>49228</v>
      </c>
      <c r="BB54" s="20">
        <v>154475</v>
      </c>
      <c r="BC54" s="20">
        <v>203703</v>
      </c>
      <c r="BD54" s="20">
        <v>110317</v>
      </c>
      <c r="BE54" s="20">
        <v>314020</v>
      </c>
      <c r="BF54" s="20">
        <v>245231</v>
      </c>
      <c r="BG54" s="20">
        <v>559251</v>
      </c>
      <c r="BH54" s="20">
        <v>46177</v>
      </c>
      <c r="BI54" s="20">
        <v>157421</v>
      </c>
      <c r="BJ54" s="20">
        <v>203598</v>
      </c>
      <c r="BK54" s="20">
        <v>110689</v>
      </c>
      <c r="BL54" s="20">
        <v>314287</v>
      </c>
      <c r="BM54" s="20">
        <v>336149</v>
      </c>
      <c r="BN54" s="20">
        <v>650436</v>
      </c>
      <c r="BO54" s="20">
        <v>83736.450000000012</v>
      </c>
      <c r="BP54" s="20">
        <v>189408</v>
      </c>
      <c r="BQ54" s="20">
        <v>273144.44999999995</v>
      </c>
      <c r="BR54" s="20">
        <v>141901</v>
      </c>
      <c r="BS54" s="20">
        <v>415045.44999999995</v>
      </c>
      <c r="BT54" s="20">
        <v>387005.91899999999</v>
      </c>
      <c r="BU54" s="20">
        <v>802051.36899999995</v>
      </c>
      <c r="BV54" s="20">
        <v>130573.27951000014</v>
      </c>
      <c r="BW54" s="20">
        <v>253873.64064000011</v>
      </c>
      <c r="BX54" s="20">
        <v>384446.92015000037</v>
      </c>
      <c r="BY54" s="20">
        <v>156656</v>
      </c>
      <c r="BZ54" s="20">
        <v>541102.92015000014</v>
      </c>
      <c r="CA54" s="20">
        <v>392149.30340999993</v>
      </c>
      <c r="CB54" s="20">
        <v>933252.2235600003</v>
      </c>
      <c r="CC54" s="20">
        <v>105543</v>
      </c>
      <c r="CD54" s="20">
        <v>272459</v>
      </c>
      <c r="CE54" s="20">
        <v>378002</v>
      </c>
      <c r="CF54" s="20">
        <v>132895</v>
      </c>
      <c r="CG54" s="20">
        <v>510897</v>
      </c>
      <c r="CH54" s="20">
        <v>464795</v>
      </c>
      <c r="CI54" s="20">
        <f t="shared" ref="CI54" si="92">SUM(CG54:CH54)</f>
        <v>975692</v>
      </c>
      <c r="CJ54" s="20">
        <v>104036</v>
      </c>
      <c r="CK54" s="20">
        <v>294708</v>
      </c>
      <c r="CL54" s="20">
        <v>398744</v>
      </c>
      <c r="CM54" s="20">
        <v>205928</v>
      </c>
      <c r="CN54" s="20">
        <v>604672</v>
      </c>
      <c r="CO54" s="20">
        <v>482567</v>
      </c>
      <c r="CP54" s="20">
        <v>1087239</v>
      </c>
      <c r="CQ54" s="20">
        <v>170055</v>
      </c>
      <c r="CR54" s="20">
        <v>351973.96485999995</v>
      </c>
      <c r="CS54" s="20">
        <v>522028.96485999995</v>
      </c>
      <c r="CT54" s="20">
        <v>258488.43174999999</v>
      </c>
      <c r="CU54" s="20">
        <v>780517.39661000017</v>
      </c>
      <c r="CV54" s="20">
        <v>643303.25080000004</v>
      </c>
      <c r="CW54" s="20">
        <v>1423820.6474099997</v>
      </c>
      <c r="CX54" s="20">
        <v>247876</v>
      </c>
      <c r="CY54" s="20">
        <v>373865</v>
      </c>
      <c r="CZ54" s="20">
        <v>621741</v>
      </c>
      <c r="DA54" s="20">
        <v>290042</v>
      </c>
      <c r="DB54" s="20">
        <v>911783</v>
      </c>
      <c r="DC54" s="20">
        <v>764595</v>
      </c>
      <c r="DD54" s="20">
        <v>1676378</v>
      </c>
      <c r="DE54" s="20">
        <v>32335</v>
      </c>
      <c r="DF54" s="20">
        <v>420256</v>
      </c>
      <c r="DG54" s="20">
        <v>452591</v>
      </c>
      <c r="DH54" s="20">
        <v>-126613</v>
      </c>
      <c r="DI54" s="20">
        <v>325978</v>
      </c>
      <c r="DJ54" s="20">
        <v>530901</v>
      </c>
      <c r="DK54" s="20">
        <v>856879</v>
      </c>
      <c r="DL54" s="20">
        <v>-173363</v>
      </c>
      <c r="DM54" s="20">
        <v>260594</v>
      </c>
      <c r="DN54" s="20">
        <v>87231</v>
      </c>
      <c r="DO54" s="20">
        <v>207753</v>
      </c>
      <c r="DP54" s="20">
        <v>294984</v>
      </c>
      <c r="DQ54" s="20">
        <v>518970</v>
      </c>
      <c r="DR54" s="20">
        <v>813954</v>
      </c>
      <c r="DS54" s="20">
        <v>143842</v>
      </c>
      <c r="DT54" s="20">
        <v>434640</v>
      </c>
      <c r="DU54" s="20">
        <v>578482</v>
      </c>
      <c r="DV54" s="20">
        <v>200995</v>
      </c>
      <c r="DW54" s="20">
        <v>779477</v>
      </c>
      <c r="DX54" s="20">
        <v>627924</v>
      </c>
      <c r="DY54" s="20">
        <v>1407401</v>
      </c>
      <c r="DZ54" s="20">
        <v>-26661</v>
      </c>
      <c r="EA54" s="20">
        <v>224430</v>
      </c>
      <c r="EB54" s="20">
        <v>197769</v>
      </c>
      <c r="EC54" s="20">
        <v>91828</v>
      </c>
      <c r="ED54" s="20">
        <v>289597</v>
      </c>
      <c r="EE54" s="20">
        <v>599480</v>
      </c>
      <c r="EF54" s="20">
        <v>889077</v>
      </c>
      <c r="EG54" s="20">
        <f>EG25+EG37</f>
        <v>76210</v>
      </c>
      <c r="EH54" s="20">
        <f>EH25+EH37</f>
        <v>354718</v>
      </c>
      <c r="EI54" s="20">
        <f t="shared" ref="EI54:EI55" si="93">SUM(EG54:EH54)</f>
        <v>430928</v>
      </c>
      <c r="EJ54" s="20">
        <f>EJ25+EJ37</f>
        <v>272953</v>
      </c>
      <c r="EK54" s="20">
        <f t="shared" ref="EK54:EM55" si="94">SUM(EI54:EJ54)</f>
        <v>703881</v>
      </c>
      <c r="EL54" s="20">
        <f>EL25+EL37</f>
        <v>555462</v>
      </c>
      <c r="EM54" s="20">
        <f t="shared" si="94"/>
        <v>1259343</v>
      </c>
      <c r="EN54" s="20">
        <f>EN25+EN37</f>
        <v>273006</v>
      </c>
      <c r="EO54" s="20">
        <f>EO25+EO37</f>
        <v>557901</v>
      </c>
      <c r="EP54" s="20">
        <f t="shared" ref="EP54" si="95">SUM(EN54:EO54)</f>
        <v>830907</v>
      </c>
      <c r="EQ54" s="20">
        <f>EQ25+EQ37</f>
        <v>278703</v>
      </c>
      <c r="ER54" s="20">
        <f t="shared" ref="ER54" si="96">SUM(EP54:EQ54)</f>
        <v>1109610</v>
      </c>
      <c r="ES54" s="20">
        <f>ES25+ES37</f>
        <v>687550</v>
      </c>
      <c r="ET54" s="20">
        <f t="shared" ref="ET54" si="97">SUM(ER54:ES54)</f>
        <v>1797160</v>
      </c>
      <c r="EU54" s="20">
        <f>EU25+EU37</f>
        <v>289451</v>
      </c>
      <c r="EV54" s="20">
        <f>EV25+EV37</f>
        <v>526619</v>
      </c>
      <c r="EW54" s="20">
        <f t="shared" ref="EW54" si="98">SUM(EU54:EV54)</f>
        <v>816070</v>
      </c>
    </row>
    <row r="55" spans="1:153" ht="16.350000000000001" customHeight="1">
      <c r="A55" s="9"/>
      <c r="B55" s="134" t="s">
        <v>2367</v>
      </c>
      <c r="C55" s="134" t="s">
        <v>2366</v>
      </c>
      <c r="D55" s="135">
        <v>-7665</v>
      </c>
      <c r="E55" s="135">
        <v>19938</v>
      </c>
      <c r="F55" s="135">
        <v>12273</v>
      </c>
      <c r="G55" s="135">
        <v>1234</v>
      </c>
      <c r="H55" s="135">
        <v>13507</v>
      </c>
      <c r="I55" s="135">
        <v>3820</v>
      </c>
      <c r="J55" s="135">
        <v>17327</v>
      </c>
      <c r="K55" s="135">
        <v>-388</v>
      </c>
      <c r="L55" s="135">
        <v>-1397</v>
      </c>
      <c r="M55" s="135">
        <v>-1785</v>
      </c>
      <c r="N55" s="135">
        <v>-452</v>
      </c>
      <c r="O55" s="135">
        <v>-2237</v>
      </c>
      <c r="P55" s="135">
        <v>-1097</v>
      </c>
      <c r="Q55" s="135">
        <v>-3334</v>
      </c>
      <c r="R55" s="135">
        <v>-3098</v>
      </c>
      <c r="S55" s="135">
        <v>-3754</v>
      </c>
      <c r="T55" s="135">
        <v>-6852</v>
      </c>
      <c r="U55" s="135">
        <v>-2734</v>
      </c>
      <c r="V55" s="135">
        <v>-9586</v>
      </c>
      <c r="W55" s="135">
        <v>-3671</v>
      </c>
      <c r="X55" s="135">
        <v>-13257</v>
      </c>
      <c r="Y55" s="135">
        <v>-579</v>
      </c>
      <c r="Z55" s="135">
        <v>-2342</v>
      </c>
      <c r="AA55" s="135">
        <v>-2921</v>
      </c>
      <c r="AB55" s="135">
        <v>167</v>
      </c>
      <c r="AC55" s="135">
        <v>-2754</v>
      </c>
      <c r="AD55" s="135">
        <v>6924</v>
      </c>
      <c r="AE55" s="135">
        <v>4170</v>
      </c>
      <c r="AF55" s="135">
        <v>-33</v>
      </c>
      <c r="AG55" s="135">
        <v>2305</v>
      </c>
      <c r="AH55" s="135">
        <v>2272</v>
      </c>
      <c r="AI55" s="135">
        <v>1571</v>
      </c>
      <c r="AJ55" s="135">
        <v>3843</v>
      </c>
      <c r="AK55" s="135">
        <v>3775</v>
      </c>
      <c r="AL55" s="135">
        <v>7618</v>
      </c>
      <c r="AM55" s="135">
        <v>5452</v>
      </c>
      <c r="AN55" s="135">
        <v>7078</v>
      </c>
      <c r="AO55" s="135">
        <v>12530</v>
      </c>
      <c r="AP55" s="135">
        <v>8586</v>
      </c>
      <c r="AQ55" s="135">
        <v>21116</v>
      </c>
      <c r="AR55" s="135">
        <v>6181</v>
      </c>
      <c r="AS55" s="135">
        <v>27297</v>
      </c>
      <c r="AT55" s="136">
        <v>5770</v>
      </c>
      <c r="AU55" s="136">
        <v>1380</v>
      </c>
      <c r="AV55" s="135">
        <v>7150</v>
      </c>
      <c r="AW55" s="136">
        <v>1667</v>
      </c>
      <c r="AX55" s="135">
        <v>8817</v>
      </c>
      <c r="AY55" s="136">
        <v>-6057</v>
      </c>
      <c r="AZ55" s="135">
        <v>2760</v>
      </c>
      <c r="BA55" s="136">
        <v>-4007</v>
      </c>
      <c r="BB55" s="136">
        <v>-6518</v>
      </c>
      <c r="BC55" s="135">
        <v>-10525</v>
      </c>
      <c r="BD55" s="136">
        <v>-14867</v>
      </c>
      <c r="BE55" s="135">
        <v>-25392</v>
      </c>
      <c r="BF55" s="136">
        <v>-25038</v>
      </c>
      <c r="BG55" s="135">
        <v>-50430</v>
      </c>
      <c r="BH55" s="136">
        <v>-17730</v>
      </c>
      <c r="BI55" s="136">
        <v>-19426</v>
      </c>
      <c r="BJ55" s="135">
        <v>-37156</v>
      </c>
      <c r="BK55" s="136">
        <v>-9933</v>
      </c>
      <c r="BL55" s="135">
        <v>-47089</v>
      </c>
      <c r="BM55" s="136">
        <v>-20635</v>
      </c>
      <c r="BN55" s="135">
        <v>-67724</v>
      </c>
      <c r="BO55" s="136">
        <v>-15246</v>
      </c>
      <c r="BP55" s="136">
        <v>-21291</v>
      </c>
      <c r="BQ55" s="135">
        <v>-36537</v>
      </c>
      <c r="BR55" s="136">
        <v>-22374</v>
      </c>
      <c r="BS55" s="135">
        <v>-58911</v>
      </c>
      <c r="BT55" s="136">
        <v>-34963</v>
      </c>
      <c r="BU55" s="135">
        <v>-93874</v>
      </c>
      <c r="BV55" s="136">
        <v>-27985</v>
      </c>
      <c r="BW55" s="136">
        <v>-25785</v>
      </c>
      <c r="BX55" s="135">
        <v>-53770</v>
      </c>
      <c r="BY55" s="136">
        <v>-26923</v>
      </c>
      <c r="BZ55" s="135">
        <v>-80693</v>
      </c>
      <c r="CA55" s="136">
        <v>-23893</v>
      </c>
      <c r="CB55" s="135">
        <v>-104586</v>
      </c>
      <c r="CC55" s="136">
        <v>-24080</v>
      </c>
      <c r="CD55" s="136">
        <v>-27109</v>
      </c>
      <c r="CE55" s="135">
        <v>-51189</v>
      </c>
      <c r="CF55" s="136">
        <v>-26239</v>
      </c>
      <c r="CG55" s="135">
        <v>-77428</v>
      </c>
      <c r="CH55" s="136">
        <v>-25885</v>
      </c>
      <c r="CI55" s="135">
        <f>SUM(CG55:CH55)</f>
        <v>-103313</v>
      </c>
      <c r="CJ55" s="136">
        <v>-24934</v>
      </c>
      <c r="CK55" s="136">
        <v>-22443</v>
      </c>
      <c r="CL55" s="135">
        <v>-47377</v>
      </c>
      <c r="CM55" s="136">
        <v>-21305</v>
      </c>
      <c r="CN55" s="135">
        <v>-68682</v>
      </c>
      <c r="CO55" s="136">
        <v>-14419</v>
      </c>
      <c r="CP55" s="135">
        <v>-83101</v>
      </c>
      <c r="CQ55" s="136">
        <v>-13881</v>
      </c>
      <c r="CR55" s="136">
        <v>-13318.022140000099</v>
      </c>
      <c r="CS55" s="135">
        <v>-27199.022140000099</v>
      </c>
      <c r="CT55" s="136">
        <v>-17462</v>
      </c>
      <c r="CU55" s="135">
        <v>-44661.022140000103</v>
      </c>
      <c r="CV55" s="136">
        <v>-8967</v>
      </c>
      <c r="CW55" s="135">
        <v>-53628.022140000103</v>
      </c>
      <c r="CX55" s="136">
        <v>-45121</v>
      </c>
      <c r="CY55" s="136">
        <v>-53581</v>
      </c>
      <c r="CZ55" s="135">
        <v>-98702</v>
      </c>
      <c r="DA55" s="136">
        <v>-40636</v>
      </c>
      <c r="DB55" s="135">
        <v>-139338</v>
      </c>
      <c r="DC55" s="136">
        <v>-45057</v>
      </c>
      <c r="DD55" s="135">
        <v>-184395</v>
      </c>
      <c r="DE55" s="136">
        <v>-49767</v>
      </c>
      <c r="DF55" s="136">
        <v>493605</v>
      </c>
      <c r="DG55" s="135">
        <v>443838</v>
      </c>
      <c r="DH55" s="136">
        <v>-57386</v>
      </c>
      <c r="DI55" s="135">
        <v>386452</v>
      </c>
      <c r="DJ55" s="136">
        <v>-42570</v>
      </c>
      <c r="DK55" s="135">
        <v>343882</v>
      </c>
      <c r="DL55" s="136">
        <v>-78216</v>
      </c>
      <c r="DM55" s="136">
        <v>-51250</v>
      </c>
      <c r="DN55" s="135">
        <v>-129466</v>
      </c>
      <c r="DO55" s="135">
        <v>-18470</v>
      </c>
      <c r="DP55" s="135">
        <v>-147936</v>
      </c>
      <c r="DQ55" s="135">
        <v>-26155</v>
      </c>
      <c r="DR55" s="135">
        <v>-174091</v>
      </c>
      <c r="DS55" s="135">
        <v>16985</v>
      </c>
      <c r="DT55" s="135">
        <v>-3473</v>
      </c>
      <c r="DU55" s="135">
        <v>13512</v>
      </c>
      <c r="DV55" s="135">
        <v>-130</v>
      </c>
      <c r="DW55" s="135">
        <v>13382</v>
      </c>
      <c r="DX55" s="135">
        <v>-36498</v>
      </c>
      <c r="DY55" s="135">
        <v>-23116</v>
      </c>
      <c r="DZ55" s="135">
        <v>-15034</v>
      </c>
      <c r="EA55" s="135">
        <v>-28662</v>
      </c>
      <c r="EB55" s="135">
        <v>-43696</v>
      </c>
      <c r="EC55" s="135">
        <v>-15452</v>
      </c>
      <c r="ED55" s="135">
        <v>-59148</v>
      </c>
      <c r="EE55" s="135">
        <v>10738</v>
      </c>
      <c r="EF55" s="135">
        <v>-48410</v>
      </c>
      <c r="EG55" s="135">
        <v>35626</v>
      </c>
      <c r="EH55" s="135">
        <v>29584</v>
      </c>
      <c r="EI55" s="135">
        <f t="shared" si="93"/>
        <v>65210</v>
      </c>
      <c r="EJ55" s="135">
        <v>6647</v>
      </c>
      <c r="EK55" s="135">
        <f t="shared" si="94"/>
        <v>71857</v>
      </c>
      <c r="EL55" s="135">
        <v>-10203</v>
      </c>
      <c r="EM55" s="135">
        <f t="shared" si="94"/>
        <v>61654</v>
      </c>
      <c r="EN55" s="135">
        <v>-18484</v>
      </c>
      <c r="EO55" s="135">
        <v>-45850</v>
      </c>
      <c r="EP55" s="135">
        <v>-64334</v>
      </c>
      <c r="EQ55" s="135">
        <v>-19104</v>
      </c>
      <c r="ER55" s="135">
        <f>SUM(EP55:EQ55)</f>
        <v>-83438</v>
      </c>
      <c r="ES55" s="135">
        <v>954</v>
      </c>
      <c r="ET55" s="135">
        <f>SUM(ER55:ES55)</f>
        <v>-82484</v>
      </c>
      <c r="EU55" s="135">
        <v>-22129</v>
      </c>
      <c r="EV55" s="135">
        <v>-33419</v>
      </c>
      <c r="EW55" s="135">
        <f>SUM(EU55:EV55)</f>
        <v>-55548</v>
      </c>
    </row>
    <row r="56" spans="1:153" ht="16.350000000000001" customHeight="1">
      <c r="A56" s="18"/>
      <c r="B56" s="137"/>
      <c r="C56" s="137"/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8"/>
      <c r="O56" s="138"/>
      <c r="P56" s="138"/>
      <c r="Q56" s="138"/>
      <c r="R56" s="138"/>
      <c r="S56" s="138"/>
      <c r="T56" s="138"/>
      <c r="U56" s="138"/>
      <c r="V56" s="138"/>
      <c r="W56" s="138"/>
      <c r="X56" s="138"/>
      <c r="Y56" s="138"/>
      <c r="Z56" s="138"/>
      <c r="AA56" s="138"/>
      <c r="AB56" s="138"/>
      <c r="AC56" s="138"/>
      <c r="AD56" s="138"/>
      <c r="AE56" s="138"/>
      <c r="AF56" s="138"/>
      <c r="AG56" s="138"/>
      <c r="AH56" s="138"/>
      <c r="AI56" s="138"/>
      <c r="AJ56" s="138"/>
      <c r="AK56" s="138"/>
      <c r="AL56" s="138"/>
      <c r="AM56" s="138"/>
      <c r="AN56" s="138"/>
      <c r="AO56" s="138"/>
      <c r="AP56" s="138"/>
      <c r="AQ56" s="138"/>
      <c r="AR56" s="138"/>
      <c r="AS56" s="138"/>
      <c r="AT56" s="138"/>
      <c r="AU56" s="138"/>
      <c r="AV56" s="138"/>
      <c r="AW56" s="138"/>
      <c r="AX56" s="138"/>
      <c r="AY56" s="138"/>
      <c r="AZ56" s="138"/>
      <c r="BA56" s="138"/>
      <c r="BB56" s="138"/>
      <c r="BC56" s="138"/>
      <c r="BD56" s="138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8"/>
      <c r="BV56" s="138"/>
      <c r="BW56" s="138"/>
      <c r="BX56" s="138"/>
      <c r="BY56" s="138"/>
      <c r="BZ56" s="138"/>
      <c r="CA56" s="138"/>
      <c r="CB56" s="138"/>
      <c r="CC56" s="138"/>
      <c r="CD56" s="138"/>
      <c r="CE56" s="138"/>
      <c r="CF56" s="138"/>
      <c r="CG56" s="138"/>
      <c r="CH56" s="138"/>
      <c r="CI56" s="138"/>
      <c r="CJ56" s="138"/>
      <c r="CK56" s="138"/>
      <c r="CL56" s="138"/>
      <c r="CM56" s="138"/>
      <c r="CN56" s="138"/>
      <c r="CO56" s="138"/>
      <c r="CP56" s="138"/>
      <c r="CQ56" s="138"/>
      <c r="CR56" s="138"/>
      <c r="CS56" s="138"/>
      <c r="CT56" s="138"/>
      <c r="CU56" s="138"/>
      <c r="CV56" s="138"/>
      <c r="CW56" s="138"/>
      <c r="CX56" s="138"/>
      <c r="CY56" s="138"/>
      <c r="CZ56" s="138"/>
      <c r="DA56" s="138"/>
      <c r="DB56" s="138"/>
      <c r="DC56" s="138"/>
      <c r="DD56" s="138"/>
      <c r="DE56" s="138"/>
      <c r="DF56" s="138"/>
      <c r="DG56" s="138"/>
      <c r="DH56" s="138"/>
      <c r="DI56" s="138"/>
      <c r="DJ56" s="138"/>
      <c r="DK56" s="138"/>
      <c r="DL56" s="138"/>
      <c r="DM56" s="138"/>
      <c r="DN56" s="138"/>
      <c r="DO56" s="138"/>
      <c r="DP56" s="138"/>
      <c r="DQ56" s="138"/>
      <c r="DR56" s="138"/>
      <c r="DS56" s="138"/>
      <c r="DT56" s="138"/>
      <c r="DU56" s="138"/>
      <c r="DV56" s="138"/>
      <c r="DW56" s="138"/>
      <c r="DX56" s="138"/>
      <c r="DY56" s="138"/>
      <c r="DZ56" s="138"/>
      <c r="EA56" s="138"/>
      <c r="EB56" s="138"/>
      <c r="EC56" s="138"/>
      <c r="ED56" s="138"/>
      <c r="EE56" s="138"/>
      <c r="EF56" s="138"/>
      <c r="EG56" s="138"/>
      <c r="EH56" s="138"/>
      <c r="EI56" s="138"/>
      <c r="EJ56" s="138"/>
      <c r="EK56" s="138"/>
      <c r="EL56" s="138"/>
      <c r="EM56" s="138"/>
      <c r="EN56" s="138"/>
      <c r="EO56" s="138"/>
      <c r="EP56" s="138"/>
      <c r="EQ56" s="138"/>
      <c r="ER56" s="138"/>
      <c r="ES56" s="138"/>
      <c r="ET56" s="138"/>
      <c r="EU56" s="138"/>
      <c r="EV56" s="138"/>
      <c r="EW56" s="138"/>
    </row>
    <row r="57" spans="1:153" ht="16.350000000000001" customHeight="1">
      <c r="A57" s="18"/>
      <c r="B57" s="19" t="s">
        <v>370</v>
      </c>
      <c r="C57" s="19" t="s">
        <v>371</v>
      </c>
      <c r="D57" s="20">
        <v>3906</v>
      </c>
      <c r="E57" s="20">
        <v>49377</v>
      </c>
      <c r="F57" s="20">
        <v>53283</v>
      </c>
      <c r="G57" s="20">
        <v>-325</v>
      </c>
      <c r="H57" s="20">
        <v>52958</v>
      </c>
      <c r="I57" s="20">
        <v>53384</v>
      </c>
      <c r="J57" s="20">
        <v>106342</v>
      </c>
      <c r="K57" s="20">
        <v>20406</v>
      </c>
      <c r="L57" s="20">
        <v>34209</v>
      </c>
      <c r="M57" s="20">
        <v>54615</v>
      </c>
      <c r="N57" s="20">
        <v>22428</v>
      </c>
      <c r="O57" s="20">
        <v>77043</v>
      </c>
      <c r="P57" s="20">
        <v>52299</v>
      </c>
      <c r="Q57" s="20">
        <v>129342</v>
      </c>
      <c r="R57" s="20">
        <v>24119</v>
      </c>
      <c r="S57" s="20">
        <v>58860</v>
      </c>
      <c r="T57" s="20">
        <v>82979</v>
      </c>
      <c r="U57" s="20">
        <v>52285</v>
      </c>
      <c r="V57" s="20">
        <v>135264</v>
      </c>
      <c r="W57" s="20">
        <v>72463</v>
      </c>
      <c r="X57" s="20">
        <v>207727</v>
      </c>
      <c r="Y57" s="20">
        <v>37212</v>
      </c>
      <c r="Z57" s="20">
        <v>64925</v>
      </c>
      <c r="AA57" s="20">
        <v>102137</v>
      </c>
      <c r="AB57" s="20">
        <v>42624</v>
      </c>
      <c r="AC57" s="20">
        <v>144763</v>
      </c>
      <c r="AD57" s="20">
        <v>80439</v>
      </c>
      <c r="AE57" s="20">
        <v>225200</v>
      </c>
      <c r="AF57" s="20">
        <v>16426.279695342848</v>
      </c>
      <c r="AG57" s="20">
        <v>72474.940966587921</v>
      </c>
      <c r="AH57" s="20">
        <v>88901.22066193074</v>
      </c>
      <c r="AI57" s="20">
        <v>46462.640550408512</v>
      </c>
      <c r="AJ57" s="20">
        <v>135363.86121233925</v>
      </c>
      <c r="AK57" s="20">
        <v>130497.23646145535</v>
      </c>
      <c r="AL57" s="20">
        <v>265861.09767379472</v>
      </c>
      <c r="AM57" s="20">
        <v>55562</v>
      </c>
      <c r="AN57" s="20">
        <v>136621</v>
      </c>
      <c r="AO57" s="20">
        <v>192183</v>
      </c>
      <c r="AP57" s="20">
        <v>86738</v>
      </c>
      <c r="AQ57" s="20">
        <v>278921</v>
      </c>
      <c r="AR57" s="20">
        <v>152849</v>
      </c>
      <c r="AS57" s="20">
        <v>431770</v>
      </c>
      <c r="AT57" s="20">
        <v>64829</v>
      </c>
      <c r="AU57" s="20">
        <v>152872</v>
      </c>
      <c r="AV57" s="20">
        <v>217701</v>
      </c>
      <c r="AW57" s="20">
        <v>78296.558239999984</v>
      </c>
      <c r="AX57" s="20">
        <v>295997.55824000004</v>
      </c>
      <c r="AY57" s="20">
        <v>179395</v>
      </c>
      <c r="AZ57" s="20">
        <v>475392.55823999993</v>
      </c>
      <c r="BA57" s="20">
        <v>45221</v>
      </c>
      <c r="BB57" s="20">
        <v>147957</v>
      </c>
      <c r="BC57" s="20">
        <v>193178</v>
      </c>
      <c r="BD57" s="20">
        <v>95450</v>
      </c>
      <c r="BE57" s="20">
        <v>288628</v>
      </c>
      <c r="BF57" s="20">
        <v>220193</v>
      </c>
      <c r="BG57" s="20">
        <v>508821</v>
      </c>
      <c r="BH57" s="20">
        <v>28447</v>
      </c>
      <c r="BI57" s="20">
        <v>137995</v>
      </c>
      <c r="BJ57" s="20">
        <v>166442</v>
      </c>
      <c r="BK57" s="20">
        <v>100756</v>
      </c>
      <c r="BL57" s="20">
        <v>267198</v>
      </c>
      <c r="BM57" s="20">
        <v>315514</v>
      </c>
      <c r="BN57" s="20">
        <v>582712</v>
      </c>
      <c r="BO57" s="20">
        <v>68490.450000000012</v>
      </c>
      <c r="BP57" s="20">
        <v>168117</v>
      </c>
      <c r="BQ57" s="20">
        <v>236607.44999999995</v>
      </c>
      <c r="BR57" s="20">
        <v>119527</v>
      </c>
      <c r="BS57" s="20">
        <v>356134.44999999995</v>
      </c>
      <c r="BT57" s="20">
        <v>352042.91899999999</v>
      </c>
      <c r="BU57" s="20">
        <v>708177.36899999995</v>
      </c>
      <c r="BV57" s="20">
        <v>102588.27951000014</v>
      </c>
      <c r="BW57" s="20">
        <v>228088.64064000011</v>
      </c>
      <c r="BX57" s="20">
        <v>330676.92015000037</v>
      </c>
      <c r="BY57" s="20">
        <v>129733</v>
      </c>
      <c r="BZ57" s="20">
        <v>460409.92015000014</v>
      </c>
      <c r="CA57" s="20">
        <v>368256.30340999993</v>
      </c>
      <c r="CB57" s="20">
        <v>828666.2235600003</v>
      </c>
      <c r="CC57" s="20">
        <v>81463</v>
      </c>
      <c r="CD57" s="20">
        <v>245350</v>
      </c>
      <c r="CE57" s="20">
        <v>326813</v>
      </c>
      <c r="CF57" s="20">
        <v>106656</v>
      </c>
      <c r="CG57" s="20">
        <v>433469</v>
      </c>
      <c r="CH57" s="20">
        <v>438910</v>
      </c>
      <c r="CI57" s="20">
        <f t="shared" ref="CI57:CI58" si="99">SUM(CG57:CH57)</f>
        <v>872379</v>
      </c>
      <c r="CJ57" s="20">
        <v>79102</v>
      </c>
      <c r="CK57" s="20">
        <v>272265</v>
      </c>
      <c r="CL57" s="20">
        <v>351367</v>
      </c>
      <c r="CM57" s="20">
        <v>184623</v>
      </c>
      <c r="CN57" s="20">
        <v>535990</v>
      </c>
      <c r="CO57" s="20">
        <v>468148</v>
      </c>
      <c r="CP57" s="20">
        <v>1004138</v>
      </c>
      <c r="CQ57" s="20">
        <v>156174</v>
      </c>
      <c r="CR57" s="20">
        <v>338655.94271999988</v>
      </c>
      <c r="CS57" s="20">
        <v>494829.94271999988</v>
      </c>
      <c r="CT57" s="20">
        <v>241026.43174999999</v>
      </c>
      <c r="CU57" s="20">
        <v>735856.37447000004</v>
      </c>
      <c r="CV57" s="20">
        <v>634336.25080000004</v>
      </c>
      <c r="CW57" s="20">
        <v>1370192.6252699997</v>
      </c>
      <c r="CX57" s="20">
        <v>202755</v>
      </c>
      <c r="CY57" s="20">
        <v>320284</v>
      </c>
      <c r="CZ57" s="20">
        <v>523039</v>
      </c>
      <c r="DA57" s="20">
        <v>249406</v>
      </c>
      <c r="DB57" s="20">
        <v>772445</v>
      </c>
      <c r="DC57" s="20">
        <v>719538</v>
      </c>
      <c r="DD57" s="20">
        <v>1491983</v>
      </c>
      <c r="DE57" s="20">
        <v>-17432</v>
      </c>
      <c r="DF57" s="20">
        <v>913861</v>
      </c>
      <c r="DG57" s="20">
        <v>896429</v>
      </c>
      <c r="DH57" s="20">
        <v>-183999</v>
      </c>
      <c r="DI57" s="20">
        <v>712430</v>
      </c>
      <c r="DJ57" s="20">
        <v>488331</v>
      </c>
      <c r="DK57" s="20">
        <v>1200761</v>
      </c>
      <c r="DL57" s="20">
        <v>-251579</v>
      </c>
      <c r="DM57" s="20">
        <v>209344</v>
      </c>
      <c r="DN57" s="20">
        <v>-42235</v>
      </c>
      <c r="DO57" s="20">
        <v>189283</v>
      </c>
      <c r="DP57" s="20">
        <v>147048</v>
      </c>
      <c r="DQ57" s="20">
        <v>492815</v>
      </c>
      <c r="DR57" s="20">
        <v>639863</v>
      </c>
      <c r="DS57" s="20">
        <v>160827</v>
      </c>
      <c r="DT57" s="20">
        <v>431167</v>
      </c>
      <c r="DU57" s="20">
        <v>591994</v>
      </c>
      <c r="DV57" s="20">
        <v>200865</v>
      </c>
      <c r="DW57" s="20">
        <v>792859</v>
      </c>
      <c r="DX57" s="20">
        <v>591426</v>
      </c>
      <c r="DY57" s="20">
        <v>1384285</v>
      </c>
      <c r="DZ57" s="20">
        <v>-41695</v>
      </c>
      <c r="EA57" s="20">
        <v>195768</v>
      </c>
      <c r="EB57" s="20">
        <v>154073</v>
      </c>
      <c r="EC57" s="20">
        <v>76376</v>
      </c>
      <c r="ED57" s="20">
        <v>230449</v>
      </c>
      <c r="EE57" s="20">
        <v>610218</v>
      </c>
      <c r="EF57" s="20">
        <v>840667</v>
      </c>
      <c r="EG57" s="20">
        <f t="shared" ref="EG57:EH57" si="100">SUM(EG54:EG55)</f>
        <v>111836</v>
      </c>
      <c r="EH57" s="20">
        <f t="shared" si="100"/>
        <v>384302</v>
      </c>
      <c r="EI57" s="20">
        <f t="shared" ref="EI57:EI58" si="101">SUM(EG57:EH57)</f>
        <v>496138</v>
      </c>
      <c r="EJ57" s="20">
        <f t="shared" ref="EJ57:EU57" si="102">SUM(EJ54:EJ55)</f>
        <v>279600</v>
      </c>
      <c r="EK57" s="20">
        <f t="shared" ref="EK57:EM58" si="103">SUM(EI57:EJ57)</f>
        <v>775738</v>
      </c>
      <c r="EL57" s="20">
        <f t="shared" si="102"/>
        <v>545259</v>
      </c>
      <c r="EM57" s="20">
        <f t="shared" si="103"/>
        <v>1320997</v>
      </c>
      <c r="EN57" s="20">
        <f t="shared" si="102"/>
        <v>254522</v>
      </c>
      <c r="EO57" s="20">
        <f t="shared" si="102"/>
        <v>512051</v>
      </c>
      <c r="EP57" s="20">
        <f t="shared" si="102"/>
        <v>766573</v>
      </c>
      <c r="EQ57" s="20">
        <f t="shared" si="102"/>
        <v>259599</v>
      </c>
      <c r="ER57" s="20">
        <f t="shared" si="102"/>
        <v>1026172</v>
      </c>
      <c r="ES57" s="20">
        <f t="shared" si="102"/>
        <v>688504</v>
      </c>
      <c r="ET57" s="20">
        <f t="shared" si="102"/>
        <v>1714676</v>
      </c>
      <c r="EU57" s="20">
        <f t="shared" si="102"/>
        <v>267322</v>
      </c>
      <c r="EV57" s="20">
        <f t="shared" ref="EV57:EW57" si="104">SUM(EV54:EV55)</f>
        <v>493200</v>
      </c>
      <c r="EW57" s="20">
        <f t="shared" si="104"/>
        <v>760522</v>
      </c>
    </row>
    <row r="58" spans="1:153" ht="16.350000000000001" customHeight="1">
      <c r="A58" s="9"/>
      <c r="B58" s="139" t="s">
        <v>57</v>
      </c>
      <c r="C58" s="139" t="s">
        <v>58</v>
      </c>
      <c r="D58" s="135">
        <v>-1401</v>
      </c>
      <c r="E58" s="135">
        <v>-16676</v>
      </c>
      <c r="F58" s="135">
        <v>-18077</v>
      </c>
      <c r="G58" s="135">
        <v>-302</v>
      </c>
      <c r="H58" s="135">
        <v>-18379</v>
      </c>
      <c r="I58" s="135">
        <v>-7672</v>
      </c>
      <c r="J58" s="135">
        <v>-26051</v>
      </c>
      <c r="K58" s="135">
        <v>-6937</v>
      </c>
      <c r="L58" s="135">
        <v>-11336</v>
      </c>
      <c r="M58" s="135">
        <v>-18273</v>
      </c>
      <c r="N58" s="135">
        <v>-32</v>
      </c>
      <c r="O58" s="135">
        <v>-18305</v>
      </c>
      <c r="P58" s="135">
        <v>-12214</v>
      </c>
      <c r="Q58" s="135">
        <v>-30519</v>
      </c>
      <c r="R58" s="135">
        <v>-7342</v>
      </c>
      <c r="S58" s="135">
        <v>-18414</v>
      </c>
      <c r="T58" s="135">
        <v>-25756</v>
      </c>
      <c r="U58" s="135">
        <v>-16454</v>
      </c>
      <c r="V58" s="135">
        <v>-42210</v>
      </c>
      <c r="W58" s="135">
        <v>-14845</v>
      </c>
      <c r="X58" s="135">
        <v>-57055</v>
      </c>
      <c r="Y58" s="135">
        <v>-12117</v>
      </c>
      <c r="Z58" s="135">
        <v>-21387</v>
      </c>
      <c r="AA58" s="135">
        <v>-33504</v>
      </c>
      <c r="AB58" s="135">
        <v>-14213</v>
      </c>
      <c r="AC58" s="135">
        <v>-47717</v>
      </c>
      <c r="AD58" s="135">
        <v>-15033</v>
      </c>
      <c r="AE58" s="135">
        <v>-62750</v>
      </c>
      <c r="AF58" s="135">
        <v>-5568</v>
      </c>
      <c r="AG58" s="135">
        <v>-24651</v>
      </c>
      <c r="AH58" s="135">
        <v>-30219</v>
      </c>
      <c r="AI58" s="135">
        <v>-15866</v>
      </c>
      <c r="AJ58" s="135">
        <v>-46085</v>
      </c>
      <c r="AK58" s="135">
        <v>-30187</v>
      </c>
      <c r="AL58" s="135">
        <v>-76272</v>
      </c>
      <c r="AM58" s="135">
        <v>-18660</v>
      </c>
      <c r="AN58" s="135">
        <v>-45663</v>
      </c>
      <c r="AO58" s="135">
        <v>-64323</v>
      </c>
      <c r="AP58" s="135">
        <v>-29740</v>
      </c>
      <c r="AQ58" s="135">
        <v>-94063</v>
      </c>
      <c r="AR58" s="135">
        <v>-29680</v>
      </c>
      <c r="AS58" s="135">
        <v>-123743</v>
      </c>
      <c r="AT58" s="135">
        <v>-17242</v>
      </c>
      <c r="AU58" s="135">
        <v>-39328</v>
      </c>
      <c r="AV58" s="135">
        <v>-56570</v>
      </c>
      <c r="AW58" s="135">
        <v>-21601</v>
      </c>
      <c r="AX58" s="135">
        <v>-78171</v>
      </c>
      <c r="AY58" s="135">
        <v>-60315</v>
      </c>
      <c r="AZ58" s="135">
        <v>-138486</v>
      </c>
      <c r="BA58" s="135">
        <v>-9490</v>
      </c>
      <c r="BB58" s="135">
        <v>-44485</v>
      </c>
      <c r="BC58" s="135">
        <v>-53975</v>
      </c>
      <c r="BD58" s="140">
        <v>-26927</v>
      </c>
      <c r="BE58" s="135">
        <v>-80902</v>
      </c>
      <c r="BF58" s="140">
        <v>-72518</v>
      </c>
      <c r="BG58" s="135">
        <v>-153420</v>
      </c>
      <c r="BH58" s="135">
        <v>-6841</v>
      </c>
      <c r="BI58" s="135">
        <v>-39995</v>
      </c>
      <c r="BJ58" s="135">
        <v>-46836</v>
      </c>
      <c r="BK58" s="135">
        <v>-29114</v>
      </c>
      <c r="BL58" s="135">
        <v>-75950</v>
      </c>
      <c r="BM58" s="135">
        <v>-99360</v>
      </c>
      <c r="BN58" s="135">
        <v>-175310</v>
      </c>
      <c r="BO58" s="135">
        <v>-17583</v>
      </c>
      <c r="BP58" s="135">
        <v>-49639</v>
      </c>
      <c r="BQ58" s="135">
        <v>-67222</v>
      </c>
      <c r="BR58" s="135">
        <v>-36137</v>
      </c>
      <c r="BS58" s="135">
        <v>-103359</v>
      </c>
      <c r="BT58" s="135">
        <v>-133396</v>
      </c>
      <c r="BU58" s="135">
        <v>-236755</v>
      </c>
      <c r="BV58" s="135">
        <v>-29399.782200000001</v>
      </c>
      <c r="BW58" s="135">
        <v>-69920</v>
      </c>
      <c r="BX58" s="135">
        <v>-99319.782200000001</v>
      </c>
      <c r="BY58" s="135">
        <v>-33767</v>
      </c>
      <c r="BZ58" s="135">
        <v>-133086.78220000002</v>
      </c>
      <c r="CA58" s="135">
        <v>-116742</v>
      </c>
      <c r="CB58" s="135">
        <v>-249828.78220000002</v>
      </c>
      <c r="CC58" s="135">
        <v>-15948</v>
      </c>
      <c r="CD58" s="135">
        <v>-70542</v>
      </c>
      <c r="CE58" s="135">
        <v>-86490</v>
      </c>
      <c r="CF58" s="135">
        <v>-21752</v>
      </c>
      <c r="CG58" s="135">
        <v>-108242</v>
      </c>
      <c r="CH58" s="135">
        <v>-139079</v>
      </c>
      <c r="CI58" s="135">
        <f t="shared" si="99"/>
        <v>-247321</v>
      </c>
      <c r="CJ58" s="135">
        <v>-12126</v>
      </c>
      <c r="CK58" s="135">
        <v>-78682</v>
      </c>
      <c r="CL58" s="135">
        <v>-90808</v>
      </c>
      <c r="CM58" s="135">
        <v>-44304</v>
      </c>
      <c r="CN58" s="135">
        <v>-135112</v>
      </c>
      <c r="CO58" s="135">
        <v>-136346</v>
      </c>
      <c r="CP58" s="135">
        <v>-271458</v>
      </c>
      <c r="CQ58" s="135">
        <v>-44732</v>
      </c>
      <c r="CR58" s="135">
        <v>-63946.505109999998</v>
      </c>
      <c r="CS58" s="135">
        <v>-108678.50511</v>
      </c>
      <c r="CT58" s="135">
        <v>-46815.47496</v>
      </c>
      <c r="CU58" s="135">
        <v>-155493.98006999999</v>
      </c>
      <c r="CV58" s="135">
        <v>-194563</v>
      </c>
      <c r="CW58" s="135">
        <v>-350056.98006999999</v>
      </c>
      <c r="CX58" s="135">
        <v>-46776</v>
      </c>
      <c r="CY58" s="135">
        <v>-89547</v>
      </c>
      <c r="CZ58" s="135">
        <v>-136323</v>
      </c>
      <c r="DA58" s="135">
        <v>-62674</v>
      </c>
      <c r="DB58" s="135">
        <v>-198997</v>
      </c>
      <c r="DC58" s="135">
        <v>-206784</v>
      </c>
      <c r="DD58" s="135">
        <v>-405781</v>
      </c>
      <c r="DE58" s="135">
        <v>24569</v>
      </c>
      <c r="DF58" s="135">
        <v>-95810</v>
      </c>
      <c r="DG58" s="135">
        <v>-71241</v>
      </c>
      <c r="DH58" s="135">
        <v>101126</v>
      </c>
      <c r="DI58" s="135">
        <v>29885</v>
      </c>
      <c r="DJ58" s="135">
        <v>-134377</v>
      </c>
      <c r="DK58" s="135">
        <v>-104492</v>
      </c>
      <c r="DL58" s="135">
        <v>103876</v>
      </c>
      <c r="DM58" s="135">
        <v>-16271</v>
      </c>
      <c r="DN58" s="135">
        <v>87605</v>
      </c>
      <c r="DO58" s="135">
        <v>-17327</v>
      </c>
      <c r="DP58" s="135">
        <v>70278</v>
      </c>
      <c r="DQ58" s="135">
        <v>-77019</v>
      </c>
      <c r="DR58" s="135">
        <v>-6741</v>
      </c>
      <c r="DS58" s="135">
        <v>30803</v>
      </c>
      <c r="DT58" s="135">
        <v>-70778</v>
      </c>
      <c r="DU58" s="135">
        <v>-39975</v>
      </c>
      <c r="DV58" s="135">
        <v>56997</v>
      </c>
      <c r="DW58" s="135">
        <v>17022</v>
      </c>
      <c r="DX58" s="135">
        <v>-109603</v>
      </c>
      <c r="DY58" s="135">
        <v>-92581</v>
      </c>
      <c r="DZ58" s="135">
        <v>88461</v>
      </c>
      <c r="EA58" s="135">
        <v>33932</v>
      </c>
      <c r="EB58" s="135">
        <v>122393</v>
      </c>
      <c r="EC58" s="135">
        <v>96526</v>
      </c>
      <c r="ED58" s="135">
        <v>218919</v>
      </c>
      <c r="EE58" s="135">
        <v>-83327</v>
      </c>
      <c r="EF58" s="135">
        <v>135592</v>
      </c>
      <c r="EG58" s="135">
        <v>27414</v>
      </c>
      <c r="EH58" s="135">
        <v>-69318</v>
      </c>
      <c r="EI58" s="135">
        <f t="shared" si="101"/>
        <v>-41904</v>
      </c>
      <c r="EJ58" s="135">
        <v>-24334</v>
      </c>
      <c r="EK58" s="135">
        <f t="shared" si="103"/>
        <v>-66238</v>
      </c>
      <c r="EL58" s="135">
        <v>-58091</v>
      </c>
      <c r="EM58" s="135">
        <f t="shared" si="103"/>
        <v>-124329</v>
      </c>
      <c r="EN58" s="135">
        <v>-33489</v>
      </c>
      <c r="EO58" s="135">
        <v>-107555</v>
      </c>
      <c r="EP58" s="135">
        <v>-141044</v>
      </c>
      <c r="EQ58" s="135">
        <v>19796</v>
      </c>
      <c r="ER58" s="135">
        <f t="shared" ref="ER58" si="105">SUM(EP58:EQ58)</f>
        <v>-121248</v>
      </c>
      <c r="ES58" s="135">
        <v>-135862</v>
      </c>
      <c r="ET58" s="135">
        <f t="shared" ref="ET58" si="106">SUM(ER58:ES58)</f>
        <v>-257110</v>
      </c>
      <c r="EU58" s="135">
        <v>-10071</v>
      </c>
      <c r="EV58" s="135">
        <v>-88555</v>
      </c>
      <c r="EW58" s="135">
        <f t="shared" ref="EW58" si="107">SUM(EU58:EV58)</f>
        <v>-98626</v>
      </c>
    </row>
    <row r="59" spans="1:153" ht="16.350000000000001" customHeight="1">
      <c r="A59" s="18"/>
      <c r="B59" s="141"/>
      <c r="C59" s="117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1"/>
      <c r="AY59" s="51"/>
      <c r="AZ59" s="51"/>
      <c r="BA59" s="51"/>
      <c r="BB59" s="132"/>
      <c r="BC59" s="51"/>
      <c r="BD59" s="132"/>
      <c r="BE59" s="51"/>
      <c r="BF59" s="132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51"/>
      <c r="BX59" s="51"/>
      <c r="BY59" s="51"/>
      <c r="BZ59" s="51"/>
      <c r="CA59" s="51"/>
      <c r="CB59" s="51"/>
      <c r="CC59" s="51"/>
      <c r="CD59" s="51"/>
      <c r="CE59" s="51"/>
      <c r="CF59" s="51"/>
      <c r="CG59" s="51"/>
      <c r="CH59" s="51"/>
      <c r="CI59" s="51"/>
      <c r="CJ59" s="51"/>
      <c r="CK59" s="51"/>
      <c r="CL59" s="51"/>
      <c r="CM59" s="51"/>
      <c r="CN59" s="51"/>
      <c r="CO59" s="51"/>
      <c r="CP59" s="51"/>
      <c r="CQ59" s="51"/>
      <c r="CR59" s="51"/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1"/>
      <c r="DE59" s="51"/>
      <c r="DF59" s="51"/>
      <c r="DG59" s="51"/>
      <c r="DH59" s="51"/>
      <c r="DI59" s="51"/>
      <c r="DJ59" s="51"/>
      <c r="DK59" s="51"/>
      <c r="DL59" s="15"/>
      <c r="DM59" s="15"/>
      <c r="DN59" s="51"/>
      <c r="DO59" s="15"/>
      <c r="DP59" s="51"/>
      <c r="DQ59" s="15"/>
      <c r="DR59" s="51"/>
      <c r="DS59" s="15"/>
      <c r="DT59" s="15"/>
      <c r="DU59" s="51"/>
      <c r="DV59" s="15"/>
      <c r="DW59" s="51"/>
      <c r="DX59" s="15"/>
      <c r="DY59" s="51"/>
      <c r="DZ59" s="15"/>
      <c r="EA59" s="15"/>
      <c r="EB59" s="51"/>
      <c r="EC59" s="15"/>
      <c r="ED59" s="51"/>
      <c r="EE59" s="15"/>
      <c r="EF59" s="51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  <c r="ET59" s="15"/>
      <c r="EU59" s="15"/>
      <c r="EV59" s="15"/>
      <c r="EW59" s="15"/>
    </row>
    <row r="60" spans="1:153" ht="16.350000000000001" customHeight="1">
      <c r="A60" s="18"/>
      <c r="B60" s="19" t="s">
        <v>387</v>
      </c>
      <c r="C60" s="19" t="s">
        <v>343</v>
      </c>
      <c r="D60" s="20">
        <v>2505</v>
      </c>
      <c r="E60" s="20">
        <v>32701</v>
      </c>
      <c r="F60" s="20">
        <v>35206</v>
      </c>
      <c r="G60" s="20">
        <v>-627</v>
      </c>
      <c r="H60" s="20">
        <v>34579</v>
      </c>
      <c r="I60" s="20">
        <v>45712</v>
      </c>
      <c r="J60" s="20">
        <v>80291</v>
      </c>
      <c r="K60" s="20">
        <v>13469</v>
      </c>
      <c r="L60" s="20">
        <v>22873</v>
      </c>
      <c r="M60" s="20">
        <v>36342</v>
      </c>
      <c r="N60" s="20">
        <v>22396</v>
      </c>
      <c r="O60" s="20">
        <v>58738</v>
      </c>
      <c r="P60" s="20">
        <v>40085</v>
      </c>
      <c r="Q60" s="20">
        <v>98823</v>
      </c>
      <c r="R60" s="20">
        <v>16777</v>
      </c>
      <c r="S60" s="20">
        <v>40446</v>
      </c>
      <c r="T60" s="20">
        <v>57223</v>
      </c>
      <c r="U60" s="20">
        <v>35831</v>
      </c>
      <c r="V60" s="20">
        <v>93054</v>
      </c>
      <c r="W60" s="20">
        <v>57618</v>
      </c>
      <c r="X60" s="20">
        <v>150672</v>
      </c>
      <c r="Y60" s="20">
        <v>25095</v>
      </c>
      <c r="Z60" s="20">
        <v>43538</v>
      </c>
      <c r="AA60" s="20">
        <v>68633</v>
      </c>
      <c r="AB60" s="20">
        <v>28411</v>
      </c>
      <c r="AC60" s="20">
        <v>97046</v>
      </c>
      <c r="AD60" s="20">
        <v>65406</v>
      </c>
      <c r="AE60" s="20">
        <v>162450</v>
      </c>
      <c r="AF60" s="20">
        <v>10858.279695342848</v>
      </c>
      <c r="AG60" s="20">
        <v>47823.940966587921</v>
      </c>
      <c r="AH60" s="20">
        <v>58682.22066193074</v>
      </c>
      <c r="AI60" s="20">
        <v>30596.640550408512</v>
      </c>
      <c r="AJ60" s="20">
        <v>89278.861212339252</v>
      </c>
      <c r="AK60" s="20">
        <v>100310.23646145535</v>
      </c>
      <c r="AL60" s="20">
        <v>189589.09767379472</v>
      </c>
      <c r="AM60" s="20">
        <v>36902</v>
      </c>
      <c r="AN60" s="20">
        <v>90958</v>
      </c>
      <c r="AO60" s="20">
        <v>127860</v>
      </c>
      <c r="AP60" s="20">
        <v>56998</v>
      </c>
      <c r="AQ60" s="20">
        <v>184858</v>
      </c>
      <c r="AR60" s="20">
        <v>123169</v>
      </c>
      <c r="AS60" s="20">
        <v>308027</v>
      </c>
      <c r="AT60" s="20">
        <v>47587</v>
      </c>
      <c r="AU60" s="20">
        <v>113544</v>
      </c>
      <c r="AV60" s="20">
        <v>161131</v>
      </c>
      <c r="AW60" s="20">
        <v>56695.558239999984</v>
      </c>
      <c r="AX60" s="20">
        <v>217826.55824000004</v>
      </c>
      <c r="AY60" s="20">
        <v>119080</v>
      </c>
      <c r="AZ60" s="20">
        <v>336906.55823999993</v>
      </c>
      <c r="BA60" s="20">
        <v>35731</v>
      </c>
      <c r="BB60" s="20">
        <v>103472</v>
      </c>
      <c r="BC60" s="20">
        <v>139203</v>
      </c>
      <c r="BD60" s="20">
        <v>68523</v>
      </c>
      <c r="BE60" s="20">
        <v>207726</v>
      </c>
      <c r="BF60" s="20">
        <v>147675</v>
      </c>
      <c r="BG60" s="20">
        <v>355401</v>
      </c>
      <c r="BH60" s="20">
        <v>21606</v>
      </c>
      <c r="BI60" s="20">
        <v>98000</v>
      </c>
      <c r="BJ60" s="20">
        <v>119606</v>
      </c>
      <c r="BK60" s="20">
        <v>71642</v>
      </c>
      <c r="BL60" s="20">
        <v>191248</v>
      </c>
      <c r="BM60" s="20">
        <v>216154</v>
      </c>
      <c r="BN60" s="20">
        <v>407402</v>
      </c>
      <c r="BO60" s="20">
        <v>50907.450000000012</v>
      </c>
      <c r="BP60" s="20">
        <v>118478</v>
      </c>
      <c r="BQ60" s="20">
        <v>169385.44999999995</v>
      </c>
      <c r="BR60" s="20">
        <v>83390</v>
      </c>
      <c r="BS60" s="20">
        <v>252775.44999999995</v>
      </c>
      <c r="BT60" s="20">
        <v>218646.91899999999</v>
      </c>
      <c r="BU60" s="20">
        <v>471422.36899999995</v>
      </c>
      <c r="BV60" s="20">
        <v>73188.497310000137</v>
      </c>
      <c r="BW60" s="20">
        <v>158168.64064000011</v>
      </c>
      <c r="BX60" s="20">
        <v>231357.13795000035</v>
      </c>
      <c r="BY60" s="20">
        <v>95966</v>
      </c>
      <c r="BZ60" s="20">
        <v>327323.13795000012</v>
      </c>
      <c r="CA60" s="20">
        <v>251514.30340999993</v>
      </c>
      <c r="CB60" s="20">
        <v>578837.44136000029</v>
      </c>
      <c r="CC60" s="20">
        <v>65515</v>
      </c>
      <c r="CD60" s="20">
        <v>174808</v>
      </c>
      <c r="CE60" s="20">
        <v>240323</v>
      </c>
      <c r="CF60" s="20">
        <v>84904</v>
      </c>
      <c r="CG60" s="20">
        <v>325227</v>
      </c>
      <c r="CH60" s="20">
        <v>299831</v>
      </c>
      <c r="CI60" s="20">
        <f t="shared" ref="CI60" si="108">SUM(CG60:CH60)</f>
        <v>625058</v>
      </c>
      <c r="CJ60" s="20">
        <v>66976</v>
      </c>
      <c r="CK60" s="20">
        <v>193583</v>
      </c>
      <c r="CL60" s="20">
        <v>260559</v>
      </c>
      <c r="CM60" s="20">
        <v>140319</v>
      </c>
      <c r="CN60" s="20">
        <v>400878</v>
      </c>
      <c r="CO60" s="20">
        <v>331802</v>
      </c>
      <c r="CP60" s="20">
        <v>732680</v>
      </c>
      <c r="CQ60" s="20">
        <v>111442</v>
      </c>
      <c r="CR60" s="20">
        <v>274709.43760999991</v>
      </c>
      <c r="CS60" s="20">
        <v>386151.43760999991</v>
      </c>
      <c r="CT60" s="20">
        <v>194210.95679</v>
      </c>
      <c r="CU60" s="20">
        <v>580362.39440000011</v>
      </c>
      <c r="CV60" s="20">
        <v>439773.25080000004</v>
      </c>
      <c r="CW60" s="20">
        <v>1020135.6451999997</v>
      </c>
      <c r="CX60" s="20">
        <v>155979</v>
      </c>
      <c r="CY60" s="20">
        <v>230737</v>
      </c>
      <c r="CZ60" s="20">
        <v>386716</v>
      </c>
      <c r="DA60" s="20">
        <v>186732</v>
      </c>
      <c r="DB60" s="20">
        <v>573448</v>
      </c>
      <c r="DC60" s="20">
        <v>512754</v>
      </c>
      <c r="DD60" s="20">
        <v>1086202</v>
      </c>
      <c r="DE60" s="20">
        <v>7137</v>
      </c>
      <c r="DF60" s="20">
        <v>818051</v>
      </c>
      <c r="DG60" s="20">
        <v>825188</v>
      </c>
      <c r="DH60" s="20">
        <v>-82873</v>
      </c>
      <c r="DI60" s="20">
        <v>742315</v>
      </c>
      <c r="DJ60" s="20">
        <v>353954</v>
      </c>
      <c r="DK60" s="20">
        <v>1096269</v>
      </c>
      <c r="DL60" s="20">
        <v>-147703</v>
      </c>
      <c r="DM60" s="20">
        <v>193073</v>
      </c>
      <c r="DN60" s="20">
        <v>45370</v>
      </c>
      <c r="DO60" s="20">
        <v>171956</v>
      </c>
      <c r="DP60" s="20">
        <v>217326</v>
      </c>
      <c r="DQ60" s="20">
        <v>415796</v>
      </c>
      <c r="DR60" s="20">
        <v>633122</v>
      </c>
      <c r="DS60" s="20">
        <v>191630</v>
      </c>
      <c r="DT60" s="20">
        <v>360389</v>
      </c>
      <c r="DU60" s="20">
        <v>552019</v>
      </c>
      <c r="DV60" s="20">
        <v>257862</v>
      </c>
      <c r="DW60" s="20">
        <v>809881</v>
      </c>
      <c r="DX60" s="20">
        <v>481823</v>
      </c>
      <c r="DY60" s="20">
        <v>1291704</v>
      </c>
      <c r="DZ60" s="20">
        <v>46766</v>
      </c>
      <c r="EA60" s="20">
        <v>229700</v>
      </c>
      <c r="EB60" s="20">
        <v>276466</v>
      </c>
      <c r="EC60" s="20">
        <v>172902</v>
      </c>
      <c r="ED60" s="20">
        <v>449368</v>
      </c>
      <c r="EE60" s="20">
        <v>526891</v>
      </c>
      <c r="EF60" s="20">
        <v>976259</v>
      </c>
      <c r="EG60" s="20">
        <f t="shared" ref="EG60:EH60" si="109">SUM(EG57:EG58)</f>
        <v>139250</v>
      </c>
      <c r="EH60" s="20">
        <f t="shared" si="109"/>
        <v>314984</v>
      </c>
      <c r="EI60" s="20">
        <f t="shared" ref="EI60" si="110">SUM(EG60:EH60)</f>
        <v>454234</v>
      </c>
      <c r="EJ60" s="20">
        <f t="shared" ref="EJ60:EL60" si="111">SUM(EJ57:EJ58)</f>
        <v>255266</v>
      </c>
      <c r="EK60" s="20">
        <f t="shared" ref="EK60:EM60" si="112">SUM(EI60:EJ60)</f>
        <v>709500</v>
      </c>
      <c r="EL60" s="20">
        <f t="shared" si="111"/>
        <v>487168</v>
      </c>
      <c r="EM60" s="20">
        <f t="shared" si="112"/>
        <v>1196668</v>
      </c>
      <c r="EN60" s="20">
        <f t="shared" ref="EN60:EO60" si="113">SUM(EN57:EN58)</f>
        <v>221033</v>
      </c>
      <c r="EO60" s="20">
        <f t="shared" si="113"/>
        <v>404496</v>
      </c>
      <c r="EP60" s="20">
        <f t="shared" ref="EP60" si="114">SUM(EN60:EO60)</f>
        <v>625529</v>
      </c>
      <c r="EQ60" s="20">
        <f t="shared" ref="EQ60:EV60" si="115">SUM(EQ57:EQ58)</f>
        <v>279395</v>
      </c>
      <c r="ER60" s="20">
        <f t="shared" ref="ER60" si="116">SUM(EP60:EQ60)</f>
        <v>904924</v>
      </c>
      <c r="ES60" s="20">
        <f t="shared" si="115"/>
        <v>552642</v>
      </c>
      <c r="ET60" s="20">
        <f t="shared" ref="ET60" si="117">SUM(ER60:ES60)</f>
        <v>1457566</v>
      </c>
      <c r="EU60" s="20">
        <f t="shared" si="115"/>
        <v>257251</v>
      </c>
      <c r="EV60" s="20">
        <f t="shared" si="115"/>
        <v>404645</v>
      </c>
      <c r="EW60" s="20">
        <f t="shared" ref="EW60" si="118">SUM(EU60:EV60)</f>
        <v>661896</v>
      </c>
    </row>
    <row r="61" spans="1:153" ht="16.350000000000001" customHeight="1">
      <c r="A61" s="9"/>
      <c r="B61" s="448"/>
      <c r="C61" s="448"/>
      <c r="D61" s="449"/>
      <c r="E61" s="449"/>
      <c r="F61" s="449"/>
      <c r="G61" s="449"/>
      <c r="H61" s="449"/>
      <c r="I61" s="449"/>
      <c r="J61" s="449"/>
      <c r="K61" s="449"/>
      <c r="L61" s="449"/>
      <c r="M61" s="449"/>
      <c r="N61" s="449"/>
      <c r="O61" s="449"/>
      <c r="P61" s="449"/>
      <c r="Q61" s="449"/>
      <c r="R61" s="449"/>
      <c r="S61" s="449"/>
      <c r="T61" s="449"/>
      <c r="U61" s="449"/>
      <c r="V61" s="449"/>
      <c r="W61" s="449"/>
      <c r="X61" s="450"/>
      <c r="Y61" s="449"/>
      <c r="Z61" s="449"/>
      <c r="AA61" s="449"/>
      <c r="AB61" s="449"/>
      <c r="AC61" s="449"/>
      <c r="AD61" s="449"/>
      <c r="AE61" s="450"/>
      <c r="AF61" s="449"/>
      <c r="AG61" s="449"/>
      <c r="AH61" s="449"/>
      <c r="AI61" s="449"/>
      <c r="AJ61" s="449"/>
      <c r="AK61" s="449"/>
      <c r="AL61" s="450"/>
      <c r="AM61" s="449"/>
      <c r="AN61" s="449"/>
      <c r="AO61" s="449"/>
      <c r="AP61" s="449"/>
      <c r="AQ61" s="449"/>
      <c r="AR61" s="449"/>
      <c r="AS61" s="450"/>
      <c r="AT61" s="451"/>
      <c r="AU61" s="449"/>
      <c r="AV61" s="449"/>
      <c r="AW61" s="449"/>
      <c r="AX61" s="449"/>
      <c r="AY61" s="449"/>
      <c r="AZ61" s="452"/>
      <c r="BA61" s="449"/>
      <c r="BB61" s="449"/>
      <c r="BC61" s="449"/>
      <c r="BD61" s="449"/>
      <c r="BE61" s="449"/>
      <c r="BF61" s="449"/>
      <c r="BG61" s="450"/>
      <c r="BH61" s="449"/>
      <c r="BI61" s="449"/>
      <c r="BJ61" s="453"/>
      <c r="BK61" s="453"/>
      <c r="BL61" s="453"/>
      <c r="BM61" s="453"/>
      <c r="BN61" s="450"/>
      <c r="BO61" s="449"/>
      <c r="BP61" s="449"/>
      <c r="BQ61" s="453"/>
      <c r="BR61" s="449"/>
      <c r="BS61" s="453"/>
      <c r="BT61" s="449"/>
      <c r="BU61" s="450"/>
      <c r="BV61" s="449"/>
      <c r="BW61" s="449"/>
      <c r="BX61" s="453"/>
      <c r="BY61" s="449"/>
      <c r="BZ61" s="453"/>
      <c r="CA61" s="449"/>
      <c r="CB61" s="450"/>
      <c r="CC61" s="449"/>
      <c r="CD61" s="449"/>
      <c r="CE61" s="453"/>
      <c r="CF61" s="449"/>
      <c r="CG61" s="453"/>
      <c r="CH61" s="449"/>
      <c r="CI61" s="453"/>
      <c r="CJ61" s="449"/>
      <c r="CK61" s="449"/>
      <c r="CL61" s="453"/>
      <c r="CM61" s="449"/>
      <c r="CN61" s="453"/>
      <c r="CO61" s="449"/>
      <c r="CP61" s="453"/>
      <c r="CQ61" s="449"/>
      <c r="CR61" s="449"/>
      <c r="CS61" s="449"/>
      <c r="CT61" s="449"/>
      <c r="CU61" s="449"/>
      <c r="CV61" s="449"/>
      <c r="CW61" s="449"/>
      <c r="CX61" s="449"/>
      <c r="CY61" s="449"/>
      <c r="CZ61" s="449"/>
      <c r="DA61" s="449"/>
      <c r="DB61" s="449"/>
      <c r="DC61" s="449"/>
      <c r="DD61" s="449"/>
      <c r="DE61" s="449"/>
      <c r="DF61" s="449"/>
      <c r="DG61" s="449"/>
      <c r="DH61" s="449"/>
      <c r="DI61" s="449"/>
      <c r="DJ61" s="449"/>
      <c r="DK61" s="449"/>
      <c r="DL61" s="449"/>
      <c r="DM61" s="449"/>
      <c r="DN61" s="449"/>
      <c r="DO61" s="449"/>
      <c r="DP61" s="449"/>
      <c r="DQ61" s="449"/>
      <c r="DR61" s="449"/>
      <c r="DS61" s="449"/>
      <c r="DT61" s="449"/>
      <c r="DU61" s="449"/>
      <c r="DV61" s="449"/>
      <c r="DW61" s="449"/>
      <c r="DX61" s="449"/>
      <c r="DY61" s="449"/>
      <c r="DZ61" s="449"/>
      <c r="EA61" s="449"/>
      <c r="EB61" s="449"/>
      <c r="EC61" s="449"/>
      <c r="ED61" s="449"/>
      <c r="EE61" s="449"/>
      <c r="EF61" s="449"/>
      <c r="EG61" s="449"/>
      <c r="EH61" s="449"/>
      <c r="EI61" s="449"/>
      <c r="EJ61" s="449"/>
      <c r="EK61" s="449"/>
      <c r="EL61" s="449"/>
      <c r="EM61" s="449"/>
      <c r="EN61" s="449"/>
      <c r="EO61" s="449"/>
      <c r="EP61" s="449"/>
      <c r="EQ61" s="449"/>
      <c r="ER61" s="449"/>
      <c r="ES61" s="449"/>
      <c r="ET61" s="449"/>
      <c r="EU61" s="449"/>
      <c r="EV61" s="449"/>
      <c r="EW61" s="449"/>
    </row>
    <row r="62" spans="1:153" ht="16.350000000000001" customHeight="1">
      <c r="B62" s="442"/>
      <c r="C62" s="442"/>
      <c r="D62" s="442"/>
      <c r="E62" s="442"/>
      <c r="F62" s="442"/>
      <c r="G62" s="442"/>
      <c r="H62" s="442"/>
      <c r="I62" s="442"/>
      <c r="J62" s="442"/>
      <c r="K62" s="442"/>
      <c r="L62" s="442"/>
      <c r="M62" s="442"/>
      <c r="N62" s="442"/>
      <c r="O62" s="442"/>
      <c r="P62" s="442"/>
      <c r="Q62" s="442"/>
      <c r="R62" s="442"/>
      <c r="S62" s="442"/>
      <c r="T62" s="442"/>
      <c r="U62" s="442"/>
      <c r="V62" s="442"/>
      <c r="W62" s="442"/>
      <c r="X62" s="442"/>
      <c r="Y62" s="442"/>
      <c r="Z62" s="442"/>
      <c r="AA62" s="442"/>
      <c r="AB62" s="442"/>
      <c r="AC62" s="442"/>
      <c r="AD62" s="442"/>
      <c r="AE62" s="442"/>
      <c r="AF62" s="442"/>
      <c r="AG62" s="442"/>
      <c r="AH62" s="442"/>
      <c r="AI62" s="442"/>
      <c r="AJ62" s="442"/>
      <c r="AK62" s="442"/>
      <c r="AL62" s="442"/>
      <c r="AM62" s="442"/>
      <c r="AN62" s="442"/>
      <c r="AO62" s="442"/>
      <c r="AP62" s="442"/>
      <c r="AQ62" s="442"/>
      <c r="AR62" s="442"/>
      <c r="AS62" s="442"/>
      <c r="AT62" s="442"/>
      <c r="AU62" s="442"/>
      <c r="AV62" s="442"/>
      <c r="AW62" s="442"/>
      <c r="AX62" s="442"/>
      <c r="AY62" s="442"/>
      <c r="AZ62" s="442"/>
      <c r="BA62" s="442"/>
      <c r="BB62" s="442"/>
      <c r="BC62" s="442"/>
      <c r="BD62" s="442"/>
      <c r="BE62" s="442"/>
      <c r="BF62" s="442"/>
      <c r="BG62" s="442"/>
      <c r="BH62" s="442"/>
      <c r="BI62" s="442"/>
      <c r="BJ62" s="442"/>
      <c r="BK62" s="442"/>
      <c r="BL62" s="442"/>
      <c r="BM62" s="442"/>
      <c r="BN62" s="442"/>
      <c r="BO62" s="442"/>
      <c r="BP62" s="442"/>
      <c r="BQ62" s="442"/>
      <c r="BR62" s="442"/>
      <c r="BS62" s="442"/>
      <c r="BT62" s="442"/>
      <c r="BU62" s="442"/>
      <c r="BV62" s="442"/>
      <c r="BW62" s="442"/>
      <c r="BX62" s="442"/>
      <c r="BY62" s="442"/>
      <c r="BZ62" s="442"/>
      <c r="CA62" s="442"/>
      <c r="CB62" s="442"/>
      <c r="CC62" s="442"/>
      <c r="CD62" s="442"/>
      <c r="CE62" s="442"/>
      <c r="CF62" s="442"/>
      <c r="CG62" s="442"/>
      <c r="CH62" s="442"/>
      <c r="CI62" s="442"/>
      <c r="CJ62" s="442"/>
      <c r="CK62" s="442"/>
      <c r="CL62" s="442"/>
      <c r="CM62" s="442"/>
      <c r="CN62" s="442"/>
      <c r="CO62" s="442"/>
      <c r="CP62" s="442"/>
      <c r="CQ62" s="442"/>
      <c r="CR62" s="442"/>
      <c r="CS62" s="442"/>
      <c r="CT62" s="442"/>
      <c r="CU62" s="442"/>
      <c r="CV62" s="442"/>
      <c r="CW62" s="442"/>
      <c r="CX62" s="442"/>
      <c r="CY62" s="442"/>
      <c r="CZ62" s="442"/>
      <c r="DA62" s="442"/>
      <c r="DB62" s="442"/>
      <c r="DC62" s="442"/>
      <c r="DD62" s="442"/>
      <c r="DE62" s="442"/>
      <c r="DF62" s="442"/>
      <c r="DG62" s="442"/>
      <c r="DH62" s="442"/>
      <c r="DI62" s="442"/>
      <c r="DJ62" s="442"/>
      <c r="DK62" s="442"/>
      <c r="DL62" s="442"/>
      <c r="DM62" s="442"/>
      <c r="DN62" s="442"/>
      <c r="DO62" s="442"/>
      <c r="DP62" s="442"/>
      <c r="DQ62" s="442"/>
      <c r="DR62" s="442"/>
      <c r="DS62" s="442"/>
      <c r="DT62" s="442"/>
      <c r="DU62" s="442"/>
      <c r="DV62" s="442"/>
      <c r="DW62" s="442"/>
      <c r="DX62" s="442"/>
      <c r="DY62" s="442"/>
      <c r="DZ62" s="442"/>
      <c r="EA62" s="442"/>
      <c r="EB62" s="442"/>
      <c r="EC62" s="442"/>
      <c r="ED62" s="442"/>
      <c r="EE62" s="442"/>
      <c r="EF62" s="442"/>
      <c r="EG62" s="442"/>
      <c r="EH62" s="442"/>
      <c r="EI62" s="442"/>
      <c r="EJ62" s="442"/>
      <c r="EK62" s="442"/>
      <c r="EL62" s="442"/>
      <c r="EM62" s="442"/>
      <c r="EN62" s="442"/>
      <c r="EO62" s="442"/>
      <c r="EP62" s="442"/>
      <c r="EQ62" s="442"/>
      <c r="ER62" s="442"/>
      <c r="ES62" s="442"/>
      <c r="ET62" s="442"/>
      <c r="EU62" s="442"/>
      <c r="EV62" s="442"/>
      <c r="EW62" s="442"/>
    </row>
    <row r="63" spans="1:153" ht="16.350000000000001" customHeight="1">
      <c r="EM63" s="5"/>
      <c r="EN63" s="5"/>
      <c r="EO63" s="5"/>
      <c r="EP63" s="5"/>
      <c r="EQ63" s="5"/>
      <c r="ER63" s="5"/>
      <c r="ES63" s="5"/>
      <c r="ET63" s="5"/>
      <c r="EU63" s="5"/>
      <c r="EV63" s="5"/>
      <c r="EW63" s="5"/>
    </row>
  </sheetData>
  <dataConsolidate/>
  <customSheetViews>
    <customSheetView guid="{E88E1926-5DA8-417A-8DB1-2CA24C2C419E}" scale="110" showGridLines="0" fitToPage="1">
      <pane xSplit="3" ySplit="3" topLeftCell="MB31" activePane="bottomRight" state="frozen"/>
      <selection pane="bottomRight" activeCell="MG39" sqref="MG39"/>
      <colBreaks count="5" manualBreakCount="5">
        <brk id="17" max="1048575" man="1"/>
        <brk id="38" max="1048575" man="1"/>
        <brk id="59" max="1048575" man="1"/>
        <brk id="80" max="1048575" man="1"/>
        <brk id="101" max="1048575" man="1"/>
      </colBreaks>
      <pageMargins left="0.25" right="0.25" top="0.75" bottom="0.75" header="0.3" footer="0.3"/>
      <printOptions horizontalCentered="1"/>
      <pageSetup paperSize="9" scale="26" orientation="landscape" horizontalDpi="300" verticalDpi="300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90" showGridLines="0" fitToPage="1">
      <pane xSplit="3" ySplit="3" topLeftCell="MB31" activePane="bottomRight" state="frozen"/>
      <selection pane="bottomRight" activeCell="MD42" sqref="MD42"/>
      <colBreaks count="5" manualBreakCount="5">
        <brk id="17" max="1048575" man="1"/>
        <brk id="38" max="1048575" man="1"/>
        <brk id="59" max="1048575" man="1"/>
        <brk id="80" max="1048575" man="1"/>
        <brk id="101" max="1048575" man="1"/>
      </colBreaks>
      <pageMargins left="0.25" right="0.25" top="0.75" bottom="0.75" header="0.3" footer="0.3"/>
      <printOptions horizontalCentered="1"/>
      <pageSetup paperSize="9" scale="26" orientation="landscape" horizontalDpi="300" verticalDpi="300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howGridLines="0" fitToPage="1">
      <pane xSplit="3" ySplit="3" topLeftCell="MI31" activePane="bottomRight" state="frozen"/>
      <selection pane="bottomRight" activeCell="MR39" sqref="MR39"/>
      <colBreaks count="5" manualBreakCount="5">
        <brk id="17" max="1048575" man="1"/>
        <brk id="38" max="1048575" man="1"/>
        <brk id="59" max="1048575" man="1"/>
        <brk id="80" max="1048575" man="1"/>
        <brk id="101" max="1048575" man="1"/>
      </colBreaks>
      <pageMargins left="0.25" right="0.25" top="0.75" bottom="0.75" header="0.3" footer="0.3"/>
      <printOptions horizontalCentered="1"/>
      <pageSetup paperSize="9" scale="26" orientation="landscape" horizontalDpi="300" verticalDpi="300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phoneticPr fontId="29" type="noConversion"/>
  <conditionalFormatting sqref="DL59:DM59 DQ59">
    <cfRule type="cellIs" dxfId="37" priority="67" operator="notEqual">
      <formula>0</formula>
    </cfRule>
    <cfRule type="cellIs" dxfId="36" priority="68" operator="equal">
      <formula>0</formula>
    </cfRule>
  </conditionalFormatting>
  <conditionalFormatting sqref="DO59">
    <cfRule type="cellIs" dxfId="35" priority="3" operator="notEqual">
      <formula>0</formula>
    </cfRule>
    <cfRule type="cellIs" dxfId="34" priority="4" operator="equal">
      <formula>0</formula>
    </cfRule>
  </conditionalFormatting>
  <conditionalFormatting sqref="DS59:DT59">
    <cfRule type="cellIs" dxfId="33" priority="61" operator="notEqual">
      <formula>0</formula>
    </cfRule>
    <cfRule type="cellIs" dxfId="32" priority="62" operator="equal">
      <formula>0</formula>
    </cfRule>
  </conditionalFormatting>
  <conditionalFormatting sqref="DV59">
    <cfRule type="cellIs" dxfId="31" priority="49" operator="notEqual">
      <formula>0</formula>
    </cfRule>
    <cfRule type="cellIs" dxfId="30" priority="50" operator="equal">
      <formula>0</formula>
    </cfRule>
  </conditionalFormatting>
  <conditionalFormatting sqref="DX59">
    <cfRule type="cellIs" dxfId="29" priority="37" operator="notEqual">
      <formula>0</formula>
    </cfRule>
    <cfRule type="cellIs" dxfId="28" priority="38" operator="equal">
      <formula>0</formula>
    </cfRule>
  </conditionalFormatting>
  <conditionalFormatting sqref="DZ59:EA59">
    <cfRule type="cellIs" dxfId="27" priority="21" operator="notEqual">
      <formula>0</formula>
    </cfRule>
    <cfRule type="cellIs" dxfId="26" priority="22" operator="equal">
      <formula>0</formula>
    </cfRule>
  </conditionalFormatting>
  <conditionalFormatting sqref="EC59 EE59">
    <cfRule type="cellIs" dxfId="25" priority="13" operator="notEqual">
      <formula>0</formula>
    </cfRule>
    <cfRule type="cellIs" dxfId="24" priority="14" operator="equal">
      <formula>0</formula>
    </cfRule>
  </conditionalFormatting>
  <conditionalFormatting sqref="EG59:EW59">
    <cfRule type="cellIs" dxfId="23" priority="7" operator="notEqual">
      <formula>0</formula>
    </cfRule>
    <cfRule type="cellIs" dxfId="22" priority="8" operator="equal">
      <formula>0</formula>
    </cfRule>
  </conditionalFormatting>
  <printOptions horizontalCentered="1"/>
  <pageMargins left="0.25" right="0.25" top="0.75" bottom="0.75" header="0.3" footer="0.3"/>
  <pageSetup paperSize="9" scale="35" orientation="landscape" horizontalDpi="300" verticalDpi="300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olBreaks count="5" manualBreakCount="5">
    <brk id="10" max="1048575" man="1"/>
    <brk id="17" max="1048575" man="1"/>
    <brk id="24" max="1048575" man="1"/>
    <brk id="31" max="1048575" man="1"/>
    <brk id="38" max="1048575" man="1"/>
  </colBreaks>
  <ignoredErrors>
    <ignoredError sqref="EI7 EJ7 EI13:EJ13 EJ16 EI19 EJ19 EI25:EI29 EJ25:EJ29 EJ45:EJ46 EI54 EI57 EI59:EI60 EJ57 EJ60 EJ22 EJ52 EL37:EM37 EL46 EK26:EK29 EK19:EM19 EK13:EM13 EL27:EL29 EL53:EL54 EK16:EM16 EK14 EK17 EK22:EM22 EK20 EK15 EK21 EL56:EL57 EL41:EM41 EM7 EM25:EM29 EM54 EM57 EM60 EQ13 EQ26:EQ29 EQ52:EQ53 EQ19 EQ22 EQ16 EQ18 EQ10:EQ11 EQ41 ET13 ET19 ET27:ET29 ET37 EM48:ET48 ET39:ET41 EW41" formula="1"/>
    <ignoredError sqref="EI8 EG37:EH38 EK42 EN41 EG40:EH42 EU48" formulaRange="1"/>
    <ignoredError sqref="EI14:EI17 EI20:EI23 EI48 EJ37 EI55 EI58 EJ41 EK37:EK41 EI37:EI46 EI51:EI52" formula="1" formulaRange="1"/>
    <ignoredError sqref="ER11" numberStoredAsText="1"/>
  </ignoredErrors>
  <drawing r:id="rId5"/>
  <legacy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C6665-8DCE-4FE1-AE80-7311AFF274BD}">
  <sheetPr codeName="Planilha6">
    <outlinePr summaryBelow="0"/>
    <pageSetUpPr fitToPage="1"/>
  </sheetPr>
  <dimension ref="A1:AH51"/>
  <sheetViews>
    <sheetView showGridLines="0" zoomScaleNormal="100" zoomScaleSheetLayoutView="100" workbookViewId="0">
      <pane xSplit="3" ySplit="7" topLeftCell="AE8" activePane="bottomRight" state="frozen"/>
      <selection pane="topRight"/>
      <selection pane="bottomLeft"/>
      <selection pane="bottomRight" activeCell="AH8" sqref="AH8"/>
    </sheetView>
  </sheetViews>
  <sheetFormatPr defaultColWidth="8.5703125" defaultRowHeight="16.350000000000001" customHeight="1" outlineLevelCol="1"/>
  <cols>
    <col min="1" max="1" width="3.5703125" customWidth="1"/>
    <col min="2" max="2" width="49.42578125" customWidth="1"/>
    <col min="3" max="3" width="60.5703125" customWidth="1"/>
    <col min="4" max="9" width="12.5703125" hidden="1" customWidth="1" outlineLevel="1"/>
    <col min="10" max="10" width="12.5703125" customWidth="1" collapsed="1"/>
    <col min="11" max="16" width="12.5703125" hidden="1" customWidth="1" outlineLevel="1"/>
    <col min="17" max="17" width="12.5703125" customWidth="1" collapsed="1"/>
    <col min="18" max="23" width="12.5703125" hidden="1" customWidth="1" outlineLevel="1"/>
    <col min="24" max="24" width="12.5703125" customWidth="1" collapsed="1"/>
    <col min="25" max="30" width="12.5703125" hidden="1" customWidth="1" outlineLevel="1"/>
    <col min="31" max="31" width="12.5703125" customWidth="1" collapsed="1"/>
    <col min="32" max="34" width="12.5703125" customWidth="1"/>
    <col min="87" max="87" width="13.42578125" customWidth="1"/>
    <col min="119" max="119" width="11.42578125" customWidth="1"/>
    <col min="120" max="120" width="12.5703125" customWidth="1"/>
    <col min="147" max="147" width="12.42578125" customWidth="1"/>
    <col min="148" max="148" width="12.5703125" customWidth="1"/>
  </cols>
  <sheetData>
    <row r="1" spans="1:34" ht="16.350000000000001" customHeight="1">
      <c r="A1" s="7"/>
      <c r="B1" s="7"/>
      <c r="C1" s="7"/>
      <c r="D1" s="7"/>
      <c r="E1" s="7"/>
      <c r="F1" s="7"/>
      <c r="G1" s="7"/>
      <c r="H1" s="7"/>
      <c r="I1" s="7"/>
      <c r="J1" s="7"/>
      <c r="K1" s="7"/>
      <c r="Q1" s="7"/>
      <c r="R1" s="7"/>
    </row>
    <row r="2" spans="1:34" ht="16.35000000000000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Q2" s="7"/>
      <c r="R2" s="7"/>
    </row>
    <row r="3" spans="1:34" ht="16.350000000000001" customHeight="1">
      <c r="A3" s="7"/>
      <c r="B3" s="7"/>
      <c r="C3" s="7"/>
      <c r="D3" s="7"/>
      <c r="E3" s="7"/>
      <c r="F3" s="7"/>
      <c r="G3" s="7"/>
      <c r="H3" s="7"/>
      <c r="I3" s="7"/>
      <c r="J3" s="7"/>
      <c r="K3" s="7"/>
      <c r="Q3" s="7"/>
      <c r="R3" s="7"/>
    </row>
    <row r="4" spans="1:34" ht="16.350000000000001" customHeight="1">
      <c r="A4" s="7"/>
      <c r="B4" s="8"/>
      <c r="C4" s="7"/>
      <c r="D4" s="7"/>
      <c r="E4" s="7"/>
      <c r="F4" s="7"/>
      <c r="G4" s="7"/>
      <c r="H4" s="7"/>
      <c r="I4" s="7"/>
      <c r="J4" s="7"/>
      <c r="K4" s="7"/>
      <c r="Q4" s="7"/>
      <c r="R4" s="7"/>
    </row>
    <row r="5" spans="1:34" ht="16.350000000000001" customHeight="1">
      <c r="A5" s="9"/>
      <c r="B5" s="10"/>
      <c r="C5" s="10"/>
      <c r="D5" s="7"/>
      <c r="E5" s="7"/>
      <c r="F5" s="7"/>
      <c r="G5" s="7"/>
      <c r="H5" s="7"/>
      <c r="I5" s="7"/>
      <c r="J5" s="7"/>
      <c r="K5" s="7"/>
      <c r="Q5" s="7"/>
      <c r="R5" s="7"/>
    </row>
    <row r="6" spans="1:34" ht="16.350000000000001" customHeight="1">
      <c r="A6" s="16"/>
      <c r="B6" s="437" t="s">
        <v>540</v>
      </c>
      <c r="C6" s="437" t="s">
        <v>539</v>
      </c>
      <c r="D6" s="447" t="s">
        <v>350</v>
      </c>
      <c r="E6" s="447" t="s">
        <v>468</v>
      </c>
      <c r="F6" s="447" t="s">
        <v>469</v>
      </c>
      <c r="G6" s="447" t="s">
        <v>511</v>
      </c>
      <c r="H6" s="447" t="s">
        <v>514</v>
      </c>
      <c r="I6" s="447" t="s">
        <v>519</v>
      </c>
      <c r="J6" s="454">
        <v>2022</v>
      </c>
      <c r="K6" s="454" t="s">
        <v>535</v>
      </c>
      <c r="L6" s="454" t="s">
        <v>614</v>
      </c>
      <c r="M6" s="454" t="s">
        <v>615</v>
      </c>
      <c r="N6" s="454" t="s">
        <v>616</v>
      </c>
      <c r="O6" s="454" t="s">
        <v>617</v>
      </c>
      <c r="P6" s="454" t="s">
        <v>642</v>
      </c>
      <c r="Q6" s="454">
        <v>2023</v>
      </c>
      <c r="R6" s="454" t="str">
        <f>'Income Statement'!EG6</f>
        <v>1Q24</v>
      </c>
      <c r="S6" s="454" t="str">
        <f>'Income Statement'!EH6</f>
        <v>2Q24</v>
      </c>
      <c r="T6" s="454" t="str">
        <f>'Income Statement'!EI6</f>
        <v>1H24</v>
      </c>
      <c r="U6" s="454" t="str">
        <f>'Income Statement'!EJ6</f>
        <v>3Q24</v>
      </c>
      <c r="V6" s="454" t="str">
        <f>'Income Statement'!EK6</f>
        <v>9M24</v>
      </c>
      <c r="W6" s="454" t="str">
        <f>'Income Statement'!EL6</f>
        <v>4Q24</v>
      </c>
      <c r="X6" s="454">
        <f>'Income Statement'!EM6</f>
        <v>2024</v>
      </c>
      <c r="Y6" s="454" t="str">
        <f>'Income Statement'!EN6</f>
        <v>1Q25</v>
      </c>
      <c r="Z6" s="454" t="str">
        <f>'Income Statement'!EO6</f>
        <v>2Q25</v>
      </c>
      <c r="AA6" s="454" t="str">
        <f>'Income Statement'!EP6</f>
        <v>1H25</v>
      </c>
      <c r="AB6" s="454" t="str">
        <f>'Income Statement'!EQ6</f>
        <v>3Q25</v>
      </c>
      <c r="AC6" s="454" t="str">
        <f>'Income Statement'!ER6</f>
        <v>9M25</v>
      </c>
      <c r="AD6" s="454" t="str">
        <f>'Income Statement'!ES6</f>
        <v>4Q25</v>
      </c>
      <c r="AE6" s="454">
        <f>'Income Statement'!ET6</f>
        <v>2025</v>
      </c>
      <c r="AF6" s="454" t="str">
        <f>'Income Statement'!EU6</f>
        <v>1Q26</v>
      </c>
      <c r="AG6" s="454" t="str">
        <f>'Income Statement'!EV6</f>
        <v>2Q26</v>
      </c>
      <c r="AH6" s="454" t="str">
        <f>'Income Statement'!EW6</f>
        <v>1H26</v>
      </c>
    </row>
    <row r="7" spans="1:34" ht="16.350000000000001" customHeight="1">
      <c r="A7" s="18"/>
      <c r="B7" s="19" t="s">
        <v>575</v>
      </c>
      <c r="C7" s="19" t="s">
        <v>541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</row>
    <row r="8" spans="1:34" ht="16.350000000000001" customHeight="1">
      <c r="A8" s="18"/>
      <c r="B8" s="143" t="s">
        <v>576</v>
      </c>
      <c r="C8" s="143" t="s">
        <v>542</v>
      </c>
      <c r="D8" s="144">
        <v>191630</v>
      </c>
      <c r="E8" s="144">
        <v>360389</v>
      </c>
      <c r="F8" s="144">
        <v>552019</v>
      </c>
      <c r="G8" s="144">
        <v>257862</v>
      </c>
      <c r="H8" s="144">
        <v>809881</v>
      </c>
      <c r="I8" s="144">
        <v>481823</v>
      </c>
      <c r="J8" s="144">
        <v>1291704</v>
      </c>
      <c r="K8" s="144">
        <v>46766</v>
      </c>
      <c r="L8" s="144">
        <v>229700</v>
      </c>
      <c r="M8" s="144">
        <v>276466</v>
      </c>
      <c r="N8" s="144">
        <v>172902</v>
      </c>
      <c r="O8" s="144">
        <v>449368</v>
      </c>
      <c r="P8" s="144">
        <v>526891</v>
      </c>
      <c r="Q8" s="144">
        <v>976259</v>
      </c>
      <c r="R8" s="144">
        <v>139250</v>
      </c>
      <c r="S8" s="144">
        <v>314984</v>
      </c>
      <c r="T8" s="144">
        <f>SUM(R8:S8)</f>
        <v>454234</v>
      </c>
      <c r="U8" s="144">
        <v>255266</v>
      </c>
      <c r="V8" s="144">
        <v>709500</v>
      </c>
      <c r="W8" s="144">
        <v>487168</v>
      </c>
      <c r="X8" s="144">
        <f>SUM(V8:W8)</f>
        <v>1196668</v>
      </c>
      <c r="Y8" s="144">
        <v>221033</v>
      </c>
      <c r="Z8" s="144">
        <v>404496</v>
      </c>
      <c r="AA8" s="144">
        <f>SUM(Y8:Z8)</f>
        <v>625529</v>
      </c>
      <c r="AB8" s="144">
        <v>279395</v>
      </c>
      <c r="AC8" s="144">
        <f>SUM(AA8:AB8)</f>
        <v>904924</v>
      </c>
      <c r="AD8" s="144">
        <v>552642</v>
      </c>
      <c r="AE8" s="144">
        <f>SUM(AC8:AD8)</f>
        <v>1457566</v>
      </c>
      <c r="AF8" s="144">
        <f>'Income Statement'!EU60</f>
        <v>257251</v>
      </c>
      <c r="AG8" s="144">
        <f>'Income Statement'!EV60</f>
        <v>404645</v>
      </c>
      <c r="AH8" s="144">
        <f>SUM(AF8:AG8)</f>
        <v>661896</v>
      </c>
    </row>
    <row r="9" spans="1:34" ht="16.350000000000001" customHeight="1">
      <c r="A9" s="18"/>
      <c r="B9" s="49" t="s">
        <v>577</v>
      </c>
      <c r="C9" s="49" t="s">
        <v>547</v>
      </c>
      <c r="D9" s="24"/>
      <c r="E9" s="24"/>
      <c r="F9" s="24"/>
      <c r="G9" s="24"/>
      <c r="H9" s="24"/>
      <c r="I9" s="24"/>
      <c r="J9" s="24"/>
      <c r="K9" s="24"/>
      <c r="L9" s="24"/>
      <c r="M9" s="24"/>
      <c r="N9" s="145"/>
      <c r="O9" s="145"/>
      <c r="P9" s="145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374"/>
      <c r="AC9" s="24"/>
      <c r="AD9" s="374"/>
      <c r="AE9" s="24"/>
      <c r="AF9" s="24"/>
      <c r="AG9" s="24"/>
      <c r="AH9" s="24"/>
    </row>
    <row r="10" spans="1:34" ht="16.350000000000001" customHeight="1">
      <c r="A10" s="18"/>
      <c r="B10" s="121" t="s">
        <v>578</v>
      </c>
      <c r="C10" s="121" t="s">
        <v>55</v>
      </c>
      <c r="D10" s="24">
        <v>246360</v>
      </c>
      <c r="E10" s="24">
        <v>262964</v>
      </c>
      <c r="F10" s="24">
        <v>509324</v>
      </c>
      <c r="G10" s="24">
        <v>262914</v>
      </c>
      <c r="H10" s="24">
        <v>772238</v>
      </c>
      <c r="I10" s="24">
        <v>268788</v>
      </c>
      <c r="J10" s="24">
        <v>1041025</v>
      </c>
      <c r="K10" s="24">
        <v>268681</v>
      </c>
      <c r="L10" s="24">
        <v>260103</v>
      </c>
      <c r="M10" s="24">
        <v>528782</v>
      </c>
      <c r="N10" s="24">
        <v>276070</v>
      </c>
      <c r="O10" s="24">
        <v>804852</v>
      </c>
      <c r="P10" s="24">
        <v>293511</v>
      </c>
      <c r="Q10" s="24">
        <v>1098363</v>
      </c>
      <c r="R10" s="24">
        <v>307311</v>
      </c>
      <c r="S10" s="24">
        <v>310660</v>
      </c>
      <c r="T10" s="24">
        <f t="shared" ref="T10:T15" si="0">SUM(R10:S10)</f>
        <v>617971</v>
      </c>
      <c r="U10" s="24">
        <v>308349</v>
      </c>
      <c r="V10" s="24">
        <v>926320</v>
      </c>
      <c r="W10" s="24">
        <v>317934</v>
      </c>
      <c r="X10" s="24">
        <f t="shared" ref="X10:X15" si="1">SUM(V10:W10)</f>
        <v>1244254</v>
      </c>
      <c r="Y10" s="24">
        <v>316463</v>
      </c>
      <c r="Z10" s="24">
        <v>334569</v>
      </c>
      <c r="AA10" s="24">
        <f t="shared" ref="AA10:AC15" si="2">SUM(Y10:Z10)</f>
        <v>651032</v>
      </c>
      <c r="AB10" s="387">
        <v>318566</v>
      </c>
      <c r="AC10" s="24">
        <f t="shared" si="2"/>
        <v>969598</v>
      </c>
      <c r="AD10" s="387">
        <v>321360</v>
      </c>
      <c r="AE10" s="24">
        <f t="shared" ref="AE10:AE15" si="3">SUM(AC10:AD10)</f>
        <v>1290958</v>
      </c>
      <c r="AF10" s="24">
        <v>327742</v>
      </c>
      <c r="AG10" s="24">
        <v>328671</v>
      </c>
      <c r="AH10" s="24">
        <f t="shared" ref="AH10:AH15" si="4">SUM(AF10:AG10)</f>
        <v>656413</v>
      </c>
    </row>
    <row r="11" spans="1:34" ht="16.350000000000001" customHeight="1">
      <c r="A11" s="18"/>
      <c r="B11" s="121" t="s">
        <v>579</v>
      </c>
      <c r="C11" s="121" t="s">
        <v>543</v>
      </c>
      <c r="D11" s="24">
        <v>161077</v>
      </c>
      <c r="E11" s="24">
        <v>177685</v>
      </c>
      <c r="F11" s="24">
        <v>338762</v>
      </c>
      <c r="G11" s="24">
        <v>191643</v>
      </c>
      <c r="H11" s="24">
        <v>530405</v>
      </c>
      <c r="I11" s="24">
        <v>169961</v>
      </c>
      <c r="J11" s="24">
        <v>700366</v>
      </c>
      <c r="K11" s="24">
        <v>148925</v>
      </c>
      <c r="L11" s="24">
        <v>149329</v>
      </c>
      <c r="M11" s="24">
        <v>298254</v>
      </c>
      <c r="N11" s="24">
        <v>144628</v>
      </c>
      <c r="O11" s="24">
        <v>442882</v>
      </c>
      <c r="P11" s="24">
        <v>137865</v>
      </c>
      <c r="Q11" s="24">
        <v>580747</v>
      </c>
      <c r="R11" s="24">
        <v>118079</v>
      </c>
      <c r="S11" s="24">
        <v>107194</v>
      </c>
      <c r="T11" s="24">
        <f t="shared" si="0"/>
        <v>225273</v>
      </c>
      <c r="U11" s="24">
        <v>99587</v>
      </c>
      <c r="V11" s="24">
        <v>324860</v>
      </c>
      <c r="W11" s="24">
        <v>97673</v>
      </c>
      <c r="X11" s="24">
        <f t="shared" si="1"/>
        <v>422533</v>
      </c>
      <c r="Y11" s="24">
        <v>91312</v>
      </c>
      <c r="Z11" s="24">
        <v>85005</v>
      </c>
      <c r="AA11" s="24">
        <f t="shared" si="2"/>
        <v>176317</v>
      </c>
      <c r="AB11" s="387">
        <v>78812</v>
      </c>
      <c r="AC11" s="24">
        <f t="shared" si="2"/>
        <v>255129</v>
      </c>
      <c r="AD11" s="387">
        <v>81468</v>
      </c>
      <c r="AE11" s="24">
        <f t="shared" si="3"/>
        <v>336597</v>
      </c>
      <c r="AF11" s="24">
        <v>82158</v>
      </c>
      <c r="AG11" s="24">
        <v>94951</v>
      </c>
      <c r="AH11" s="24">
        <f t="shared" si="4"/>
        <v>177109</v>
      </c>
    </row>
    <row r="12" spans="1:34" ht="16.350000000000001" customHeight="1">
      <c r="A12" s="18"/>
      <c r="B12" s="121" t="s">
        <v>580</v>
      </c>
      <c r="C12" s="121" t="s">
        <v>544</v>
      </c>
      <c r="D12" s="24">
        <v>-30803</v>
      </c>
      <c r="E12" s="24">
        <v>70778</v>
      </c>
      <c r="F12" s="24">
        <v>39975</v>
      </c>
      <c r="G12" s="24">
        <v>-56997</v>
      </c>
      <c r="H12" s="24">
        <v>-17022</v>
      </c>
      <c r="I12" s="24">
        <v>109603</v>
      </c>
      <c r="J12" s="24">
        <v>92581</v>
      </c>
      <c r="K12" s="24">
        <v>-88461</v>
      </c>
      <c r="L12" s="24">
        <v>-33932</v>
      </c>
      <c r="M12" s="24">
        <v>-122393</v>
      </c>
      <c r="N12" s="24">
        <v>-96526</v>
      </c>
      <c r="O12" s="24">
        <v>-218919</v>
      </c>
      <c r="P12" s="24">
        <v>83327</v>
      </c>
      <c r="Q12" s="24">
        <v>-135592</v>
      </c>
      <c r="R12" s="24">
        <v>-27414</v>
      </c>
      <c r="S12" s="24">
        <v>69318</v>
      </c>
      <c r="T12" s="24">
        <f t="shared" si="0"/>
        <v>41904</v>
      </c>
      <c r="U12" s="24">
        <v>24334</v>
      </c>
      <c r="V12" s="24">
        <v>66238</v>
      </c>
      <c r="W12" s="24">
        <v>58091</v>
      </c>
      <c r="X12" s="24">
        <f t="shared" si="1"/>
        <v>124329</v>
      </c>
      <c r="Y12" s="24">
        <v>33489</v>
      </c>
      <c r="Z12" s="24">
        <v>107555</v>
      </c>
      <c r="AA12" s="24">
        <f t="shared" si="2"/>
        <v>141044</v>
      </c>
      <c r="AB12" s="387">
        <v>-19796</v>
      </c>
      <c r="AC12" s="24">
        <f t="shared" si="2"/>
        <v>121248</v>
      </c>
      <c r="AD12" s="387">
        <v>135862</v>
      </c>
      <c r="AE12" s="24">
        <f t="shared" si="3"/>
        <v>257110</v>
      </c>
      <c r="AF12" s="24">
        <v>10071</v>
      </c>
      <c r="AG12" s="24">
        <v>88555</v>
      </c>
      <c r="AH12" s="24">
        <f t="shared" si="4"/>
        <v>98626</v>
      </c>
    </row>
    <row r="13" spans="1:34" ht="16.350000000000001" customHeight="1">
      <c r="A13" s="18"/>
      <c r="B13" s="121" t="s">
        <v>581</v>
      </c>
      <c r="C13" s="121" t="s">
        <v>643</v>
      </c>
      <c r="D13" s="24">
        <v>36724</v>
      </c>
      <c r="E13" s="24">
        <v>198516</v>
      </c>
      <c r="F13" s="24">
        <v>235240</v>
      </c>
      <c r="G13" s="24">
        <v>168458</v>
      </c>
      <c r="H13" s="24">
        <v>403698</v>
      </c>
      <c r="I13" s="24">
        <v>174840</v>
      </c>
      <c r="J13" s="24">
        <v>578538</v>
      </c>
      <c r="K13" s="24">
        <v>20840</v>
      </c>
      <c r="L13" s="24">
        <v>63934</v>
      </c>
      <c r="M13" s="24">
        <v>84774</v>
      </c>
      <c r="N13" s="24">
        <v>-18452</v>
      </c>
      <c r="O13" s="24">
        <v>66322</v>
      </c>
      <c r="P13" s="24">
        <v>78029</v>
      </c>
      <c r="Q13" s="24">
        <v>144351</v>
      </c>
      <c r="R13" s="24">
        <v>-141036</v>
      </c>
      <c r="S13" s="24">
        <v>-61701</v>
      </c>
      <c r="T13" s="24">
        <f t="shared" si="0"/>
        <v>-202737</v>
      </c>
      <c r="U13" s="24">
        <v>-78886</v>
      </c>
      <c r="V13" s="24">
        <v>-281623</v>
      </c>
      <c r="W13" s="24">
        <v>28869</v>
      </c>
      <c r="X13" s="24">
        <f t="shared" si="1"/>
        <v>-252754</v>
      </c>
      <c r="Y13" s="24">
        <v>190723</v>
      </c>
      <c r="Z13" s="24">
        <v>277119</v>
      </c>
      <c r="AA13" s="24">
        <f t="shared" si="2"/>
        <v>467842</v>
      </c>
      <c r="AB13" s="387">
        <v>7157</v>
      </c>
      <c r="AC13" s="24">
        <f t="shared" si="2"/>
        <v>474999</v>
      </c>
      <c r="AD13" s="387">
        <v>138924</v>
      </c>
      <c r="AE13" s="24">
        <f t="shared" si="3"/>
        <v>613923</v>
      </c>
      <c r="AF13" s="24">
        <v>17908</v>
      </c>
      <c r="AG13" s="24">
        <v>-77995</v>
      </c>
      <c r="AH13" s="24">
        <f t="shared" si="4"/>
        <v>-60087</v>
      </c>
    </row>
    <row r="14" spans="1:34" ht="16.350000000000001" customHeight="1">
      <c r="A14" s="18"/>
      <c r="B14" s="121" t="s">
        <v>583</v>
      </c>
      <c r="C14" s="121" t="s">
        <v>546</v>
      </c>
      <c r="D14" s="24">
        <v>33151</v>
      </c>
      <c r="E14" s="24">
        <v>58733</v>
      </c>
      <c r="F14" s="24">
        <v>91884</v>
      </c>
      <c r="G14" s="24">
        <v>28022</v>
      </c>
      <c r="H14" s="24">
        <v>119906</v>
      </c>
      <c r="I14" s="24">
        <v>59492</v>
      </c>
      <c r="J14" s="24">
        <v>186878</v>
      </c>
      <c r="K14" s="24">
        <v>1423</v>
      </c>
      <c r="L14" s="24">
        <v>59450</v>
      </c>
      <c r="M14" s="24">
        <v>60873</v>
      </c>
      <c r="N14" s="24">
        <v>43690</v>
      </c>
      <c r="O14" s="24">
        <v>104563</v>
      </c>
      <c r="P14" s="24">
        <v>89223</v>
      </c>
      <c r="Q14" s="24">
        <v>193786</v>
      </c>
      <c r="R14" s="24">
        <v>-67003</v>
      </c>
      <c r="S14" s="24">
        <v>53457</v>
      </c>
      <c r="T14" s="24">
        <f t="shared" si="0"/>
        <v>-13546</v>
      </c>
      <c r="U14" s="24">
        <v>14221</v>
      </c>
      <c r="V14" s="24">
        <v>675</v>
      </c>
      <c r="W14" s="24">
        <v>120908</v>
      </c>
      <c r="X14" s="24">
        <f t="shared" si="1"/>
        <v>121583</v>
      </c>
      <c r="Y14" s="24">
        <v>-5396</v>
      </c>
      <c r="Z14" s="24">
        <v>71274</v>
      </c>
      <c r="AA14" s="24">
        <f t="shared" si="2"/>
        <v>65878</v>
      </c>
      <c r="AB14" s="387">
        <v>18719</v>
      </c>
      <c r="AC14" s="24">
        <f t="shared" si="2"/>
        <v>84597</v>
      </c>
      <c r="AD14" s="387">
        <v>39004</v>
      </c>
      <c r="AE14" s="24">
        <f t="shared" si="3"/>
        <v>123601</v>
      </c>
      <c r="AF14" s="24">
        <v>-1485</v>
      </c>
      <c r="AG14" s="24">
        <v>197320</v>
      </c>
      <c r="AH14" s="24">
        <f t="shared" si="4"/>
        <v>195835</v>
      </c>
    </row>
    <row r="15" spans="1:34" ht="16.350000000000001" customHeight="1">
      <c r="A15" s="18"/>
      <c r="B15" s="121" t="s">
        <v>582</v>
      </c>
      <c r="C15" s="121" t="s">
        <v>545</v>
      </c>
      <c r="D15" s="24">
        <v>-13850</v>
      </c>
      <c r="E15" s="24">
        <v>-12055</v>
      </c>
      <c r="F15" s="24">
        <v>-25905</v>
      </c>
      <c r="G15" s="24">
        <v>0</v>
      </c>
      <c r="H15" s="24">
        <v>-25905</v>
      </c>
      <c r="I15" s="24">
        <v>0</v>
      </c>
      <c r="J15" s="24">
        <v>-25905</v>
      </c>
      <c r="K15" s="24">
        <v>0</v>
      </c>
      <c r="L15" s="24">
        <v>0</v>
      </c>
      <c r="M15" s="24">
        <v>0</v>
      </c>
      <c r="N15" s="24">
        <v>0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f t="shared" si="0"/>
        <v>0</v>
      </c>
      <c r="U15" s="24">
        <v>0</v>
      </c>
      <c r="V15" s="24">
        <v>0</v>
      </c>
      <c r="W15" s="24">
        <v>0</v>
      </c>
      <c r="X15" s="24">
        <f t="shared" si="1"/>
        <v>0</v>
      </c>
      <c r="Y15" s="24">
        <v>0</v>
      </c>
      <c r="Z15" s="24">
        <v>0</v>
      </c>
      <c r="AA15" s="24">
        <f t="shared" si="2"/>
        <v>0</v>
      </c>
      <c r="AB15" s="387">
        <v>0</v>
      </c>
      <c r="AC15" s="24">
        <f t="shared" si="2"/>
        <v>0</v>
      </c>
      <c r="AD15" s="387">
        <v>0</v>
      </c>
      <c r="AE15" s="24">
        <f t="shared" si="3"/>
        <v>0</v>
      </c>
      <c r="AF15" s="24">
        <v>0</v>
      </c>
      <c r="AG15" s="24">
        <v>0</v>
      </c>
      <c r="AH15" s="24">
        <f t="shared" si="4"/>
        <v>0</v>
      </c>
    </row>
    <row r="16" spans="1:34" ht="16.350000000000001" customHeight="1">
      <c r="A16" s="18"/>
      <c r="B16" s="143" t="s">
        <v>584</v>
      </c>
      <c r="C16" s="143" t="s">
        <v>548</v>
      </c>
      <c r="D16" s="144">
        <f>SUM(D8:D15)</f>
        <v>624289</v>
      </c>
      <c r="E16" s="144">
        <f t="shared" ref="E16:J16" si="5">SUM(E8:E15)</f>
        <v>1117010</v>
      </c>
      <c r="F16" s="144">
        <f t="shared" si="5"/>
        <v>1741299</v>
      </c>
      <c r="G16" s="144">
        <f t="shared" si="5"/>
        <v>851902</v>
      </c>
      <c r="H16" s="144">
        <f t="shared" si="5"/>
        <v>2593201</v>
      </c>
      <c r="I16" s="144">
        <f t="shared" si="5"/>
        <v>1264507</v>
      </c>
      <c r="J16" s="144">
        <f t="shared" si="5"/>
        <v>3865187</v>
      </c>
      <c r="K16" s="144">
        <f>SUM(K8:K15)</f>
        <v>398174</v>
      </c>
      <c r="L16" s="144">
        <f>SUM(L8:L15)</f>
        <v>728584</v>
      </c>
      <c r="M16" s="144">
        <f>SUM(M8:M15)</f>
        <v>1126756</v>
      </c>
      <c r="N16" s="144">
        <v>522312</v>
      </c>
      <c r="O16" s="144">
        <v>1649068</v>
      </c>
      <c r="P16" s="144">
        <f>SUM(P8:P15)</f>
        <v>1208846</v>
      </c>
      <c r="Q16" s="144">
        <f>SUM(Q8:Q15)</f>
        <v>2857914</v>
      </c>
      <c r="R16" s="144">
        <f>SUM(R8:R15)</f>
        <v>329187</v>
      </c>
      <c r="S16" s="144">
        <f>SUM(S8:S15)</f>
        <v>793912</v>
      </c>
      <c r="T16" s="144">
        <f>SUM(R16:S16)</f>
        <v>1123099</v>
      </c>
      <c r="U16" s="144">
        <f>SUM(U8:U15)</f>
        <v>622871</v>
      </c>
      <c r="V16" s="144">
        <f>SUM(V8:V15)</f>
        <v>1745970</v>
      </c>
      <c r="W16" s="144">
        <f>SUM(W8:W15)</f>
        <v>1110643</v>
      </c>
      <c r="X16" s="144">
        <f>SUM(V16:W16)</f>
        <v>2856613</v>
      </c>
      <c r="Y16" s="144">
        <f>SUM(Y8:Y15)</f>
        <v>847624</v>
      </c>
      <c r="Z16" s="144">
        <f>SUM(Z8:Z15)</f>
        <v>1280018</v>
      </c>
      <c r="AA16" s="144">
        <f t="shared" ref="AA16:AC16" si="6">SUM(AA8:AA15)</f>
        <v>2127642</v>
      </c>
      <c r="AB16" s="144">
        <f t="shared" si="6"/>
        <v>682853</v>
      </c>
      <c r="AC16" s="144">
        <f t="shared" si="6"/>
        <v>2810495</v>
      </c>
      <c r="AD16" s="144">
        <f t="shared" ref="AD16:AE16" si="7">SUM(AD8:AD15)</f>
        <v>1269260</v>
      </c>
      <c r="AE16" s="144">
        <f t="shared" si="7"/>
        <v>4079755</v>
      </c>
      <c r="AF16" s="144">
        <f>SUM(AF8:AF15)</f>
        <v>693645</v>
      </c>
      <c r="AG16" s="144">
        <f>SUM(AG8:AG15)</f>
        <v>1036147</v>
      </c>
      <c r="AH16" s="144">
        <f t="shared" ref="AH16" si="8">SUM(AH8:AH15)</f>
        <v>1729792</v>
      </c>
    </row>
    <row r="17" spans="1:34" ht="16.350000000000001" customHeight="1">
      <c r="A17" s="18"/>
      <c r="B17" s="146" t="s">
        <v>585</v>
      </c>
      <c r="C17" s="146" t="s">
        <v>549</v>
      </c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374"/>
      <c r="AC17" s="24"/>
      <c r="AD17" s="374"/>
      <c r="AE17" s="24"/>
      <c r="AF17" s="24"/>
      <c r="AG17" s="24"/>
      <c r="AH17" s="24"/>
    </row>
    <row r="18" spans="1:34" ht="16.350000000000001" customHeight="1">
      <c r="A18" s="18"/>
      <c r="B18" s="121" t="s">
        <v>586</v>
      </c>
      <c r="C18" s="121" t="s">
        <v>550</v>
      </c>
      <c r="D18" s="24">
        <v>333141</v>
      </c>
      <c r="E18" s="24">
        <v>-876194</v>
      </c>
      <c r="F18" s="24">
        <v>-543053</v>
      </c>
      <c r="G18" s="24">
        <v>60720</v>
      </c>
      <c r="H18" s="24">
        <v>-482333</v>
      </c>
      <c r="I18" s="24">
        <v>-1205779</v>
      </c>
      <c r="J18" s="24">
        <v>-1688112</v>
      </c>
      <c r="K18" s="24">
        <v>731926</v>
      </c>
      <c r="L18" s="24">
        <v>-428077</v>
      </c>
      <c r="M18" s="24">
        <v>303849</v>
      </c>
      <c r="N18" s="24">
        <v>461561</v>
      </c>
      <c r="O18" s="24">
        <v>765410</v>
      </c>
      <c r="P18" s="24">
        <v>-918391</v>
      </c>
      <c r="Q18" s="24">
        <v>-152981</v>
      </c>
      <c r="R18" s="24">
        <v>1158262</v>
      </c>
      <c r="S18" s="24">
        <v>-305332</v>
      </c>
      <c r="T18" s="24">
        <f t="shared" ref="T18:T21" si="9">SUM(R18:S18)</f>
        <v>852930</v>
      </c>
      <c r="U18" s="24">
        <v>238314</v>
      </c>
      <c r="V18" s="24">
        <v>1091244</v>
      </c>
      <c r="W18" s="24">
        <v>-1077387</v>
      </c>
      <c r="X18" s="24">
        <f t="shared" ref="X18:X21" si="10">SUM(V18:W18)</f>
        <v>13857</v>
      </c>
      <c r="Y18" s="24">
        <v>744852</v>
      </c>
      <c r="Z18" s="24">
        <v>-816592</v>
      </c>
      <c r="AA18" s="24">
        <f t="shared" ref="AA18:AC21" si="11">SUM(Y18:Z18)</f>
        <v>-71740</v>
      </c>
      <c r="AB18" s="387">
        <v>433862</v>
      </c>
      <c r="AC18" s="24">
        <f t="shared" si="11"/>
        <v>362122</v>
      </c>
      <c r="AD18" s="387">
        <v>-1190908</v>
      </c>
      <c r="AE18" s="24">
        <f t="shared" ref="AE18:AE21" si="12">SUM(AC18:AD18)</f>
        <v>-828786</v>
      </c>
      <c r="AF18" s="24">
        <v>1016456</v>
      </c>
      <c r="AG18" s="24">
        <v>-429896</v>
      </c>
      <c r="AH18" s="24">
        <f t="shared" ref="AH18:AH21" si="13">SUM(AF18:AG18)</f>
        <v>586560</v>
      </c>
    </row>
    <row r="19" spans="1:34" ht="16.350000000000001" customHeight="1">
      <c r="A19" s="18"/>
      <c r="B19" s="121" t="s">
        <v>587</v>
      </c>
      <c r="C19" s="121" t="s">
        <v>6</v>
      </c>
      <c r="D19" s="24">
        <v>-361666</v>
      </c>
      <c r="E19" s="24">
        <v>99254</v>
      </c>
      <c r="F19" s="24">
        <v>-262412</v>
      </c>
      <c r="G19" s="24">
        <v>-191598</v>
      </c>
      <c r="H19" s="24">
        <v>-454010</v>
      </c>
      <c r="I19" s="24">
        <v>193578</v>
      </c>
      <c r="J19" s="24">
        <v>-260432</v>
      </c>
      <c r="K19" s="24">
        <v>-320934</v>
      </c>
      <c r="L19" s="24">
        <v>231722</v>
      </c>
      <c r="M19" s="24">
        <v>-89212</v>
      </c>
      <c r="N19" s="24">
        <v>-42271</v>
      </c>
      <c r="O19" s="24">
        <v>-131483</v>
      </c>
      <c r="P19" s="24">
        <v>194019</v>
      </c>
      <c r="Q19" s="24">
        <v>62536</v>
      </c>
      <c r="R19" s="24">
        <v>-181622</v>
      </c>
      <c r="S19" s="24">
        <v>100178</v>
      </c>
      <c r="T19" s="24">
        <f t="shared" si="9"/>
        <v>-81444</v>
      </c>
      <c r="U19" s="24">
        <v>-138307</v>
      </c>
      <c r="V19" s="24">
        <v>-219751</v>
      </c>
      <c r="W19" s="24">
        <v>79854</v>
      </c>
      <c r="X19" s="24">
        <f t="shared" si="10"/>
        <v>-139897</v>
      </c>
      <c r="Y19" s="24">
        <v>-284525</v>
      </c>
      <c r="Z19" s="24">
        <v>269418</v>
      </c>
      <c r="AA19" s="24">
        <f t="shared" si="11"/>
        <v>-15107</v>
      </c>
      <c r="AB19" s="387">
        <v>-170893</v>
      </c>
      <c r="AC19" s="24">
        <f t="shared" si="11"/>
        <v>-186000</v>
      </c>
      <c r="AD19" s="387">
        <v>245040</v>
      </c>
      <c r="AE19" s="24">
        <f t="shared" si="12"/>
        <v>59040</v>
      </c>
      <c r="AF19" s="24">
        <v>-320926</v>
      </c>
      <c r="AG19" s="24">
        <v>106564</v>
      </c>
      <c r="AH19" s="24">
        <f t="shared" si="13"/>
        <v>-214362</v>
      </c>
    </row>
    <row r="20" spans="1:34" ht="16.350000000000001" customHeight="1">
      <c r="A20" s="18"/>
      <c r="B20" s="121" t="s">
        <v>588</v>
      </c>
      <c r="C20" s="121" t="s">
        <v>485</v>
      </c>
      <c r="D20" s="24">
        <v>117028</v>
      </c>
      <c r="E20" s="24">
        <v>84788</v>
      </c>
      <c r="F20" s="24">
        <v>201816</v>
      </c>
      <c r="G20" s="24">
        <v>-70491</v>
      </c>
      <c r="H20" s="24">
        <v>131325</v>
      </c>
      <c r="I20" s="24">
        <v>-34008</v>
      </c>
      <c r="J20" s="24">
        <v>97317</v>
      </c>
      <c r="K20" s="24">
        <v>192701</v>
      </c>
      <c r="L20" s="24">
        <v>68972</v>
      </c>
      <c r="M20" s="24">
        <v>261673</v>
      </c>
      <c r="N20" s="24">
        <v>18655</v>
      </c>
      <c r="O20" s="24">
        <v>280328</v>
      </c>
      <c r="P20" s="24">
        <v>-42705</v>
      </c>
      <c r="Q20" s="24">
        <v>237623</v>
      </c>
      <c r="R20" s="24">
        <v>-96228</v>
      </c>
      <c r="S20" s="24">
        <v>-97495</v>
      </c>
      <c r="T20" s="24">
        <f t="shared" si="9"/>
        <v>-193723</v>
      </c>
      <c r="U20" s="24">
        <v>66124</v>
      </c>
      <c r="V20" s="24">
        <v>-127599</v>
      </c>
      <c r="W20" s="24">
        <v>49940</v>
      </c>
      <c r="X20" s="24">
        <f t="shared" si="10"/>
        <v>-77659</v>
      </c>
      <c r="Y20" s="24">
        <v>-13713</v>
      </c>
      <c r="Z20" s="24">
        <v>-52116</v>
      </c>
      <c r="AA20" s="24">
        <f t="shared" si="11"/>
        <v>-65829</v>
      </c>
      <c r="AB20" s="387">
        <v>-60843</v>
      </c>
      <c r="AC20" s="24">
        <f t="shared" si="11"/>
        <v>-126672</v>
      </c>
      <c r="AD20" s="387">
        <v>24987</v>
      </c>
      <c r="AE20" s="24">
        <f t="shared" si="12"/>
        <v>-101685</v>
      </c>
      <c r="AF20" s="24">
        <v>-33202</v>
      </c>
      <c r="AG20" s="24">
        <v>18488</v>
      </c>
      <c r="AH20" s="24">
        <f t="shared" si="13"/>
        <v>-14714</v>
      </c>
    </row>
    <row r="21" spans="1:34" ht="16.350000000000001" customHeight="1">
      <c r="A21" s="18"/>
      <c r="B21" s="121" t="s">
        <v>589</v>
      </c>
      <c r="C21" s="121" t="s">
        <v>470</v>
      </c>
      <c r="D21" s="24">
        <v>-84333</v>
      </c>
      <c r="E21" s="24">
        <v>-74567</v>
      </c>
      <c r="F21" s="24">
        <v>-158900</v>
      </c>
      <c r="G21" s="24">
        <v>-56090</v>
      </c>
      <c r="H21" s="24">
        <v>-214990</v>
      </c>
      <c r="I21" s="24">
        <v>-217</v>
      </c>
      <c r="J21" s="24">
        <v>-215207</v>
      </c>
      <c r="K21" s="24">
        <v>10712</v>
      </c>
      <c r="L21" s="24">
        <v>21029</v>
      </c>
      <c r="M21" s="24">
        <v>41760</v>
      </c>
      <c r="N21" s="24">
        <v>16298</v>
      </c>
      <c r="O21" s="24">
        <v>58058</v>
      </c>
      <c r="P21" s="24">
        <v>64283.600000000006</v>
      </c>
      <c r="Q21" s="24">
        <v>122343</v>
      </c>
      <c r="R21" s="24">
        <v>11375</v>
      </c>
      <c r="S21" s="24">
        <v>-31839</v>
      </c>
      <c r="T21" s="24">
        <f t="shared" si="9"/>
        <v>-20464</v>
      </c>
      <c r="U21" s="24">
        <v>23031</v>
      </c>
      <c r="V21" s="24">
        <v>2567</v>
      </c>
      <c r="W21" s="24">
        <v>24930</v>
      </c>
      <c r="X21" s="24">
        <f t="shared" si="10"/>
        <v>27497</v>
      </c>
      <c r="Y21" s="24">
        <v>-52323</v>
      </c>
      <c r="Z21" s="24">
        <v>39064</v>
      </c>
      <c r="AA21" s="24">
        <f t="shared" si="11"/>
        <v>-13259</v>
      </c>
      <c r="AB21" s="387">
        <v>-9899</v>
      </c>
      <c r="AC21" s="24">
        <f t="shared" si="11"/>
        <v>-23158</v>
      </c>
      <c r="AD21" s="387">
        <v>-27080</v>
      </c>
      <c r="AE21" s="24">
        <f t="shared" si="12"/>
        <v>-50238</v>
      </c>
      <c r="AF21" s="24">
        <v>-63375</v>
      </c>
      <c r="AG21" s="24">
        <v>7689</v>
      </c>
      <c r="AH21" s="24">
        <f t="shared" si="13"/>
        <v>-55686</v>
      </c>
    </row>
    <row r="22" spans="1:34" ht="16.350000000000001" customHeight="1">
      <c r="A22" s="18"/>
      <c r="B22" s="146" t="s">
        <v>590</v>
      </c>
      <c r="C22" s="146" t="s">
        <v>551</v>
      </c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387"/>
      <c r="AC22" s="24"/>
      <c r="AD22" s="387"/>
      <c r="AE22" s="24"/>
      <c r="AF22" s="24"/>
      <c r="AG22" s="24"/>
      <c r="AH22" s="24"/>
    </row>
    <row r="23" spans="1:34" ht="16.350000000000001" customHeight="1">
      <c r="A23" s="18"/>
      <c r="B23" s="121" t="s">
        <v>591</v>
      </c>
      <c r="C23" s="121" t="s">
        <v>18</v>
      </c>
      <c r="D23" s="24">
        <v>-315286</v>
      </c>
      <c r="E23" s="24">
        <v>138450</v>
      </c>
      <c r="F23" s="24">
        <v>-176836</v>
      </c>
      <c r="G23" s="24">
        <v>-97096</v>
      </c>
      <c r="H23" s="24">
        <v>-273932</v>
      </c>
      <c r="I23" s="24">
        <v>232015</v>
      </c>
      <c r="J23" s="24">
        <v>-55968</v>
      </c>
      <c r="K23" s="24">
        <v>-293880</v>
      </c>
      <c r="L23" s="24">
        <v>-9339</v>
      </c>
      <c r="M23" s="24">
        <v>-303219</v>
      </c>
      <c r="N23" s="24">
        <v>175965</v>
      </c>
      <c r="O23" s="24">
        <v>-127254</v>
      </c>
      <c r="P23" s="24">
        <v>283788</v>
      </c>
      <c r="Q23" s="24">
        <v>156534</v>
      </c>
      <c r="R23" s="24">
        <v>-402007</v>
      </c>
      <c r="S23" s="24">
        <v>-5850</v>
      </c>
      <c r="T23" s="24">
        <f t="shared" ref="T23:T32" si="14">SUM(R23:S23)</f>
        <v>-407857</v>
      </c>
      <c r="U23" s="24">
        <v>111501</v>
      </c>
      <c r="V23" s="24">
        <f>SUM(T23:U23)</f>
        <v>-296356</v>
      </c>
      <c r="W23" s="24">
        <v>309885</v>
      </c>
      <c r="X23" s="24">
        <f t="shared" ref="X23:X25" si="15">SUM(V23:W23)</f>
        <v>13529</v>
      </c>
      <c r="Y23" s="24">
        <v>-386159</v>
      </c>
      <c r="Z23" s="24">
        <v>-68529</v>
      </c>
      <c r="AA23" s="24">
        <f t="shared" ref="AA23:AC24" si="16">SUM(Y23:Z23)</f>
        <v>-454688</v>
      </c>
      <c r="AB23" s="387">
        <v>188652</v>
      </c>
      <c r="AC23" s="24">
        <f t="shared" si="16"/>
        <v>-266036</v>
      </c>
      <c r="AD23" s="387">
        <v>234181</v>
      </c>
      <c r="AE23" s="24">
        <f t="shared" ref="AE23:AE24" si="17">SUM(AC23:AD23)</f>
        <v>-31855</v>
      </c>
      <c r="AF23" s="24">
        <v>-150625</v>
      </c>
      <c r="AG23" s="24">
        <v>-49738</v>
      </c>
      <c r="AH23" s="24">
        <f t="shared" ref="AH23:AH24" si="18">SUM(AF23:AG23)</f>
        <v>-200363</v>
      </c>
    </row>
    <row r="24" spans="1:34" ht="16.350000000000001" customHeight="1">
      <c r="A24" s="18"/>
      <c r="B24" s="121" t="s">
        <v>597</v>
      </c>
      <c r="C24" s="121" t="s">
        <v>552</v>
      </c>
      <c r="D24" s="24">
        <v>-21721</v>
      </c>
      <c r="E24" s="24">
        <v>7262</v>
      </c>
      <c r="F24" s="24">
        <v>-14459</v>
      </c>
      <c r="G24" s="24">
        <v>23919</v>
      </c>
      <c r="H24" s="24">
        <v>9460</v>
      </c>
      <c r="I24" s="24">
        <v>0</v>
      </c>
      <c r="J24" s="24">
        <v>24104</v>
      </c>
      <c r="K24" s="24">
        <v>-50336</v>
      </c>
      <c r="L24" s="24">
        <v>-21790</v>
      </c>
      <c r="M24" s="24">
        <v>-72126</v>
      </c>
      <c r="N24" s="24">
        <v>-855</v>
      </c>
      <c r="O24" s="24">
        <v>-72981</v>
      </c>
      <c r="P24" s="24">
        <v>-6740</v>
      </c>
      <c r="Q24" s="24">
        <v>-79721</v>
      </c>
      <c r="R24" s="24">
        <v>0</v>
      </c>
      <c r="S24" s="24">
        <v>0</v>
      </c>
      <c r="T24" s="24">
        <f t="shared" si="14"/>
        <v>0</v>
      </c>
      <c r="U24" s="24">
        <v>0</v>
      </c>
      <c r="V24" s="24">
        <f t="shared" ref="V24:V25" si="19">SUM(T24:U24)</f>
        <v>0</v>
      </c>
      <c r="W24" s="24">
        <v>0</v>
      </c>
      <c r="X24" s="24">
        <f t="shared" si="15"/>
        <v>0</v>
      </c>
      <c r="Y24" s="24">
        <v>0</v>
      </c>
      <c r="Z24" s="24">
        <v>0</v>
      </c>
      <c r="AA24" s="24">
        <f t="shared" si="16"/>
        <v>0</v>
      </c>
      <c r="AB24" s="24">
        <v>0</v>
      </c>
      <c r="AC24" s="24">
        <f t="shared" si="16"/>
        <v>0</v>
      </c>
      <c r="AD24" s="387">
        <v>41156</v>
      </c>
      <c r="AE24" s="24">
        <f t="shared" si="17"/>
        <v>41156</v>
      </c>
      <c r="AF24" s="24">
        <v>-34963</v>
      </c>
      <c r="AG24" s="24">
        <v>-5659</v>
      </c>
      <c r="AH24" s="24">
        <f t="shared" si="18"/>
        <v>-40622</v>
      </c>
    </row>
    <row r="25" spans="1:34" ht="16.350000000000001" customHeight="1">
      <c r="A25" s="18"/>
      <c r="B25" s="121" t="s">
        <v>592</v>
      </c>
      <c r="C25" s="121" t="s">
        <v>553</v>
      </c>
      <c r="D25" s="24">
        <v>66543</v>
      </c>
      <c r="E25" s="24">
        <v>175000</v>
      </c>
      <c r="F25" s="24">
        <v>241543</v>
      </c>
      <c r="G25" s="24">
        <v>67854</v>
      </c>
      <c r="H25" s="24">
        <v>309397</v>
      </c>
      <c r="I25" s="24">
        <v>320428</v>
      </c>
      <c r="J25" s="24">
        <v>629825</v>
      </c>
      <c r="K25" s="24">
        <v>-110143</v>
      </c>
      <c r="L25" s="24">
        <v>6763</v>
      </c>
      <c r="M25" s="24">
        <v>-287181</v>
      </c>
      <c r="N25" s="24">
        <v>-54017</v>
      </c>
      <c r="O25" s="24">
        <v>-315987</v>
      </c>
      <c r="P25" s="24">
        <v>218927</v>
      </c>
      <c r="Q25" s="24">
        <v>61530</v>
      </c>
      <c r="R25" s="24">
        <v>-91303</v>
      </c>
      <c r="S25" s="24">
        <v>48759</v>
      </c>
      <c r="T25" s="24">
        <f t="shared" si="14"/>
        <v>-42544</v>
      </c>
      <c r="U25" s="24">
        <v>-28146</v>
      </c>
      <c r="V25" s="24">
        <f t="shared" si="19"/>
        <v>-70690</v>
      </c>
      <c r="W25" s="24">
        <v>154409</v>
      </c>
      <c r="X25" s="24">
        <f t="shared" si="15"/>
        <v>83719</v>
      </c>
      <c r="Y25" s="24">
        <v>-146527</v>
      </c>
      <c r="Z25" s="24">
        <v>10394</v>
      </c>
      <c r="AA25" s="24">
        <f>SUM(Y25:Z25)</f>
        <v>-136133</v>
      </c>
      <c r="AB25" s="387">
        <v>-3352</v>
      </c>
      <c r="AC25" s="24">
        <f>SUM(AA25:AB25)</f>
        <v>-139485</v>
      </c>
      <c r="AD25" s="387">
        <v>131499</v>
      </c>
      <c r="AE25" s="24">
        <f>SUM(AC25:AD25)</f>
        <v>-7986</v>
      </c>
      <c r="AF25" s="24">
        <v>-133033</v>
      </c>
      <c r="AG25" s="24">
        <v>-44455</v>
      </c>
      <c r="AH25" s="24">
        <f>SUM(AF25:AG25)</f>
        <v>-177488</v>
      </c>
    </row>
    <row r="26" spans="1:34" ht="16.350000000000001" customHeight="1">
      <c r="A26" s="18"/>
      <c r="B26" s="121" t="s">
        <v>593</v>
      </c>
      <c r="C26" s="121" t="s">
        <v>489</v>
      </c>
      <c r="D26" s="24">
        <v>-328343</v>
      </c>
      <c r="E26" s="24">
        <v>81405</v>
      </c>
      <c r="F26" s="24">
        <v>-246938</v>
      </c>
      <c r="G26" s="24">
        <v>6141</v>
      </c>
      <c r="H26" s="24">
        <v>-240797</v>
      </c>
      <c r="I26" s="24">
        <v>222276</v>
      </c>
      <c r="J26" s="24">
        <v>-18521</v>
      </c>
      <c r="K26" s="24">
        <v>-425871</v>
      </c>
      <c r="L26" s="24">
        <v>138690</v>
      </c>
      <c r="M26" s="24">
        <v>-103380</v>
      </c>
      <c r="N26" s="24">
        <v>-28806</v>
      </c>
      <c r="O26" s="24">
        <v>-157397</v>
      </c>
      <c r="P26" s="24">
        <v>88806</v>
      </c>
      <c r="Q26" s="24">
        <v>-227181</v>
      </c>
      <c r="R26" s="24">
        <v>-165095</v>
      </c>
      <c r="S26" s="24">
        <v>127176</v>
      </c>
      <c r="T26" s="24">
        <f>SUM(R26:S26)</f>
        <v>-37919</v>
      </c>
      <c r="U26" s="24">
        <v>-186506</v>
      </c>
      <c r="V26" s="24">
        <f>SUM(T26:U26)</f>
        <v>-224425</v>
      </c>
      <c r="W26" s="24">
        <v>366216</v>
      </c>
      <c r="X26" s="24">
        <f>SUM(V26:W26)</f>
        <v>141791</v>
      </c>
      <c r="Y26" s="24">
        <v>-287763</v>
      </c>
      <c r="Z26" s="24">
        <v>141907</v>
      </c>
      <c r="AA26" s="24">
        <f>SUM(Y26:Z26)</f>
        <v>-145856</v>
      </c>
      <c r="AB26" s="387">
        <v>-157195</v>
      </c>
      <c r="AC26" s="24">
        <f>SUM(AA26:AB26)</f>
        <v>-303051</v>
      </c>
      <c r="AD26" s="387">
        <v>307690</v>
      </c>
      <c r="AE26" s="24">
        <f>SUM(AC26:AD26)</f>
        <v>4639</v>
      </c>
      <c r="AF26" s="24">
        <v>-328415</v>
      </c>
      <c r="AG26" s="24">
        <v>-13560</v>
      </c>
      <c r="AH26" s="24">
        <f>SUM(AF26:AG26)</f>
        <v>-341975</v>
      </c>
    </row>
    <row r="27" spans="1:34" ht="16.350000000000001" customHeight="1">
      <c r="A27" s="18"/>
      <c r="B27" s="121" t="s">
        <v>594</v>
      </c>
      <c r="C27" s="121" t="s">
        <v>554</v>
      </c>
      <c r="D27" s="24">
        <v>18080</v>
      </c>
      <c r="E27" s="24">
        <v>-112625</v>
      </c>
      <c r="F27" s="24">
        <v>-94545</v>
      </c>
      <c r="G27" s="24">
        <v>-4017</v>
      </c>
      <c r="H27" s="24">
        <v>-98562</v>
      </c>
      <c r="I27" s="24">
        <v>-40042</v>
      </c>
      <c r="J27" s="24">
        <v>-138604</v>
      </c>
      <c r="K27" s="24">
        <v>-24453</v>
      </c>
      <c r="L27" s="24">
        <v>-51175</v>
      </c>
      <c r="M27" s="24">
        <v>-75628</v>
      </c>
      <c r="N27" s="24">
        <v>14215</v>
      </c>
      <c r="O27" s="24">
        <v>-61413</v>
      </c>
      <c r="P27" s="24">
        <v>-68408</v>
      </c>
      <c r="Q27" s="24">
        <v>-129821</v>
      </c>
      <c r="R27" s="24">
        <v>2783</v>
      </c>
      <c r="S27" s="24">
        <v>22945</v>
      </c>
      <c r="T27" s="24">
        <f t="shared" si="14"/>
        <v>25728</v>
      </c>
      <c r="U27" s="24">
        <v>67332</v>
      </c>
      <c r="V27" s="24">
        <f t="shared" ref="V27:V32" si="20">SUM(T27:U27)</f>
        <v>93060</v>
      </c>
      <c r="W27" s="24">
        <v>76193</v>
      </c>
      <c r="X27" s="24">
        <f t="shared" ref="X27:X32" si="21">SUM(V27:W27)</f>
        <v>169253</v>
      </c>
      <c r="Y27" s="24">
        <v>-1038</v>
      </c>
      <c r="Z27" s="24">
        <v>-65709</v>
      </c>
      <c r="AA27" s="24">
        <f t="shared" ref="AA27:AC32" si="22">SUM(Y27:Z27)</f>
        <v>-66747</v>
      </c>
      <c r="AB27" s="387">
        <v>-7406</v>
      </c>
      <c r="AC27" s="24">
        <f t="shared" si="22"/>
        <v>-74153</v>
      </c>
      <c r="AD27" s="387">
        <v>72168</v>
      </c>
      <c r="AE27" s="24">
        <f t="shared" ref="AE27:AE32" si="23">SUM(AC27:AD27)</f>
        <v>-1985</v>
      </c>
      <c r="AF27" s="24">
        <v>3321</v>
      </c>
      <c r="AG27" s="24">
        <v>-104756</v>
      </c>
      <c r="AH27" s="24">
        <f t="shared" ref="AH27:AH32" si="24">SUM(AF27:AG27)</f>
        <v>-101435</v>
      </c>
    </row>
    <row r="28" spans="1:34" ht="16.350000000000001" customHeight="1">
      <c r="A28" s="18"/>
      <c r="B28" s="121" t="s">
        <v>595</v>
      </c>
      <c r="C28" s="121" t="s">
        <v>555</v>
      </c>
      <c r="D28" s="24">
        <v>-57318</v>
      </c>
      <c r="E28" s="24">
        <v>-27769</v>
      </c>
      <c r="F28" s="24">
        <v>-85087</v>
      </c>
      <c r="G28" s="24">
        <v>-28630</v>
      </c>
      <c r="H28" s="24">
        <v>-113717</v>
      </c>
      <c r="I28" s="24">
        <v>-1270</v>
      </c>
      <c r="J28" s="24">
        <v>-114987</v>
      </c>
      <c r="K28" s="24">
        <v>-14137</v>
      </c>
      <c r="L28" s="24">
        <v>-13556</v>
      </c>
      <c r="M28" s="24">
        <v>-27693</v>
      </c>
      <c r="N28" s="24">
        <v>-6328</v>
      </c>
      <c r="O28" s="24">
        <v>-34021</v>
      </c>
      <c r="P28" s="24">
        <v>-191</v>
      </c>
      <c r="Q28" s="24">
        <v>-34212</v>
      </c>
      <c r="R28" s="24">
        <v>-101551</v>
      </c>
      <c r="S28" s="24">
        <v>-5933</v>
      </c>
      <c r="T28" s="24">
        <f t="shared" si="14"/>
        <v>-107484</v>
      </c>
      <c r="U28" s="24">
        <v>-491</v>
      </c>
      <c r="V28" s="24">
        <f t="shared" si="20"/>
        <v>-107975</v>
      </c>
      <c r="W28" s="24">
        <v>-21439</v>
      </c>
      <c r="X28" s="24">
        <f t="shared" si="21"/>
        <v>-129414</v>
      </c>
      <c r="Y28" s="24">
        <v>-96480</v>
      </c>
      <c r="Z28" s="24">
        <v>-34864</v>
      </c>
      <c r="AA28" s="24">
        <f t="shared" si="22"/>
        <v>-131344</v>
      </c>
      <c r="AB28" s="387">
        <v>-30786</v>
      </c>
      <c r="AC28" s="24">
        <f t="shared" si="22"/>
        <v>-162130</v>
      </c>
      <c r="AD28" s="387">
        <v>-441</v>
      </c>
      <c r="AE28" s="24">
        <f t="shared" si="23"/>
        <v>-162571</v>
      </c>
      <c r="AF28" s="24">
        <v>-70439</v>
      </c>
      <c r="AG28" s="24">
        <v>-16617</v>
      </c>
      <c r="AH28" s="24">
        <f t="shared" si="24"/>
        <v>-87056</v>
      </c>
    </row>
    <row r="29" spans="1:34" ht="16.350000000000001" customHeight="1">
      <c r="A29" s="18"/>
      <c r="B29" s="121" t="s">
        <v>596</v>
      </c>
      <c r="C29" s="121" t="s">
        <v>556</v>
      </c>
      <c r="D29" s="24">
        <v>-62042</v>
      </c>
      <c r="E29" s="24">
        <v>-91741</v>
      </c>
      <c r="F29" s="24">
        <v>-153783</v>
      </c>
      <c r="G29" s="24">
        <v>-144605</v>
      </c>
      <c r="H29" s="24">
        <v>-298388</v>
      </c>
      <c r="I29" s="24">
        <v>-92931</v>
      </c>
      <c r="J29" s="24">
        <v>-391319</v>
      </c>
      <c r="K29" s="24">
        <v>-86615</v>
      </c>
      <c r="L29" s="24">
        <v>-62644</v>
      </c>
      <c r="M29" s="24">
        <v>-149259</v>
      </c>
      <c r="N29" s="24">
        <v>-100083</v>
      </c>
      <c r="O29" s="24">
        <v>-249342</v>
      </c>
      <c r="P29" s="24">
        <v>-45334</v>
      </c>
      <c r="Q29" s="24">
        <v>-294676</v>
      </c>
      <c r="R29" s="24">
        <v>-73728</v>
      </c>
      <c r="S29" s="24">
        <v>-25518</v>
      </c>
      <c r="T29" s="24">
        <f t="shared" si="14"/>
        <v>-99246</v>
      </c>
      <c r="U29" s="24">
        <v>-37027</v>
      </c>
      <c r="V29" s="24">
        <f t="shared" si="20"/>
        <v>-136273</v>
      </c>
      <c r="W29" s="24">
        <v>-62467</v>
      </c>
      <c r="X29" s="24">
        <f t="shared" si="21"/>
        <v>-198740</v>
      </c>
      <c r="Y29" s="24">
        <v>-33986</v>
      </c>
      <c r="Z29" s="24">
        <v>-5311</v>
      </c>
      <c r="AA29" s="24">
        <f t="shared" si="22"/>
        <v>-39297</v>
      </c>
      <c r="AB29" s="387">
        <v>-75586</v>
      </c>
      <c r="AC29" s="24">
        <f t="shared" si="22"/>
        <v>-114883</v>
      </c>
      <c r="AD29" s="387">
        <v>-3098</v>
      </c>
      <c r="AE29" s="24">
        <f t="shared" si="23"/>
        <v>-117981</v>
      </c>
      <c r="AF29" s="24">
        <v>-1246</v>
      </c>
      <c r="AG29" s="24">
        <v>-451</v>
      </c>
      <c r="AH29" s="24">
        <f t="shared" si="24"/>
        <v>-1697</v>
      </c>
    </row>
    <row r="30" spans="1:34" ht="16.350000000000001" customHeight="1">
      <c r="A30" s="18"/>
      <c r="B30" s="143" t="s">
        <v>598</v>
      </c>
      <c r="C30" s="143" t="s">
        <v>557</v>
      </c>
      <c r="D30" s="144">
        <f t="shared" ref="D30:S30" si="25">SUM(D16:D29)</f>
        <v>-71628</v>
      </c>
      <c r="E30" s="144">
        <f t="shared" si="25"/>
        <v>520273</v>
      </c>
      <c r="F30" s="144">
        <f t="shared" si="25"/>
        <v>448645</v>
      </c>
      <c r="G30" s="144">
        <f t="shared" si="25"/>
        <v>418009</v>
      </c>
      <c r="H30" s="144">
        <f t="shared" si="25"/>
        <v>866654</v>
      </c>
      <c r="I30" s="144">
        <f t="shared" si="25"/>
        <v>858557</v>
      </c>
      <c r="J30" s="144">
        <f t="shared" si="25"/>
        <v>1733283</v>
      </c>
      <c r="K30" s="144">
        <f t="shared" si="25"/>
        <v>7144</v>
      </c>
      <c r="L30" s="144">
        <f t="shared" si="25"/>
        <v>609179</v>
      </c>
      <c r="M30" s="144">
        <f t="shared" si="25"/>
        <v>626340</v>
      </c>
      <c r="N30" s="144">
        <f t="shared" si="25"/>
        <v>976646</v>
      </c>
      <c r="O30" s="144">
        <f t="shared" si="25"/>
        <v>1602986</v>
      </c>
      <c r="P30" s="144">
        <f t="shared" si="25"/>
        <v>976900.60000000009</v>
      </c>
      <c r="Q30" s="144">
        <f t="shared" si="25"/>
        <v>2579888</v>
      </c>
      <c r="R30" s="144">
        <f t="shared" si="25"/>
        <v>390073</v>
      </c>
      <c r="S30" s="144">
        <f t="shared" si="25"/>
        <v>621003</v>
      </c>
      <c r="T30" s="144">
        <f t="shared" si="14"/>
        <v>1011076</v>
      </c>
      <c r="U30" s="144">
        <f t="shared" ref="U30:W30" si="26">SUM(U16:U29)</f>
        <v>738696</v>
      </c>
      <c r="V30" s="144">
        <f t="shared" si="20"/>
        <v>1749772</v>
      </c>
      <c r="W30" s="144">
        <f t="shared" si="26"/>
        <v>1010777</v>
      </c>
      <c r="X30" s="144">
        <f t="shared" si="21"/>
        <v>2760549</v>
      </c>
      <c r="Y30" s="144">
        <f t="shared" ref="Y30:Z30" si="27">SUM(Y16:Y29)</f>
        <v>289962</v>
      </c>
      <c r="Z30" s="144">
        <f t="shared" si="27"/>
        <v>697680</v>
      </c>
      <c r="AA30" s="144">
        <f t="shared" si="22"/>
        <v>987642</v>
      </c>
      <c r="AB30" s="389">
        <f>SUM(AB16:AB29)</f>
        <v>789407</v>
      </c>
      <c r="AC30" s="144">
        <f t="shared" si="22"/>
        <v>1777049</v>
      </c>
      <c r="AD30" s="389">
        <f>SUM(AD16:AD29)</f>
        <v>1104454</v>
      </c>
      <c r="AE30" s="144">
        <f t="shared" si="23"/>
        <v>2881503</v>
      </c>
      <c r="AF30" s="144">
        <f t="shared" ref="AF30:AG30" si="28">SUM(AF16:AF29)</f>
        <v>577198</v>
      </c>
      <c r="AG30" s="144">
        <f t="shared" si="28"/>
        <v>503756</v>
      </c>
      <c r="AH30" s="144">
        <f t="shared" si="24"/>
        <v>1080954</v>
      </c>
    </row>
    <row r="31" spans="1:34" ht="16.350000000000001" customHeight="1">
      <c r="A31" s="18"/>
      <c r="B31" s="121" t="s">
        <v>599</v>
      </c>
      <c r="C31" s="121" t="s">
        <v>483</v>
      </c>
      <c r="D31" s="24">
        <v>113726</v>
      </c>
      <c r="E31" s="24">
        <v>-10320</v>
      </c>
      <c r="F31" s="24">
        <v>103406</v>
      </c>
      <c r="G31" s="24">
        <v>-111429</v>
      </c>
      <c r="H31" s="24">
        <v>-8023</v>
      </c>
      <c r="I31" s="24">
        <v>-189023</v>
      </c>
      <c r="J31" s="24">
        <v>-197046</v>
      </c>
      <c r="K31" s="24">
        <v>101407</v>
      </c>
      <c r="L31" s="24">
        <v>-27755</v>
      </c>
      <c r="M31" s="24">
        <v>73652</v>
      </c>
      <c r="N31" s="24">
        <v>-44456</v>
      </c>
      <c r="O31" s="24">
        <v>29196</v>
      </c>
      <c r="P31" s="24">
        <v>54281</v>
      </c>
      <c r="Q31" s="24">
        <v>83476</v>
      </c>
      <c r="R31" s="24">
        <v>102992</v>
      </c>
      <c r="S31" s="24">
        <v>-100494</v>
      </c>
      <c r="T31" s="24">
        <f t="shared" si="14"/>
        <v>2498</v>
      </c>
      <c r="U31" s="24">
        <v>-226077</v>
      </c>
      <c r="V31" s="24">
        <f t="shared" si="20"/>
        <v>-223579</v>
      </c>
      <c r="W31" s="24">
        <v>-49963</v>
      </c>
      <c r="X31" s="24">
        <f t="shared" si="21"/>
        <v>-273542</v>
      </c>
      <c r="Y31" s="24">
        <v>129960</v>
      </c>
      <c r="Z31" s="24">
        <v>-242077</v>
      </c>
      <c r="AA31" s="24">
        <f t="shared" si="22"/>
        <v>-112117</v>
      </c>
      <c r="AB31" s="387">
        <v>190025</v>
      </c>
      <c r="AC31" s="24">
        <f t="shared" si="22"/>
        <v>77908</v>
      </c>
      <c r="AD31" s="387">
        <v>-157456</v>
      </c>
      <c r="AE31" s="24">
        <f t="shared" si="23"/>
        <v>-79548</v>
      </c>
      <c r="AF31" s="24">
        <v>84446</v>
      </c>
      <c r="AG31" s="24">
        <v>139254</v>
      </c>
      <c r="AH31" s="24">
        <f t="shared" si="24"/>
        <v>223700</v>
      </c>
    </row>
    <row r="32" spans="1:34" ht="16.350000000000001" customHeight="1">
      <c r="A32" s="18"/>
      <c r="B32" s="147" t="s">
        <v>600</v>
      </c>
      <c r="C32" s="147" t="s">
        <v>618</v>
      </c>
      <c r="D32" s="148">
        <f t="shared" ref="D32:K32" si="29">SUM(D30:D31)</f>
        <v>42098</v>
      </c>
      <c r="E32" s="148">
        <f t="shared" si="29"/>
        <v>509953</v>
      </c>
      <c r="F32" s="148">
        <f t="shared" si="29"/>
        <v>552051</v>
      </c>
      <c r="G32" s="148">
        <f t="shared" si="29"/>
        <v>306580</v>
      </c>
      <c r="H32" s="148">
        <f t="shared" si="29"/>
        <v>858631</v>
      </c>
      <c r="I32" s="148">
        <f t="shared" si="29"/>
        <v>669534</v>
      </c>
      <c r="J32" s="148">
        <f t="shared" si="29"/>
        <v>1536237</v>
      </c>
      <c r="K32" s="148">
        <f t="shared" si="29"/>
        <v>108551</v>
      </c>
      <c r="L32" s="148">
        <f t="shared" ref="L32:R32" si="30">SUM(L30:L31)</f>
        <v>581424</v>
      </c>
      <c r="M32" s="148">
        <f t="shared" si="30"/>
        <v>699992</v>
      </c>
      <c r="N32" s="148">
        <f t="shared" si="30"/>
        <v>932190</v>
      </c>
      <c r="O32" s="148">
        <f t="shared" si="30"/>
        <v>1632182</v>
      </c>
      <c r="P32" s="148">
        <f t="shared" si="30"/>
        <v>1031181.6000000001</v>
      </c>
      <c r="Q32" s="148">
        <f t="shared" si="30"/>
        <v>2663364</v>
      </c>
      <c r="R32" s="148">
        <f t="shared" si="30"/>
        <v>493065</v>
      </c>
      <c r="S32" s="148">
        <f t="shared" ref="S32:U32" si="31">SUM(S30:S31)</f>
        <v>520509</v>
      </c>
      <c r="T32" s="148">
        <f t="shared" si="14"/>
        <v>1013574</v>
      </c>
      <c r="U32" s="148">
        <f t="shared" si="31"/>
        <v>512619</v>
      </c>
      <c r="V32" s="148">
        <f t="shared" si="20"/>
        <v>1526193</v>
      </c>
      <c r="W32" s="148">
        <f t="shared" ref="W32:Z32" si="32">SUM(W30:W31)</f>
        <v>960814</v>
      </c>
      <c r="X32" s="148">
        <f t="shared" si="21"/>
        <v>2487007</v>
      </c>
      <c r="Y32" s="148">
        <f t="shared" si="32"/>
        <v>419922</v>
      </c>
      <c r="Z32" s="148">
        <f t="shared" si="32"/>
        <v>455603</v>
      </c>
      <c r="AA32" s="148">
        <f t="shared" si="22"/>
        <v>875525</v>
      </c>
      <c r="AB32" s="390">
        <f t="shared" ref="AB32:AD32" si="33">SUM(AB30:AB31)</f>
        <v>979432</v>
      </c>
      <c r="AC32" s="148">
        <f t="shared" si="22"/>
        <v>1854957</v>
      </c>
      <c r="AD32" s="390">
        <f t="shared" si="33"/>
        <v>946998</v>
      </c>
      <c r="AE32" s="148">
        <f t="shared" si="23"/>
        <v>2801955</v>
      </c>
      <c r="AF32" s="148">
        <f t="shared" ref="AF32:AG32" si="34">SUM(AF30:AF31)</f>
        <v>661644</v>
      </c>
      <c r="AG32" s="148">
        <f t="shared" si="34"/>
        <v>643010</v>
      </c>
      <c r="AH32" s="148">
        <f t="shared" si="24"/>
        <v>1304654</v>
      </c>
    </row>
    <row r="33" spans="1:34" ht="16.350000000000001" customHeight="1">
      <c r="A33" s="18"/>
      <c r="B33" s="117"/>
      <c r="C33" s="117"/>
      <c r="D33" s="51"/>
      <c r="E33" s="51"/>
      <c r="F33" s="51"/>
      <c r="G33" s="51"/>
      <c r="H33" s="51"/>
      <c r="I33" s="51"/>
      <c r="J33" s="51"/>
      <c r="K33" s="51"/>
      <c r="L33" s="51"/>
      <c r="M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391"/>
      <c r="AC33" s="51"/>
      <c r="AD33" s="391"/>
      <c r="AE33" s="51"/>
      <c r="AF33" s="51"/>
      <c r="AG33" s="51"/>
      <c r="AH33" s="51"/>
    </row>
    <row r="34" spans="1:34" ht="16.350000000000001" customHeight="1">
      <c r="A34" s="18"/>
      <c r="B34" s="19" t="s">
        <v>604</v>
      </c>
      <c r="C34" s="19" t="s">
        <v>558</v>
      </c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392"/>
      <c r="AC34" s="20"/>
      <c r="AD34" s="392"/>
      <c r="AE34" s="20"/>
      <c r="AF34" s="20"/>
      <c r="AG34" s="20"/>
      <c r="AH34" s="20"/>
    </row>
    <row r="35" spans="1:34" ht="16.350000000000001" customHeight="1">
      <c r="A35" s="18"/>
      <c r="B35" s="121" t="s">
        <v>601</v>
      </c>
      <c r="C35" s="121" t="s">
        <v>559</v>
      </c>
      <c r="D35" s="24">
        <v>-132465</v>
      </c>
      <c r="E35" s="24">
        <v>-261185</v>
      </c>
      <c r="F35" s="24">
        <v>-393650</v>
      </c>
      <c r="G35" s="24">
        <v>-281221</v>
      </c>
      <c r="H35" s="24">
        <v>-674871</v>
      </c>
      <c r="I35" s="24">
        <v>-430400</v>
      </c>
      <c r="J35" s="24">
        <v>-1105271</v>
      </c>
      <c r="K35" s="24">
        <v>-92327</v>
      </c>
      <c r="L35" s="24">
        <v>-186488</v>
      </c>
      <c r="M35" s="24">
        <v>-278815</v>
      </c>
      <c r="N35" s="24">
        <v>-254954</v>
      </c>
      <c r="O35" s="24">
        <v>-533769</v>
      </c>
      <c r="P35" s="24">
        <v>-359117</v>
      </c>
      <c r="Q35" s="24">
        <v>-892886</v>
      </c>
      <c r="R35" s="24">
        <v>-72083</v>
      </c>
      <c r="S35" s="24">
        <v>-159471</v>
      </c>
      <c r="T35" s="24">
        <f t="shared" ref="T35:T37" si="35">SUM(R35:S35)</f>
        <v>-231554</v>
      </c>
      <c r="U35" s="24">
        <v>-176018</v>
      </c>
      <c r="V35" s="24">
        <f t="shared" ref="V35:V37" si="36">SUM(T35:U35)</f>
        <v>-407572</v>
      </c>
      <c r="W35" s="24">
        <v>-271629</v>
      </c>
      <c r="X35" s="24">
        <f t="shared" ref="X35:X37" si="37">SUM(V35:W35)</f>
        <v>-679201</v>
      </c>
      <c r="Y35" s="24">
        <v>-71352</v>
      </c>
      <c r="Z35" s="24">
        <v>-183545</v>
      </c>
      <c r="AA35" s="24">
        <f t="shared" ref="AA35:AC37" si="38">SUM(Y35:Z35)</f>
        <v>-254897</v>
      </c>
      <c r="AB35" s="387">
        <v>-202853</v>
      </c>
      <c r="AC35" s="24">
        <f t="shared" si="38"/>
        <v>-457750</v>
      </c>
      <c r="AD35" s="387">
        <v>-342220</v>
      </c>
      <c r="AE35" s="24">
        <f t="shared" ref="AE35:AE37" si="39">SUM(AC35:AD35)</f>
        <v>-799970</v>
      </c>
      <c r="AF35" s="24">
        <v>-129109</v>
      </c>
      <c r="AG35" s="24">
        <v>-166972</v>
      </c>
      <c r="AH35" s="24">
        <f t="shared" ref="AH35:AH37" si="40">SUM(AF35:AG35)</f>
        <v>-296081</v>
      </c>
    </row>
    <row r="36" spans="1:34" ht="16.350000000000001" customHeight="1">
      <c r="A36" s="18"/>
      <c r="B36" s="121" t="s">
        <v>602</v>
      </c>
      <c r="C36" s="121" t="s">
        <v>560</v>
      </c>
      <c r="D36" s="24">
        <v>0</v>
      </c>
      <c r="E36" s="24">
        <v>-86777</v>
      </c>
      <c r="F36" s="24">
        <v>-86777</v>
      </c>
      <c r="G36" s="24">
        <v>1562</v>
      </c>
      <c r="H36" s="24">
        <v>-85215</v>
      </c>
      <c r="I36" s="24">
        <v>0</v>
      </c>
      <c r="J36" s="24">
        <v>-85215</v>
      </c>
      <c r="K36" s="24">
        <v>-30</v>
      </c>
      <c r="L36" s="24">
        <v>0</v>
      </c>
      <c r="M36" s="24">
        <v>-30</v>
      </c>
      <c r="N36" s="24">
        <v>0</v>
      </c>
      <c r="O36" s="24">
        <v>-30</v>
      </c>
      <c r="P36" s="24">
        <v>0</v>
      </c>
      <c r="Q36" s="24">
        <v>-30</v>
      </c>
      <c r="R36" s="24">
        <v>0</v>
      </c>
      <c r="S36" s="24">
        <v>0</v>
      </c>
      <c r="T36" s="24">
        <f t="shared" si="35"/>
        <v>0</v>
      </c>
      <c r="U36" s="24">
        <v>0</v>
      </c>
      <c r="V36" s="24">
        <f t="shared" si="36"/>
        <v>0</v>
      </c>
      <c r="W36" s="24">
        <v>0</v>
      </c>
      <c r="X36" s="24">
        <f t="shared" si="37"/>
        <v>0</v>
      </c>
      <c r="Y36" s="24">
        <v>0</v>
      </c>
      <c r="Z36" s="24">
        <v>0</v>
      </c>
      <c r="AA36" s="24">
        <f t="shared" si="38"/>
        <v>0</v>
      </c>
      <c r="AB36" s="387">
        <v>0</v>
      </c>
      <c r="AC36" s="24">
        <f t="shared" si="38"/>
        <v>0</v>
      </c>
      <c r="AD36" s="387">
        <v>0</v>
      </c>
      <c r="AE36" s="24">
        <f t="shared" si="39"/>
        <v>0</v>
      </c>
      <c r="AF36" s="24">
        <v>0</v>
      </c>
      <c r="AG36" s="24">
        <v>0</v>
      </c>
      <c r="AH36" s="24">
        <f t="shared" si="40"/>
        <v>0</v>
      </c>
    </row>
    <row r="37" spans="1:34" ht="16.350000000000001" customHeight="1">
      <c r="A37" s="18"/>
      <c r="B37" s="147" t="s">
        <v>603</v>
      </c>
      <c r="C37" s="147" t="s">
        <v>561</v>
      </c>
      <c r="D37" s="148">
        <f>SUM(D35:D36)</f>
        <v>-132465</v>
      </c>
      <c r="E37" s="148">
        <f t="shared" ref="E37:K37" si="41">SUM(E35:E36)</f>
        <v>-347962</v>
      </c>
      <c r="F37" s="148">
        <f t="shared" si="41"/>
        <v>-480427</v>
      </c>
      <c r="G37" s="148">
        <f t="shared" si="41"/>
        <v>-279659</v>
      </c>
      <c r="H37" s="148">
        <f t="shared" si="41"/>
        <v>-760086</v>
      </c>
      <c r="I37" s="148">
        <f t="shared" si="41"/>
        <v>-430400</v>
      </c>
      <c r="J37" s="148">
        <f t="shared" si="41"/>
        <v>-1190486</v>
      </c>
      <c r="K37" s="148">
        <f t="shared" si="41"/>
        <v>-92357</v>
      </c>
      <c r="L37" s="148">
        <f t="shared" ref="L37:Q37" si="42">SUM(L35:L36)</f>
        <v>-186488</v>
      </c>
      <c r="M37" s="148">
        <f t="shared" si="42"/>
        <v>-278845</v>
      </c>
      <c r="N37" s="148">
        <f t="shared" si="42"/>
        <v>-254954</v>
      </c>
      <c r="O37" s="148">
        <f t="shared" si="42"/>
        <v>-533799</v>
      </c>
      <c r="P37" s="148">
        <f t="shared" si="42"/>
        <v>-359117</v>
      </c>
      <c r="Q37" s="148">
        <f t="shared" si="42"/>
        <v>-892916</v>
      </c>
      <c r="R37" s="148">
        <f t="shared" ref="R37:S37" si="43">SUM(R35:R36)</f>
        <v>-72083</v>
      </c>
      <c r="S37" s="148">
        <f t="shared" si="43"/>
        <v>-159471</v>
      </c>
      <c r="T37" s="148">
        <f t="shared" si="35"/>
        <v>-231554</v>
      </c>
      <c r="U37" s="148">
        <f t="shared" ref="U37:W37" si="44">SUM(U35:U36)</f>
        <v>-176018</v>
      </c>
      <c r="V37" s="148">
        <f t="shared" si="36"/>
        <v>-407572</v>
      </c>
      <c r="W37" s="148">
        <f t="shared" si="44"/>
        <v>-271629</v>
      </c>
      <c r="X37" s="148">
        <f t="shared" si="37"/>
        <v>-679201</v>
      </c>
      <c r="Y37" s="148">
        <f t="shared" ref="Y37:Z37" si="45">SUM(Y35:Y36)</f>
        <v>-71352</v>
      </c>
      <c r="Z37" s="148">
        <f t="shared" si="45"/>
        <v>-183545</v>
      </c>
      <c r="AA37" s="148">
        <f t="shared" si="38"/>
        <v>-254897</v>
      </c>
      <c r="AB37" s="148">
        <f t="shared" ref="AB37:AD37" si="46">SUM(AB35:AB36)</f>
        <v>-202853</v>
      </c>
      <c r="AC37" s="148">
        <f t="shared" si="38"/>
        <v>-457750</v>
      </c>
      <c r="AD37" s="148">
        <f t="shared" si="46"/>
        <v>-342220</v>
      </c>
      <c r="AE37" s="148">
        <f t="shared" si="39"/>
        <v>-799970</v>
      </c>
      <c r="AF37" s="148">
        <f t="shared" ref="AF37:AG37" si="47">SUM(AF35:AF36)</f>
        <v>-129109</v>
      </c>
      <c r="AG37" s="148">
        <f t="shared" si="47"/>
        <v>-166972</v>
      </c>
      <c r="AH37" s="148">
        <f t="shared" si="40"/>
        <v>-296081</v>
      </c>
    </row>
    <row r="38" spans="1:34" ht="16.350000000000001" customHeight="1">
      <c r="A38" s="18"/>
      <c r="B38" s="117"/>
      <c r="C38" s="117"/>
      <c r="D38" s="51"/>
      <c r="E38" s="51"/>
      <c r="F38" s="51"/>
      <c r="G38" s="51"/>
      <c r="H38" s="51"/>
      <c r="I38" s="51"/>
      <c r="J38" s="51"/>
      <c r="K38" s="51"/>
      <c r="L38" s="51"/>
      <c r="M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383"/>
      <c r="AC38" s="51"/>
      <c r="AD38" s="383"/>
      <c r="AE38" s="51"/>
      <c r="AF38" s="51"/>
      <c r="AG38" s="51"/>
      <c r="AH38" s="51"/>
    </row>
    <row r="39" spans="1:34" ht="16.350000000000001" customHeight="1">
      <c r="A39" s="18"/>
      <c r="B39" s="19" t="s">
        <v>605</v>
      </c>
      <c r="C39" s="19" t="s">
        <v>562</v>
      </c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</row>
    <row r="40" spans="1:34" ht="16.350000000000001" customHeight="1">
      <c r="A40" s="18"/>
      <c r="B40" s="121" t="s">
        <v>606</v>
      </c>
      <c r="C40" s="121" t="s">
        <v>571</v>
      </c>
      <c r="D40" s="24">
        <v>0</v>
      </c>
      <c r="E40" s="24">
        <v>9411</v>
      </c>
      <c r="F40" s="24">
        <v>9411</v>
      </c>
      <c r="G40" s="24">
        <v>13628</v>
      </c>
      <c r="H40" s="24">
        <v>23039</v>
      </c>
      <c r="I40" s="24">
        <v>20889</v>
      </c>
      <c r="J40" s="24">
        <v>43928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  <c r="R40" s="24">
        <v>0</v>
      </c>
      <c r="S40" s="24">
        <v>0</v>
      </c>
      <c r="T40" s="24">
        <f t="shared" ref="T40:T45" si="48">SUM(R40:S40)</f>
        <v>0</v>
      </c>
      <c r="U40" s="24">
        <v>0</v>
      </c>
      <c r="V40" s="24">
        <f t="shared" ref="V40:V45" si="49">SUM(T40:U40)</f>
        <v>0</v>
      </c>
      <c r="W40" s="24">
        <v>0</v>
      </c>
      <c r="X40" s="24">
        <f t="shared" ref="X40:X45" si="50">SUM(V40:W40)</f>
        <v>0</v>
      </c>
      <c r="Y40" s="24">
        <v>0</v>
      </c>
      <c r="Z40" s="24">
        <v>0</v>
      </c>
      <c r="AA40" s="24">
        <f t="shared" ref="AA40:AC45" si="51">SUM(Y40:Z40)</f>
        <v>0</v>
      </c>
      <c r="AB40" s="387">
        <v>3936</v>
      </c>
      <c r="AC40" s="24">
        <f t="shared" si="51"/>
        <v>3936</v>
      </c>
      <c r="AD40" s="387">
        <v>0</v>
      </c>
      <c r="AE40" s="24">
        <f>SUM(AC40:AD40)</f>
        <v>3936</v>
      </c>
      <c r="AF40" s="24">
        <v>0</v>
      </c>
      <c r="AG40" s="24">
        <v>0</v>
      </c>
      <c r="AH40" s="24">
        <f t="shared" ref="AH40:AH45" si="52">SUM(AF40:AG40)</f>
        <v>0</v>
      </c>
    </row>
    <row r="41" spans="1:34" ht="16.350000000000001" customHeight="1">
      <c r="A41" s="18"/>
      <c r="B41" s="121" t="s">
        <v>607</v>
      </c>
      <c r="C41" s="121" t="s">
        <v>563</v>
      </c>
      <c r="D41" s="24">
        <v>-119678</v>
      </c>
      <c r="E41" s="24">
        <v>-334265</v>
      </c>
      <c r="F41" s="24">
        <v>-453943</v>
      </c>
      <c r="G41" s="24">
        <v>0</v>
      </c>
      <c r="H41" s="24">
        <v>-453943</v>
      </c>
      <c r="I41" s="24">
        <v>0</v>
      </c>
      <c r="J41" s="24">
        <v>-453943</v>
      </c>
      <c r="K41" s="24">
        <v>-288180</v>
      </c>
      <c r="L41" s="24">
        <v>0</v>
      </c>
      <c r="M41" s="24">
        <v>-288180</v>
      </c>
      <c r="N41" s="24">
        <v>0</v>
      </c>
      <c r="O41" s="24">
        <v>-288180</v>
      </c>
      <c r="P41" s="24">
        <v>0</v>
      </c>
      <c r="Q41" s="24">
        <v>-288180</v>
      </c>
      <c r="R41" s="24">
        <v>0</v>
      </c>
      <c r="S41" s="24">
        <v>0</v>
      </c>
      <c r="T41" s="24">
        <f t="shared" si="48"/>
        <v>0</v>
      </c>
      <c r="U41" s="24">
        <v>0</v>
      </c>
      <c r="V41" s="24">
        <f t="shared" si="49"/>
        <v>0</v>
      </c>
      <c r="W41" s="24">
        <v>0</v>
      </c>
      <c r="X41" s="24">
        <f t="shared" si="50"/>
        <v>0</v>
      </c>
      <c r="Y41" s="24">
        <v>-500283</v>
      </c>
      <c r="Z41" s="24">
        <v>-147707</v>
      </c>
      <c r="AA41" s="24">
        <f t="shared" si="51"/>
        <v>-647990</v>
      </c>
      <c r="AB41" s="387">
        <v>-212581</v>
      </c>
      <c r="AC41" s="24">
        <f t="shared" si="51"/>
        <v>-860571</v>
      </c>
      <c r="AD41" s="387">
        <v>-82197</v>
      </c>
      <c r="AE41" s="24">
        <f t="shared" ref="AE41:AE45" si="53">SUM(AC41:AD41)</f>
        <v>-942768</v>
      </c>
      <c r="AF41" s="24">
        <v>-100079</v>
      </c>
      <c r="AG41" s="24">
        <v>-212992</v>
      </c>
      <c r="AH41" s="24">
        <f t="shared" si="52"/>
        <v>-313071</v>
      </c>
    </row>
    <row r="42" spans="1:34" ht="16.350000000000001" customHeight="1">
      <c r="A42" s="18"/>
      <c r="B42" s="121" t="s">
        <v>608</v>
      </c>
      <c r="C42" s="121" t="s">
        <v>564</v>
      </c>
      <c r="D42" s="24">
        <v>179501</v>
      </c>
      <c r="E42" s="24">
        <v>-269337</v>
      </c>
      <c r="F42" s="24">
        <v>-89836</v>
      </c>
      <c r="G42" s="24">
        <v>-20909</v>
      </c>
      <c r="H42" s="24">
        <v>-110745</v>
      </c>
      <c r="I42" s="24">
        <v>-1012772</v>
      </c>
      <c r="J42" s="24">
        <v>-1123517</v>
      </c>
      <c r="K42" s="24">
        <v>-14137</v>
      </c>
      <c r="L42" s="24">
        <v>-88023</v>
      </c>
      <c r="M42" s="24">
        <v>-102160</v>
      </c>
      <c r="N42" s="24">
        <v>-147496</v>
      </c>
      <c r="O42" s="24">
        <v>-249656</v>
      </c>
      <c r="P42" s="24">
        <v>-255016</v>
      </c>
      <c r="Q42" s="24">
        <v>-504672</v>
      </c>
      <c r="R42" s="24">
        <v>-490343</v>
      </c>
      <c r="S42" s="24">
        <v>-175151</v>
      </c>
      <c r="T42" s="24">
        <f t="shared" si="48"/>
        <v>-665494</v>
      </c>
      <c r="U42" s="24">
        <v>-68497</v>
      </c>
      <c r="V42" s="24">
        <f t="shared" si="49"/>
        <v>-733991</v>
      </c>
      <c r="W42" s="24">
        <v>-207127</v>
      </c>
      <c r="X42" s="24">
        <f t="shared" si="50"/>
        <v>-941118</v>
      </c>
      <c r="Y42" s="24">
        <v>-510972</v>
      </c>
      <c r="Z42" s="24">
        <v>153189</v>
      </c>
      <c r="AA42" s="24">
        <f t="shared" si="51"/>
        <v>-357783</v>
      </c>
      <c r="AB42" s="387">
        <v>-156844</v>
      </c>
      <c r="AC42" s="24">
        <f t="shared" si="51"/>
        <v>-514627</v>
      </c>
      <c r="AD42" s="387">
        <v>-5056</v>
      </c>
      <c r="AE42" s="24">
        <f t="shared" si="53"/>
        <v>-519683</v>
      </c>
      <c r="AF42" s="24">
        <v>6596</v>
      </c>
      <c r="AG42" s="24">
        <v>335218</v>
      </c>
      <c r="AH42" s="24">
        <f t="shared" si="52"/>
        <v>341814</v>
      </c>
    </row>
    <row r="43" spans="1:34" ht="16.350000000000001" customHeight="1">
      <c r="A43" s="18"/>
      <c r="B43" s="121" t="s">
        <v>609</v>
      </c>
      <c r="C43" s="121" t="s">
        <v>565</v>
      </c>
      <c r="D43" s="24">
        <v>-146911</v>
      </c>
      <c r="E43" s="24">
        <v>-170332</v>
      </c>
      <c r="F43" s="24">
        <v>-317243</v>
      </c>
      <c r="G43" s="24">
        <v>-176473</v>
      </c>
      <c r="H43" s="24">
        <v>-493716</v>
      </c>
      <c r="I43" s="24">
        <v>-184596</v>
      </c>
      <c r="J43" s="24">
        <v>-686384</v>
      </c>
      <c r="K43" s="24">
        <v>-193616</v>
      </c>
      <c r="L43" s="24">
        <v>-182139</v>
      </c>
      <c r="M43" s="24">
        <v>-375755</v>
      </c>
      <c r="N43" s="24">
        <v>-193011</v>
      </c>
      <c r="O43" s="24">
        <v>-568766</v>
      </c>
      <c r="P43" s="24">
        <v>-185386</v>
      </c>
      <c r="Q43" s="24">
        <v>-754152</v>
      </c>
      <c r="R43" s="24">
        <v>-204883</v>
      </c>
      <c r="S43" s="24">
        <v>-201071</v>
      </c>
      <c r="T43" s="24">
        <f t="shared" si="48"/>
        <v>-405954</v>
      </c>
      <c r="U43" s="24">
        <v>-182038</v>
      </c>
      <c r="V43" s="24">
        <f t="shared" si="49"/>
        <v>-587992</v>
      </c>
      <c r="W43" s="24">
        <v>-205227</v>
      </c>
      <c r="X43" s="24">
        <f t="shared" si="50"/>
        <v>-793219</v>
      </c>
      <c r="Y43" s="24">
        <v>-184849</v>
      </c>
      <c r="Z43" s="24">
        <v>-193236</v>
      </c>
      <c r="AA43" s="24">
        <f t="shared" si="51"/>
        <v>-378085</v>
      </c>
      <c r="AB43" s="387">
        <v>-200067</v>
      </c>
      <c r="AC43" s="24">
        <f t="shared" si="51"/>
        <v>-578152</v>
      </c>
      <c r="AD43" s="387">
        <v>-217021</v>
      </c>
      <c r="AE43" s="24">
        <f t="shared" si="53"/>
        <v>-795173</v>
      </c>
      <c r="AF43" s="24">
        <v>-206887</v>
      </c>
      <c r="AG43" s="24">
        <v>-197880</v>
      </c>
      <c r="AH43" s="24">
        <f t="shared" si="52"/>
        <v>-404767</v>
      </c>
    </row>
    <row r="44" spans="1:34" ht="16.350000000000001" customHeight="1">
      <c r="A44" s="18"/>
      <c r="B44" s="121" t="s">
        <v>2301</v>
      </c>
      <c r="C44" s="121" t="s">
        <v>566</v>
      </c>
      <c r="D44" s="24">
        <v>0</v>
      </c>
      <c r="E44" s="24">
        <v>-346316</v>
      </c>
      <c r="F44" s="24">
        <v>-346316</v>
      </c>
      <c r="G44" s="24">
        <v>-267871</v>
      </c>
      <c r="H44" s="24">
        <v>-614187</v>
      </c>
      <c r="I44" s="24">
        <v>-150293</v>
      </c>
      <c r="J44" s="24">
        <v>-764480</v>
      </c>
      <c r="K44" s="24">
        <v>-157488</v>
      </c>
      <c r="L44" s="24">
        <v>-14</v>
      </c>
      <c r="M44" s="24">
        <v>-157502</v>
      </c>
      <c r="N44" s="24">
        <v>0</v>
      </c>
      <c r="O44" s="24">
        <v>-157502</v>
      </c>
      <c r="P44" s="24">
        <v>-304602</v>
      </c>
      <c r="Q44" s="24">
        <v>-462104</v>
      </c>
      <c r="R44" s="24">
        <v>-296246</v>
      </c>
      <c r="S44" s="24">
        <v>-125007</v>
      </c>
      <c r="T44" s="24">
        <f t="shared" si="48"/>
        <v>-421253</v>
      </c>
      <c r="U44" s="24">
        <v>-129606</v>
      </c>
      <c r="V44" s="24">
        <f t="shared" si="49"/>
        <v>-550859</v>
      </c>
      <c r="W44" s="24">
        <v>-141016</v>
      </c>
      <c r="X44" s="24">
        <f t="shared" si="50"/>
        <v>-691875</v>
      </c>
      <c r="Y44" s="24">
        <v>-155533</v>
      </c>
      <c r="Z44" s="24">
        <v>-164530</v>
      </c>
      <c r="AA44" s="24">
        <f t="shared" si="51"/>
        <v>-320063</v>
      </c>
      <c r="AB44" s="387">
        <v>-177055</v>
      </c>
      <c r="AC44" s="24">
        <f t="shared" si="51"/>
        <v>-497118</v>
      </c>
      <c r="AD44" s="387">
        <v>-189360</v>
      </c>
      <c r="AE44" s="24">
        <f t="shared" si="53"/>
        <v>-686478</v>
      </c>
      <c r="AF44" s="24">
        <v>-196685</v>
      </c>
      <c r="AG44" s="24">
        <v>-187560</v>
      </c>
      <c r="AH44" s="24">
        <f t="shared" si="52"/>
        <v>-384245</v>
      </c>
    </row>
    <row r="45" spans="1:34" ht="16.350000000000001" customHeight="1">
      <c r="A45" s="18"/>
      <c r="B45" s="147" t="s">
        <v>605</v>
      </c>
      <c r="C45" s="147" t="s">
        <v>562</v>
      </c>
      <c r="D45" s="148">
        <f>SUM(D40:D44)</f>
        <v>-87088</v>
      </c>
      <c r="E45" s="148">
        <f t="shared" ref="E45:J45" si="54">SUM(E40:E44)</f>
        <v>-1110839</v>
      </c>
      <c r="F45" s="148">
        <f t="shared" si="54"/>
        <v>-1197927</v>
      </c>
      <c r="G45" s="148">
        <f t="shared" si="54"/>
        <v>-451625</v>
      </c>
      <c r="H45" s="148">
        <f t="shared" si="54"/>
        <v>-1649552</v>
      </c>
      <c r="I45" s="148">
        <f t="shared" si="54"/>
        <v>-1326772</v>
      </c>
      <c r="J45" s="148">
        <f t="shared" si="54"/>
        <v>-2984396</v>
      </c>
      <c r="K45" s="148">
        <f>SUM(K40:K44)</f>
        <v>-653421</v>
      </c>
      <c r="L45" s="148">
        <f>SUM(L40:L44)</f>
        <v>-270176</v>
      </c>
      <c r="M45" s="148">
        <f t="shared" ref="M45:O45" si="55">SUM(M40:M44)</f>
        <v>-923597</v>
      </c>
      <c r="N45" s="148">
        <f t="shared" si="55"/>
        <v>-340507</v>
      </c>
      <c r="O45" s="148">
        <f t="shared" si="55"/>
        <v>-1264104</v>
      </c>
      <c r="P45" s="148">
        <f t="shared" ref="P45:Q45" si="56">SUM(P40:P44)</f>
        <v>-745004</v>
      </c>
      <c r="Q45" s="148">
        <f t="shared" si="56"/>
        <v>-2009108</v>
      </c>
      <c r="R45" s="148">
        <f>SUM(R40:R44)</f>
        <v>-991472</v>
      </c>
      <c r="S45" s="148">
        <f>SUM(S40:S44)</f>
        <v>-501229</v>
      </c>
      <c r="T45" s="148">
        <f t="shared" si="48"/>
        <v>-1492701</v>
      </c>
      <c r="U45" s="148">
        <f>SUM(U40:U44)</f>
        <v>-380141</v>
      </c>
      <c r="V45" s="148">
        <f t="shared" si="49"/>
        <v>-1872842</v>
      </c>
      <c r="W45" s="148">
        <f>SUM(W40:W44)</f>
        <v>-553370</v>
      </c>
      <c r="X45" s="148">
        <f t="shared" si="50"/>
        <v>-2426212</v>
      </c>
      <c r="Y45" s="148">
        <f>SUM(Y40:Y44)</f>
        <v>-1351637</v>
      </c>
      <c r="Z45" s="148">
        <f>SUM(Z40:Z44)</f>
        <v>-352284</v>
      </c>
      <c r="AA45" s="148">
        <f t="shared" si="51"/>
        <v>-1703921</v>
      </c>
      <c r="AB45" s="148">
        <f>SUM(AB40:AB44)</f>
        <v>-742611</v>
      </c>
      <c r="AC45" s="148">
        <f t="shared" si="51"/>
        <v>-2446532</v>
      </c>
      <c r="AD45" s="148">
        <f>SUM(AD40:AD44)</f>
        <v>-493634</v>
      </c>
      <c r="AE45" s="148">
        <f t="shared" si="53"/>
        <v>-2940166</v>
      </c>
      <c r="AF45" s="148">
        <f>SUM(AF40:AF44)</f>
        <v>-497055</v>
      </c>
      <c r="AG45" s="148">
        <f>SUM(AG40:AG44)</f>
        <v>-263214</v>
      </c>
      <c r="AH45" s="148">
        <f t="shared" si="52"/>
        <v>-760269</v>
      </c>
    </row>
    <row r="46" spans="1:34" ht="16.350000000000001" customHeight="1">
      <c r="A46" s="18"/>
      <c r="B46" s="117"/>
      <c r="C46" s="117"/>
      <c r="D46" s="51"/>
      <c r="E46" s="51"/>
      <c r="F46" s="51"/>
      <c r="G46" s="51"/>
      <c r="H46" s="51"/>
      <c r="I46" s="51"/>
      <c r="J46" s="51"/>
      <c r="K46" s="51"/>
      <c r="L46" s="51"/>
      <c r="M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383"/>
      <c r="AC46" s="51"/>
      <c r="AD46" s="383"/>
      <c r="AE46" s="51"/>
      <c r="AF46" s="51"/>
      <c r="AG46" s="51"/>
      <c r="AH46" s="51"/>
    </row>
    <row r="47" spans="1:34" ht="16.350000000000001" customHeight="1">
      <c r="A47" s="18"/>
      <c r="B47" s="19" t="s">
        <v>610</v>
      </c>
      <c r="C47" s="19" t="s">
        <v>567</v>
      </c>
      <c r="D47" s="20">
        <v>927</v>
      </c>
      <c r="E47" s="20">
        <v>1576</v>
      </c>
      <c r="F47" s="20">
        <v>2503</v>
      </c>
      <c r="G47" s="20">
        <v>-705</v>
      </c>
      <c r="H47" s="20">
        <v>1798</v>
      </c>
      <c r="I47" s="20">
        <v>-4219</v>
      </c>
      <c r="J47" s="20">
        <v>-2421</v>
      </c>
      <c r="K47" s="20">
        <v>-1320</v>
      </c>
      <c r="L47" s="20">
        <v>-14603</v>
      </c>
      <c r="M47" s="20">
        <v>-25940</v>
      </c>
      <c r="N47" s="20">
        <v>-8816</v>
      </c>
      <c r="O47" s="20">
        <v>-34756</v>
      </c>
      <c r="P47" s="20">
        <v>-42748</v>
      </c>
      <c r="Q47" s="20">
        <v>-77504</v>
      </c>
      <c r="R47" s="20">
        <v>4177</v>
      </c>
      <c r="S47" s="20">
        <v>7051</v>
      </c>
      <c r="T47" s="20">
        <f t="shared" ref="T47" si="57">SUM(R47:S47)</f>
        <v>11228</v>
      </c>
      <c r="U47" s="20">
        <v>-4827</v>
      </c>
      <c r="V47" s="20">
        <f t="shared" ref="V47" si="58">SUM(T47:U47)</f>
        <v>6401</v>
      </c>
      <c r="W47" s="20">
        <v>5928</v>
      </c>
      <c r="X47" s="20">
        <f t="shared" ref="X47" si="59">SUM(V47:W47)</f>
        <v>12329</v>
      </c>
      <c r="Y47" s="20">
        <v>-7473</v>
      </c>
      <c r="Z47" s="20">
        <v>-1872</v>
      </c>
      <c r="AA47" s="20">
        <f t="shared" ref="AA47:AC47" si="60">SUM(Y47:Z47)</f>
        <v>-9345</v>
      </c>
      <c r="AB47" s="20">
        <v>-559</v>
      </c>
      <c r="AC47" s="20">
        <f t="shared" si="60"/>
        <v>-9904</v>
      </c>
      <c r="AD47" s="20">
        <v>41</v>
      </c>
      <c r="AE47" s="20">
        <f t="shared" ref="AE47" si="61">SUM(AC47:AD47)</f>
        <v>-9863</v>
      </c>
      <c r="AF47" s="20">
        <v>-317</v>
      </c>
      <c r="AG47" s="20">
        <v>-10113</v>
      </c>
      <c r="AH47" s="20">
        <f t="shared" ref="AH47" si="62">SUM(AF47:AG47)</f>
        <v>-10430</v>
      </c>
    </row>
    <row r="48" spans="1:34" ht="16.350000000000001" customHeight="1">
      <c r="A48" s="18"/>
      <c r="B48" s="117"/>
      <c r="C48" s="117"/>
      <c r="D48" s="51"/>
      <c r="E48" s="51"/>
      <c r="F48" s="51"/>
      <c r="G48" s="51"/>
      <c r="H48" s="51"/>
      <c r="I48" s="51"/>
      <c r="J48" s="51"/>
      <c r="K48" s="51"/>
      <c r="L48" s="51"/>
      <c r="M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383"/>
      <c r="AC48" s="51"/>
      <c r="AD48" s="383"/>
      <c r="AE48" s="51"/>
      <c r="AF48" s="51"/>
      <c r="AG48" s="51"/>
      <c r="AH48" s="51"/>
    </row>
    <row r="49" spans="1:34" ht="16.350000000000001" customHeight="1">
      <c r="A49" s="18"/>
      <c r="B49" s="149" t="s">
        <v>611</v>
      </c>
      <c r="C49" s="149" t="s">
        <v>568</v>
      </c>
      <c r="D49" s="150">
        <f>D32+D37+D45+D47</f>
        <v>-176528</v>
      </c>
      <c r="E49" s="150">
        <f t="shared" ref="E49:J49" si="63">E32+E37+E45+E47</f>
        <v>-947272</v>
      </c>
      <c r="F49" s="150">
        <f t="shared" si="63"/>
        <v>-1123800</v>
      </c>
      <c r="G49" s="150">
        <f t="shared" si="63"/>
        <v>-425409</v>
      </c>
      <c r="H49" s="150">
        <f t="shared" si="63"/>
        <v>-1549209</v>
      </c>
      <c r="I49" s="150">
        <f t="shared" si="63"/>
        <v>-1091857</v>
      </c>
      <c r="J49" s="150">
        <f t="shared" si="63"/>
        <v>-2641066</v>
      </c>
      <c r="K49" s="150">
        <f>K32+K37+K45+K47</f>
        <v>-638547</v>
      </c>
      <c r="L49" s="150">
        <f t="shared" ref="L49:M49" si="64">L32+L37+L45+L47</f>
        <v>110157</v>
      </c>
      <c r="M49" s="150">
        <f t="shared" si="64"/>
        <v>-528390</v>
      </c>
      <c r="N49" s="150">
        <v>327913.44357</v>
      </c>
      <c r="O49" s="150">
        <v>-200477</v>
      </c>
      <c r="P49" s="150">
        <v>-115687</v>
      </c>
      <c r="Q49" s="150">
        <f t="shared" ref="Q49" si="65">Q32+Q37+Q45+Q47</f>
        <v>-316164</v>
      </c>
      <c r="R49" s="150">
        <f>R32+R37+R45+R47</f>
        <v>-566313</v>
      </c>
      <c r="S49" s="150">
        <f t="shared" ref="S49:U49" si="66">S32+S37+S45+S47</f>
        <v>-133140</v>
      </c>
      <c r="T49" s="150">
        <f t="shared" ref="T49" si="67">SUM(R49:S49)</f>
        <v>-699453</v>
      </c>
      <c r="U49" s="150">
        <f t="shared" si="66"/>
        <v>-48367</v>
      </c>
      <c r="V49" s="150">
        <f t="shared" ref="V49" si="68">SUM(T49:U49)</f>
        <v>-747820</v>
      </c>
      <c r="W49" s="150">
        <f t="shared" ref="W49:Z49" si="69">W32+W37+W45+W47</f>
        <v>141743</v>
      </c>
      <c r="X49" s="150">
        <f t="shared" ref="X49" si="70">SUM(V49:W49)</f>
        <v>-606077</v>
      </c>
      <c r="Y49" s="150">
        <f t="shared" si="69"/>
        <v>-1010540</v>
      </c>
      <c r="Z49" s="150">
        <f t="shared" si="69"/>
        <v>-82098</v>
      </c>
      <c r="AA49" s="150">
        <f t="shared" ref="AA49:AC49" si="71">SUM(Y49:Z49)</f>
        <v>-1092638</v>
      </c>
      <c r="AB49" s="388">
        <f t="shared" ref="AB49:AG49" si="72">AB32+AB37+AB45+AB47</f>
        <v>33409</v>
      </c>
      <c r="AC49" s="150">
        <f t="shared" si="71"/>
        <v>-1059229</v>
      </c>
      <c r="AD49" s="388">
        <f t="shared" si="72"/>
        <v>111185</v>
      </c>
      <c r="AE49" s="150">
        <f t="shared" ref="AE49" si="73">SUM(AC49:AD49)</f>
        <v>-948044</v>
      </c>
      <c r="AF49" s="388">
        <f t="shared" si="72"/>
        <v>35163</v>
      </c>
      <c r="AG49" s="150">
        <f t="shared" si="72"/>
        <v>202711</v>
      </c>
      <c r="AH49" s="150">
        <f t="shared" ref="AH49" si="74">SUM(AF49:AG49)</f>
        <v>237874</v>
      </c>
    </row>
    <row r="50" spans="1:34" ht="16.350000000000001" customHeight="1">
      <c r="A50" s="18"/>
      <c r="B50" s="121" t="s">
        <v>612</v>
      </c>
      <c r="C50" s="121" t="s">
        <v>569</v>
      </c>
      <c r="D50" s="24">
        <v>5489417</v>
      </c>
      <c r="E50" s="24">
        <v>5312889</v>
      </c>
      <c r="F50" s="24">
        <v>5489417</v>
      </c>
      <c r="G50" s="24">
        <v>4365617</v>
      </c>
      <c r="H50" s="24">
        <v>5489417</v>
      </c>
      <c r="I50" s="24">
        <v>3940208</v>
      </c>
      <c r="J50" s="24">
        <v>5489417</v>
      </c>
      <c r="K50" s="24">
        <v>2848351</v>
      </c>
      <c r="L50" s="24">
        <v>2209804</v>
      </c>
      <c r="M50" s="24">
        <v>2848351</v>
      </c>
      <c r="N50" s="24">
        <v>2319961</v>
      </c>
      <c r="O50" s="24">
        <v>2848351</v>
      </c>
      <c r="P50" s="24">
        <v>2647874</v>
      </c>
      <c r="Q50" s="24">
        <v>2848351</v>
      </c>
      <c r="R50" s="24">
        <v>2532187</v>
      </c>
      <c r="S50" s="24">
        <v>1965874</v>
      </c>
      <c r="T50" s="24">
        <f>R50</f>
        <v>2532187</v>
      </c>
      <c r="U50" s="24">
        <v>1832734</v>
      </c>
      <c r="V50" s="24">
        <f>T50</f>
        <v>2532187</v>
      </c>
      <c r="W50" s="24">
        <v>1784367</v>
      </c>
      <c r="X50" s="24">
        <f>V50</f>
        <v>2532187</v>
      </c>
      <c r="Y50" s="24">
        <v>1926110</v>
      </c>
      <c r="Z50" s="24">
        <v>915570</v>
      </c>
      <c r="AA50" s="24">
        <f>Y50</f>
        <v>1926110</v>
      </c>
      <c r="AB50" s="387">
        <v>833472</v>
      </c>
      <c r="AC50" s="24">
        <f>AA50</f>
        <v>1926110</v>
      </c>
      <c r="AD50" s="387">
        <v>866881</v>
      </c>
      <c r="AE50" s="24">
        <f>AC50</f>
        <v>1926110</v>
      </c>
      <c r="AF50" s="24">
        <v>978066</v>
      </c>
      <c r="AG50" s="24">
        <v>1013229</v>
      </c>
      <c r="AH50" s="24">
        <f>AF50</f>
        <v>978066</v>
      </c>
    </row>
    <row r="51" spans="1:34" ht="16.350000000000001" customHeight="1">
      <c r="A51" s="18"/>
      <c r="B51" s="147" t="s">
        <v>613</v>
      </c>
      <c r="C51" s="147" t="s">
        <v>570</v>
      </c>
      <c r="D51" s="148">
        <f t="shared" ref="D51:J51" si="75">SUM(D49:D50)</f>
        <v>5312889</v>
      </c>
      <c r="E51" s="148">
        <f t="shared" si="75"/>
        <v>4365617</v>
      </c>
      <c r="F51" s="148">
        <f t="shared" si="75"/>
        <v>4365617</v>
      </c>
      <c r="G51" s="148">
        <f t="shared" si="75"/>
        <v>3940208</v>
      </c>
      <c r="H51" s="148">
        <f t="shared" si="75"/>
        <v>3940208</v>
      </c>
      <c r="I51" s="148">
        <f t="shared" si="75"/>
        <v>2848351</v>
      </c>
      <c r="J51" s="148">
        <f t="shared" si="75"/>
        <v>2848351</v>
      </c>
      <c r="K51" s="148">
        <f t="shared" ref="K51" si="76">SUM(K49:K50)</f>
        <v>2209804</v>
      </c>
      <c r="L51" s="148">
        <f t="shared" ref="L51:M51" si="77">SUM(L49:L50)</f>
        <v>2319961</v>
      </c>
      <c r="M51" s="148">
        <f t="shared" si="77"/>
        <v>2319961</v>
      </c>
      <c r="N51" s="148">
        <f t="shared" ref="N51:O51" si="78">SUM(N49:N50)</f>
        <v>2647874.4435700001</v>
      </c>
      <c r="O51" s="148">
        <f t="shared" si="78"/>
        <v>2647874</v>
      </c>
      <c r="P51" s="148">
        <f t="shared" ref="P51" si="79">SUM(P49:P50)</f>
        <v>2532187</v>
      </c>
      <c r="Q51" s="148">
        <f t="shared" ref="Q51:T51" si="80">SUM(Q49:Q50)</f>
        <v>2532187</v>
      </c>
      <c r="R51" s="148">
        <f t="shared" si="80"/>
        <v>1965874</v>
      </c>
      <c r="S51" s="148">
        <f t="shared" si="80"/>
        <v>1832734</v>
      </c>
      <c r="T51" s="148">
        <f t="shared" si="80"/>
        <v>1832734</v>
      </c>
      <c r="U51" s="148">
        <f t="shared" ref="U51:V51" si="81">SUM(U49:U50)</f>
        <v>1784367</v>
      </c>
      <c r="V51" s="148">
        <f t="shared" si="81"/>
        <v>1784367</v>
      </c>
      <c r="W51" s="148">
        <f t="shared" ref="W51:X51" si="82">SUM(W49:W50)</f>
        <v>1926110</v>
      </c>
      <c r="X51" s="148">
        <f t="shared" si="82"/>
        <v>1926110</v>
      </c>
      <c r="Y51" s="148">
        <f t="shared" ref="Y51:AA51" si="83">SUM(Y49:Y50)</f>
        <v>915570</v>
      </c>
      <c r="Z51" s="148">
        <f t="shared" si="83"/>
        <v>833472</v>
      </c>
      <c r="AA51" s="148">
        <f t="shared" si="83"/>
        <v>833472</v>
      </c>
      <c r="AB51" s="148">
        <f t="shared" ref="AB51:AC51" si="84">SUM(AB49:AB50)</f>
        <v>866881</v>
      </c>
      <c r="AC51" s="148">
        <f t="shared" si="84"/>
        <v>866881</v>
      </c>
      <c r="AD51" s="148">
        <f t="shared" ref="AD51:AH51" si="85">SUM(AD49:AD50)</f>
        <v>978066</v>
      </c>
      <c r="AE51" s="148">
        <f t="shared" si="85"/>
        <v>978066</v>
      </c>
      <c r="AF51" s="148">
        <f t="shared" si="85"/>
        <v>1013229</v>
      </c>
      <c r="AG51" s="148">
        <f t="shared" si="85"/>
        <v>1215940</v>
      </c>
      <c r="AH51" s="148">
        <f t="shared" si="85"/>
        <v>1215940</v>
      </c>
    </row>
  </sheetData>
  <dataConsolidate/>
  <printOptions horizontalCentered="1"/>
  <pageMargins left="0.25" right="0.25" top="0.75" bottom="0.75" header="0.3" footer="0.3"/>
  <pageSetup paperSize="9" scale="35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ignoredErrors>
    <ignoredError sqref="L30:M30 O30 P30:Q30 U22 U45:V45 U30 U32:U34 U36:U37 W9 W16 V30:X30 V36:W37 W45:X45 V49:X49 V32:X32 V31 V35 V50 X37 AB37 AB17 AB24 AB22 AB9 AB30 AB32 AB33:AB34 AE30:AE32 AE37 AD45:AE45 AD49:AE49 AB45 AA45 AC45" formula="1"/>
    <ignoredError sqref="T9:U9 T17:U17 T20:T29 T46:T48 T50:T51 T38:T44 T33:T36 T31 T8 T10:T15 T18:T19 X15:Z15 AC15 AC24 X8:X14 X17:X23" formulaRange="1"/>
    <ignoredError sqref="T16 T45 T49 T37 T32 T30 U15:U16 AB15 X16" formula="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9EE9D1-A5FF-4893-AADE-EB6FDDAA917F}">
  <sheetPr codeName="Planilha13">
    <pageSetUpPr fitToPage="1"/>
  </sheetPr>
  <dimension ref="A2:ER58"/>
  <sheetViews>
    <sheetView showGridLines="0" zoomScaleNormal="100" workbookViewId="0">
      <pane xSplit="3" ySplit="6" topLeftCell="G7" activePane="bottomRight" state="frozen"/>
      <selection pane="topRight"/>
      <selection pane="bottomLeft"/>
      <selection pane="bottomRight" activeCell="Y6" sqref="Y6"/>
    </sheetView>
  </sheetViews>
  <sheetFormatPr defaultColWidth="9.42578125" defaultRowHeight="16.5" customHeight="1" outlineLevelRow="1" outlineLevelCol="1"/>
  <cols>
    <col min="1" max="1" width="3.5703125" style="7" customWidth="1"/>
    <col min="2" max="2" width="47.42578125" style="7" bestFit="1" customWidth="1"/>
    <col min="3" max="3" width="46.42578125" style="7" bestFit="1" customWidth="1"/>
    <col min="4" max="6" width="12.5703125" style="7" hidden="1" customWidth="1" outlineLevel="1"/>
    <col min="7" max="7" width="12.5703125" style="7" customWidth="1" collapsed="1"/>
    <col min="8" max="10" width="12.5703125" style="7" hidden="1" customWidth="1" outlineLevel="1"/>
    <col min="11" max="11" width="12.5703125" style="7" customWidth="1" collapsed="1"/>
    <col min="12" max="14" width="12.5703125" style="7" hidden="1" customWidth="1" outlineLevel="1"/>
    <col min="15" max="15" width="12.5703125" style="7" customWidth="1" collapsed="1"/>
    <col min="16" max="18" width="12.5703125" style="7" hidden="1" customWidth="1" outlineLevel="1"/>
    <col min="19" max="19" width="12.5703125" style="7" customWidth="1" collapsed="1"/>
    <col min="20" max="21" width="12.5703125" style="7" hidden="1" customWidth="1" outlineLevel="1"/>
    <col min="22" max="22" width="12.42578125" style="7" hidden="1" customWidth="1" outlineLevel="1"/>
    <col min="23" max="23" width="12.42578125" style="7" customWidth="1" collapsed="1"/>
    <col min="24" max="25" width="12.42578125" style="7" customWidth="1"/>
    <col min="26" max="27" width="9.42578125" style="7"/>
    <col min="28" max="28" width="10.5703125" style="7" customWidth="1"/>
    <col min="29" max="29" width="11" style="7" customWidth="1"/>
    <col min="30" max="86" width="9.42578125" style="7"/>
    <col min="87" max="87" width="13.42578125" style="7" customWidth="1"/>
    <col min="88" max="118" width="9.42578125" style="7"/>
    <col min="119" max="119" width="11.42578125" style="7" customWidth="1"/>
    <col min="120" max="120" width="12.5703125" style="7" customWidth="1"/>
    <col min="121" max="146" width="9.42578125" style="7"/>
    <col min="147" max="147" width="12.42578125" style="7" customWidth="1"/>
    <col min="148" max="148" width="12.5703125" style="7" customWidth="1"/>
    <col min="149" max="16384" width="9.42578125" style="7"/>
  </cols>
  <sheetData>
    <row r="2" spans="1:148" ht="16.5" customHeight="1"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  <c r="S2" s="265"/>
      <c r="T2" s="265"/>
      <c r="U2" s="265"/>
    </row>
    <row r="3" spans="1:148" ht="16.5" customHeight="1"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</row>
    <row r="4" spans="1:148" ht="16.5" customHeight="1">
      <c r="A4" s="174"/>
      <c r="B4" s="270"/>
      <c r="C4" s="175"/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  <c r="S4" s="265"/>
      <c r="T4" s="265"/>
      <c r="U4" s="265"/>
    </row>
    <row r="5" spans="1:148" ht="16.5" customHeight="1">
      <c r="A5" s="174"/>
      <c r="B5" s="175"/>
      <c r="C5" s="175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  <c r="U5" s="177"/>
    </row>
    <row r="6" spans="1:148" ht="16.5" customHeight="1">
      <c r="A6" s="178"/>
      <c r="B6" s="437" t="s">
        <v>2391</v>
      </c>
      <c r="C6" s="437" t="s">
        <v>2392</v>
      </c>
      <c r="D6" s="438">
        <v>44286</v>
      </c>
      <c r="E6" s="438">
        <f t="shared" ref="E6:Y6" si="0">EOMONTH(D6,3)</f>
        <v>44377</v>
      </c>
      <c r="F6" s="438">
        <f t="shared" si="0"/>
        <v>44469</v>
      </c>
      <c r="G6" s="438">
        <f t="shared" si="0"/>
        <v>44561</v>
      </c>
      <c r="H6" s="438">
        <f t="shared" si="0"/>
        <v>44651</v>
      </c>
      <c r="I6" s="438">
        <f t="shared" si="0"/>
        <v>44742</v>
      </c>
      <c r="J6" s="438">
        <f t="shared" si="0"/>
        <v>44834</v>
      </c>
      <c r="K6" s="438">
        <f t="shared" si="0"/>
        <v>44926</v>
      </c>
      <c r="L6" s="438">
        <f t="shared" si="0"/>
        <v>45016</v>
      </c>
      <c r="M6" s="438">
        <f t="shared" si="0"/>
        <v>45107</v>
      </c>
      <c r="N6" s="438">
        <f t="shared" si="0"/>
        <v>45199</v>
      </c>
      <c r="O6" s="438">
        <f t="shared" si="0"/>
        <v>45291</v>
      </c>
      <c r="P6" s="438">
        <f t="shared" si="0"/>
        <v>45382</v>
      </c>
      <c r="Q6" s="438">
        <f t="shared" si="0"/>
        <v>45473</v>
      </c>
      <c r="R6" s="438">
        <f t="shared" si="0"/>
        <v>45565</v>
      </c>
      <c r="S6" s="438">
        <f t="shared" si="0"/>
        <v>45657</v>
      </c>
      <c r="T6" s="438">
        <f t="shared" si="0"/>
        <v>45747</v>
      </c>
      <c r="U6" s="438">
        <f t="shared" si="0"/>
        <v>45838</v>
      </c>
      <c r="V6" s="438">
        <f t="shared" si="0"/>
        <v>45930</v>
      </c>
      <c r="W6" s="438">
        <f t="shared" si="0"/>
        <v>46022</v>
      </c>
      <c r="X6" s="438">
        <f t="shared" si="0"/>
        <v>46112</v>
      </c>
      <c r="Y6" s="438">
        <f t="shared" si="0"/>
        <v>46203</v>
      </c>
      <c r="CH6" s="7">
        <f>EOMONTH(CG6,3)</f>
        <v>121</v>
      </c>
      <c r="EQ6" s="7" t="s">
        <v>2444</v>
      </c>
      <c r="ER6" s="7" t="s">
        <v>2445</v>
      </c>
    </row>
    <row r="7" spans="1:148" ht="16.5" customHeight="1" outlineLevel="1">
      <c r="A7" s="179"/>
      <c r="B7" s="271" t="s">
        <v>377</v>
      </c>
      <c r="C7" s="271" t="s">
        <v>378</v>
      </c>
      <c r="D7" s="119"/>
      <c r="E7" s="119"/>
      <c r="F7" s="119"/>
      <c r="G7" s="119"/>
      <c r="H7" s="119"/>
      <c r="I7" s="119"/>
      <c r="J7" s="119"/>
      <c r="K7" s="119"/>
      <c r="L7" s="119"/>
      <c r="M7" s="119"/>
      <c r="N7" s="119"/>
      <c r="O7" s="119"/>
      <c r="P7" s="119"/>
      <c r="Q7" s="119"/>
      <c r="R7" s="119"/>
      <c r="S7" s="119"/>
      <c r="T7" s="119"/>
      <c r="U7" s="119"/>
      <c r="V7" s="119"/>
      <c r="W7" s="119"/>
      <c r="X7" s="119"/>
      <c r="Y7" s="119"/>
    </row>
    <row r="8" spans="1:148" ht="16.5" customHeight="1" outlineLevel="1">
      <c r="B8" s="267" t="s">
        <v>2393</v>
      </c>
      <c r="C8" s="267" t="s">
        <v>2387</v>
      </c>
      <c r="D8" s="268">
        <f>SUM(D9:D11)</f>
        <v>597658</v>
      </c>
      <c r="E8" s="268">
        <f t="shared" ref="E8:T8" si="1">SUM(E9:E11)</f>
        <v>677100</v>
      </c>
      <c r="F8" s="268">
        <f t="shared" si="1"/>
        <v>652229</v>
      </c>
      <c r="G8" s="268">
        <f t="shared" si="1"/>
        <v>890619</v>
      </c>
      <c r="H8" s="268">
        <f t="shared" si="1"/>
        <v>698148</v>
      </c>
      <c r="I8" s="268">
        <f t="shared" si="1"/>
        <v>722300</v>
      </c>
      <c r="J8" s="268">
        <f t="shared" si="1"/>
        <v>594576</v>
      </c>
      <c r="K8" s="268">
        <f t="shared" si="1"/>
        <v>705520</v>
      </c>
      <c r="L8" s="268">
        <f t="shared" si="1"/>
        <v>547376</v>
      </c>
      <c r="M8" s="268">
        <f t="shared" si="1"/>
        <v>541021</v>
      </c>
      <c r="N8" s="268">
        <f t="shared" si="1"/>
        <v>491226</v>
      </c>
      <c r="O8" s="268">
        <f t="shared" si="1"/>
        <v>620795</v>
      </c>
      <c r="P8" s="268">
        <f t="shared" si="1"/>
        <v>496710</v>
      </c>
      <c r="Q8" s="268">
        <f t="shared" si="1"/>
        <v>504011</v>
      </c>
      <c r="R8" s="268">
        <f t="shared" si="1"/>
        <v>498997</v>
      </c>
      <c r="S8" s="268">
        <f t="shared" si="1"/>
        <v>645634</v>
      </c>
      <c r="T8" s="268">
        <f t="shared" si="1"/>
        <v>520289</v>
      </c>
      <c r="U8" s="268">
        <v>548887.26615000004</v>
      </c>
      <c r="V8" s="268">
        <f t="shared" ref="V8:W8" si="2">SUM(V9:V11)</f>
        <v>493379.36325000005</v>
      </c>
      <c r="W8" s="268">
        <f t="shared" si="2"/>
        <v>615086.76596000011</v>
      </c>
      <c r="X8" s="268">
        <f t="shared" ref="X8:Y8" si="3">SUM(X9:X11)</f>
        <v>491251.93958999997</v>
      </c>
      <c r="Y8" s="268">
        <f t="shared" si="3"/>
        <v>501697</v>
      </c>
      <c r="DP8" s="7">
        <f>'Income Statement'!ER17</f>
        <v>1502956</v>
      </c>
      <c r="EQ8" s="360"/>
    </row>
    <row r="9" spans="1:148" ht="16.5" customHeight="1" outlineLevel="1">
      <c r="B9" s="269" t="s">
        <v>2394</v>
      </c>
      <c r="C9" s="269" t="s">
        <v>2390</v>
      </c>
      <c r="D9" s="159">
        <v>464842</v>
      </c>
      <c r="E9" s="159">
        <v>468233</v>
      </c>
      <c r="F9" s="159">
        <v>481134</v>
      </c>
      <c r="G9" s="159">
        <v>580500</v>
      </c>
      <c r="H9" s="159">
        <v>517953</v>
      </c>
      <c r="I9" s="159">
        <v>513145</v>
      </c>
      <c r="J9" s="159">
        <v>435774</v>
      </c>
      <c r="K9" s="159">
        <v>455821</v>
      </c>
      <c r="L9" s="159">
        <v>413766</v>
      </c>
      <c r="M9" s="159">
        <v>374981</v>
      </c>
      <c r="N9" s="159">
        <v>352775</v>
      </c>
      <c r="O9" s="159">
        <v>389091</v>
      </c>
      <c r="P9" s="159">
        <v>359045</v>
      </c>
      <c r="Q9" s="159">
        <v>339068</v>
      </c>
      <c r="R9" s="159">
        <v>354661</v>
      </c>
      <c r="S9" s="159">
        <v>415480</v>
      </c>
      <c r="T9" s="159">
        <v>377487</v>
      </c>
      <c r="U9" s="159">
        <v>376533.64118000004</v>
      </c>
      <c r="V9" s="159">
        <v>351838.10290000006</v>
      </c>
      <c r="W9" s="159">
        <v>400906.87335000001</v>
      </c>
      <c r="X9" s="159">
        <v>356887.41921999998</v>
      </c>
      <c r="Y9" s="159">
        <v>348538</v>
      </c>
      <c r="AB9" s="263"/>
      <c r="EQ9" s="360"/>
    </row>
    <row r="10" spans="1:148" ht="16.5" customHeight="1" outlineLevel="1">
      <c r="B10" s="269" t="s">
        <v>2395</v>
      </c>
      <c r="C10" s="269" t="s">
        <v>2388</v>
      </c>
      <c r="D10" s="182">
        <v>106658</v>
      </c>
      <c r="E10" s="182">
        <v>171520</v>
      </c>
      <c r="F10" s="182">
        <v>141219</v>
      </c>
      <c r="G10" s="182">
        <v>258911</v>
      </c>
      <c r="H10" s="182">
        <v>144289</v>
      </c>
      <c r="I10" s="182">
        <v>169563</v>
      </c>
      <c r="J10" s="182">
        <v>129589</v>
      </c>
      <c r="K10" s="182">
        <v>210244</v>
      </c>
      <c r="L10" s="182">
        <v>107231</v>
      </c>
      <c r="M10" s="182">
        <v>139366</v>
      </c>
      <c r="N10" s="182">
        <v>108711</v>
      </c>
      <c r="O10" s="182">
        <v>187738</v>
      </c>
      <c r="P10" s="182">
        <v>105309</v>
      </c>
      <c r="Q10" s="182">
        <v>129864</v>
      </c>
      <c r="R10" s="182">
        <v>112790</v>
      </c>
      <c r="S10" s="182">
        <v>187154</v>
      </c>
      <c r="T10" s="182">
        <v>109722</v>
      </c>
      <c r="U10" s="182">
        <v>135210.38996999999</v>
      </c>
      <c r="V10" s="182">
        <v>110013.65929999998</v>
      </c>
      <c r="W10" s="182">
        <v>173262.69662</v>
      </c>
      <c r="X10" s="182">
        <v>102569.40560999999</v>
      </c>
      <c r="Y10" s="159">
        <v>120095</v>
      </c>
      <c r="AB10" s="263"/>
      <c r="EQ10" s="360"/>
    </row>
    <row r="11" spans="1:148" ht="16.5" customHeight="1" outlineLevel="1">
      <c r="B11" s="269" t="s">
        <v>2396</v>
      </c>
      <c r="C11" s="269" t="s">
        <v>2389</v>
      </c>
      <c r="D11" s="182">
        <v>26158</v>
      </c>
      <c r="E11" s="182">
        <v>37347</v>
      </c>
      <c r="F11" s="182">
        <v>29876</v>
      </c>
      <c r="G11" s="182">
        <v>51208</v>
      </c>
      <c r="H11" s="182">
        <v>35906</v>
      </c>
      <c r="I11" s="182">
        <v>39592</v>
      </c>
      <c r="J11" s="182">
        <v>29213</v>
      </c>
      <c r="K11" s="182">
        <v>39455</v>
      </c>
      <c r="L11" s="182">
        <v>26379</v>
      </c>
      <c r="M11" s="182">
        <v>26674</v>
      </c>
      <c r="N11" s="182">
        <v>29740</v>
      </c>
      <c r="O11" s="182">
        <v>43966</v>
      </c>
      <c r="P11" s="182">
        <v>32356</v>
      </c>
      <c r="Q11" s="182">
        <v>35079</v>
      </c>
      <c r="R11" s="182">
        <v>31546</v>
      </c>
      <c r="S11" s="182">
        <v>43000</v>
      </c>
      <c r="T11" s="182">
        <v>33080</v>
      </c>
      <c r="U11" s="182">
        <v>37143.234999999993</v>
      </c>
      <c r="V11" s="182">
        <v>31527.601050000008</v>
      </c>
      <c r="W11" s="182">
        <v>40917.19599</v>
      </c>
      <c r="X11" s="182">
        <v>31795.11476</v>
      </c>
      <c r="Y11" s="159">
        <v>33064</v>
      </c>
      <c r="AB11" s="263"/>
    </row>
    <row r="12" spans="1:148" ht="16.5" customHeight="1" outlineLevel="1">
      <c r="B12" s="267" t="s">
        <v>504</v>
      </c>
      <c r="C12" s="267" t="s">
        <v>182</v>
      </c>
      <c r="D12" s="268">
        <f>SUM(D13:D15)</f>
        <v>248071</v>
      </c>
      <c r="E12" s="268">
        <f t="shared" ref="E12:T12" si="4">SUM(E13:E15)</f>
        <v>214565</v>
      </c>
      <c r="F12" s="268">
        <f t="shared" si="4"/>
        <v>232260</v>
      </c>
      <c r="G12" s="268">
        <f t="shared" si="4"/>
        <v>227303</v>
      </c>
      <c r="H12" s="268">
        <f t="shared" si="4"/>
        <v>258064</v>
      </c>
      <c r="I12" s="268">
        <f t="shared" si="4"/>
        <v>285568</v>
      </c>
      <c r="J12" s="268">
        <f t="shared" si="4"/>
        <v>297714</v>
      </c>
      <c r="K12" s="268">
        <f t="shared" si="4"/>
        <v>277073</v>
      </c>
      <c r="L12" s="268">
        <f t="shared" si="4"/>
        <v>275761</v>
      </c>
      <c r="M12" s="268">
        <f t="shared" si="4"/>
        <v>249510</v>
      </c>
      <c r="N12" s="268">
        <f t="shared" si="4"/>
        <v>211018</v>
      </c>
      <c r="O12" s="268">
        <f t="shared" si="4"/>
        <v>178216</v>
      </c>
      <c r="P12" s="268">
        <f t="shared" si="4"/>
        <v>171462</v>
      </c>
      <c r="Q12" s="268">
        <f t="shared" si="4"/>
        <v>151562</v>
      </c>
      <c r="R12" s="268">
        <f t="shared" si="4"/>
        <v>142031</v>
      </c>
      <c r="S12" s="268">
        <f t="shared" si="4"/>
        <v>126232</v>
      </c>
      <c r="T12" s="268">
        <f t="shared" si="4"/>
        <v>172052</v>
      </c>
      <c r="U12" s="268">
        <v>202420.49228000001</v>
      </c>
      <c r="V12" s="268">
        <f t="shared" ref="V12:W12" si="5">SUM(V13:V15)</f>
        <v>195409.26759</v>
      </c>
      <c r="W12" s="268">
        <f t="shared" si="5"/>
        <v>192014.70149000001</v>
      </c>
      <c r="X12" s="268">
        <f t="shared" ref="X12:Y12" si="6">SUM(X13:X15)</f>
        <v>215942.04567000002</v>
      </c>
      <c r="Y12" s="268">
        <f t="shared" si="6"/>
        <v>216903</v>
      </c>
      <c r="AB12" s="263"/>
      <c r="EQ12" s="360"/>
    </row>
    <row r="13" spans="1:148" ht="16.5" customHeight="1" outlineLevel="1">
      <c r="B13" s="269" t="s">
        <v>2394</v>
      </c>
      <c r="C13" s="269" t="s">
        <v>2390</v>
      </c>
      <c r="D13" s="159">
        <v>150466</v>
      </c>
      <c r="E13" s="159">
        <v>100511</v>
      </c>
      <c r="F13" s="159">
        <v>97318</v>
      </c>
      <c r="G13" s="159">
        <v>86700</v>
      </c>
      <c r="H13" s="159">
        <v>132671</v>
      </c>
      <c r="I13" s="159">
        <v>130942</v>
      </c>
      <c r="J13" s="159">
        <v>117073</v>
      </c>
      <c r="K13" s="159">
        <v>84399</v>
      </c>
      <c r="L13" s="159">
        <v>106610</v>
      </c>
      <c r="M13" s="159">
        <v>95914</v>
      </c>
      <c r="N13" s="159">
        <v>72877</v>
      </c>
      <c r="O13" s="159">
        <v>56585</v>
      </c>
      <c r="P13" s="159">
        <v>71081</v>
      </c>
      <c r="Q13" s="159">
        <v>63737</v>
      </c>
      <c r="R13" s="159">
        <v>60013</v>
      </c>
      <c r="S13" s="159">
        <v>50913</v>
      </c>
      <c r="T13" s="159">
        <v>80905</v>
      </c>
      <c r="U13" s="159">
        <v>74945.808560000005</v>
      </c>
      <c r="V13" s="159">
        <v>67813.660659999994</v>
      </c>
      <c r="W13" s="159">
        <v>56718.212180000002</v>
      </c>
      <c r="X13" s="159">
        <v>76553.721550000002</v>
      </c>
      <c r="Y13" s="159">
        <v>71683</v>
      </c>
      <c r="AB13" s="263"/>
      <c r="EQ13" s="360"/>
    </row>
    <row r="14" spans="1:148" ht="16.5" customHeight="1" outlineLevel="1">
      <c r="B14" s="269" t="s">
        <v>2395</v>
      </c>
      <c r="C14" s="269" t="s">
        <v>2388</v>
      </c>
      <c r="D14" s="182">
        <v>34616</v>
      </c>
      <c r="E14" s="182">
        <v>70093</v>
      </c>
      <c r="F14" s="182">
        <v>54872</v>
      </c>
      <c r="G14" s="182">
        <v>49513</v>
      </c>
      <c r="H14" s="182">
        <v>53539</v>
      </c>
      <c r="I14" s="182">
        <v>77172</v>
      </c>
      <c r="J14" s="182">
        <v>79216</v>
      </c>
      <c r="K14" s="182">
        <v>70832</v>
      </c>
      <c r="L14" s="182">
        <v>55652</v>
      </c>
      <c r="M14" s="182">
        <v>60007</v>
      </c>
      <c r="N14" s="182">
        <v>52848</v>
      </c>
      <c r="O14" s="182">
        <v>38729</v>
      </c>
      <c r="P14" s="182">
        <v>33274</v>
      </c>
      <c r="Q14" s="182">
        <v>35523</v>
      </c>
      <c r="R14" s="182">
        <v>32512</v>
      </c>
      <c r="S14" s="182">
        <v>27443</v>
      </c>
      <c r="T14" s="182">
        <v>28382</v>
      </c>
      <c r="U14" s="182">
        <v>44435.419020000001</v>
      </c>
      <c r="V14" s="182">
        <v>43301.073309999992</v>
      </c>
      <c r="W14" s="182">
        <v>38319.282829999996</v>
      </c>
      <c r="X14" s="182">
        <v>34233.250350000002</v>
      </c>
      <c r="Y14" s="159">
        <v>39981</v>
      </c>
      <c r="AB14" s="263"/>
      <c r="EQ14" s="360"/>
    </row>
    <row r="15" spans="1:148" ht="16.5" customHeight="1" outlineLevel="1">
      <c r="B15" s="269" t="s">
        <v>2396</v>
      </c>
      <c r="C15" s="269" t="s">
        <v>2389</v>
      </c>
      <c r="D15" s="182">
        <v>62989</v>
      </c>
      <c r="E15" s="182">
        <v>43961</v>
      </c>
      <c r="F15" s="182">
        <v>80070</v>
      </c>
      <c r="G15" s="182">
        <v>91090</v>
      </c>
      <c r="H15" s="182">
        <v>71854</v>
      </c>
      <c r="I15" s="182">
        <v>77454</v>
      </c>
      <c r="J15" s="182">
        <v>101425</v>
      </c>
      <c r="K15" s="182">
        <v>121842</v>
      </c>
      <c r="L15" s="182">
        <v>113499</v>
      </c>
      <c r="M15" s="182">
        <v>93589</v>
      </c>
      <c r="N15" s="182">
        <v>85293</v>
      </c>
      <c r="O15" s="182">
        <v>82902</v>
      </c>
      <c r="P15" s="182">
        <v>67107</v>
      </c>
      <c r="Q15" s="182">
        <v>52302</v>
      </c>
      <c r="R15" s="182">
        <v>49506</v>
      </c>
      <c r="S15" s="182">
        <v>47876</v>
      </c>
      <c r="T15" s="182">
        <v>62765</v>
      </c>
      <c r="U15" s="182">
        <v>83039.2647</v>
      </c>
      <c r="V15" s="182">
        <v>84294.533620000002</v>
      </c>
      <c r="W15" s="182">
        <v>96977.206480000008</v>
      </c>
      <c r="X15" s="182">
        <v>105155.07377000002</v>
      </c>
      <c r="Y15" s="159">
        <v>105239</v>
      </c>
      <c r="AB15" s="263"/>
    </row>
    <row r="16" spans="1:148" ht="16.5" customHeight="1" outlineLevel="1">
      <c r="B16" s="273" t="s">
        <v>2397</v>
      </c>
      <c r="C16" s="273" t="s">
        <v>2398</v>
      </c>
      <c r="D16" s="272">
        <f>D8+D12</f>
        <v>845729</v>
      </c>
      <c r="E16" s="272">
        <f t="shared" ref="E16:T16" si="7">E8+E12</f>
        <v>891665</v>
      </c>
      <c r="F16" s="272">
        <f t="shared" si="7"/>
        <v>884489</v>
      </c>
      <c r="G16" s="272">
        <f t="shared" si="7"/>
        <v>1117922</v>
      </c>
      <c r="H16" s="272">
        <f t="shared" si="7"/>
        <v>956212</v>
      </c>
      <c r="I16" s="272">
        <f t="shared" si="7"/>
        <v>1007868</v>
      </c>
      <c r="J16" s="272">
        <f t="shared" si="7"/>
        <v>892290</v>
      </c>
      <c r="K16" s="272">
        <f t="shared" si="7"/>
        <v>982593</v>
      </c>
      <c r="L16" s="272">
        <f t="shared" si="7"/>
        <v>823137</v>
      </c>
      <c r="M16" s="272">
        <f t="shared" si="7"/>
        <v>790531</v>
      </c>
      <c r="N16" s="272">
        <f t="shared" si="7"/>
        <v>702244</v>
      </c>
      <c r="O16" s="272">
        <f t="shared" si="7"/>
        <v>799011</v>
      </c>
      <c r="P16" s="272">
        <f t="shared" si="7"/>
        <v>668172</v>
      </c>
      <c r="Q16" s="272">
        <f t="shared" si="7"/>
        <v>655573</v>
      </c>
      <c r="R16" s="272">
        <f t="shared" si="7"/>
        <v>641028</v>
      </c>
      <c r="S16" s="272">
        <f t="shared" si="7"/>
        <v>771866</v>
      </c>
      <c r="T16" s="272">
        <f t="shared" si="7"/>
        <v>692341</v>
      </c>
      <c r="U16" s="272">
        <v>751307.75843000005</v>
      </c>
      <c r="V16" s="272">
        <f t="shared" ref="V16:W16" si="8">V8+V12</f>
        <v>688788.63084</v>
      </c>
      <c r="W16" s="272">
        <f t="shared" si="8"/>
        <v>807101.46745000011</v>
      </c>
      <c r="X16" s="272">
        <f t="shared" ref="X16:Y16" si="9">X8+X12</f>
        <v>707193.98525999999</v>
      </c>
      <c r="Y16" s="272">
        <f t="shared" si="9"/>
        <v>718600</v>
      </c>
      <c r="AB16" s="263"/>
      <c r="EQ16" s="360"/>
    </row>
    <row r="17" spans="2:147" ht="16.5" customHeight="1" outlineLevel="1">
      <c r="B17" s="158" t="s">
        <v>513</v>
      </c>
      <c r="C17" s="158" t="s">
        <v>512</v>
      </c>
      <c r="D17" s="159">
        <v>-5742</v>
      </c>
      <c r="E17" s="159">
        <v>-7100</v>
      </c>
      <c r="F17" s="159">
        <v>-7717</v>
      </c>
      <c r="G17" s="159">
        <v>-13572</v>
      </c>
      <c r="H17" s="159">
        <v>-11340</v>
      </c>
      <c r="I17" s="159">
        <v>-15146</v>
      </c>
      <c r="J17" s="159">
        <v>-13655</v>
      </c>
      <c r="K17" s="159">
        <v>-19383</v>
      </c>
      <c r="L17" s="159">
        <v>-13212</v>
      </c>
      <c r="M17" s="159">
        <v>-14273.392330000008</v>
      </c>
      <c r="N17" s="159">
        <v>-11750</v>
      </c>
      <c r="O17" s="159">
        <v>-12700.151090000007</v>
      </c>
      <c r="P17" s="159">
        <v>-8647</v>
      </c>
      <c r="Q17" s="159">
        <v>-9075</v>
      </c>
      <c r="R17" s="159">
        <v>-8541</v>
      </c>
      <c r="S17" s="159">
        <v>-11993</v>
      </c>
      <c r="T17" s="159">
        <v>-9168</v>
      </c>
      <c r="U17" s="159">
        <v>-11077.319950000008</v>
      </c>
      <c r="V17" s="159">
        <v>-10514.464930000007</v>
      </c>
      <c r="W17" s="159">
        <v>-14205.820210000009</v>
      </c>
      <c r="X17" s="159">
        <v>-9390</v>
      </c>
      <c r="Y17" s="159">
        <v>-10221</v>
      </c>
      <c r="AB17" s="263"/>
    </row>
    <row r="18" spans="2:147" ht="16.5" customHeight="1" outlineLevel="1">
      <c r="B18" s="158" t="s">
        <v>210</v>
      </c>
      <c r="C18" s="158" t="s">
        <v>423</v>
      </c>
      <c r="D18" s="159">
        <f>'Estimated Credit Losses IFRS'!D52</f>
        <v>-141637</v>
      </c>
      <c r="E18" s="159">
        <f>'Estimated Credit Losses IFRS'!E52</f>
        <v>-154297.63933000001</v>
      </c>
      <c r="F18" s="159">
        <f>'Estimated Credit Losses IFRS'!F52</f>
        <v>-168317.40178999997</v>
      </c>
      <c r="G18" s="159">
        <f>'Estimated Credit Losses IFRS'!G52</f>
        <v>-177888.47336</v>
      </c>
      <c r="H18" s="159">
        <f>'Estimated Credit Losses IFRS'!H52</f>
        <v>-157573</v>
      </c>
      <c r="I18" s="159">
        <f>'Estimated Credit Losses IFRS'!I52</f>
        <v>-184365.63114000001</v>
      </c>
      <c r="J18" s="159">
        <f>'Estimated Credit Losses IFRS'!J52</f>
        <v>-203111</v>
      </c>
      <c r="K18" s="159">
        <f>'Estimated Credit Losses IFRS'!K52</f>
        <v>-210923</v>
      </c>
      <c r="L18" s="159">
        <f>'Estimated Credit Losses IFRS'!L52</f>
        <v>-185822</v>
      </c>
      <c r="M18" s="159">
        <f>'Estimated Credit Losses IFRS'!M52</f>
        <v>-170949.69116999995</v>
      </c>
      <c r="N18" s="159">
        <f>'Estimated Credit Losses IFRS'!N52</f>
        <v>-155455</v>
      </c>
      <c r="O18" s="159">
        <f>'Estimated Credit Losses IFRS'!O52</f>
        <v>-141413.44217999998</v>
      </c>
      <c r="P18" s="159">
        <f>'Estimated Credit Losses IFRS'!P52</f>
        <v>-119930</v>
      </c>
      <c r="Q18" s="159">
        <f>'Estimated Credit Losses IFRS'!Q52</f>
        <v>-101419.08739639616</v>
      </c>
      <c r="R18" s="159">
        <f>'Estimated Credit Losses IFRS'!R52</f>
        <v>-94920.819953904895</v>
      </c>
      <c r="S18" s="159">
        <f>'Estimated Credit Losses IFRS'!S52</f>
        <v>-94213.683258839475</v>
      </c>
      <c r="T18" s="159">
        <f>'Estimated Credit Losses IFRS'!T52</f>
        <v>-103834.58070502557</v>
      </c>
      <c r="U18" s="159">
        <v>-137258.70106464793</v>
      </c>
      <c r="V18" s="159">
        <f>'Estimated Credit Losses IFRS'!V52</f>
        <v>-132450.44229683696</v>
      </c>
      <c r="W18" s="159">
        <f>'Estimated Credit Losses IFRS'!W52</f>
        <v>-141928.08614595831</v>
      </c>
      <c r="X18" s="159">
        <f>'Estimated Credit Losses IFRS'!X52</f>
        <v>-140297.00058835969</v>
      </c>
      <c r="Y18" s="159">
        <f>'Estimated Credit Losses IFRS'!Y52</f>
        <v>-147331</v>
      </c>
      <c r="AB18" s="263"/>
    </row>
    <row r="19" spans="2:147" s="34" customFormat="1" ht="16.5" customHeight="1">
      <c r="B19" s="304" t="s">
        <v>2385</v>
      </c>
      <c r="C19" s="304" t="s">
        <v>2406</v>
      </c>
      <c r="D19" s="279">
        <f>SUM(D16:D18)</f>
        <v>698350</v>
      </c>
      <c r="E19" s="279">
        <f t="shared" ref="E19:T19" si="10">SUM(E16:E18)</f>
        <v>730267.36066999997</v>
      </c>
      <c r="F19" s="279">
        <f t="shared" si="10"/>
        <v>708454.59820999997</v>
      </c>
      <c r="G19" s="279">
        <f t="shared" si="10"/>
        <v>926461.52664000005</v>
      </c>
      <c r="H19" s="279">
        <f t="shared" si="10"/>
        <v>787299</v>
      </c>
      <c r="I19" s="279">
        <f t="shared" si="10"/>
        <v>808356.36886000005</v>
      </c>
      <c r="J19" s="279">
        <f t="shared" si="10"/>
        <v>675524</v>
      </c>
      <c r="K19" s="279">
        <f t="shared" si="10"/>
        <v>752287</v>
      </c>
      <c r="L19" s="279">
        <f t="shared" si="10"/>
        <v>624103</v>
      </c>
      <c r="M19" s="279">
        <f t="shared" si="10"/>
        <v>605307.91650000005</v>
      </c>
      <c r="N19" s="279">
        <f t="shared" si="10"/>
        <v>535039</v>
      </c>
      <c r="O19" s="279">
        <f t="shared" si="10"/>
        <v>644897.40672999993</v>
      </c>
      <c r="P19" s="279">
        <f t="shared" si="10"/>
        <v>539595</v>
      </c>
      <c r="Q19" s="279">
        <f t="shared" si="10"/>
        <v>545078.91260360379</v>
      </c>
      <c r="R19" s="279">
        <f t="shared" si="10"/>
        <v>537566.18004609505</v>
      </c>
      <c r="S19" s="279">
        <f t="shared" si="10"/>
        <v>665659.31674116058</v>
      </c>
      <c r="T19" s="279">
        <f t="shared" si="10"/>
        <v>579338.41929497442</v>
      </c>
      <c r="U19" s="279">
        <v>602971.73741535214</v>
      </c>
      <c r="V19" s="279">
        <f>SUM(V16:V18)</f>
        <v>545823.72361316299</v>
      </c>
      <c r="W19" s="279">
        <f>SUM(W16:W18)</f>
        <v>650967.5610940418</v>
      </c>
      <c r="X19" s="279">
        <f>SUM(X16:X18)</f>
        <v>557506.98467164033</v>
      </c>
      <c r="Y19" s="279">
        <f>SUM(Y16:Y18)</f>
        <v>561048</v>
      </c>
      <c r="AB19" s="372"/>
      <c r="EQ19" s="361"/>
    </row>
    <row r="20" spans="2:147" s="34" customFormat="1" ht="16.5" customHeight="1">
      <c r="B20" s="275"/>
      <c r="C20" s="275"/>
      <c r="D20" s="274"/>
      <c r="E20" s="274"/>
      <c r="F20" s="274"/>
      <c r="G20" s="274"/>
      <c r="H20" s="274"/>
      <c r="I20" s="274"/>
      <c r="J20" s="274"/>
      <c r="K20" s="274"/>
      <c r="L20" s="274"/>
      <c r="M20" s="274"/>
      <c r="N20" s="274"/>
      <c r="O20" s="274"/>
      <c r="P20" s="274"/>
      <c r="Q20" s="274"/>
      <c r="R20" s="274"/>
      <c r="S20" s="274"/>
      <c r="T20" s="274"/>
      <c r="U20" s="274"/>
      <c r="AB20" s="372"/>
    </row>
    <row r="21" spans="2:147" ht="16.5" customHeight="1" outlineLevel="1">
      <c r="B21" s="271" t="s">
        <v>2382</v>
      </c>
      <c r="C21" s="271" t="s">
        <v>2399</v>
      </c>
      <c r="D21" s="119"/>
      <c r="E21" s="119"/>
      <c r="F21" s="119"/>
      <c r="G21" s="119"/>
      <c r="H21" s="119"/>
      <c r="I21" s="119"/>
      <c r="J21" s="119"/>
      <c r="K21" s="119"/>
      <c r="L21" s="119"/>
      <c r="M21" s="119"/>
      <c r="N21" s="119"/>
      <c r="O21" s="119"/>
      <c r="P21" s="119"/>
      <c r="Q21" s="119"/>
      <c r="R21" s="119"/>
      <c r="S21" s="119"/>
      <c r="T21" s="119"/>
      <c r="U21" s="119"/>
      <c r="V21" s="119"/>
      <c r="W21" s="119"/>
      <c r="X21" s="119"/>
      <c r="Y21" s="119"/>
      <c r="AB21" s="263"/>
      <c r="EQ21" s="360"/>
    </row>
    <row r="22" spans="2:147" ht="16.5" customHeight="1" outlineLevel="1">
      <c r="B22" s="267" t="s">
        <v>2393</v>
      </c>
      <c r="C22" s="267" t="s">
        <v>2387</v>
      </c>
      <c r="D22" s="268">
        <f>SUM(D23:D25)</f>
        <v>1870036</v>
      </c>
      <c r="E22" s="268">
        <f t="shared" ref="E22:T22" si="11">SUM(E23:E25)</f>
        <v>2146635</v>
      </c>
      <c r="F22" s="268">
        <f t="shared" si="11"/>
        <v>2348126</v>
      </c>
      <c r="G22" s="268">
        <f t="shared" si="11"/>
        <v>3103516</v>
      </c>
      <c r="H22" s="268">
        <f t="shared" si="11"/>
        <v>3148971</v>
      </c>
      <c r="I22" s="268">
        <f t="shared" si="11"/>
        <v>3447147</v>
      </c>
      <c r="J22" s="268">
        <f t="shared" si="11"/>
        <v>3523793</v>
      </c>
      <c r="K22" s="268">
        <f t="shared" si="11"/>
        <v>4032634</v>
      </c>
      <c r="L22" s="268">
        <f t="shared" si="11"/>
        <v>3887349</v>
      </c>
      <c r="M22" s="268">
        <f t="shared" si="11"/>
        <v>3900225</v>
      </c>
      <c r="N22" s="268">
        <f t="shared" si="11"/>
        <v>3648755</v>
      </c>
      <c r="O22" s="268">
        <f t="shared" si="11"/>
        <v>4026247</v>
      </c>
      <c r="P22" s="268">
        <f t="shared" si="11"/>
        <v>3783879</v>
      </c>
      <c r="Q22" s="268">
        <f t="shared" si="11"/>
        <v>3939509</v>
      </c>
      <c r="R22" s="268">
        <f t="shared" si="11"/>
        <v>3970935</v>
      </c>
      <c r="S22" s="268">
        <f t="shared" si="11"/>
        <v>4352965</v>
      </c>
      <c r="T22" s="268">
        <f t="shared" si="11"/>
        <v>4076792</v>
      </c>
      <c r="U22" s="268">
        <v>4113592.4095600001</v>
      </c>
      <c r="V22" s="268">
        <f t="shared" ref="V22:W22" si="12">SUM(V23:V25)</f>
        <v>4063020.7522700001</v>
      </c>
      <c r="W22" s="268">
        <f t="shared" si="12"/>
        <v>4416771.1882499997</v>
      </c>
      <c r="X22" s="268">
        <f t="shared" ref="X22:Y22" si="13">SUM(X23:X25)</f>
        <v>4098966.1222400009</v>
      </c>
      <c r="Y22" s="268">
        <f t="shared" si="13"/>
        <v>4070682</v>
      </c>
      <c r="AB22" s="263"/>
    </row>
    <row r="23" spans="2:147" ht="16.5" customHeight="1" outlineLevel="1">
      <c r="B23" s="269" t="s">
        <v>2394</v>
      </c>
      <c r="C23" s="269" t="s">
        <v>2390</v>
      </c>
      <c r="D23" s="159">
        <v>1374561</v>
      </c>
      <c r="E23" s="159">
        <v>1547430</v>
      </c>
      <c r="F23" s="159">
        <v>1723289</v>
      </c>
      <c r="G23" s="159">
        <v>2172285</v>
      </c>
      <c r="H23" s="159">
        <v>2268951</v>
      </c>
      <c r="I23" s="159">
        <v>2470372</v>
      </c>
      <c r="J23" s="159">
        <v>2530891</v>
      </c>
      <c r="K23" s="159">
        <v>2782985</v>
      </c>
      <c r="L23" s="159">
        <v>2736455</v>
      </c>
      <c r="M23" s="159">
        <v>2698337</v>
      </c>
      <c r="N23" s="159">
        <v>2513677</v>
      </c>
      <c r="O23" s="159">
        <v>2692785</v>
      </c>
      <c r="P23" s="159">
        <v>2621150</v>
      </c>
      <c r="Q23" s="159">
        <v>2737099</v>
      </c>
      <c r="R23" s="159">
        <v>2802905</v>
      </c>
      <c r="S23" s="159">
        <v>2992396</v>
      </c>
      <c r="T23" s="159">
        <f>2872723+1</f>
        <v>2872724</v>
      </c>
      <c r="U23" s="159">
        <v>2876466.4593400001</v>
      </c>
      <c r="V23" s="159">
        <v>2867965.6720299996</v>
      </c>
      <c r="W23" s="159">
        <v>3034665.2596499994</v>
      </c>
      <c r="X23" s="159">
        <v>2873666.6952300007</v>
      </c>
      <c r="Y23" s="159">
        <v>2852792</v>
      </c>
      <c r="AB23" s="263"/>
    </row>
    <row r="24" spans="2:147" ht="16.5" customHeight="1" outlineLevel="1">
      <c r="B24" s="269" t="s">
        <v>2395</v>
      </c>
      <c r="C24" s="269" t="s">
        <v>2388</v>
      </c>
      <c r="D24" s="182">
        <v>320801</v>
      </c>
      <c r="E24" s="182">
        <v>403908</v>
      </c>
      <c r="F24" s="182">
        <v>416106</v>
      </c>
      <c r="G24" s="182">
        <v>644449</v>
      </c>
      <c r="H24" s="182">
        <v>586117</v>
      </c>
      <c r="I24" s="182">
        <v>660629</v>
      </c>
      <c r="J24" s="182">
        <v>654288</v>
      </c>
      <c r="K24" s="182">
        <v>839706</v>
      </c>
      <c r="L24" s="182">
        <v>721842</v>
      </c>
      <c r="M24" s="182">
        <v>765448</v>
      </c>
      <c r="N24" s="182">
        <v>689082</v>
      </c>
      <c r="O24" s="182">
        <v>840199</v>
      </c>
      <c r="P24" s="182">
        <v>716003</v>
      </c>
      <c r="Q24" s="182">
        <v>768513</v>
      </c>
      <c r="R24" s="182">
        <v>742390</v>
      </c>
      <c r="S24" s="182">
        <v>897529</v>
      </c>
      <c r="T24" s="182">
        <v>756862</v>
      </c>
      <c r="U24" s="182">
        <v>788492.67044000002</v>
      </c>
      <c r="V24" s="182">
        <v>740056.0349000002</v>
      </c>
      <c r="W24" s="182">
        <v>892045.96724000003</v>
      </c>
      <c r="X24" s="182">
        <v>760435.83924999996</v>
      </c>
      <c r="Y24" s="159">
        <v>768491</v>
      </c>
      <c r="AB24" s="263"/>
    </row>
    <row r="25" spans="2:147" ht="16.5" customHeight="1" outlineLevel="1">
      <c r="B25" s="269" t="s">
        <v>2396</v>
      </c>
      <c r="C25" s="269" t="s">
        <v>2389</v>
      </c>
      <c r="D25" s="182">
        <v>174674</v>
      </c>
      <c r="E25" s="182">
        <v>195297</v>
      </c>
      <c r="F25" s="182">
        <v>208731</v>
      </c>
      <c r="G25" s="182">
        <v>286782</v>
      </c>
      <c r="H25" s="182">
        <v>293903</v>
      </c>
      <c r="I25" s="182">
        <v>316146</v>
      </c>
      <c r="J25" s="182">
        <v>338614</v>
      </c>
      <c r="K25" s="182">
        <v>409943</v>
      </c>
      <c r="L25" s="182">
        <v>429052</v>
      </c>
      <c r="M25" s="182">
        <v>436440</v>
      </c>
      <c r="N25" s="182">
        <v>445996</v>
      </c>
      <c r="O25" s="182">
        <v>493263</v>
      </c>
      <c r="P25" s="182">
        <v>446726</v>
      </c>
      <c r="Q25" s="182">
        <v>433897</v>
      </c>
      <c r="R25" s="182">
        <v>425640</v>
      </c>
      <c r="S25" s="182">
        <v>463040</v>
      </c>
      <c r="T25" s="182">
        <v>447206</v>
      </c>
      <c r="U25" s="182">
        <v>448633.27977999987</v>
      </c>
      <c r="V25" s="182">
        <v>454999.04534000001</v>
      </c>
      <c r="W25" s="182">
        <v>490059.96136000002</v>
      </c>
      <c r="X25" s="182">
        <v>464863.58775999991</v>
      </c>
      <c r="Y25" s="159">
        <v>449399</v>
      </c>
      <c r="AB25" s="263"/>
      <c r="EQ25" s="360"/>
    </row>
    <row r="26" spans="2:147" ht="16.5" customHeight="1" outlineLevel="1">
      <c r="B26" s="267" t="s">
        <v>504</v>
      </c>
      <c r="C26" s="267" t="s">
        <v>182</v>
      </c>
      <c r="D26" s="268">
        <f>SUM(D27:D29)</f>
        <v>330639</v>
      </c>
      <c r="E26" s="268">
        <f t="shared" ref="E26" si="14">SUM(E27:E29)</f>
        <v>380233</v>
      </c>
      <c r="F26" s="268">
        <f t="shared" ref="F26" si="15">SUM(F27:F29)</f>
        <v>484926</v>
      </c>
      <c r="G26" s="268">
        <f t="shared" ref="G26" si="16">SUM(G27:G29)</f>
        <v>590228</v>
      </c>
      <c r="H26" s="268">
        <f t="shared" ref="H26" si="17">SUM(H27:H29)</f>
        <v>830405</v>
      </c>
      <c r="I26" s="268">
        <f t="shared" ref="I26" si="18">SUM(I27:I29)</f>
        <v>1044885</v>
      </c>
      <c r="J26" s="268">
        <f t="shared" ref="J26" si="19">SUM(J27:J29)</f>
        <v>1235245</v>
      </c>
      <c r="K26" s="268">
        <f t="shared" ref="K26" si="20">SUM(K27:K29)</f>
        <v>1353298</v>
      </c>
      <c r="L26" s="268">
        <f t="shared" ref="L26" si="21">SUM(L27:L29)</f>
        <v>1464744</v>
      </c>
      <c r="M26" s="268">
        <f t="shared" ref="M26" si="22">SUM(M27:M29)</f>
        <v>1518266</v>
      </c>
      <c r="N26" s="268">
        <f t="shared" ref="N26" si="23">SUM(N27:N29)</f>
        <v>1470047</v>
      </c>
      <c r="O26" s="268">
        <f t="shared" ref="O26" si="24">SUM(O27:O29)</f>
        <v>1361601</v>
      </c>
      <c r="P26" s="268">
        <f t="shared" ref="P26" si="25">SUM(P27:P29)</f>
        <v>1297880</v>
      </c>
      <c r="Q26" s="268">
        <f t="shared" ref="Q26" si="26">SUM(Q27:Q29)</f>
        <v>1206102</v>
      </c>
      <c r="R26" s="268">
        <f t="shared" ref="R26" si="27">SUM(R27:R29)</f>
        <v>1122582</v>
      </c>
      <c r="S26" s="268">
        <f t="shared" ref="S26" si="28">SUM(S27:S29)</f>
        <v>1057358</v>
      </c>
      <c r="T26" s="268">
        <f t="shared" ref="T26" si="29">SUM(T27:T29)</f>
        <v>1342492</v>
      </c>
      <c r="U26" s="268">
        <v>1646643.5041499999</v>
      </c>
      <c r="V26" s="268">
        <f>SUM(V27:V29)</f>
        <v>1643867.60622</v>
      </c>
      <c r="W26" s="268">
        <f>SUM(W27:W29)</f>
        <v>1657179.4936600002</v>
      </c>
      <c r="X26" s="268">
        <f>SUM(X27:X29)</f>
        <v>1780594.0571200002</v>
      </c>
      <c r="Y26" s="268">
        <f>SUM(Y27:Y29)</f>
        <v>1861041</v>
      </c>
      <c r="AB26" s="263"/>
      <c r="EQ26" s="360"/>
    </row>
    <row r="27" spans="2:147" ht="16.5" customHeight="1" outlineLevel="1">
      <c r="B27" s="269" t="s">
        <v>2394</v>
      </c>
      <c r="C27" s="269" t="s">
        <v>2390</v>
      </c>
      <c r="D27" s="159">
        <v>161016</v>
      </c>
      <c r="E27" s="159">
        <v>162534</v>
      </c>
      <c r="F27" s="159">
        <v>218180</v>
      </c>
      <c r="G27" s="159">
        <v>245840</v>
      </c>
      <c r="H27" s="159">
        <v>385872</v>
      </c>
      <c r="I27" s="159">
        <v>412161</v>
      </c>
      <c r="J27" s="159">
        <v>437412</v>
      </c>
      <c r="K27" s="159">
        <v>418529</v>
      </c>
      <c r="L27" s="159">
        <v>492310</v>
      </c>
      <c r="M27" s="159">
        <v>463570</v>
      </c>
      <c r="N27" s="159">
        <v>415898</v>
      </c>
      <c r="O27" s="159">
        <v>355116</v>
      </c>
      <c r="P27" s="159">
        <v>406386</v>
      </c>
      <c r="Q27" s="159">
        <v>344972</v>
      </c>
      <c r="R27" s="159">
        <v>326795</v>
      </c>
      <c r="S27" s="159">
        <v>306595</v>
      </c>
      <c r="T27" s="159">
        <f>352891+1</f>
        <v>352892</v>
      </c>
      <c r="U27" s="159">
        <v>344445.19085000001</v>
      </c>
      <c r="V27" s="159">
        <v>318857.83172000002</v>
      </c>
      <c r="W27" s="159">
        <v>297853.82682000007</v>
      </c>
      <c r="X27" s="159">
        <v>367671.24951999995</v>
      </c>
      <c r="Y27" s="159">
        <v>368583</v>
      </c>
      <c r="AB27" s="263"/>
      <c r="EQ27" s="360"/>
    </row>
    <row r="28" spans="2:147" ht="16.5" customHeight="1" outlineLevel="1">
      <c r="B28" s="269" t="s">
        <v>2395</v>
      </c>
      <c r="C28" s="269" t="s">
        <v>2388</v>
      </c>
      <c r="D28" s="182">
        <v>56515</v>
      </c>
      <c r="E28" s="182">
        <v>119827</v>
      </c>
      <c r="F28" s="182">
        <v>115477</v>
      </c>
      <c r="G28" s="182">
        <v>154507</v>
      </c>
      <c r="H28" s="182">
        <v>214705</v>
      </c>
      <c r="I28" s="182">
        <v>315127</v>
      </c>
      <c r="J28" s="182">
        <v>343191</v>
      </c>
      <c r="K28" s="182">
        <v>372591</v>
      </c>
      <c r="L28" s="182">
        <v>367239</v>
      </c>
      <c r="M28" s="182">
        <v>423700</v>
      </c>
      <c r="N28" s="182">
        <v>380666</v>
      </c>
      <c r="O28" s="182">
        <v>341253</v>
      </c>
      <c r="P28" s="182">
        <v>301251</v>
      </c>
      <c r="Q28" s="182">
        <v>330357</v>
      </c>
      <c r="R28" s="182">
        <v>279240</v>
      </c>
      <c r="S28" s="182">
        <v>263566</v>
      </c>
      <c r="T28" s="182">
        <v>296481</v>
      </c>
      <c r="U28" s="182">
        <v>376494.99134999991</v>
      </c>
      <c r="V28" s="182">
        <v>341044.37700999994</v>
      </c>
      <c r="W28" s="182">
        <v>323721.60033000004</v>
      </c>
      <c r="X28" s="182">
        <v>321745.87706999999</v>
      </c>
      <c r="Y28" s="159">
        <v>395376</v>
      </c>
      <c r="AB28" s="263"/>
    </row>
    <row r="29" spans="2:147" ht="16.5" customHeight="1" outlineLevel="1">
      <c r="B29" s="269" t="s">
        <v>2396</v>
      </c>
      <c r="C29" s="269" t="s">
        <v>2389</v>
      </c>
      <c r="D29" s="182">
        <v>113108</v>
      </c>
      <c r="E29" s="182">
        <v>97872</v>
      </c>
      <c r="F29" s="182">
        <v>151269</v>
      </c>
      <c r="G29" s="182">
        <v>189881</v>
      </c>
      <c r="H29" s="182">
        <v>229828</v>
      </c>
      <c r="I29" s="182">
        <v>317597</v>
      </c>
      <c r="J29" s="182">
        <v>454642</v>
      </c>
      <c r="K29" s="182">
        <v>562178</v>
      </c>
      <c r="L29" s="182">
        <v>605195</v>
      </c>
      <c r="M29" s="182">
        <v>630996</v>
      </c>
      <c r="N29" s="182">
        <v>673483</v>
      </c>
      <c r="O29" s="182">
        <v>665232</v>
      </c>
      <c r="P29" s="182">
        <v>590243</v>
      </c>
      <c r="Q29" s="182">
        <v>530773</v>
      </c>
      <c r="R29" s="182">
        <v>516547</v>
      </c>
      <c r="S29" s="182">
        <v>487197</v>
      </c>
      <c r="T29" s="182">
        <v>693119</v>
      </c>
      <c r="U29" s="182">
        <v>925703.32195000001</v>
      </c>
      <c r="V29" s="182">
        <v>983965.39749</v>
      </c>
      <c r="W29" s="182">
        <v>1035604.0665100001</v>
      </c>
      <c r="X29" s="182">
        <v>1091176.9305300002</v>
      </c>
      <c r="Y29" s="159">
        <v>1097082</v>
      </c>
      <c r="AB29" s="263"/>
      <c r="EQ29" s="360"/>
    </row>
    <row r="30" spans="2:147" ht="16.5" customHeight="1" outlineLevel="1">
      <c r="B30" s="273" t="s">
        <v>2400</v>
      </c>
      <c r="C30" s="273" t="s">
        <v>2401</v>
      </c>
      <c r="D30" s="272">
        <f>D22+D26</f>
        <v>2200675</v>
      </c>
      <c r="E30" s="272">
        <f t="shared" ref="E30:T30" si="30">E22+E26</f>
        <v>2526868</v>
      </c>
      <c r="F30" s="272">
        <f t="shared" si="30"/>
        <v>2833052</v>
      </c>
      <c r="G30" s="272">
        <f t="shared" si="30"/>
        <v>3693744</v>
      </c>
      <c r="H30" s="272">
        <f t="shared" si="30"/>
        <v>3979376</v>
      </c>
      <c r="I30" s="272">
        <f t="shared" si="30"/>
        <v>4492032</v>
      </c>
      <c r="J30" s="272">
        <f t="shared" si="30"/>
        <v>4759038</v>
      </c>
      <c r="K30" s="272">
        <f t="shared" si="30"/>
        <v>5385932</v>
      </c>
      <c r="L30" s="272">
        <f t="shared" si="30"/>
        <v>5352093</v>
      </c>
      <c r="M30" s="272">
        <f t="shared" si="30"/>
        <v>5418491</v>
      </c>
      <c r="N30" s="272">
        <f t="shared" si="30"/>
        <v>5118802</v>
      </c>
      <c r="O30" s="272">
        <f t="shared" si="30"/>
        <v>5387848</v>
      </c>
      <c r="P30" s="272">
        <f t="shared" si="30"/>
        <v>5081759</v>
      </c>
      <c r="Q30" s="272">
        <f t="shared" si="30"/>
        <v>5145611</v>
      </c>
      <c r="R30" s="272">
        <f t="shared" si="30"/>
        <v>5093517</v>
      </c>
      <c r="S30" s="272">
        <f t="shared" si="30"/>
        <v>5410323</v>
      </c>
      <c r="T30" s="272">
        <f t="shared" si="30"/>
        <v>5419284</v>
      </c>
      <c r="U30" s="272">
        <v>5760235.91371</v>
      </c>
      <c r="V30" s="272">
        <f t="shared" ref="V30:W30" si="31">V22+V26</f>
        <v>5706888.3584899995</v>
      </c>
      <c r="W30" s="272">
        <f t="shared" si="31"/>
        <v>6073950.6819099998</v>
      </c>
      <c r="X30" s="272">
        <f t="shared" ref="X30:Y30" si="32">X22+X26</f>
        <v>5879560.1793600013</v>
      </c>
      <c r="Y30" s="272">
        <f t="shared" si="32"/>
        <v>5931723</v>
      </c>
      <c r="AB30" s="263"/>
    </row>
    <row r="31" spans="2:147" ht="16.5" customHeight="1" outlineLevel="1">
      <c r="B31" s="158" t="s">
        <v>513</v>
      </c>
      <c r="C31" s="158" t="s">
        <v>512</v>
      </c>
      <c r="D31" s="159">
        <v>-3385</v>
      </c>
      <c r="E31" s="159">
        <v>-5625</v>
      </c>
      <c r="F31" s="159">
        <v>-6994</v>
      </c>
      <c r="G31" s="159">
        <v>-14457</v>
      </c>
      <c r="H31" s="159">
        <v>-9599</v>
      </c>
      <c r="I31" s="159">
        <v>-15496</v>
      </c>
      <c r="J31" s="159">
        <v>-16602</v>
      </c>
      <c r="K31" s="159">
        <v>-24757</v>
      </c>
      <c r="L31" s="159">
        <v>-14272</v>
      </c>
      <c r="M31" s="159">
        <v>-20106.397739999997</v>
      </c>
      <c r="N31" s="159">
        <v>-18670</v>
      </c>
      <c r="O31" s="159">
        <v>-21453.74526</v>
      </c>
      <c r="P31" s="159">
        <v>-13486</v>
      </c>
      <c r="Q31" s="159">
        <v>-16418</v>
      </c>
      <c r="R31" s="159">
        <v>-16220</v>
      </c>
      <c r="S31" s="159">
        <v>-22403</v>
      </c>
      <c r="T31" s="159">
        <v>-16070</v>
      </c>
      <c r="U31" s="159">
        <v>-21728.479509999997</v>
      </c>
      <c r="V31" s="159">
        <v>-20464.859989999997</v>
      </c>
      <c r="W31" s="159">
        <v>-26102.22278</v>
      </c>
      <c r="X31" s="159">
        <v>-16733</v>
      </c>
      <c r="Y31" s="159">
        <v>-20688</v>
      </c>
      <c r="AB31" s="263"/>
    </row>
    <row r="32" spans="2:147" ht="16.5" customHeight="1" outlineLevel="1">
      <c r="B32" s="158" t="s">
        <v>210</v>
      </c>
      <c r="C32" s="158" t="s">
        <v>423</v>
      </c>
      <c r="D32" s="159">
        <f>'Estimated Credit Losses IFRS'!D80</f>
        <v>-290840</v>
      </c>
      <c r="E32" s="159">
        <f>'Estimated Credit Losses IFRS'!E80</f>
        <v>-279226</v>
      </c>
      <c r="F32" s="159">
        <f>'Estimated Credit Losses IFRS'!F80</f>
        <v>-324260</v>
      </c>
      <c r="G32" s="159">
        <f>'Estimated Credit Losses IFRS'!G80</f>
        <v>-405250</v>
      </c>
      <c r="H32" s="159">
        <f>'Estimated Credit Losses IFRS'!H80</f>
        <v>-477519</v>
      </c>
      <c r="I32" s="159">
        <f>'Estimated Credit Losses IFRS'!I80</f>
        <v>-637141</v>
      </c>
      <c r="J32" s="159">
        <f>'Estimated Credit Losses IFRS'!J80</f>
        <v>-785696</v>
      </c>
      <c r="K32" s="159">
        <f>'Estimated Credit Losses IFRS'!K80</f>
        <v>-917235</v>
      </c>
      <c r="L32" s="159">
        <f>'Estimated Credit Losses IFRS'!L80</f>
        <v>-980253</v>
      </c>
      <c r="M32" s="159">
        <f>'Estimated Credit Losses IFRS'!M80</f>
        <v>-1060517</v>
      </c>
      <c r="N32" s="159">
        <f>'Estimated Credit Losses IFRS'!N80</f>
        <v>-1068253</v>
      </c>
      <c r="O32" s="159">
        <f>'Estimated Credit Losses IFRS'!O80</f>
        <v>-1039724</v>
      </c>
      <c r="P32" s="159">
        <f>'Estimated Credit Losses IFRS'!P80</f>
        <v>-952715</v>
      </c>
      <c r="Q32" s="159">
        <f>'Estimated Credit Losses IFRS'!Q80</f>
        <v>-909370.00000000012</v>
      </c>
      <c r="R32" s="159">
        <f>'Estimated Credit Losses IFRS'!R80</f>
        <v>-842240.99999999988</v>
      </c>
      <c r="S32" s="159">
        <f>'Estimated Credit Losses IFRS'!S80</f>
        <v>-809235</v>
      </c>
      <c r="T32" s="159">
        <f>'Estimated Credit Losses IFRS'!T80</f>
        <v>-999073.9878120122</v>
      </c>
      <c r="U32" s="159">
        <v>-1247051.6538499999</v>
      </c>
      <c r="V32" s="159">
        <v>-1261429.6164599999</v>
      </c>
      <c r="W32" s="159">
        <f>'Estimated Credit Losses IFRS'!W80</f>
        <v>-1297759.2045957549</v>
      </c>
      <c r="X32" s="159">
        <f>'Estimated Credit Losses IFRS'!X80</f>
        <v>-1341301.8353712515</v>
      </c>
      <c r="Y32" s="159">
        <f>'Estimated Credit Losses IFRS'!Y80</f>
        <v>-1403730</v>
      </c>
      <c r="AB32" s="263"/>
      <c r="EQ32" s="360"/>
    </row>
    <row r="33" spans="2:147" s="34" customFormat="1" ht="16.5" customHeight="1">
      <c r="B33" s="304" t="s">
        <v>2386</v>
      </c>
      <c r="C33" s="304" t="s">
        <v>2407</v>
      </c>
      <c r="D33" s="279">
        <f>SUM(D30:D32)</f>
        <v>1906450</v>
      </c>
      <c r="E33" s="279">
        <f t="shared" ref="E33:T33" si="33">SUM(E30:E32)</f>
        <v>2242017</v>
      </c>
      <c r="F33" s="279">
        <f t="shared" si="33"/>
        <v>2501798</v>
      </c>
      <c r="G33" s="279">
        <f t="shared" si="33"/>
        <v>3274037</v>
      </c>
      <c r="H33" s="279">
        <f t="shared" si="33"/>
        <v>3492258</v>
      </c>
      <c r="I33" s="279">
        <f t="shared" si="33"/>
        <v>3839395</v>
      </c>
      <c r="J33" s="279">
        <f t="shared" si="33"/>
        <v>3956740</v>
      </c>
      <c r="K33" s="279">
        <f t="shared" si="33"/>
        <v>4443940</v>
      </c>
      <c r="L33" s="279">
        <f t="shared" si="33"/>
        <v>4357568</v>
      </c>
      <c r="M33" s="279">
        <f t="shared" si="33"/>
        <v>4337867.6022600001</v>
      </c>
      <c r="N33" s="279">
        <f t="shared" si="33"/>
        <v>4031879</v>
      </c>
      <c r="O33" s="279">
        <f t="shared" si="33"/>
        <v>4326670.2547399998</v>
      </c>
      <c r="P33" s="279">
        <f t="shared" si="33"/>
        <v>4115558</v>
      </c>
      <c r="Q33" s="279">
        <f t="shared" si="33"/>
        <v>4219823</v>
      </c>
      <c r="R33" s="279">
        <f t="shared" si="33"/>
        <v>4235056</v>
      </c>
      <c r="S33" s="279">
        <f t="shared" si="33"/>
        <v>4578685</v>
      </c>
      <c r="T33" s="279">
        <f t="shared" si="33"/>
        <v>4404140.0121879876</v>
      </c>
      <c r="U33" s="279">
        <v>4491455.7803499997</v>
      </c>
      <c r="V33" s="279">
        <f t="shared" ref="V33:W33" si="34">SUM(V30:V32)</f>
        <v>4424993.8820399996</v>
      </c>
      <c r="W33" s="279">
        <f t="shared" si="34"/>
        <v>4750089.2545342445</v>
      </c>
      <c r="X33" s="279">
        <f t="shared" ref="X33:Y33" si="35">SUM(X30:X32)</f>
        <v>4521525.3439887501</v>
      </c>
      <c r="Y33" s="279">
        <f t="shared" si="35"/>
        <v>4507305</v>
      </c>
      <c r="AB33" s="372"/>
    </row>
    <row r="34" spans="2:147" s="34" customFormat="1" ht="16.5" customHeight="1">
      <c r="B34" s="275"/>
      <c r="C34" s="275"/>
      <c r="D34" s="274"/>
      <c r="E34" s="274"/>
      <c r="F34" s="274"/>
      <c r="G34" s="274"/>
      <c r="H34" s="274"/>
      <c r="I34" s="274"/>
      <c r="J34" s="274"/>
      <c r="K34" s="274"/>
      <c r="L34" s="274"/>
      <c r="M34" s="274"/>
      <c r="N34" s="274"/>
      <c r="O34" s="274"/>
      <c r="P34" s="274"/>
      <c r="Q34" s="274"/>
      <c r="R34" s="274"/>
      <c r="S34" s="274"/>
      <c r="T34" s="274"/>
      <c r="U34" s="274"/>
      <c r="V34" s="274"/>
      <c r="W34" s="274"/>
      <c r="X34" s="274"/>
      <c r="Y34" s="274"/>
      <c r="AB34" s="372"/>
      <c r="EQ34" s="361"/>
    </row>
    <row r="35" spans="2:147" ht="16.5" customHeight="1">
      <c r="B35" s="76" t="s">
        <v>2405</v>
      </c>
      <c r="C35" s="76" t="s">
        <v>2404</v>
      </c>
      <c r="D35" s="119">
        <f>'Receivables BACEN'!BM38</f>
        <v>70707</v>
      </c>
      <c r="E35" s="119">
        <f>'Receivables BACEN'!BN38</f>
        <v>707928</v>
      </c>
      <c r="F35" s="119">
        <f>'Receivables BACEN'!BO38</f>
        <v>631416</v>
      </c>
      <c r="G35" s="119">
        <f>'Receivables BACEN'!BP38</f>
        <v>1176174</v>
      </c>
      <c r="H35" s="119">
        <f>'Receivables BACEN'!BQ38</f>
        <v>728520</v>
      </c>
      <c r="I35" s="119">
        <f>'Receivables BACEN'!BR38</f>
        <v>1028903</v>
      </c>
      <c r="J35" s="119">
        <f>'Receivables BACEN'!BS38</f>
        <v>824537</v>
      </c>
      <c r="K35" s="119">
        <f>'Receivables BACEN'!BT38</f>
        <v>1294973</v>
      </c>
      <c r="L35" s="119">
        <f>'Receivables BACEN'!BU38</f>
        <v>768112</v>
      </c>
      <c r="M35" s="119">
        <f>'Receivables BACEN'!BV38</f>
        <v>1134505</v>
      </c>
      <c r="N35" s="119">
        <f>'Receivables BACEN'!BW38</f>
        <v>1052427</v>
      </c>
      <c r="O35" s="119">
        <f>'Receivables BACEN'!BX38</f>
        <v>1603013</v>
      </c>
      <c r="P35" s="119">
        <f>'Receivables BACEN'!BY38</f>
        <v>934003</v>
      </c>
      <c r="Q35" s="119">
        <f>'Receivables BACEN'!BZ38</f>
        <v>1185283</v>
      </c>
      <c r="R35" s="119">
        <f>'Receivables BACEN'!CA38</f>
        <v>1010808</v>
      </c>
      <c r="S35" s="119">
        <f>'Receivables BACEN'!CB38</f>
        <v>1612181</v>
      </c>
      <c r="T35" s="119">
        <v>966206</v>
      </c>
      <c r="U35" s="119">
        <v>1375187.85562</v>
      </c>
      <c r="V35" s="119">
        <v>1070578.394346837</v>
      </c>
      <c r="W35" s="119">
        <v>1744391.1990400001</v>
      </c>
      <c r="X35" s="119">
        <f>1084021-32089</f>
        <v>1051932</v>
      </c>
      <c r="Y35" s="119">
        <v>1413681</v>
      </c>
      <c r="AB35" s="263"/>
      <c r="CI35" s="7">
        <f>CI37+CI65</f>
        <v>0</v>
      </c>
    </row>
    <row r="36" spans="2:147" ht="16.5" customHeight="1">
      <c r="B36" s="305" t="s">
        <v>2383</v>
      </c>
      <c r="C36" s="305" t="s">
        <v>2384</v>
      </c>
      <c r="D36" s="276">
        <f>'Receivables BACEN'!BM40</f>
        <v>10589</v>
      </c>
      <c r="E36" s="276">
        <f>'Receivables BACEN'!BN40</f>
        <v>13889</v>
      </c>
      <c r="F36" s="276">
        <f>'Receivables BACEN'!BO40</f>
        <v>41929</v>
      </c>
      <c r="G36" s="276">
        <f>'Receivables BACEN'!BP40</f>
        <v>36211</v>
      </c>
      <c r="H36" s="276">
        <f>'Receivables BACEN'!BQ40</f>
        <v>33292</v>
      </c>
      <c r="I36" s="276">
        <f>'Receivables BACEN'!BR40</f>
        <v>39004</v>
      </c>
      <c r="J36" s="276">
        <f>'Receivables BACEN'!BS40</f>
        <v>32767</v>
      </c>
      <c r="K36" s="276">
        <f>'Receivables BACEN'!BT40</f>
        <v>33631</v>
      </c>
      <c r="L36" s="276">
        <f>'Receivables BACEN'!BU40</f>
        <v>40300</v>
      </c>
      <c r="M36" s="276">
        <f>'Receivables BACEN'!BV40</f>
        <v>56907</v>
      </c>
      <c r="N36" s="276">
        <f>'Receivables BACEN'!BW40</f>
        <v>71747</v>
      </c>
      <c r="O36" s="276">
        <f>'Receivables BACEN'!BX40</f>
        <v>64607</v>
      </c>
      <c r="P36" s="276">
        <f>'Receivables BACEN'!BY40</f>
        <v>32134</v>
      </c>
      <c r="Q36" s="276">
        <f>'Receivables BACEN'!BZ40</f>
        <v>29946</v>
      </c>
      <c r="R36" s="276">
        <f>'Receivables BACEN'!CA40</f>
        <v>35193</v>
      </c>
      <c r="S36" s="276">
        <f>'Receivables BACEN'!CB40</f>
        <v>46408</v>
      </c>
      <c r="T36" s="276">
        <v>32083</v>
      </c>
      <c r="U36" s="276">
        <v>26272</v>
      </c>
      <c r="V36" s="276">
        <v>19307</v>
      </c>
      <c r="W36" s="276">
        <v>29800</v>
      </c>
      <c r="X36" s="276">
        <v>23995</v>
      </c>
      <c r="Y36" s="276">
        <v>21675</v>
      </c>
      <c r="AB36" s="263"/>
    </row>
    <row r="37" spans="2:147" ht="16.5" customHeight="1">
      <c r="AB37" s="263"/>
    </row>
    <row r="38" spans="2:147" s="34" customFormat="1" ht="16.5" customHeight="1">
      <c r="B38" s="306" t="s">
        <v>2403</v>
      </c>
      <c r="C38" s="306" t="s">
        <v>2402</v>
      </c>
      <c r="D38" s="307">
        <f>D19+D33+D35+D36</f>
        <v>2686096</v>
      </c>
      <c r="E38" s="307">
        <f t="shared" ref="E38:T38" si="36">E19+E33+E35+E36</f>
        <v>3694101.3606699998</v>
      </c>
      <c r="F38" s="307">
        <f t="shared" si="36"/>
        <v>3883597.59821</v>
      </c>
      <c r="G38" s="307">
        <f t="shared" si="36"/>
        <v>5412883.5266399998</v>
      </c>
      <c r="H38" s="307">
        <f t="shared" si="36"/>
        <v>5041369</v>
      </c>
      <c r="I38" s="307">
        <f t="shared" si="36"/>
        <v>5715658.3688599998</v>
      </c>
      <c r="J38" s="307">
        <f t="shared" si="36"/>
        <v>5489568</v>
      </c>
      <c r="K38" s="307">
        <f t="shared" si="36"/>
        <v>6524831</v>
      </c>
      <c r="L38" s="307">
        <f t="shared" si="36"/>
        <v>5790083</v>
      </c>
      <c r="M38" s="307">
        <f t="shared" si="36"/>
        <v>6134587.5187600004</v>
      </c>
      <c r="N38" s="307">
        <f t="shared" si="36"/>
        <v>5691092</v>
      </c>
      <c r="O38" s="307">
        <f t="shared" si="36"/>
        <v>6639187.6614699997</v>
      </c>
      <c r="P38" s="307">
        <f t="shared" si="36"/>
        <v>5621290</v>
      </c>
      <c r="Q38" s="307">
        <f t="shared" si="36"/>
        <v>5980130.9126036037</v>
      </c>
      <c r="R38" s="307">
        <f t="shared" si="36"/>
        <v>5818623.1800460946</v>
      </c>
      <c r="S38" s="307">
        <f t="shared" si="36"/>
        <v>6902933.316741161</v>
      </c>
      <c r="T38" s="307">
        <f t="shared" si="36"/>
        <v>5981767.4314829623</v>
      </c>
      <c r="U38" s="307">
        <v>6495887.3733853512</v>
      </c>
      <c r="V38" s="307">
        <f>V19+V33+V36+V35</f>
        <v>6060703</v>
      </c>
      <c r="W38" s="307">
        <f>W19+W33+W36+W35</f>
        <v>7175248.0146682868</v>
      </c>
      <c r="X38" s="307">
        <f>X19+X33+X36+X35</f>
        <v>6154959.3286603903</v>
      </c>
      <c r="Y38" s="307">
        <f>Y19+Y33+Y36+Y35</f>
        <v>6503709</v>
      </c>
      <c r="AB38" s="372"/>
    </row>
    <row r="39" spans="2:147" ht="16.5" customHeight="1"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AB39" s="263"/>
    </row>
    <row r="40" spans="2:147" ht="16.5" customHeight="1">
      <c r="V40" s="396"/>
      <c r="W40" s="396"/>
      <c r="X40" s="396"/>
      <c r="Y40" s="396"/>
      <c r="AB40" s="263"/>
    </row>
    <row r="41" spans="2:147" ht="16.5" customHeight="1"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Y41" s="152"/>
      <c r="AB41" s="263"/>
    </row>
    <row r="42" spans="2:147" ht="16.5" customHeight="1">
      <c r="D42" s="142"/>
      <c r="E42" s="142"/>
      <c r="F42" s="142"/>
      <c r="G42" s="142"/>
      <c r="H42" s="142"/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42"/>
      <c r="AB42" s="263"/>
    </row>
    <row r="43" spans="2:147" ht="16.5" customHeight="1">
      <c r="AB43" s="263"/>
    </row>
    <row r="44" spans="2:147" ht="16.5" customHeight="1">
      <c r="AB44" s="263"/>
    </row>
    <row r="45" spans="2:147" ht="16.5" customHeight="1">
      <c r="AB45" s="263"/>
    </row>
    <row r="46" spans="2:147" ht="16.5" customHeight="1">
      <c r="AB46" s="263"/>
    </row>
    <row r="47" spans="2:147" ht="16.5" customHeight="1">
      <c r="AB47" s="263"/>
    </row>
    <row r="48" spans="2:147" ht="16.5" customHeight="1">
      <c r="AB48" s="263"/>
    </row>
    <row r="49" spans="28:28" ht="16.5" customHeight="1">
      <c r="AB49" s="263"/>
    </row>
    <row r="50" spans="28:28" ht="16.5" customHeight="1">
      <c r="AB50" s="263"/>
    </row>
    <row r="51" spans="28:28" ht="16.5" customHeight="1">
      <c r="AB51" s="263"/>
    </row>
    <row r="52" spans="28:28" ht="16.5" customHeight="1">
      <c r="AB52" s="263"/>
    </row>
    <row r="53" spans="28:28" ht="16.5" customHeight="1">
      <c r="AB53" s="263"/>
    </row>
    <row r="54" spans="28:28" ht="16.5" customHeight="1">
      <c r="AB54" s="263"/>
    </row>
    <row r="55" spans="28:28" ht="16.5" customHeight="1">
      <c r="AB55" s="263"/>
    </row>
    <row r="56" spans="28:28" ht="16.5" customHeight="1">
      <c r="AB56" s="263"/>
    </row>
    <row r="57" spans="28:28" ht="16.5" customHeight="1">
      <c r="AB57" s="263"/>
    </row>
    <row r="58" spans="28:28" ht="16.5" customHeight="1">
      <c r="AB58" s="263"/>
    </row>
  </sheetData>
  <printOptions horizontalCentered="1"/>
  <pageMargins left="0.25" right="0.25" top="0.75" bottom="0.75" header="0.3" footer="0.3"/>
  <pageSetup paperSize="9" scale="36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ellWatches>
    <cellWatch r="D5"/>
    <cellWatch r="E5"/>
    <cellWatch r="F5"/>
    <cellWatch r="G5"/>
  </cellWatche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81758-F28A-4F4E-BD15-2D1A0737C29C}">
  <sheetPr codeName="Planilha12">
    <outlinePr summaryBelow="0"/>
    <pageSetUpPr fitToPage="1"/>
  </sheetPr>
  <dimension ref="A3:EP89"/>
  <sheetViews>
    <sheetView showGridLines="0" zoomScaleNormal="100" workbookViewId="0">
      <pane xSplit="3" ySplit="6" topLeftCell="G7" activePane="bottomRight" state="frozen"/>
      <selection pane="topRight"/>
      <selection pane="bottomLeft"/>
      <selection pane="bottomRight" activeCell="Y6" sqref="Y6"/>
    </sheetView>
  </sheetViews>
  <sheetFormatPr defaultColWidth="9.42578125" defaultRowHeight="16.350000000000001" customHeight="1" outlineLevelRow="1" outlineLevelCol="1"/>
  <cols>
    <col min="1" max="1" width="3.5703125" style="7" customWidth="1"/>
    <col min="2" max="2" width="45" style="7" customWidth="1"/>
    <col min="3" max="3" width="75.5703125" style="7" bestFit="1" customWidth="1"/>
    <col min="4" max="6" width="12.5703125" style="7" hidden="1" customWidth="1" outlineLevel="1"/>
    <col min="7" max="7" width="12.5703125" style="7" customWidth="1" collapsed="1"/>
    <col min="8" max="10" width="12.5703125" style="7" hidden="1" customWidth="1" outlineLevel="1"/>
    <col min="11" max="11" width="12.5703125" style="7" customWidth="1" collapsed="1"/>
    <col min="12" max="14" width="12.5703125" style="7" hidden="1" customWidth="1" outlineLevel="1"/>
    <col min="15" max="15" width="12.5703125" style="7" customWidth="1" collapsed="1"/>
    <col min="16" max="18" width="12.5703125" style="7" hidden="1" customWidth="1" outlineLevel="1"/>
    <col min="19" max="19" width="12.5703125" style="7" customWidth="1" collapsed="1"/>
    <col min="20" max="21" width="12.5703125" style="7" hidden="1" customWidth="1" outlineLevel="1"/>
    <col min="22" max="22" width="12.42578125" style="7" hidden="1" customWidth="1" outlineLevel="1"/>
    <col min="23" max="23" width="12.28515625" style="7" customWidth="1" collapsed="1"/>
    <col min="24" max="25" width="12.28515625" style="7" customWidth="1"/>
    <col min="26" max="26" width="10.5703125" style="7" customWidth="1"/>
    <col min="27" max="27" width="11" style="7" customWidth="1"/>
    <col min="28" max="84" width="9.42578125" style="7"/>
    <col min="85" max="85" width="13.42578125" style="7" customWidth="1"/>
    <col min="86" max="116" width="9.42578125" style="7"/>
    <col min="117" max="117" width="11.42578125" style="7" customWidth="1"/>
    <col min="118" max="118" width="12.5703125" style="7" customWidth="1"/>
    <col min="119" max="144" width="9.42578125" style="7"/>
    <col min="145" max="145" width="12.42578125" style="7" customWidth="1"/>
    <col min="146" max="146" width="12.5703125" style="7" customWidth="1"/>
    <col min="147" max="16384" width="9.42578125" style="7"/>
  </cols>
  <sheetData>
    <row r="3" spans="1:146" ht="16.350000000000001" customHeight="1">
      <c r="D3" s="152"/>
      <c r="E3" s="152"/>
      <c r="F3" s="152"/>
      <c r="G3" s="152"/>
      <c r="H3" s="152"/>
      <c r="I3" s="152"/>
      <c r="J3" s="152"/>
      <c r="K3" s="152"/>
      <c r="L3" s="152"/>
    </row>
    <row r="4" spans="1:146" ht="16.350000000000001" customHeight="1">
      <c r="A4" s="174"/>
      <c r="B4" s="270"/>
      <c r="C4" s="175"/>
      <c r="D4" s="152"/>
      <c r="E4" s="177"/>
      <c r="F4" s="177"/>
      <c r="G4" s="177"/>
      <c r="H4" s="177"/>
      <c r="I4" s="177"/>
      <c r="J4" s="177"/>
      <c r="K4" s="177"/>
      <c r="L4" s="177"/>
    </row>
    <row r="5" spans="1:146" ht="16.350000000000001" customHeight="1">
      <c r="A5" s="174"/>
      <c r="B5" s="175"/>
      <c r="C5" s="175"/>
      <c r="D5" s="177"/>
      <c r="E5" s="177"/>
      <c r="F5" s="177"/>
      <c r="G5" s="177"/>
      <c r="H5" s="177"/>
      <c r="I5" s="177"/>
      <c r="J5" s="177"/>
      <c r="K5" s="177"/>
      <c r="L5" s="177"/>
      <c r="X5" s="142"/>
    </row>
    <row r="6" spans="1:146" s="34" customFormat="1" ht="16.350000000000001" customHeight="1">
      <c r="A6" s="178"/>
      <c r="B6" s="437" t="s">
        <v>412</v>
      </c>
      <c r="C6" s="437" t="s">
        <v>413</v>
      </c>
      <c r="D6" s="438">
        <v>44286</v>
      </c>
      <c r="E6" s="438">
        <f t="shared" ref="E6:H6" si="0">EOMONTH(D6,3)</f>
        <v>44377</v>
      </c>
      <c r="F6" s="438">
        <f t="shared" si="0"/>
        <v>44469</v>
      </c>
      <c r="G6" s="438">
        <f t="shared" si="0"/>
        <v>44561</v>
      </c>
      <c r="H6" s="438">
        <f t="shared" si="0"/>
        <v>44651</v>
      </c>
      <c r="I6" s="438">
        <f t="shared" ref="I6:Y6" si="1">EOMONTH(H6,3)</f>
        <v>44742</v>
      </c>
      <c r="J6" s="438">
        <f t="shared" si="1"/>
        <v>44834</v>
      </c>
      <c r="K6" s="438">
        <f t="shared" si="1"/>
        <v>44926</v>
      </c>
      <c r="L6" s="438">
        <f t="shared" si="1"/>
        <v>45016</v>
      </c>
      <c r="M6" s="438">
        <f t="shared" si="1"/>
        <v>45107</v>
      </c>
      <c r="N6" s="438">
        <f t="shared" si="1"/>
        <v>45199</v>
      </c>
      <c r="O6" s="438">
        <f t="shared" si="1"/>
        <v>45291</v>
      </c>
      <c r="P6" s="438">
        <f t="shared" si="1"/>
        <v>45382</v>
      </c>
      <c r="Q6" s="438">
        <f t="shared" si="1"/>
        <v>45473</v>
      </c>
      <c r="R6" s="438">
        <f t="shared" si="1"/>
        <v>45565</v>
      </c>
      <c r="S6" s="438">
        <f t="shared" si="1"/>
        <v>45657</v>
      </c>
      <c r="T6" s="438">
        <f t="shared" si="1"/>
        <v>45747</v>
      </c>
      <c r="U6" s="438">
        <f t="shared" si="1"/>
        <v>45838</v>
      </c>
      <c r="V6" s="438">
        <f t="shared" si="1"/>
        <v>45930</v>
      </c>
      <c r="W6" s="438">
        <f t="shared" si="1"/>
        <v>46022</v>
      </c>
      <c r="X6" s="438">
        <f t="shared" si="1"/>
        <v>46112</v>
      </c>
      <c r="Y6" s="438">
        <f t="shared" si="1"/>
        <v>46203</v>
      </c>
      <c r="CF6" s="34">
        <f>EOMONTH(CE6,3)</f>
        <v>121</v>
      </c>
      <c r="EO6" s="34" t="s">
        <v>2444</v>
      </c>
      <c r="EP6" s="34" t="s">
        <v>2445</v>
      </c>
    </row>
    <row r="7" spans="1:146" ht="16.350000000000001" customHeight="1">
      <c r="A7" s="180"/>
      <c r="B7" s="277" t="s">
        <v>619</v>
      </c>
      <c r="C7" s="277" t="s">
        <v>100</v>
      </c>
      <c r="D7" s="278">
        <f t="shared" ref="D7:W7" si="2">SUM(D8:D10)</f>
        <v>2467694</v>
      </c>
      <c r="E7" s="278">
        <f t="shared" si="2"/>
        <v>2823735</v>
      </c>
      <c r="F7" s="278">
        <f t="shared" si="2"/>
        <v>3000355</v>
      </c>
      <c r="G7" s="278">
        <f t="shared" si="2"/>
        <v>3994135</v>
      </c>
      <c r="H7" s="278">
        <f t="shared" si="2"/>
        <v>3847119</v>
      </c>
      <c r="I7" s="278">
        <f t="shared" si="2"/>
        <v>4169448</v>
      </c>
      <c r="J7" s="278">
        <f t="shared" si="2"/>
        <v>4118369</v>
      </c>
      <c r="K7" s="278">
        <f t="shared" si="2"/>
        <v>4738153</v>
      </c>
      <c r="L7" s="278">
        <f t="shared" si="2"/>
        <v>4434726</v>
      </c>
      <c r="M7" s="278">
        <f t="shared" si="2"/>
        <v>4441247</v>
      </c>
      <c r="N7" s="278">
        <f t="shared" si="2"/>
        <v>4139978</v>
      </c>
      <c r="O7" s="278">
        <f t="shared" si="2"/>
        <v>4647042</v>
      </c>
      <c r="P7" s="278">
        <f t="shared" si="2"/>
        <v>4280589</v>
      </c>
      <c r="Q7" s="278">
        <f t="shared" si="2"/>
        <v>4443520.0010086438</v>
      </c>
      <c r="R7" s="278">
        <f t="shared" si="2"/>
        <v>4469932.2282481166</v>
      </c>
      <c r="S7" s="278">
        <f t="shared" si="2"/>
        <v>4998599.2044862537</v>
      </c>
      <c r="T7" s="278">
        <f t="shared" si="2"/>
        <v>4597079.6237500412</v>
      </c>
      <c r="U7" s="278">
        <f t="shared" si="2"/>
        <v>4662480.6757100746</v>
      </c>
      <c r="V7" s="278">
        <f t="shared" si="2"/>
        <v>4556400.1155200442</v>
      </c>
      <c r="W7" s="278">
        <f t="shared" si="2"/>
        <v>5031856.9542100625</v>
      </c>
      <c r="X7" s="278">
        <f t="shared" ref="X7:Y7" si="3">SUM(X8:X10)</f>
        <v>4590218.0618300159</v>
      </c>
      <c r="Y7" s="278">
        <f t="shared" si="3"/>
        <v>4572380</v>
      </c>
    </row>
    <row r="8" spans="1:146" ht="16.350000000000001" customHeight="1">
      <c r="B8" s="158" t="s">
        <v>660</v>
      </c>
      <c r="C8" s="158" t="s">
        <v>658</v>
      </c>
      <c r="D8" s="159">
        <f t="shared" ref="D8:W8" si="4">D37+D65</f>
        <v>2219214</v>
      </c>
      <c r="E8" s="159">
        <f t="shared" si="4"/>
        <v>2653603</v>
      </c>
      <c r="F8" s="159">
        <f t="shared" si="4"/>
        <v>2830038</v>
      </c>
      <c r="G8" s="159">
        <f t="shared" si="4"/>
        <v>3802342</v>
      </c>
      <c r="H8" s="159">
        <f t="shared" si="4"/>
        <v>3613519</v>
      </c>
      <c r="I8" s="159">
        <f t="shared" si="4"/>
        <v>3901876</v>
      </c>
      <c r="J8" s="159">
        <f t="shared" si="4"/>
        <v>3813100</v>
      </c>
      <c r="K8" s="159">
        <f t="shared" si="4"/>
        <v>4385112</v>
      </c>
      <c r="L8" s="159">
        <f t="shared" si="4"/>
        <v>4011996</v>
      </c>
      <c r="M8" s="159">
        <f t="shared" si="4"/>
        <v>3983751</v>
      </c>
      <c r="N8" s="159">
        <f t="shared" si="4"/>
        <v>3651966</v>
      </c>
      <c r="O8" s="159">
        <f t="shared" si="4"/>
        <v>4161841</v>
      </c>
      <c r="P8" s="159">
        <f t="shared" si="4"/>
        <v>3811087</v>
      </c>
      <c r="Q8" s="159">
        <f t="shared" si="4"/>
        <v>3278592.0557485688</v>
      </c>
      <c r="R8" s="159">
        <f t="shared" si="4"/>
        <v>3289916.9203480259</v>
      </c>
      <c r="S8" s="159">
        <f t="shared" si="4"/>
        <v>3693119.9821961182</v>
      </c>
      <c r="T8" s="159">
        <f t="shared" si="4"/>
        <v>3337230.8299400406</v>
      </c>
      <c r="U8" s="159">
        <f t="shared" si="4"/>
        <v>3477706.4762700759</v>
      </c>
      <c r="V8" s="159">
        <f t="shared" si="4"/>
        <v>3279736.6746600438</v>
      </c>
      <c r="W8" s="159">
        <f t="shared" si="4"/>
        <v>3584915.4792400622</v>
      </c>
      <c r="X8" s="159">
        <f t="shared" ref="X8:Y8" si="5">X37+X65</f>
        <v>3240759.4818200185</v>
      </c>
      <c r="Y8" s="159">
        <f t="shared" si="5"/>
        <v>3208295</v>
      </c>
      <c r="EO8" s="360"/>
    </row>
    <row r="9" spans="1:146" ht="16.350000000000001" customHeight="1">
      <c r="B9" s="158" t="s">
        <v>661</v>
      </c>
      <c r="C9" s="158" t="s">
        <v>659</v>
      </c>
      <c r="D9" s="159">
        <f t="shared" ref="D9:W9" si="6">D38+D66</f>
        <v>110785</v>
      </c>
      <c r="E9" s="159">
        <f t="shared" si="6"/>
        <v>87475</v>
      </c>
      <c r="F9" s="159">
        <f t="shared" si="6"/>
        <v>93485</v>
      </c>
      <c r="G9" s="159">
        <f t="shared" si="6"/>
        <v>108012</v>
      </c>
      <c r="H9" s="159">
        <f t="shared" si="6"/>
        <v>151917</v>
      </c>
      <c r="I9" s="159">
        <f t="shared" si="6"/>
        <v>167593</v>
      </c>
      <c r="J9" s="159">
        <f t="shared" si="6"/>
        <v>181656</v>
      </c>
      <c r="K9" s="159">
        <f t="shared" si="6"/>
        <v>206795</v>
      </c>
      <c r="L9" s="159">
        <f t="shared" si="6"/>
        <v>240070</v>
      </c>
      <c r="M9" s="159">
        <f t="shared" si="6"/>
        <v>243464</v>
      </c>
      <c r="N9" s="159">
        <f t="shared" si="6"/>
        <v>239257</v>
      </c>
      <c r="O9" s="159">
        <f t="shared" si="6"/>
        <v>223775</v>
      </c>
      <c r="P9" s="159">
        <f t="shared" si="6"/>
        <v>218939</v>
      </c>
      <c r="Q9" s="159">
        <f t="shared" si="6"/>
        <v>1082312.902650075</v>
      </c>
      <c r="R9" s="159">
        <f t="shared" si="6"/>
        <v>1112555.0770300911</v>
      </c>
      <c r="S9" s="159">
        <f t="shared" si="6"/>
        <v>1248272.4432001351</v>
      </c>
      <c r="T9" s="159">
        <f t="shared" si="6"/>
        <v>1196862.5196100008</v>
      </c>
      <c r="U9" s="159">
        <f t="shared" si="6"/>
        <v>1115385.2871799988</v>
      </c>
      <c r="V9" s="159">
        <f t="shared" si="6"/>
        <v>1207515.6115300003</v>
      </c>
      <c r="W9" s="159">
        <f t="shared" si="6"/>
        <v>1373842.4933700005</v>
      </c>
      <c r="X9" s="159">
        <f t="shared" ref="X9:Y9" si="7">X38+X66</f>
        <v>1274816.4169599982</v>
      </c>
      <c r="Y9" s="159">
        <f t="shared" si="7"/>
        <v>1288971</v>
      </c>
      <c r="Z9" s="263"/>
      <c r="EO9" s="360"/>
    </row>
    <row r="10" spans="1:146" ht="16.350000000000001" customHeight="1">
      <c r="B10" s="158" t="s">
        <v>2459</v>
      </c>
      <c r="C10" s="158" t="s">
        <v>2437</v>
      </c>
      <c r="D10" s="159">
        <f t="shared" ref="D10:W10" si="8">D39+D67</f>
        <v>137695</v>
      </c>
      <c r="E10" s="159">
        <f t="shared" si="8"/>
        <v>82657</v>
      </c>
      <c r="F10" s="159">
        <f t="shared" si="8"/>
        <v>76832</v>
      </c>
      <c r="G10" s="159">
        <f t="shared" si="8"/>
        <v>83781</v>
      </c>
      <c r="H10" s="159">
        <f t="shared" si="8"/>
        <v>81683</v>
      </c>
      <c r="I10" s="159">
        <f t="shared" si="8"/>
        <v>99979</v>
      </c>
      <c r="J10" s="159">
        <f t="shared" si="8"/>
        <v>123613</v>
      </c>
      <c r="K10" s="159">
        <f t="shared" si="8"/>
        <v>146246</v>
      </c>
      <c r="L10" s="159">
        <f t="shared" si="8"/>
        <v>182660</v>
      </c>
      <c r="M10" s="159">
        <f t="shared" si="8"/>
        <v>214032</v>
      </c>
      <c r="N10" s="159">
        <f t="shared" si="8"/>
        <v>248755</v>
      </c>
      <c r="O10" s="159">
        <f t="shared" si="8"/>
        <v>261426</v>
      </c>
      <c r="P10" s="159">
        <f t="shared" si="8"/>
        <v>250563</v>
      </c>
      <c r="Q10" s="159">
        <f t="shared" si="8"/>
        <v>82615.042609999538</v>
      </c>
      <c r="R10" s="159">
        <f t="shared" si="8"/>
        <v>67460.230870000159</v>
      </c>
      <c r="S10" s="159">
        <f t="shared" si="8"/>
        <v>57206.779089999924</v>
      </c>
      <c r="T10" s="159">
        <f t="shared" si="8"/>
        <v>62986.274199999891</v>
      </c>
      <c r="U10" s="159">
        <f t="shared" si="8"/>
        <v>69388.912259999765</v>
      </c>
      <c r="V10" s="159">
        <f t="shared" si="8"/>
        <v>69147.829329999993</v>
      </c>
      <c r="W10" s="159">
        <f t="shared" si="8"/>
        <v>73098.981600000014</v>
      </c>
      <c r="X10" s="159">
        <f t="shared" ref="X10:Y10" si="9">X39+X67</f>
        <v>74642.16305000009</v>
      </c>
      <c r="Y10" s="159">
        <f t="shared" si="9"/>
        <v>75114</v>
      </c>
      <c r="Z10" s="263"/>
      <c r="EO10" s="360"/>
    </row>
    <row r="11" spans="1:146" ht="16.350000000000001" customHeight="1">
      <c r="B11" s="280" t="s">
        <v>504</v>
      </c>
      <c r="C11" s="280" t="s">
        <v>182</v>
      </c>
      <c r="D11" s="281">
        <f t="shared" ref="D11:W11" si="10">SUM(D12:D14)</f>
        <v>578710</v>
      </c>
      <c r="E11" s="281">
        <f t="shared" si="10"/>
        <v>594797</v>
      </c>
      <c r="F11" s="281">
        <f t="shared" si="10"/>
        <v>717186</v>
      </c>
      <c r="G11" s="281">
        <f t="shared" si="10"/>
        <v>817531</v>
      </c>
      <c r="H11" s="281">
        <f t="shared" si="10"/>
        <v>1088470</v>
      </c>
      <c r="I11" s="281">
        <f t="shared" si="10"/>
        <v>1330454</v>
      </c>
      <c r="J11" s="281">
        <f t="shared" si="10"/>
        <v>1532959</v>
      </c>
      <c r="K11" s="281">
        <f t="shared" si="10"/>
        <v>1630372</v>
      </c>
      <c r="L11" s="281">
        <f t="shared" si="10"/>
        <v>1740504</v>
      </c>
      <c r="M11" s="281">
        <f t="shared" si="10"/>
        <v>1767776</v>
      </c>
      <c r="N11" s="281">
        <f t="shared" si="10"/>
        <v>1681066</v>
      </c>
      <c r="O11" s="281">
        <f t="shared" si="10"/>
        <v>1539816</v>
      </c>
      <c r="P11" s="281">
        <f t="shared" si="10"/>
        <v>1469343</v>
      </c>
      <c r="Q11" s="281">
        <f t="shared" si="10"/>
        <v>1357664.0447700226</v>
      </c>
      <c r="R11" s="281">
        <f t="shared" si="10"/>
        <v>1264613.162360027</v>
      </c>
      <c r="S11" s="281">
        <f t="shared" si="10"/>
        <v>1183589.1980799902</v>
      </c>
      <c r="T11" s="281">
        <f t="shared" si="10"/>
        <v>1514543.6951500042</v>
      </c>
      <c r="U11" s="281">
        <f t="shared" si="10"/>
        <v>1849064.9964300008</v>
      </c>
      <c r="V11" s="281">
        <f t="shared" si="10"/>
        <v>1839276.87381</v>
      </c>
      <c r="W11" s="281">
        <f t="shared" si="10"/>
        <v>1849194.1951499996</v>
      </c>
      <c r="X11" s="281">
        <f t="shared" ref="X11:Y11" si="11">SUM(X12:X14)</f>
        <v>1996536.1027899976</v>
      </c>
      <c r="Y11" s="281">
        <f t="shared" si="11"/>
        <v>2077944</v>
      </c>
      <c r="Z11" s="263"/>
      <c r="EO11" s="360"/>
    </row>
    <row r="12" spans="1:146" ht="16.350000000000001" customHeight="1">
      <c r="B12" s="158" t="s">
        <v>660</v>
      </c>
      <c r="C12" s="158" t="s">
        <v>658</v>
      </c>
      <c r="D12" s="159">
        <f t="shared" ref="D12:W12" si="12">D41+D69</f>
        <v>148294</v>
      </c>
      <c r="E12" s="159">
        <f t="shared" si="12"/>
        <v>107798</v>
      </c>
      <c r="F12" s="159">
        <f t="shared" si="12"/>
        <v>136519</v>
      </c>
      <c r="G12" s="159">
        <f t="shared" si="12"/>
        <v>125301</v>
      </c>
      <c r="H12" s="159">
        <f t="shared" si="12"/>
        <v>193589</v>
      </c>
      <c r="I12" s="159">
        <f t="shared" si="12"/>
        <v>209834</v>
      </c>
      <c r="J12" s="159">
        <f t="shared" si="12"/>
        <v>206523</v>
      </c>
      <c r="K12" s="159">
        <f t="shared" si="12"/>
        <v>154329</v>
      </c>
      <c r="L12" s="159">
        <f t="shared" si="12"/>
        <v>184432</v>
      </c>
      <c r="M12" s="159">
        <f t="shared" si="12"/>
        <v>186854</v>
      </c>
      <c r="N12" s="159">
        <f t="shared" si="12"/>
        <v>177877</v>
      </c>
      <c r="O12" s="159">
        <f t="shared" si="12"/>
        <v>131860</v>
      </c>
      <c r="P12" s="159">
        <f t="shared" si="12"/>
        <v>168818</v>
      </c>
      <c r="Q12" s="159">
        <f t="shared" si="12"/>
        <v>128147.9528900072</v>
      </c>
      <c r="R12" s="159">
        <f t="shared" si="12"/>
        <v>117966.14217000641</v>
      </c>
      <c r="S12" s="159">
        <f t="shared" si="12"/>
        <v>88364.115689994505</v>
      </c>
      <c r="T12" s="159">
        <f t="shared" si="12"/>
        <v>112726.86475000012</v>
      </c>
      <c r="U12" s="159">
        <f t="shared" si="12"/>
        <v>122038.22828999962</v>
      </c>
      <c r="V12" s="159">
        <f t="shared" si="12"/>
        <v>115773.69980000006</v>
      </c>
      <c r="W12" s="159">
        <f t="shared" si="12"/>
        <v>84514.914730000019</v>
      </c>
      <c r="X12" s="159">
        <f t="shared" ref="X12:Y12" si="13">X41+X69</f>
        <v>112700.57699999987</v>
      </c>
      <c r="Y12" s="159">
        <f t="shared" si="13"/>
        <v>117155</v>
      </c>
      <c r="Z12" s="263"/>
      <c r="EO12" s="360"/>
    </row>
    <row r="13" spans="1:146" ht="16.350000000000001" customHeight="1">
      <c r="B13" s="158" t="s">
        <v>661</v>
      </c>
      <c r="C13" s="158" t="s">
        <v>659</v>
      </c>
      <c r="D13" s="159">
        <f t="shared" ref="D13:W13" si="14">D42+D70</f>
        <v>148587</v>
      </c>
      <c r="E13" s="159">
        <f t="shared" si="14"/>
        <v>123837</v>
      </c>
      <c r="F13" s="159">
        <f t="shared" si="14"/>
        <v>152399</v>
      </c>
      <c r="G13" s="159">
        <f t="shared" si="14"/>
        <v>181734</v>
      </c>
      <c r="H13" s="159">
        <f t="shared" si="14"/>
        <v>295857</v>
      </c>
      <c r="I13" s="159">
        <f t="shared" si="14"/>
        <v>295306</v>
      </c>
      <c r="J13" s="159">
        <f t="shared" si="14"/>
        <v>307583</v>
      </c>
      <c r="K13" s="159">
        <f t="shared" si="14"/>
        <v>306220</v>
      </c>
      <c r="L13" s="159">
        <f t="shared" si="14"/>
        <v>365807</v>
      </c>
      <c r="M13" s="159">
        <f t="shared" si="14"/>
        <v>311234</v>
      </c>
      <c r="N13" s="159">
        <f t="shared" si="14"/>
        <v>249927</v>
      </c>
      <c r="O13" s="159">
        <f t="shared" si="14"/>
        <v>217589</v>
      </c>
      <c r="P13" s="159">
        <f t="shared" si="14"/>
        <v>245070</v>
      </c>
      <c r="Q13" s="159">
        <f t="shared" si="14"/>
        <v>225765.88147000258</v>
      </c>
      <c r="R13" s="159">
        <f t="shared" si="14"/>
        <v>230255.44245000291</v>
      </c>
      <c r="S13" s="159">
        <f t="shared" si="14"/>
        <v>233128.91007999697</v>
      </c>
      <c r="T13" s="159">
        <f t="shared" si="14"/>
        <v>285028.21561000071</v>
      </c>
      <c r="U13" s="159">
        <f t="shared" si="14"/>
        <v>245569.0555499997</v>
      </c>
      <c r="V13" s="159">
        <f t="shared" si="14"/>
        <v>229957.76082000026</v>
      </c>
      <c r="W13" s="159">
        <f t="shared" si="14"/>
        <v>227174.87964000038</v>
      </c>
      <c r="X13" s="159">
        <f t="shared" ref="X13:Y13" si="15">X42+X70</f>
        <v>291148.93296999921</v>
      </c>
      <c r="Y13" s="159">
        <f t="shared" si="15"/>
        <v>273417</v>
      </c>
      <c r="Z13" s="263"/>
      <c r="EO13" s="360"/>
    </row>
    <row r="14" spans="1:146" ht="16.350000000000001" customHeight="1">
      <c r="B14" s="158" t="s">
        <v>2459</v>
      </c>
      <c r="C14" s="158" t="s">
        <v>2437</v>
      </c>
      <c r="D14" s="159">
        <f t="shared" ref="D14:W14" si="16">D43+D71</f>
        <v>281829</v>
      </c>
      <c r="E14" s="159">
        <f t="shared" si="16"/>
        <v>363162</v>
      </c>
      <c r="F14" s="159">
        <f t="shared" si="16"/>
        <v>428268</v>
      </c>
      <c r="G14" s="159">
        <f t="shared" si="16"/>
        <v>510496</v>
      </c>
      <c r="H14" s="159">
        <f t="shared" si="16"/>
        <v>599024</v>
      </c>
      <c r="I14" s="159">
        <f t="shared" si="16"/>
        <v>825314</v>
      </c>
      <c r="J14" s="159">
        <f t="shared" si="16"/>
        <v>1018853</v>
      </c>
      <c r="K14" s="159">
        <f t="shared" si="16"/>
        <v>1169823</v>
      </c>
      <c r="L14" s="159">
        <f t="shared" si="16"/>
        <v>1190265</v>
      </c>
      <c r="M14" s="159">
        <f t="shared" si="16"/>
        <v>1269688</v>
      </c>
      <c r="N14" s="159">
        <f t="shared" si="16"/>
        <v>1253262</v>
      </c>
      <c r="O14" s="159">
        <f t="shared" si="16"/>
        <v>1190367</v>
      </c>
      <c r="P14" s="159">
        <f t="shared" si="16"/>
        <v>1055455</v>
      </c>
      <c r="Q14" s="159">
        <f t="shared" si="16"/>
        <v>1003750.2104100129</v>
      </c>
      <c r="R14" s="159">
        <f t="shared" si="16"/>
        <v>916391.57774001767</v>
      </c>
      <c r="S14" s="159">
        <f t="shared" si="16"/>
        <v>862096.17230999889</v>
      </c>
      <c r="T14" s="159">
        <f t="shared" si="16"/>
        <v>1116788.6147900035</v>
      </c>
      <c r="U14" s="159">
        <f t="shared" si="16"/>
        <v>1481457.7125900015</v>
      </c>
      <c r="V14" s="159">
        <f t="shared" si="16"/>
        <v>1493545.4131899998</v>
      </c>
      <c r="W14" s="159">
        <f t="shared" si="16"/>
        <v>1537504.4007799991</v>
      </c>
      <c r="X14" s="159">
        <f t="shared" ref="X14:Y14" si="17">X43+X71</f>
        <v>1592686.5928199985</v>
      </c>
      <c r="Y14" s="159">
        <f t="shared" si="17"/>
        <v>1687372</v>
      </c>
      <c r="Z14" s="142"/>
    </row>
    <row r="15" spans="1:146" s="34" customFormat="1" ht="16.350000000000001" customHeight="1">
      <c r="B15" s="282" t="s">
        <v>1481</v>
      </c>
      <c r="C15" s="283" t="s">
        <v>1480</v>
      </c>
      <c r="D15" s="284">
        <f t="shared" ref="D15:W15" si="18">D7+D11</f>
        <v>3046404</v>
      </c>
      <c r="E15" s="284">
        <f t="shared" si="18"/>
        <v>3418532</v>
      </c>
      <c r="F15" s="284">
        <f t="shared" si="18"/>
        <v>3717541</v>
      </c>
      <c r="G15" s="284">
        <f t="shared" si="18"/>
        <v>4811666</v>
      </c>
      <c r="H15" s="284">
        <f t="shared" si="18"/>
        <v>4935589</v>
      </c>
      <c r="I15" s="284">
        <f t="shared" si="18"/>
        <v>5499902</v>
      </c>
      <c r="J15" s="284">
        <f t="shared" si="18"/>
        <v>5651328</v>
      </c>
      <c r="K15" s="284">
        <f t="shared" si="18"/>
        <v>6368525</v>
      </c>
      <c r="L15" s="284">
        <f t="shared" si="18"/>
        <v>6175230</v>
      </c>
      <c r="M15" s="284">
        <f t="shared" si="18"/>
        <v>6209023</v>
      </c>
      <c r="N15" s="284">
        <f t="shared" si="18"/>
        <v>5821044</v>
      </c>
      <c r="O15" s="284">
        <f t="shared" si="18"/>
        <v>6186858</v>
      </c>
      <c r="P15" s="284">
        <f t="shared" si="18"/>
        <v>5749932</v>
      </c>
      <c r="Q15" s="284">
        <f t="shared" si="18"/>
        <v>5801184.0457786666</v>
      </c>
      <c r="R15" s="284">
        <f t="shared" si="18"/>
        <v>5734545.3906081431</v>
      </c>
      <c r="S15" s="284">
        <f t="shared" si="18"/>
        <v>6182188.4025662439</v>
      </c>
      <c r="T15" s="284">
        <f t="shared" si="18"/>
        <v>6111623.318900045</v>
      </c>
      <c r="U15" s="284">
        <f t="shared" si="18"/>
        <v>6511545.6721400749</v>
      </c>
      <c r="V15" s="284">
        <f t="shared" si="18"/>
        <v>6395676.989330044</v>
      </c>
      <c r="W15" s="284">
        <f t="shared" si="18"/>
        <v>6881051.1493600626</v>
      </c>
      <c r="X15" s="284">
        <f t="shared" ref="X15:Y15" si="19">X7+X11</f>
        <v>6586754.1646200139</v>
      </c>
      <c r="Y15" s="284">
        <f t="shared" si="19"/>
        <v>6650324</v>
      </c>
      <c r="Z15" s="372"/>
    </row>
    <row r="16" spans="1:146" ht="16.350000000000001" customHeight="1">
      <c r="A16" s="180"/>
      <c r="B16" s="285" t="s">
        <v>1472</v>
      </c>
      <c r="C16" s="285" t="s">
        <v>1471</v>
      </c>
      <c r="D16" s="286">
        <f t="shared" ref="D16:W16" si="20">D45+D73</f>
        <v>4503677</v>
      </c>
      <c r="E16" s="286">
        <f t="shared" si="20"/>
        <v>4617862</v>
      </c>
      <c r="F16" s="286">
        <f t="shared" si="20"/>
        <v>4881246</v>
      </c>
      <c r="G16" s="286">
        <f t="shared" si="20"/>
        <v>6161007</v>
      </c>
      <c r="H16" s="286">
        <f t="shared" si="20"/>
        <v>5371791</v>
      </c>
      <c r="I16" s="286">
        <f t="shared" si="20"/>
        <v>5773388</v>
      </c>
      <c r="J16" s="286">
        <f t="shared" si="20"/>
        <v>6210762</v>
      </c>
      <c r="K16" s="286">
        <f t="shared" si="20"/>
        <v>6617758</v>
      </c>
      <c r="L16" s="286">
        <f t="shared" si="20"/>
        <v>6565418</v>
      </c>
      <c r="M16" s="286">
        <f t="shared" si="20"/>
        <v>5944824</v>
      </c>
      <c r="N16" s="286">
        <f t="shared" si="20"/>
        <v>6123325</v>
      </c>
      <c r="O16" s="286">
        <f t="shared" si="20"/>
        <v>6561700</v>
      </c>
      <c r="P16" s="286">
        <f t="shared" si="20"/>
        <v>6725266</v>
      </c>
      <c r="Q16" s="286">
        <f t="shared" si="20"/>
        <v>11260928.74455161</v>
      </c>
      <c r="R16" s="286">
        <f t="shared" si="20"/>
        <v>11363674.376890959</v>
      </c>
      <c r="S16" s="287">
        <f t="shared" si="20"/>
        <v>11454828.177400807</v>
      </c>
      <c r="T16" s="287">
        <f t="shared" si="20"/>
        <v>11873551.660769993</v>
      </c>
      <c r="U16" s="287">
        <f t="shared" si="20"/>
        <v>12081573.854999999</v>
      </c>
      <c r="V16" s="287">
        <f t="shared" si="20"/>
        <v>12630873.786</v>
      </c>
      <c r="W16" s="287">
        <f t="shared" si="20"/>
        <v>12707254.798</v>
      </c>
      <c r="X16" s="287">
        <f t="shared" ref="X16:Y16" si="21">X45+X73</f>
        <v>12030298.471999999</v>
      </c>
      <c r="Y16" s="287">
        <f t="shared" si="21"/>
        <v>11582026.262999998</v>
      </c>
      <c r="Z16" s="409"/>
    </row>
    <row r="17" spans="1:145" ht="16.350000000000001" customHeight="1">
      <c r="N17" s="142"/>
      <c r="P17" s="142"/>
      <c r="Q17" s="142"/>
      <c r="R17" s="142"/>
      <c r="S17" s="142"/>
      <c r="T17" s="75"/>
      <c r="U17" s="75"/>
      <c r="V17" s="177"/>
      <c r="W17" s="177"/>
      <c r="X17" s="177"/>
      <c r="Y17" s="177"/>
      <c r="Z17" s="263"/>
      <c r="EO17" s="360"/>
    </row>
    <row r="18" spans="1:145" ht="16.350000000000001" customHeight="1">
      <c r="A18" s="179"/>
      <c r="B18" s="271" t="s">
        <v>1478</v>
      </c>
      <c r="C18" s="310" t="s">
        <v>1479</v>
      </c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  <c r="O18" s="119"/>
      <c r="P18" s="119"/>
      <c r="Q18" s="119"/>
      <c r="R18" s="119"/>
      <c r="S18" s="119"/>
      <c r="T18" s="119"/>
      <c r="U18" s="119"/>
      <c r="V18" s="119"/>
      <c r="W18" s="119"/>
      <c r="X18" s="119"/>
      <c r="Y18" s="119"/>
      <c r="Z18" s="263"/>
    </row>
    <row r="19" spans="1:145" ht="16.350000000000001" customHeight="1">
      <c r="B19" s="158" t="s">
        <v>660</v>
      </c>
      <c r="C19" s="158" t="s">
        <v>658</v>
      </c>
      <c r="D19" s="159">
        <f t="shared" ref="D19:W19" si="22">D48+D76</f>
        <v>-59592</v>
      </c>
      <c r="E19" s="159">
        <f t="shared" si="22"/>
        <v>-58430.367789999997</v>
      </c>
      <c r="F19" s="159">
        <f t="shared" si="22"/>
        <v>-60755.49651101933</v>
      </c>
      <c r="G19" s="159">
        <f t="shared" si="22"/>
        <v>-78960.435607559702</v>
      </c>
      <c r="H19" s="159">
        <f t="shared" si="22"/>
        <v>-74670.238972181891</v>
      </c>
      <c r="I19" s="159">
        <f t="shared" si="22"/>
        <v>-80863.477490437654</v>
      </c>
      <c r="J19" s="159">
        <f t="shared" si="22"/>
        <v>-77647.098162574257</v>
      </c>
      <c r="K19" s="159">
        <f t="shared" si="22"/>
        <v>-82242.190283569449</v>
      </c>
      <c r="L19" s="159">
        <f t="shared" si="22"/>
        <v>-74501.74090447741</v>
      </c>
      <c r="M19" s="159">
        <f t="shared" si="22"/>
        <v>-73480.68844503093</v>
      </c>
      <c r="N19" s="159">
        <f t="shared" si="22"/>
        <v>-65643.012101572909</v>
      </c>
      <c r="O19" s="159">
        <f t="shared" si="22"/>
        <v>-71072.840070920996</v>
      </c>
      <c r="P19" s="159">
        <f t="shared" si="22"/>
        <v>-66059.401719322748</v>
      </c>
      <c r="Q19" s="159">
        <f t="shared" si="22"/>
        <v>-48369.537345068187</v>
      </c>
      <c r="R19" s="159">
        <f t="shared" si="22"/>
        <v>-48418.073913766595</v>
      </c>
      <c r="S19" s="159">
        <f t="shared" si="22"/>
        <v>-55539.722546981597</v>
      </c>
      <c r="T19" s="159">
        <f t="shared" si="22"/>
        <v>-48936.438587931967</v>
      </c>
      <c r="U19" s="159">
        <f t="shared" si="22"/>
        <v>-53279.58247822593</v>
      </c>
      <c r="V19" s="159">
        <f t="shared" si="22"/>
        <v>-48167.275229151084</v>
      </c>
      <c r="W19" s="159">
        <f t="shared" si="22"/>
        <v>-52326.875543536997</v>
      </c>
      <c r="X19" s="159">
        <f t="shared" ref="X19:Y19" si="23">X48+X76</f>
        <v>-46495.383316606356</v>
      </c>
      <c r="Y19" s="159">
        <f t="shared" si="23"/>
        <v>-46646</v>
      </c>
      <c r="Z19" s="263"/>
      <c r="EO19" s="360"/>
    </row>
    <row r="20" spans="1:145" ht="16.350000000000001" customHeight="1">
      <c r="B20" s="158" t="s">
        <v>661</v>
      </c>
      <c r="C20" s="158" t="s">
        <v>659</v>
      </c>
      <c r="D20" s="159">
        <f t="shared" ref="D20:W20" si="24">D49+D77</f>
        <v>-33381</v>
      </c>
      <c r="E20" s="159">
        <f t="shared" si="24"/>
        <v>-24961.319339999998</v>
      </c>
      <c r="F20" s="159">
        <f t="shared" si="24"/>
        <v>-29466.829405976288</v>
      </c>
      <c r="G20" s="159">
        <f t="shared" si="24"/>
        <v>-35975.638257855928</v>
      </c>
      <c r="H20" s="159">
        <f t="shared" si="24"/>
        <v>-52851.623861296197</v>
      </c>
      <c r="I20" s="159">
        <f t="shared" si="24"/>
        <v>-57397.496306773828</v>
      </c>
      <c r="J20" s="159">
        <f t="shared" si="24"/>
        <v>-60585.018419285589</v>
      </c>
      <c r="K20" s="159">
        <f t="shared" si="24"/>
        <v>-62908.679921662413</v>
      </c>
      <c r="L20" s="159">
        <f t="shared" si="24"/>
        <v>-72250.775222801691</v>
      </c>
      <c r="M20" s="159">
        <f t="shared" si="24"/>
        <v>-66634.246265071299</v>
      </c>
      <c r="N20" s="159">
        <f t="shared" si="24"/>
        <v>-57173.843903746274</v>
      </c>
      <c r="O20" s="159">
        <f t="shared" si="24"/>
        <v>-50535.331486969822</v>
      </c>
      <c r="P20" s="159">
        <f t="shared" si="24"/>
        <v>-51484.920968256934</v>
      </c>
      <c r="Q20" s="159">
        <f t="shared" si="24"/>
        <v>-115316.35841057113</v>
      </c>
      <c r="R20" s="159">
        <f t="shared" si="24"/>
        <v>-116717.90626805169</v>
      </c>
      <c r="S20" s="159">
        <f t="shared" si="24"/>
        <v>-124851.35120127078</v>
      </c>
      <c r="T20" s="159">
        <f t="shared" si="24"/>
        <v>-131227.12672184964</v>
      </c>
      <c r="U20" s="159">
        <f t="shared" si="24"/>
        <v>-121784.41718709021</v>
      </c>
      <c r="V20" s="159">
        <f t="shared" si="24"/>
        <v>-124392.46879714064</v>
      </c>
      <c r="W20" s="159">
        <f t="shared" si="24"/>
        <v>-130631.17827567317</v>
      </c>
      <c r="X20" s="159">
        <f t="shared" ref="X20:Y20" si="25">X49+X77</f>
        <v>-134460.5810897444</v>
      </c>
      <c r="Y20" s="159">
        <f t="shared" si="25"/>
        <v>-134428</v>
      </c>
      <c r="Z20" s="263"/>
    </row>
    <row r="21" spans="1:145" ht="16.350000000000001" customHeight="1">
      <c r="B21" s="158" t="s">
        <v>2459</v>
      </c>
      <c r="C21" s="158" t="s">
        <v>2437</v>
      </c>
      <c r="D21" s="159">
        <f t="shared" ref="D21:W21" si="26">D50+D78</f>
        <v>-321111</v>
      </c>
      <c r="E21" s="159">
        <f t="shared" si="26"/>
        <v>-332712.19896000001</v>
      </c>
      <c r="F21" s="159">
        <f t="shared" si="26"/>
        <v>-385267.14136450028</v>
      </c>
      <c r="G21" s="159">
        <f t="shared" si="26"/>
        <v>-445901.68293449772</v>
      </c>
      <c r="H21" s="159">
        <f t="shared" si="26"/>
        <v>-491878.22118699079</v>
      </c>
      <c r="I21" s="159">
        <f t="shared" si="26"/>
        <v>-667375.70920265489</v>
      </c>
      <c r="J21" s="159">
        <f t="shared" si="26"/>
        <v>-834430.48799605365</v>
      </c>
      <c r="K21" s="159">
        <f t="shared" si="26"/>
        <v>-965127.74726719712</v>
      </c>
      <c r="L21" s="159">
        <f t="shared" si="26"/>
        <v>-1004694.2629524734</v>
      </c>
      <c r="M21" s="159">
        <f t="shared" si="26"/>
        <v>-1078086.127739294</v>
      </c>
      <c r="N21" s="159">
        <f t="shared" si="26"/>
        <v>-1087564.3057430442</v>
      </c>
      <c r="O21" s="159">
        <f t="shared" si="26"/>
        <v>-1043490.10003929</v>
      </c>
      <c r="P21" s="159">
        <f t="shared" si="26"/>
        <v>-940355.97044527647</v>
      </c>
      <c r="Q21" s="159">
        <f t="shared" si="26"/>
        <v>-830400.45430182014</v>
      </c>
      <c r="R21" s="159">
        <f t="shared" si="26"/>
        <v>-755855.99659998296</v>
      </c>
      <c r="S21" s="159">
        <f t="shared" si="26"/>
        <v>-706852.07205707568</v>
      </c>
      <c r="T21" s="159">
        <f t="shared" si="26"/>
        <v>-907401.96638144529</v>
      </c>
      <c r="U21" s="159">
        <f t="shared" si="26"/>
        <v>-1191666.8065146999</v>
      </c>
      <c r="V21" s="159">
        <f t="shared" si="26"/>
        <v>-1203546.9814977539</v>
      </c>
      <c r="W21" s="159">
        <f t="shared" si="26"/>
        <v>-1240401.1769032995</v>
      </c>
      <c r="X21" s="159">
        <f t="shared" ref="X21:Y21" si="27">X50+X78</f>
        <v>-1284938.1198564735</v>
      </c>
      <c r="Y21" s="159">
        <f t="shared" si="27"/>
        <v>-1353742</v>
      </c>
      <c r="Z21" s="263"/>
    </row>
    <row r="22" spans="1:145" ht="16.350000000000001" customHeight="1">
      <c r="B22" s="158" t="s">
        <v>1472</v>
      </c>
      <c r="C22" s="158" t="s">
        <v>1471</v>
      </c>
      <c r="D22" s="159">
        <f t="shared" ref="D22:W22" si="28">D51+D79</f>
        <v>-18393</v>
      </c>
      <c r="E22" s="159">
        <f t="shared" si="28"/>
        <v>-17419.753239999998</v>
      </c>
      <c r="F22" s="159">
        <f t="shared" si="28"/>
        <v>-17087.934508504117</v>
      </c>
      <c r="G22" s="159">
        <f t="shared" si="28"/>
        <v>-22300.716560086646</v>
      </c>
      <c r="H22" s="159">
        <f t="shared" si="28"/>
        <v>-15691.915979531128</v>
      </c>
      <c r="I22" s="159">
        <f t="shared" si="28"/>
        <v>-15869.948140133611</v>
      </c>
      <c r="J22" s="159">
        <f t="shared" si="28"/>
        <v>-16144.395422086462</v>
      </c>
      <c r="K22" s="159">
        <f t="shared" si="28"/>
        <v>-17879.382527571001</v>
      </c>
      <c r="L22" s="159">
        <f t="shared" si="28"/>
        <v>-14628.220920247446</v>
      </c>
      <c r="M22" s="159">
        <f t="shared" si="28"/>
        <v>-13265.628720603667</v>
      </c>
      <c r="N22" s="159">
        <f t="shared" si="28"/>
        <v>-13326.838251636556</v>
      </c>
      <c r="O22" s="159">
        <f t="shared" si="28"/>
        <v>-16039.170582819186</v>
      </c>
      <c r="P22" s="159">
        <f t="shared" si="28"/>
        <v>-14744.706867143823</v>
      </c>
      <c r="Q22" s="159">
        <f t="shared" si="28"/>
        <v>-16702.73733893684</v>
      </c>
      <c r="R22" s="159">
        <f t="shared" si="28"/>
        <v>-16169.843172103632</v>
      </c>
      <c r="S22" s="159">
        <f t="shared" si="28"/>
        <v>-16205.537453511404</v>
      </c>
      <c r="T22" s="159">
        <f t="shared" si="28"/>
        <v>-15343.036825810867</v>
      </c>
      <c r="U22" s="159">
        <f t="shared" si="28"/>
        <v>-15079.75944189302</v>
      </c>
      <c r="V22" s="159">
        <f t="shared" si="28"/>
        <v>-15273.333000000001</v>
      </c>
      <c r="W22" s="159">
        <f t="shared" si="28"/>
        <v>-16328.060019203627</v>
      </c>
      <c r="X22" s="159">
        <f t="shared" ref="X22:Y22" si="29">X51+X79</f>
        <v>-15704.751696787138</v>
      </c>
      <c r="Y22" s="159">
        <f t="shared" si="29"/>
        <v>-16245</v>
      </c>
      <c r="Z22" s="263"/>
      <c r="EO22" s="360"/>
    </row>
    <row r="23" spans="1:145" s="34" customFormat="1" ht="16.350000000000001" customHeight="1">
      <c r="B23" s="289" t="s">
        <v>1476</v>
      </c>
      <c r="C23" s="290" t="s">
        <v>1477</v>
      </c>
      <c r="D23" s="291">
        <f t="shared" ref="D23:W23" si="30">SUM(D19:D22)</f>
        <v>-432477</v>
      </c>
      <c r="E23" s="291">
        <f t="shared" si="30"/>
        <v>-433523.63932999998</v>
      </c>
      <c r="F23" s="291">
        <f t="shared" si="30"/>
        <v>-492577.40179000003</v>
      </c>
      <c r="G23" s="291">
        <f t="shared" si="30"/>
        <v>-583138.47336000006</v>
      </c>
      <c r="H23" s="291">
        <f t="shared" si="30"/>
        <v>-635092</v>
      </c>
      <c r="I23" s="291">
        <f t="shared" si="30"/>
        <v>-821506.63113999995</v>
      </c>
      <c r="J23" s="291">
        <f t="shared" si="30"/>
        <v>-988807</v>
      </c>
      <c r="K23" s="291">
        <f t="shared" si="30"/>
        <v>-1128158</v>
      </c>
      <c r="L23" s="291">
        <f t="shared" si="30"/>
        <v>-1166075</v>
      </c>
      <c r="M23" s="291">
        <f t="shared" si="30"/>
        <v>-1231466.6911699998</v>
      </c>
      <c r="N23" s="291">
        <f t="shared" si="30"/>
        <v>-1223708</v>
      </c>
      <c r="O23" s="291">
        <f t="shared" si="30"/>
        <v>-1181137.44218</v>
      </c>
      <c r="P23" s="291">
        <f t="shared" si="30"/>
        <v>-1072645</v>
      </c>
      <c r="Q23" s="291">
        <f t="shared" si="30"/>
        <v>-1010789.0873963963</v>
      </c>
      <c r="R23" s="291">
        <f t="shared" si="30"/>
        <v>-937161.81995390495</v>
      </c>
      <c r="S23" s="291">
        <f t="shared" si="30"/>
        <v>-903448.68325883942</v>
      </c>
      <c r="T23" s="291">
        <f t="shared" si="30"/>
        <v>-1102908.5685170377</v>
      </c>
      <c r="U23" s="291">
        <f t="shared" si="30"/>
        <v>-1381810.5656219092</v>
      </c>
      <c r="V23" s="291">
        <f t="shared" si="30"/>
        <v>-1391380.0585240456</v>
      </c>
      <c r="W23" s="291">
        <f t="shared" si="30"/>
        <v>-1439687.2907417135</v>
      </c>
      <c r="X23" s="291">
        <f t="shared" ref="X23:Y23" si="31">SUM(X19:X22)</f>
        <v>-1481598.8359596112</v>
      </c>
      <c r="Y23" s="291">
        <f t="shared" si="31"/>
        <v>-1551061</v>
      </c>
      <c r="Z23" s="372"/>
      <c r="EO23" s="361"/>
    </row>
    <row r="24" spans="1:145" ht="16.350000000000001" customHeight="1">
      <c r="B24" s="292" t="s">
        <v>1474</v>
      </c>
      <c r="C24" s="292" t="s">
        <v>1475</v>
      </c>
      <c r="D24" s="293"/>
      <c r="E24" s="293"/>
      <c r="F24" s="293"/>
      <c r="G24" s="293"/>
      <c r="H24" s="293"/>
      <c r="I24" s="293"/>
      <c r="J24" s="293"/>
      <c r="K24" s="293"/>
      <c r="L24" s="293"/>
      <c r="M24" s="293"/>
      <c r="N24" s="293"/>
      <c r="O24" s="293"/>
      <c r="P24" s="293"/>
      <c r="Q24" s="293"/>
      <c r="R24" s="293"/>
      <c r="S24" s="293"/>
      <c r="T24" s="293"/>
      <c r="U24" s="293"/>
      <c r="V24" s="293"/>
      <c r="W24" s="293"/>
      <c r="X24" s="293"/>
      <c r="Y24" s="293"/>
      <c r="Z24" s="263"/>
      <c r="EO24" s="360"/>
    </row>
    <row r="25" spans="1:145" ht="16.350000000000001" customHeight="1">
      <c r="B25" s="158" t="s">
        <v>660</v>
      </c>
      <c r="C25" s="158" t="s">
        <v>658</v>
      </c>
      <c r="D25" s="295">
        <f t="shared" ref="D25:W25" si="32">-D19/(D8+D12)</f>
        <v>2.5170770278284172E-2</v>
      </c>
      <c r="E25" s="295">
        <f t="shared" si="32"/>
        <v>2.1159682273599524E-2</v>
      </c>
      <c r="F25" s="295">
        <f t="shared" si="32"/>
        <v>2.0480137921172367E-2</v>
      </c>
      <c r="G25" s="295">
        <f t="shared" si="32"/>
        <v>2.0103771042215317E-2</v>
      </c>
      <c r="H25" s="295">
        <f t="shared" si="32"/>
        <v>1.9613375552304239E-2</v>
      </c>
      <c r="I25" s="295">
        <f t="shared" si="32"/>
        <v>1.9666629575149426E-2</v>
      </c>
      <c r="J25" s="295">
        <f t="shared" si="32"/>
        <v>1.9317010118255932E-2</v>
      </c>
      <c r="K25" s="295">
        <f t="shared" si="32"/>
        <v>1.8117250622613986E-2</v>
      </c>
      <c r="L25" s="295">
        <f t="shared" si="32"/>
        <v>1.77536087607073E-2</v>
      </c>
      <c r="M25" s="295">
        <f t="shared" si="32"/>
        <v>1.7618712020205925E-2</v>
      </c>
      <c r="N25" s="295">
        <f t="shared" si="32"/>
        <v>1.7139870250966662E-2</v>
      </c>
      <c r="O25" s="295">
        <f t="shared" si="32"/>
        <v>1.6552815408180727E-2</v>
      </c>
      <c r="P25" s="295">
        <f t="shared" si="32"/>
        <v>1.6598235817016423E-2</v>
      </c>
      <c r="Q25" s="295">
        <f t="shared" si="32"/>
        <v>1.4198188656139315E-2</v>
      </c>
      <c r="R25" s="295">
        <f t="shared" si="32"/>
        <v>1.4207668815370451E-2</v>
      </c>
      <c r="S25" s="295">
        <f t="shared" si="32"/>
        <v>1.4687281794475576E-2</v>
      </c>
      <c r="T25" s="295">
        <f t="shared" si="32"/>
        <v>1.4184648890985497E-2</v>
      </c>
      <c r="U25" s="295">
        <f t="shared" si="32"/>
        <v>1.4800933635858275E-2</v>
      </c>
      <c r="V25" s="393">
        <f t="shared" si="32"/>
        <v>1.4185577399924945E-2</v>
      </c>
      <c r="W25" s="393">
        <f t="shared" si="32"/>
        <v>1.4260217506653136E-2</v>
      </c>
      <c r="X25" s="393">
        <f t="shared" ref="X25:Y25" si="33">-X19/(X8+X12)</f>
        <v>1.3864898493219769E-2</v>
      </c>
      <c r="Y25" s="393">
        <f t="shared" si="33"/>
        <v>1.4026973793020493E-2</v>
      </c>
      <c r="Z25" s="263"/>
    </row>
    <row r="26" spans="1:145" ht="16.350000000000001" customHeight="1">
      <c r="B26" s="158" t="s">
        <v>661</v>
      </c>
      <c r="C26" s="158" t="s">
        <v>659</v>
      </c>
      <c r="D26" s="295">
        <f t="shared" ref="D26:W26" si="34">-D20/(D9+D13)</f>
        <v>0.1286993198957482</v>
      </c>
      <c r="E26" s="295">
        <f t="shared" si="34"/>
        <v>0.11812542278715832</v>
      </c>
      <c r="F26" s="295">
        <f t="shared" si="34"/>
        <v>0.11984036946680666</v>
      </c>
      <c r="G26" s="295">
        <f t="shared" si="34"/>
        <v>0.12416267440398117</v>
      </c>
      <c r="H26" s="295">
        <f t="shared" si="34"/>
        <v>0.11803191757738546</v>
      </c>
      <c r="I26" s="295">
        <f t="shared" si="34"/>
        <v>0.1239957232717587</v>
      </c>
      <c r="J26" s="295">
        <f t="shared" si="34"/>
        <v>0.1238352184091734</v>
      </c>
      <c r="K26" s="295">
        <f t="shared" si="34"/>
        <v>0.12262542015664729</v>
      </c>
      <c r="L26" s="295">
        <f t="shared" si="34"/>
        <v>0.11924990587660811</v>
      </c>
      <c r="M26" s="295">
        <f t="shared" si="34"/>
        <v>0.12012707142457932</v>
      </c>
      <c r="N26" s="295">
        <f t="shared" si="34"/>
        <v>0.11687594832158507</v>
      </c>
      <c r="O26" s="295">
        <f t="shared" si="34"/>
        <v>0.11449808205238719</v>
      </c>
      <c r="P26" s="295">
        <f t="shared" si="34"/>
        <v>0.11095672921916802</v>
      </c>
      <c r="Q26" s="295">
        <f t="shared" si="34"/>
        <v>8.8157043605093313E-2</v>
      </c>
      <c r="R26" s="295">
        <f t="shared" si="34"/>
        <v>8.6920607617255063E-2</v>
      </c>
      <c r="S26" s="295">
        <f t="shared" si="34"/>
        <v>8.4279220431940208E-2</v>
      </c>
      <c r="T26" s="295">
        <f t="shared" si="34"/>
        <v>8.8553847866771132E-2</v>
      </c>
      <c r="U26" s="295">
        <f t="shared" si="34"/>
        <v>8.9484572232450835E-2</v>
      </c>
      <c r="V26" s="393">
        <f t="shared" si="34"/>
        <v>8.6535494284518247E-2</v>
      </c>
      <c r="W26" s="393">
        <f t="shared" si="34"/>
        <v>8.1592605100892418E-2</v>
      </c>
      <c r="X26" s="393">
        <f t="shared" ref="X26:Y26" si="35">-X20/(X9+X13)</f>
        <v>8.5864339907492288E-2</v>
      </c>
      <c r="Y26" s="393">
        <f t="shared" si="35"/>
        <v>8.6040087353461497E-2</v>
      </c>
      <c r="Z26" s="263"/>
      <c r="EO26" s="360"/>
    </row>
    <row r="27" spans="1:145" ht="16.350000000000001" customHeight="1">
      <c r="B27" s="158" t="s">
        <v>2459</v>
      </c>
      <c r="C27" s="158" t="s">
        <v>2437</v>
      </c>
      <c r="D27" s="295">
        <f t="shared" ref="D27:W27" si="36">-D21/(D10+D14)</f>
        <v>0.7654174731362211</v>
      </c>
      <c r="E27" s="295">
        <f t="shared" si="36"/>
        <v>0.74629434582195919</v>
      </c>
      <c r="F27" s="295">
        <f t="shared" si="36"/>
        <v>0.76275418999109146</v>
      </c>
      <c r="G27" s="295">
        <f t="shared" si="36"/>
        <v>0.75032633424227713</v>
      </c>
      <c r="H27" s="295">
        <f t="shared" si="36"/>
        <v>0.7225990348079141</v>
      </c>
      <c r="I27" s="295">
        <f t="shared" si="36"/>
        <v>0.72125878959708423</v>
      </c>
      <c r="J27" s="295">
        <f t="shared" si="36"/>
        <v>0.73037664840446337</v>
      </c>
      <c r="K27" s="295">
        <f t="shared" si="36"/>
        <v>0.7333412968979568</v>
      </c>
      <c r="L27" s="295">
        <f t="shared" si="36"/>
        <v>0.73179107595278214</v>
      </c>
      <c r="M27" s="295">
        <f t="shared" si="36"/>
        <v>0.72661022816925969</v>
      </c>
      <c r="N27" s="295">
        <f t="shared" si="36"/>
        <v>0.72406923872568973</v>
      </c>
      <c r="O27" s="295">
        <f t="shared" si="36"/>
        <v>0.71875956147969444</v>
      </c>
      <c r="P27" s="295">
        <f t="shared" si="36"/>
        <v>0.7200176187811167</v>
      </c>
      <c r="Q27" s="295">
        <f t="shared" si="36"/>
        <v>0.76438421791692102</v>
      </c>
      <c r="R27" s="295">
        <f t="shared" si="36"/>
        <v>0.76826203904412538</v>
      </c>
      <c r="S27" s="295">
        <f t="shared" si="36"/>
        <v>0.76890003559829379</v>
      </c>
      <c r="T27" s="295">
        <f t="shared" si="36"/>
        <v>0.76913144604922512</v>
      </c>
      <c r="U27" s="295">
        <f t="shared" si="36"/>
        <v>0.76839758840108296</v>
      </c>
      <c r="V27" s="393">
        <f t="shared" si="36"/>
        <v>0.77017481662422338</v>
      </c>
      <c r="W27" s="393">
        <f t="shared" si="36"/>
        <v>0.77014688437469359</v>
      </c>
      <c r="X27" s="393">
        <f t="shared" ref="X27:Y27" si="37">-X21/(X10+X14)</f>
        <v>0.77065672581530165</v>
      </c>
      <c r="Y27" s="393">
        <f t="shared" si="37"/>
        <v>0.76808666848984897</v>
      </c>
      <c r="Z27" s="263"/>
    </row>
    <row r="28" spans="1:145" ht="16.350000000000001" customHeight="1">
      <c r="B28" s="296" t="s">
        <v>1472</v>
      </c>
      <c r="C28" s="296" t="s">
        <v>1471</v>
      </c>
      <c r="D28" s="297">
        <f t="shared" ref="D28:W28" si="38">-D22/D16</f>
        <v>4.0839962546159502E-3</v>
      </c>
      <c r="E28" s="297">
        <f t="shared" si="38"/>
        <v>3.7722550478987891E-3</v>
      </c>
      <c r="F28" s="297">
        <f t="shared" si="38"/>
        <v>3.5007320894099819E-3</v>
      </c>
      <c r="G28" s="297">
        <f t="shared" si="38"/>
        <v>3.6196544753295439E-3</v>
      </c>
      <c r="H28" s="297">
        <f t="shared" si="38"/>
        <v>2.9211702353146517E-3</v>
      </c>
      <c r="I28" s="297">
        <f t="shared" si="38"/>
        <v>2.7488102549375879E-3</v>
      </c>
      <c r="J28" s="297">
        <f t="shared" si="38"/>
        <v>2.5994226508899328E-3</v>
      </c>
      <c r="K28" s="297">
        <f t="shared" si="38"/>
        <v>2.7017280667517608E-3</v>
      </c>
      <c r="L28" s="297">
        <f t="shared" si="38"/>
        <v>2.2280715287659441E-3</v>
      </c>
      <c r="M28" s="297">
        <f t="shared" si="38"/>
        <v>2.2314586135104533E-3</v>
      </c>
      <c r="N28" s="297">
        <f t="shared" si="38"/>
        <v>2.1764055070793331E-3</v>
      </c>
      <c r="O28" s="297">
        <f t="shared" si="38"/>
        <v>2.4443620681864741E-3</v>
      </c>
      <c r="P28" s="297">
        <f t="shared" si="38"/>
        <v>2.1924347478811728E-3</v>
      </c>
      <c r="Q28" s="297">
        <f t="shared" si="38"/>
        <v>1.4832468722456083E-3</v>
      </c>
      <c r="R28" s="297">
        <f t="shared" si="38"/>
        <v>1.4229414391692219E-3</v>
      </c>
      <c r="S28" s="297">
        <f t="shared" si="38"/>
        <v>1.4147342240788262E-3</v>
      </c>
      <c r="T28" s="297">
        <f t="shared" si="38"/>
        <v>1.2922028104281544E-3</v>
      </c>
      <c r="U28" s="297">
        <f t="shared" si="38"/>
        <v>1.2481618390845835E-3</v>
      </c>
      <c r="V28" s="394">
        <f t="shared" si="38"/>
        <v>1.2092063667779572E-3</v>
      </c>
      <c r="W28" s="394">
        <f t="shared" si="38"/>
        <v>1.2849400030739532E-3</v>
      </c>
      <c r="X28" s="394">
        <f t="shared" ref="X28:Y28" si="39">-X22/X16</f>
        <v>1.3054332553210769E-3</v>
      </c>
      <c r="Y28" s="394">
        <f t="shared" si="39"/>
        <v>1.4026043138838636E-3</v>
      </c>
      <c r="Z28" s="263"/>
      <c r="EO28" s="360"/>
    </row>
    <row r="29" spans="1:145" s="172" customFormat="1" ht="16.350000000000001" customHeight="1">
      <c r="B29" s="309" t="s">
        <v>2408</v>
      </c>
      <c r="C29" s="309" t="s">
        <v>2460</v>
      </c>
      <c r="D29" s="308">
        <f t="shared" ref="D29:W29" si="40">-D23/D15</f>
        <v>0.14196311454422986</v>
      </c>
      <c r="E29" s="308">
        <f t="shared" si="40"/>
        <v>0.12681573240502061</v>
      </c>
      <c r="F29" s="308">
        <f t="shared" si="40"/>
        <v>0.1325008659729644</v>
      </c>
      <c r="G29" s="308">
        <f t="shared" si="40"/>
        <v>0.12119263335401918</v>
      </c>
      <c r="H29" s="308">
        <f t="shared" si="40"/>
        <v>0.12867603035828146</v>
      </c>
      <c r="I29" s="308">
        <f t="shared" si="40"/>
        <v>0.14936750348278932</v>
      </c>
      <c r="J29" s="308">
        <f t="shared" si="40"/>
        <v>0.17496896304726961</v>
      </c>
      <c r="K29" s="308">
        <f t="shared" si="40"/>
        <v>0.17714588542872958</v>
      </c>
      <c r="L29" s="308">
        <f t="shared" si="40"/>
        <v>0.18883102329791765</v>
      </c>
      <c r="M29" s="308">
        <f t="shared" si="40"/>
        <v>0.19833501843526746</v>
      </c>
      <c r="N29" s="308">
        <f t="shared" si="40"/>
        <v>0.21022139671165516</v>
      </c>
      <c r="O29" s="308">
        <f t="shared" si="40"/>
        <v>0.1909107081785294</v>
      </c>
      <c r="P29" s="308">
        <f t="shared" si="40"/>
        <v>0.18654916266835853</v>
      </c>
      <c r="Q29" s="308">
        <f t="shared" si="40"/>
        <v>0.1742384105417091</v>
      </c>
      <c r="R29" s="308">
        <f t="shared" si="40"/>
        <v>0.16342390828203382</v>
      </c>
      <c r="S29" s="308">
        <f t="shared" si="40"/>
        <v>0.14613735855798496</v>
      </c>
      <c r="T29" s="308">
        <f t="shared" si="40"/>
        <v>0.18046082210373143</v>
      </c>
      <c r="U29" s="308">
        <f t="shared" si="40"/>
        <v>0.2122093025522411</v>
      </c>
      <c r="V29" s="395">
        <f t="shared" si="40"/>
        <v>0.21755008278956167</v>
      </c>
      <c r="W29" s="395">
        <f t="shared" si="40"/>
        <v>0.20922490757471035</v>
      </c>
      <c r="X29" s="395">
        <f t="shared" ref="X29:Y29" si="41">-X23/X15</f>
        <v>0.22493610645404796</v>
      </c>
      <c r="Y29" s="395">
        <f t="shared" si="41"/>
        <v>0.23323089220916154</v>
      </c>
      <c r="Z29" s="373"/>
    </row>
    <row r="30" spans="1:145" s="172" customFormat="1" ht="16.350000000000001" customHeight="1">
      <c r="B30" s="309" t="s">
        <v>2409</v>
      </c>
      <c r="C30" s="309" t="s">
        <v>2461</v>
      </c>
      <c r="D30" s="308">
        <f t="shared" ref="D30:W30" si="42">-D23/D11</f>
        <v>0.74731212524407731</v>
      </c>
      <c r="E30" s="308">
        <f t="shared" si="42"/>
        <v>0.72885982836160901</v>
      </c>
      <c r="F30" s="308">
        <f t="shared" si="42"/>
        <v>0.68681960020134247</v>
      </c>
      <c r="G30" s="308">
        <f t="shared" si="42"/>
        <v>0.71329218507922032</v>
      </c>
      <c r="H30" s="308">
        <f t="shared" si="42"/>
        <v>0.5834722132902147</v>
      </c>
      <c r="I30" s="308">
        <f t="shared" si="42"/>
        <v>0.61746338553606506</v>
      </c>
      <c r="J30" s="308">
        <f t="shared" si="42"/>
        <v>0.64503160228029577</v>
      </c>
      <c r="K30" s="308">
        <f t="shared" si="42"/>
        <v>0.69196355187650427</v>
      </c>
      <c r="L30" s="308">
        <f t="shared" si="42"/>
        <v>0.66996398744271779</v>
      </c>
      <c r="M30" s="308">
        <f t="shared" si="42"/>
        <v>0.69661919336499634</v>
      </c>
      <c r="N30" s="308">
        <f t="shared" si="42"/>
        <v>0.7279357264973535</v>
      </c>
      <c r="O30" s="308">
        <f t="shared" si="42"/>
        <v>0.76706401425884652</v>
      </c>
      <c r="P30" s="308">
        <f t="shared" si="42"/>
        <v>0.73001674898236835</v>
      </c>
      <c r="Q30" s="308">
        <f t="shared" si="42"/>
        <v>0.74450604425310229</v>
      </c>
      <c r="R30" s="308">
        <f t="shared" si="42"/>
        <v>0.74106600172100789</v>
      </c>
      <c r="S30" s="308">
        <f t="shared" si="42"/>
        <v>0.76331271417854041</v>
      </c>
      <c r="T30" s="308">
        <f t="shared" si="42"/>
        <v>0.72821178553571064</v>
      </c>
      <c r="U30" s="308">
        <f t="shared" si="42"/>
        <v>0.74730232214107017</v>
      </c>
      <c r="V30" s="395">
        <f t="shared" si="42"/>
        <v>0.75648211443111812</v>
      </c>
      <c r="W30" s="395">
        <f t="shared" si="42"/>
        <v>0.77854845884638502</v>
      </c>
      <c r="X30" s="395">
        <f t="shared" ref="X30:Y30" si="43">-X23/X11</f>
        <v>0.74208467048965299</v>
      </c>
      <c r="Y30" s="395">
        <f t="shared" si="43"/>
        <v>0.7464402313055597</v>
      </c>
      <c r="Z30" s="373"/>
      <c r="CG30" s="172">
        <f>CG31+CG54</f>
        <v>0</v>
      </c>
    </row>
    <row r="31" spans="1:145" s="172" customFormat="1" ht="16.350000000000001" customHeight="1">
      <c r="B31" s="309" t="s">
        <v>2410</v>
      </c>
      <c r="C31" s="309" t="s">
        <v>2462</v>
      </c>
      <c r="D31" s="395">
        <f t="shared" ref="D31:V31" si="44">-D23/(D14+D10)</f>
        <v>1.0308754683879826</v>
      </c>
      <c r="E31" s="395">
        <f t="shared" si="44"/>
        <v>0.97242073426659692</v>
      </c>
      <c r="F31" s="395">
        <f t="shared" si="44"/>
        <v>0.97520768519105139</v>
      </c>
      <c r="G31" s="395">
        <f t="shared" si="44"/>
        <v>0.98125701206676363</v>
      </c>
      <c r="H31" s="395">
        <f t="shared" si="44"/>
        <v>0.93298878959669873</v>
      </c>
      <c r="I31" s="395">
        <f t="shared" si="44"/>
        <v>0.88783404947405842</v>
      </c>
      <c r="J31" s="395">
        <f t="shared" si="44"/>
        <v>0.86550234317695229</v>
      </c>
      <c r="K31" s="395">
        <f t="shared" si="44"/>
        <v>0.85721797261389787</v>
      </c>
      <c r="L31" s="395">
        <f t="shared" si="44"/>
        <v>0.84933627110002363</v>
      </c>
      <c r="M31" s="395">
        <f t="shared" si="44"/>
        <v>0.82998590783301418</v>
      </c>
      <c r="N31" s="395">
        <f t="shared" si="44"/>
        <v>0.81470982019511096</v>
      </c>
      <c r="O31" s="395">
        <f t="shared" si="44"/>
        <v>0.81357152306148328</v>
      </c>
      <c r="P31" s="395">
        <f t="shared" si="44"/>
        <v>0.82130950721965545</v>
      </c>
      <c r="Q31" s="395">
        <f t="shared" si="44"/>
        <v>0.93043208496081775</v>
      </c>
      <c r="R31" s="395">
        <f t="shared" si="44"/>
        <v>0.95254367756656733</v>
      </c>
      <c r="S31" s="395">
        <f t="shared" si="44"/>
        <v>0.98275403324114741</v>
      </c>
      <c r="T31" s="395">
        <f t="shared" si="44"/>
        <v>0.93484662100346072</v>
      </c>
      <c r="U31" s="395">
        <f t="shared" si="44"/>
        <v>0.89100401256994632</v>
      </c>
      <c r="V31" s="395">
        <f t="shared" si="44"/>
        <v>0.89037312037025607</v>
      </c>
      <c r="W31" s="395">
        <f>-W23/(W14+W10)</f>
        <v>0.89388070737457292</v>
      </c>
      <c r="X31" s="395">
        <f>-X23/(X14+X10)</f>
        <v>0.8886062995935825</v>
      </c>
      <c r="Y31" s="395">
        <f>-Y23/(Y14+Y10)</f>
        <v>0.88004160033044232</v>
      </c>
      <c r="Z31" s="373"/>
    </row>
    <row r="32" spans="1:145" s="172" customFormat="1" ht="16.350000000000001" customHeight="1">
      <c r="B32" s="405" t="s">
        <v>2411</v>
      </c>
      <c r="C32" s="406" t="s">
        <v>2463</v>
      </c>
      <c r="D32" s="408">
        <f t="shared" ref="D32:V32" si="45">-D23/D14</f>
        <v>1.5345369000351277</v>
      </c>
      <c r="E32" s="408">
        <f t="shared" si="45"/>
        <v>1.1937472514470127</v>
      </c>
      <c r="F32" s="408">
        <f t="shared" si="45"/>
        <v>1.1501615852456875</v>
      </c>
      <c r="G32" s="408">
        <f t="shared" si="45"/>
        <v>1.1422978306588103</v>
      </c>
      <c r="H32" s="408">
        <f t="shared" si="45"/>
        <v>1.060211277010604</v>
      </c>
      <c r="I32" s="408">
        <f t="shared" si="45"/>
        <v>0.99538676326828324</v>
      </c>
      <c r="J32" s="408">
        <f t="shared" si="45"/>
        <v>0.97050997543315864</v>
      </c>
      <c r="K32" s="408">
        <f t="shared" si="45"/>
        <v>0.96438350075182311</v>
      </c>
      <c r="L32" s="408">
        <f t="shared" si="45"/>
        <v>0.97967679466337332</v>
      </c>
      <c r="M32" s="408">
        <f t="shared" si="45"/>
        <v>0.96989708587463985</v>
      </c>
      <c r="N32" s="408">
        <f t="shared" si="45"/>
        <v>0.97641833870331984</v>
      </c>
      <c r="O32" s="408">
        <f t="shared" si="45"/>
        <v>0.99224646027653662</v>
      </c>
      <c r="P32" s="408">
        <f t="shared" si="45"/>
        <v>1.0162868146912942</v>
      </c>
      <c r="Q32" s="408">
        <f t="shared" si="45"/>
        <v>1.007012578342084</v>
      </c>
      <c r="R32" s="408">
        <f t="shared" si="45"/>
        <v>1.0226652478246367</v>
      </c>
      <c r="S32" s="408">
        <f t="shared" si="45"/>
        <v>1.0479673988553224</v>
      </c>
      <c r="T32" s="408">
        <f t="shared" si="45"/>
        <v>0.98757146510167837</v>
      </c>
      <c r="U32" s="408">
        <f t="shared" si="45"/>
        <v>0.93273709663039839</v>
      </c>
      <c r="V32" s="408">
        <f t="shared" si="45"/>
        <v>0.93159541466653928</v>
      </c>
      <c r="W32" s="408">
        <f>-W23/W14</f>
        <v>0.93637929752353133</v>
      </c>
      <c r="X32" s="408">
        <f>-X23/X14</f>
        <v>0.9302513392395072</v>
      </c>
      <c r="Y32" s="408">
        <f>-Y23/Y14</f>
        <v>0.91921698356971671</v>
      </c>
      <c r="Z32" s="411"/>
    </row>
    <row r="33" spans="1:26" ht="16.350000000000001" customHeight="1">
      <c r="A33" s="178"/>
      <c r="B33" s="298"/>
      <c r="C33" s="298"/>
      <c r="D33" s="299"/>
      <c r="E33" s="299"/>
      <c r="F33" s="299"/>
      <c r="G33" s="299"/>
      <c r="H33" s="299"/>
      <c r="I33" s="299"/>
      <c r="J33" s="299"/>
      <c r="K33" s="299"/>
      <c r="L33" s="299"/>
      <c r="M33" s="299"/>
      <c r="N33" s="299"/>
      <c r="O33" s="299"/>
      <c r="P33" s="299"/>
      <c r="Q33" s="299"/>
      <c r="R33" s="299"/>
      <c r="S33" s="299"/>
      <c r="T33" s="299"/>
      <c r="U33" s="299"/>
      <c r="V33" s="299"/>
      <c r="W33" s="299"/>
      <c r="X33" s="299"/>
      <c r="Y33" s="299"/>
      <c r="Z33" s="263"/>
    </row>
    <row r="34" spans="1:26" ht="16.350000000000001" customHeight="1">
      <c r="A34" s="178"/>
      <c r="B34" s="17"/>
      <c r="C34" s="17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Z34" s="263"/>
    </row>
    <row r="35" spans="1:26" s="34" customFormat="1" ht="16.350000000000001" customHeight="1">
      <c r="B35" s="437" t="s">
        <v>2412</v>
      </c>
      <c r="C35" s="437" t="s">
        <v>2413</v>
      </c>
      <c r="D35" s="438">
        <v>44286</v>
      </c>
      <c r="E35" s="438">
        <f t="shared" ref="E35" si="46">EOMONTH(D35,3)</f>
        <v>44377</v>
      </c>
      <c r="F35" s="438">
        <f t="shared" ref="F35" si="47">EOMONTH(E35,3)</f>
        <v>44469</v>
      </c>
      <c r="G35" s="438">
        <f t="shared" ref="G35" si="48">EOMONTH(F35,3)</f>
        <v>44561</v>
      </c>
      <c r="H35" s="438">
        <f t="shared" ref="H35" si="49">EOMONTH(G35,3)</f>
        <v>44651</v>
      </c>
      <c r="I35" s="438">
        <f t="shared" ref="I35" si="50">EOMONTH(H35,3)</f>
        <v>44742</v>
      </c>
      <c r="J35" s="438">
        <f t="shared" ref="J35" si="51">EOMONTH(I35,3)</f>
        <v>44834</v>
      </c>
      <c r="K35" s="438">
        <f t="shared" ref="K35" si="52">EOMONTH(J35,3)</f>
        <v>44926</v>
      </c>
      <c r="L35" s="438">
        <f t="shared" ref="L35" si="53">EOMONTH(K35,3)</f>
        <v>45016</v>
      </c>
      <c r="M35" s="438">
        <f t="shared" ref="M35" si="54">EOMONTH(L35,3)</f>
        <v>45107</v>
      </c>
      <c r="N35" s="438">
        <f t="shared" ref="N35" si="55">EOMONTH(M35,3)</f>
        <v>45199</v>
      </c>
      <c r="O35" s="438">
        <f t="shared" ref="O35" si="56">EOMONTH(N35,3)</f>
        <v>45291</v>
      </c>
      <c r="P35" s="438">
        <f t="shared" ref="P35:Y35" si="57">EOMONTH(O35,3)</f>
        <v>45382</v>
      </c>
      <c r="Q35" s="438">
        <f t="shared" si="57"/>
        <v>45473</v>
      </c>
      <c r="R35" s="438">
        <f t="shared" si="57"/>
        <v>45565</v>
      </c>
      <c r="S35" s="438">
        <f t="shared" si="57"/>
        <v>45657</v>
      </c>
      <c r="T35" s="438">
        <f t="shared" si="57"/>
        <v>45747</v>
      </c>
      <c r="U35" s="438">
        <f t="shared" si="57"/>
        <v>45838</v>
      </c>
      <c r="V35" s="438">
        <f t="shared" si="57"/>
        <v>45930</v>
      </c>
      <c r="W35" s="438">
        <f t="shared" si="57"/>
        <v>46022</v>
      </c>
      <c r="X35" s="438">
        <f t="shared" si="57"/>
        <v>46112</v>
      </c>
      <c r="Y35" s="438">
        <f t="shared" si="57"/>
        <v>46203</v>
      </c>
      <c r="Z35" s="372"/>
    </row>
    <row r="36" spans="1:26" ht="16.350000000000001" customHeight="1" outlineLevel="1">
      <c r="A36" s="180"/>
      <c r="B36" s="277" t="s">
        <v>619</v>
      </c>
      <c r="C36" s="277" t="s">
        <v>100</v>
      </c>
      <c r="D36" s="278">
        <f t="shared" ref="D36:W36" si="58">SUM(D37:D39)</f>
        <v>597658</v>
      </c>
      <c r="E36" s="278">
        <f t="shared" si="58"/>
        <v>677100</v>
      </c>
      <c r="F36" s="278">
        <f t="shared" si="58"/>
        <v>652229</v>
      </c>
      <c r="G36" s="278">
        <f t="shared" si="58"/>
        <v>890619</v>
      </c>
      <c r="H36" s="278">
        <f t="shared" si="58"/>
        <v>698148</v>
      </c>
      <c r="I36" s="278">
        <f t="shared" si="58"/>
        <v>722300</v>
      </c>
      <c r="J36" s="278">
        <f t="shared" si="58"/>
        <v>594576</v>
      </c>
      <c r="K36" s="278">
        <f t="shared" si="58"/>
        <v>705520</v>
      </c>
      <c r="L36" s="278">
        <f t="shared" si="58"/>
        <v>547376</v>
      </c>
      <c r="M36" s="278">
        <f t="shared" si="58"/>
        <v>541021</v>
      </c>
      <c r="N36" s="278">
        <f t="shared" si="58"/>
        <v>491226</v>
      </c>
      <c r="O36" s="278">
        <f t="shared" si="58"/>
        <v>620795</v>
      </c>
      <c r="P36" s="278">
        <f t="shared" si="58"/>
        <v>496710</v>
      </c>
      <c r="Q36" s="278">
        <f t="shared" si="58"/>
        <v>504011.32254885946</v>
      </c>
      <c r="R36" s="278">
        <f t="shared" si="58"/>
        <v>498996.64166917698</v>
      </c>
      <c r="S36" s="278">
        <f t="shared" si="58"/>
        <v>645634.26192840014</v>
      </c>
      <c r="T36" s="278">
        <f t="shared" si="58"/>
        <v>520288.71028004144</v>
      </c>
      <c r="U36" s="278">
        <f t="shared" si="58"/>
        <v>548887.26615007594</v>
      </c>
      <c r="V36" s="278">
        <f t="shared" si="58"/>
        <v>493379.36325004371</v>
      </c>
      <c r="W36" s="278">
        <f t="shared" si="58"/>
        <v>615086.76596006902</v>
      </c>
      <c r="X36" s="278">
        <f t="shared" ref="X36:Y36" si="59">SUM(X37:X39)</f>
        <v>491251.93959002662</v>
      </c>
      <c r="Y36" s="278">
        <f t="shared" si="59"/>
        <v>501696</v>
      </c>
      <c r="Z36" s="263"/>
    </row>
    <row r="37" spans="1:26" ht="16.350000000000001" customHeight="1" outlineLevel="1">
      <c r="B37" s="158" t="s">
        <v>660</v>
      </c>
      <c r="C37" s="158" t="s">
        <v>658</v>
      </c>
      <c r="D37" s="159">
        <v>550136</v>
      </c>
      <c r="E37" s="159">
        <v>633334</v>
      </c>
      <c r="F37" s="159">
        <v>614169</v>
      </c>
      <c r="G37" s="159">
        <v>851800</v>
      </c>
      <c r="H37" s="159">
        <v>652652</v>
      </c>
      <c r="I37" s="159">
        <v>675609</v>
      </c>
      <c r="J37" s="159">
        <v>550035</v>
      </c>
      <c r="K37" s="159">
        <v>664985</v>
      </c>
      <c r="L37" s="159">
        <v>509112</v>
      </c>
      <c r="M37" s="159">
        <v>501386</v>
      </c>
      <c r="N37" s="159">
        <v>453356</v>
      </c>
      <c r="O37" s="159">
        <v>584619</v>
      </c>
      <c r="P37" s="159">
        <v>462322</v>
      </c>
      <c r="Q37" s="159">
        <v>464567.69369885908</v>
      </c>
      <c r="R37" s="159">
        <v>460891.96498917596</v>
      </c>
      <c r="S37" s="159">
        <v>610171.03402840032</v>
      </c>
      <c r="T37" s="159">
        <v>473540.98635004141</v>
      </c>
      <c r="U37" s="159">
        <v>505692.13123007602</v>
      </c>
      <c r="V37" s="159">
        <v>450040.94470004382</v>
      </c>
      <c r="W37" s="159">
        <v>575316.3467600689</v>
      </c>
      <c r="X37" s="159">
        <v>444338.16063002666</v>
      </c>
      <c r="Y37" s="159">
        <v>456387</v>
      </c>
      <c r="Z37" s="263"/>
    </row>
    <row r="38" spans="1:26" ht="16.350000000000001" customHeight="1" outlineLevel="1">
      <c r="B38" s="158" t="s">
        <v>661</v>
      </c>
      <c r="C38" s="158" t="s">
        <v>659</v>
      </c>
      <c r="D38" s="159">
        <v>33059</v>
      </c>
      <c r="E38" s="159">
        <v>26152</v>
      </c>
      <c r="F38" s="159">
        <v>23868</v>
      </c>
      <c r="G38" s="159">
        <v>24221</v>
      </c>
      <c r="H38" s="159">
        <v>32233</v>
      </c>
      <c r="I38" s="159">
        <v>29612</v>
      </c>
      <c r="J38" s="159">
        <v>27376</v>
      </c>
      <c r="K38" s="159">
        <v>22723</v>
      </c>
      <c r="L38" s="159">
        <v>21119</v>
      </c>
      <c r="M38" s="159">
        <v>20140</v>
      </c>
      <c r="N38" s="159">
        <v>17320</v>
      </c>
      <c r="O38" s="159">
        <v>17746</v>
      </c>
      <c r="P38" s="159">
        <v>17942</v>
      </c>
      <c r="Q38" s="159">
        <v>31430.807060000418</v>
      </c>
      <c r="R38" s="159">
        <v>31222.477550001109</v>
      </c>
      <c r="S38" s="159">
        <v>28882.926559999785</v>
      </c>
      <c r="T38" s="159">
        <v>40499.076330000062</v>
      </c>
      <c r="U38" s="159">
        <v>35009.344000000012</v>
      </c>
      <c r="V38" s="159">
        <v>35412.794099999912</v>
      </c>
      <c r="W38" s="159">
        <v>31822.006430000027</v>
      </c>
      <c r="X38" s="159">
        <v>39630.172119999974</v>
      </c>
      <c r="Y38" s="159">
        <v>37212</v>
      </c>
      <c r="Z38" s="263"/>
    </row>
    <row r="39" spans="1:26" ht="16.350000000000001" customHeight="1" outlineLevel="1">
      <c r="B39" s="158" t="s">
        <v>2459</v>
      </c>
      <c r="C39" s="158" t="s">
        <v>2437</v>
      </c>
      <c r="D39" s="159">
        <v>14463</v>
      </c>
      <c r="E39" s="159">
        <v>17614</v>
      </c>
      <c r="F39" s="159">
        <v>14192</v>
      </c>
      <c r="G39" s="159">
        <v>14598</v>
      </c>
      <c r="H39" s="159">
        <v>13263</v>
      </c>
      <c r="I39" s="159">
        <v>17079</v>
      </c>
      <c r="J39" s="159">
        <v>17165</v>
      </c>
      <c r="K39" s="159">
        <v>17812</v>
      </c>
      <c r="L39" s="159">
        <v>17145</v>
      </c>
      <c r="M39" s="159">
        <v>19495</v>
      </c>
      <c r="N39" s="159">
        <v>20550</v>
      </c>
      <c r="O39" s="159">
        <v>18430</v>
      </c>
      <c r="P39" s="159">
        <v>16446</v>
      </c>
      <c r="Q39" s="159">
        <v>8012.8217899999363</v>
      </c>
      <c r="R39" s="159">
        <v>6882.1991299999318</v>
      </c>
      <c r="S39" s="159">
        <v>6580.3013399999945</v>
      </c>
      <c r="T39" s="159">
        <v>6248.6475999999939</v>
      </c>
      <c r="U39" s="159">
        <v>8185.7909199999949</v>
      </c>
      <c r="V39" s="159">
        <v>7925.6244500000012</v>
      </c>
      <c r="W39" s="159">
        <v>7948.4127700000172</v>
      </c>
      <c r="X39" s="159">
        <v>7283.6068399999976</v>
      </c>
      <c r="Y39" s="159">
        <v>8097</v>
      </c>
      <c r="Z39" s="263"/>
    </row>
    <row r="40" spans="1:26" ht="16.350000000000001" customHeight="1" outlineLevel="1">
      <c r="B40" s="280" t="s">
        <v>504</v>
      </c>
      <c r="C40" s="280" t="s">
        <v>182</v>
      </c>
      <c r="D40" s="281">
        <f t="shared" ref="D40:W40" si="60">SUM(D41:D43)</f>
        <v>248071</v>
      </c>
      <c r="E40" s="281">
        <f t="shared" si="60"/>
        <v>214565</v>
      </c>
      <c r="F40" s="281">
        <f t="shared" si="60"/>
        <v>232260</v>
      </c>
      <c r="G40" s="281">
        <f t="shared" si="60"/>
        <v>227303</v>
      </c>
      <c r="H40" s="281">
        <f t="shared" si="60"/>
        <v>258064</v>
      </c>
      <c r="I40" s="281">
        <f t="shared" si="60"/>
        <v>285568</v>
      </c>
      <c r="J40" s="281">
        <f t="shared" si="60"/>
        <v>297714</v>
      </c>
      <c r="K40" s="281">
        <f t="shared" si="60"/>
        <v>277073</v>
      </c>
      <c r="L40" s="281">
        <f t="shared" si="60"/>
        <v>275761</v>
      </c>
      <c r="M40" s="281">
        <f t="shared" si="60"/>
        <v>249510</v>
      </c>
      <c r="N40" s="281">
        <f t="shared" si="60"/>
        <v>211018</v>
      </c>
      <c r="O40" s="281">
        <f t="shared" si="60"/>
        <v>178216</v>
      </c>
      <c r="P40" s="281">
        <f t="shared" si="60"/>
        <v>171462</v>
      </c>
      <c r="Q40" s="281">
        <f t="shared" si="60"/>
        <v>151562.45168999722</v>
      </c>
      <c r="R40" s="281">
        <f t="shared" si="60"/>
        <v>142030.895070003</v>
      </c>
      <c r="S40" s="281">
        <f t="shared" si="60"/>
        <v>126231.60146999972</v>
      </c>
      <c r="T40" s="281">
        <f t="shared" si="60"/>
        <v>172051.68498000072</v>
      </c>
      <c r="U40" s="281">
        <f t="shared" si="60"/>
        <v>202421.49228000006</v>
      </c>
      <c r="V40" s="281">
        <f t="shared" si="60"/>
        <v>195409.26758999971</v>
      </c>
      <c r="W40" s="281">
        <f t="shared" si="60"/>
        <v>192014.70148999957</v>
      </c>
      <c r="X40" s="281">
        <f t="shared" ref="X40:Y40" si="61">SUM(X41:X43)</f>
        <v>215942.04566999979</v>
      </c>
      <c r="Y40" s="281">
        <f t="shared" si="61"/>
        <v>216903</v>
      </c>
      <c r="Z40" s="263"/>
    </row>
    <row r="41" spans="1:26" ht="16.350000000000001" customHeight="1" outlineLevel="1">
      <c r="B41" s="158" t="s">
        <v>660</v>
      </c>
      <c r="C41" s="158" t="s">
        <v>658</v>
      </c>
      <c r="D41" s="159">
        <v>70906</v>
      </c>
      <c r="E41" s="159">
        <v>39200</v>
      </c>
      <c r="F41" s="159">
        <v>45243</v>
      </c>
      <c r="G41" s="159">
        <v>32922</v>
      </c>
      <c r="H41" s="159">
        <v>57907</v>
      </c>
      <c r="I41" s="159">
        <v>55432</v>
      </c>
      <c r="J41" s="159">
        <v>47732</v>
      </c>
      <c r="K41" s="159">
        <v>28179</v>
      </c>
      <c r="L41" s="159">
        <v>48067</v>
      </c>
      <c r="M41" s="159">
        <v>40633</v>
      </c>
      <c r="N41" s="159">
        <v>31412</v>
      </c>
      <c r="O41" s="159">
        <v>21800</v>
      </c>
      <c r="P41" s="159">
        <v>35048</v>
      </c>
      <c r="Q41" s="159">
        <v>22816.580009999198</v>
      </c>
      <c r="R41" s="159">
        <v>25228.339290000102</v>
      </c>
      <c r="S41" s="159">
        <v>17685.760629999906</v>
      </c>
      <c r="T41" s="159">
        <v>31225.424770000009</v>
      </c>
      <c r="U41" s="159">
        <v>27081.94384</v>
      </c>
      <c r="V41" s="159">
        <v>26093.420589999998</v>
      </c>
      <c r="W41" s="159">
        <v>17777.98417</v>
      </c>
      <c r="X41" s="159">
        <v>28013.425389999989</v>
      </c>
      <c r="Y41" s="159">
        <v>25904</v>
      </c>
      <c r="Z41" s="263"/>
    </row>
    <row r="42" spans="1:26" ht="16.350000000000001" customHeight="1" outlineLevel="1">
      <c r="B42" s="158" t="s">
        <v>661</v>
      </c>
      <c r="C42" s="158" t="s">
        <v>659</v>
      </c>
      <c r="D42" s="159">
        <v>65214</v>
      </c>
      <c r="E42" s="159">
        <v>42180</v>
      </c>
      <c r="F42" s="159">
        <v>36431</v>
      </c>
      <c r="G42" s="159">
        <v>39288</v>
      </c>
      <c r="H42" s="159">
        <v>59033</v>
      </c>
      <c r="I42" s="159">
        <v>56477</v>
      </c>
      <c r="J42" s="159">
        <v>49500</v>
      </c>
      <c r="K42" s="159">
        <v>39874</v>
      </c>
      <c r="L42" s="159">
        <v>45050</v>
      </c>
      <c r="M42" s="159">
        <v>42428</v>
      </c>
      <c r="N42" s="159">
        <v>28875</v>
      </c>
      <c r="O42" s="159">
        <v>23915</v>
      </c>
      <c r="P42" s="159">
        <v>25961</v>
      </c>
      <c r="Q42" s="159">
        <v>19872.428699999939</v>
      </c>
      <c r="R42" s="159">
        <v>19723.287709999939</v>
      </c>
      <c r="S42" s="159">
        <v>17653.312909999971</v>
      </c>
      <c r="T42" s="159">
        <v>35778.800400000044</v>
      </c>
      <c r="U42" s="159">
        <v>23929.279029999983</v>
      </c>
      <c r="V42" s="159">
        <v>23259.914290000026</v>
      </c>
      <c r="W42" s="159">
        <v>20162.055850000012</v>
      </c>
      <c r="X42" s="159">
        <v>33675.868440000042</v>
      </c>
      <c r="Y42" s="159">
        <v>25962</v>
      </c>
      <c r="Z42" s="263"/>
    </row>
    <row r="43" spans="1:26" ht="16.350000000000001" customHeight="1" outlineLevel="1">
      <c r="B43" s="158" t="s">
        <v>2459</v>
      </c>
      <c r="C43" s="158" t="s">
        <v>2437</v>
      </c>
      <c r="D43" s="159">
        <v>111951</v>
      </c>
      <c r="E43" s="159">
        <v>133185</v>
      </c>
      <c r="F43" s="159">
        <v>150586</v>
      </c>
      <c r="G43" s="159">
        <v>155093</v>
      </c>
      <c r="H43" s="159">
        <v>141124</v>
      </c>
      <c r="I43" s="159">
        <v>173659</v>
      </c>
      <c r="J43" s="159">
        <v>200482</v>
      </c>
      <c r="K43" s="159">
        <v>209020</v>
      </c>
      <c r="L43" s="159">
        <v>182644</v>
      </c>
      <c r="M43" s="159">
        <v>166449</v>
      </c>
      <c r="N43" s="159">
        <v>150731</v>
      </c>
      <c r="O43" s="159">
        <v>132501</v>
      </c>
      <c r="P43" s="159">
        <v>110453</v>
      </c>
      <c r="Q43" s="159">
        <v>108873.44297999807</v>
      </c>
      <c r="R43" s="159">
        <v>97079.268070002974</v>
      </c>
      <c r="S43" s="159">
        <v>90892.527929999836</v>
      </c>
      <c r="T43" s="159">
        <v>105047.45981000068</v>
      </c>
      <c r="U43" s="159">
        <v>151410.26941000007</v>
      </c>
      <c r="V43" s="159">
        <v>146055.9327099997</v>
      </c>
      <c r="W43" s="159">
        <v>154074.66146999956</v>
      </c>
      <c r="X43" s="159">
        <v>154252.75183999975</v>
      </c>
      <c r="Y43" s="159">
        <v>165037</v>
      </c>
      <c r="Z43" s="263"/>
    </row>
    <row r="44" spans="1:26" s="34" customFormat="1" ht="16.350000000000001" customHeight="1" outlineLevel="1">
      <c r="B44" s="282" t="s">
        <v>1473</v>
      </c>
      <c r="C44" s="283" t="s">
        <v>1473</v>
      </c>
      <c r="D44" s="284">
        <f t="shared" ref="D44:W44" si="62">D36+D40</f>
        <v>845729</v>
      </c>
      <c r="E44" s="284">
        <f t="shared" si="62"/>
        <v>891665</v>
      </c>
      <c r="F44" s="284">
        <f t="shared" si="62"/>
        <v>884489</v>
      </c>
      <c r="G44" s="284">
        <f t="shared" si="62"/>
        <v>1117922</v>
      </c>
      <c r="H44" s="284">
        <f t="shared" si="62"/>
        <v>956212</v>
      </c>
      <c r="I44" s="284">
        <f t="shared" si="62"/>
        <v>1007868</v>
      </c>
      <c r="J44" s="284">
        <f t="shared" si="62"/>
        <v>892290</v>
      </c>
      <c r="K44" s="284">
        <f t="shared" si="62"/>
        <v>982593</v>
      </c>
      <c r="L44" s="284">
        <f t="shared" si="62"/>
        <v>823137</v>
      </c>
      <c r="M44" s="284">
        <f t="shared" si="62"/>
        <v>790531</v>
      </c>
      <c r="N44" s="284">
        <f t="shared" si="62"/>
        <v>702244</v>
      </c>
      <c r="O44" s="284">
        <f t="shared" si="62"/>
        <v>799011</v>
      </c>
      <c r="P44" s="284">
        <f t="shared" si="62"/>
        <v>668172</v>
      </c>
      <c r="Q44" s="284">
        <f t="shared" si="62"/>
        <v>655573.77423885674</v>
      </c>
      <c r="R44" s="284">
        <f t="shared" si="62"/>
        <v>641027.53673917998</v>
      </c>
      <c r="S44" s="284">
        <f t="shared" si="62"/>
        <v>771865.8633983999</v>
      </c>
      <c r="T44" s="284">
        <f t="shared" si="62"/>
        <v>692340.39526004216</v>
      </c>
      <c r="U44" s="284">
        <f t="shared" si="62"/>
        <v>751308.75843007606</v>
      </c>
      <c r="V44" s="284">
        <f t="shared" si="62"/>
        <v>688788.63084004342</v>
      </c>
      <c r="W44" s="284">
        <f t="shared" si="62"/>
        <v>807101.46745006857</v>
      </c>
      <c r="X44" s="284">
        <f t="shared" ref="X44:Y44" si="63">X36+X40</f>
        <v>707193.98526002641</v>
      </c>
      <c r="Y44" s="284">
        <f t="shared" si="63"/>
        <v>718599</v>
      </c>
      <c r="Z44" s="263"/>
    </row>
    <row r="45" spans="1:26" ht="16.350000000000001" customHeight="1" outlineLevel="1">
      <c r="A45" s="180"/>
      <c r="B45" s="285" t="s">
        <v>1472</v>
      </c>
      <c r="C45" s="285" t="s">
        <v>1471</v>
      </c>
      <c r="D45" s="286">
        <v>1404675</v>
      </c>
      <c r="E45" s="286">
        <v>1283005</v>
      </c>
      <c r="F45" s="286">
        <v>1264658</v>
      </c>
      <c r="G45" s="286">
        <v>1505275</v>
      </c>
      <c r="H45" s="286">
        <v>822256</v>
      </c>
      <c r="I45" s="286">
        <v>840069</v>
      </c>
      <c r="J45" s="286">
        <v>759957</v>
      </c>
      <c r="K45" s="286">
        <v>977978</v>
      </c>
      <c r="L45" s="286">
        <v>716254</v>
      </c>
      <c r="M45" s="286">
        <v>787543</v>
      </c>
      <c r="N45" s="286">
        <v>698579</v>
      </c>
      <c r="O45" s="286">
        <v>915827</v>
      </c>
      <c r="P45" s="286">
        <v>686962</v>
      </c>
      <c r="Q45" s="287">
        <v>2332561.58789011</v>
      </c>
      <c r="R45" s="287">
        <v>2245898.7139900587</v>
      </c>
      <c r="S45" s="287">
        <v>2073106.183208978</v>
      </c>
      <c r="T45" s="287">
        <v>2015738.6327699933</v>
      </c>
      <c r="U45" s="287">
        <v>1929942.246</v>
      </c>
      <c r="V45" s="287">
        <v>1914904.4890000001</v>
      </c>
      <c r="W45" s="287">
        <v>1834363.068</v>
      </c>
      <c r="X45" s="287">
        <v>1875093</v>
      </c>
      <c r="Y45" s="287">
        <v>1862806.757</v>
      </c>
      <c r="Z45" s="263"/>
    </row>
    <row r="46" spans="1:26" ht="16.350000000000001" customHeight="1" outlineLevel="1">
      <c r="Z46" s="263"/>
    </row>
    <row r="47" spans="1:26" ht="16.350000000000001" customHeight="1" outlineLevel="1">
      <c r="A47" s="179"/>
      <c r="B47" s="271" t="s">
        <v>1478</v>
      </c>
      <c r="C47" s="357" t="s">
        <v>1479</v>
      </c>
      <c r="D47" s="119"/>
      <c r="E47" s="119"/>
      <c r="F47" s="119"/>
      <c r="G47" s="119"/>
      <c r="H47" s="119"/>
      <c r="I47" s="119"/>
      <c r="J47" s="119"/>
      <c r="K47" s="119"/>
      <c r="L47" s="119"/>
      <c r="M47" s="119"/>
      <c r="N47" s="119"/>
      <c r="O47" s="119"/>
      <c r="P47" s="119"/>
      <c r="Q47" s="119"/>
      <c r="R47" s="119"/>
      <c r="S47" s="119"/>
      <c r="T47" s="119"/>
      <c r="U47" s="119"/>
      <c r="V47" s="119"/>
      <c r="W47" s="119"/>
      <c r="X47" s="119"/>
      <c r="Y47" s="119"/>
      <c r="Z47" s="263"/>
    </row>
    <row r="48" spans="1:26" ht="16.350000000000001" customHeight="1" outlineLevel="1">
      <c r="B48" s="158" t="s">
        <v>660</v>
      </c>
      <c r="C48" s="158" t="s">
        <v>658</v>
      </c>
      <c r="D48" s="159">
        <v>-21022</v>
      </c>
      <c r="E48" s="159">
        <v>-15765</v>
      </c>
      <c r="F48" s="159">
        <v>-16229</v>
      </c>
      <c r="G48" s="159">
        <v>-19949</v>
      </c>
      <c r="H48" s="159">
        <v>-16949</v>
      </c>
      <c r="I48" s="159">
        <v>-15880</v>
      </c>
      <c r="J48" s="159">
        <v>-12900</v>
      </c>
      <c r="K48" s="159">
        <v>-13073</v>
      </c>
      <c r="L48" s="159">
        <v>-11496</v>
      </c>
      <c r="M48" s="159">
        <v>-10436</v>
      </c>
      <c r="N48" s="159">
        <v>-9169</v>
      </c>
      <c r="O48" s="159">
        <v>-10321</v>
      </c>
      <c r="P48" s="159">
        <v>-9422</v>
      </c>
      <c r="Q48" s="159">
        <v>-10656.317891020653</v>
      </c>
      <c r="R48" s="159">
        <v>-11038.959315689888</v>
      </c>
      <c r="S48" s="159">
        <v>-15806.822304809344</v>
      </c>
      <c r="T48" s="159">
        <v>-12108.729088507675</v>
      </c>
      <c r="U48" s="159">
        <v>-13668.247405363229</v>
      </c>
      <c r="V48" s="159">
        <v>-11742.115542552916</v>
      </c>
      <c r="W48" s="159">
        <v>-15266.254154790218</v>
      </c>
      <c r="X48" s="159">
        <v>-11450.999728095985</v>
      </c>
      <c r="Y48" s="159">
        <v>-12465</v>
      </c>
      <c r="Z48" s="263"/>
    </row>
    <row r="49" spans="2:25" ht="16.350000000000001" customHeight="1" outlineLevel="1">
      <c r="B49" s="158" t="s">
        <v>661</v>
      </c>
      <c r="C49" s="158" t="s">
        <v>659</v>
      </c>
      <c r="D49" s="159">
        <v>-12848</v>
      </c>
      <c r="E49" s="159">
        <v>-7543</v>
      </c>
      <c r="F49" s="159">
        <v>-6664</v>
      </c>
      <c r="G49" s="159">
        <v>-7293</v>
      </c>
      <c r="H49" s="159">
        <v>-10326</v>
      </c>
      <c r="I49" s="159">
        <v>-9599</v>
      </c>
      <c r="J49" s="159">
        <v>-8374</v>
      </c>
      <c r="K49" s="159">
        <v>-6562</v>
      </c>
      <c r="L49" s="159">
        <v>-6655</v>
      </c>
      <c r="M49" s="159">
        <v>-6438</v>
      </c>
      <c r="N49" s="159">
        <v>-4633</v>
      </c>
      <c r="O49" s="159">
        <v>-4080</v>
      </c>
      <c r="P49" s="159">
        <v>-4291</v>
      </c>
      <c r="Q49" s="159">
        <v>-4564.9185064371841</v>
      </c>
      <c r="R49" s="159">
        <v>-4764.573210683393</v>
      </c>
      <c r="S49" s="159">
        <v>-4514.8412892951083</v>
      </c>
      <c r="T49" s="159">
        <v>-7772.4835077366706</v>
      </c>
      <c r="U49" s="159">
        <v>-5793.0552688031967</v>
      </c>
      <c r="V49" s="159">
        <v>-5888.695274171565</v>
      </c>
      <c r="W49" s="159">
        <v>-5207.6553492816465</v>
      </c>
      <c r="X49" s="159">
        <v>-7514.5258867519196</v>
      </c>
      <c r="Y49" s="159">
        <v>-6268</v>
      </c>
    </row>
    <row r="50" spans="2:25" ht="16.350000000000001" customHeight="1" outlineLevel="1">
      <c r="B50" s="158" t="s">
        <v>2459</v>
      </c>
      <c r="C50" s="158" t="s">
        <v>2437</v>
      </c>
      <c r="D50" s="159">
        <v>-99802</v>
      </c>
      <c r="E50" s="159">
        <v>-125802.63933000001</v>
      </c>
      <c r="F50" s="159">
        <v>-140435.40178999997</v>
      </c>
      <c r="G50" s="159">
        <v>-145009.47336</v>
      </c>
      <c r="H50" s="159">
        <v>-127325</v>
      </c>
      <c r="I50" s="159">
        <v>-156222.63114000001</v>
      </c>
      <c r="J50" s="159">
        <v>-179544</v>
      </c>
      <c r="K50" s="159">
        <v>-188411</v>
      </c>
      <c r="L50" s="159">
        <v>-165540</v>
      </c>
      <c r="M50" s="159">
        <v>-151913.69116999995</v>
      </c>
      <c r="N50" s="159">
        <v>-139726</v>
      </c>
      <c r="O50" s="159">
        <v>-124495.44217999998</v>
      </c>
      <c r="P50" s="159">
        <v>-104272</v>
      </c>
      <c r="Q50" s="159">
        <v>-81257.668681441297</v>
      </c>
      <c r="R50" s="159">
        <v>-74092.896731059955</v>
      </c>
      <c r="S50" s="159">
        <v>-69293.224900394722</v>
      </c>
      <c r="T50" s="159">
        <v>-79866.633195967006</v>
      </c>
      <c r="U50" s="159">
        <v>-113619.90805655993</v>
      </c>
      <c r="V50" s="159">
        <v>-110806.63248011249</v>
      </c>
      <c r="W50" s="159">
        <v>-116827.91437315021</v>
      </c>
      <c r="X50" s="159">
        <v>-116835.46393870187</v>
      </c>
      <c r="Y50" s="159">
        <v>-123994</v>
      </c>
    </row>
    <row r="51" spans="2:25" ht="16.350000000000001" customHeight="1" outlineLevel="1">
      <c r="B51" s="158" t="s">
        <v>1472</v>
      </c>
      <c r="C51" s="158" t="s">
        <v>1471</v>
      </c>
      <c r="D51" s="159">
        <v>-7965</v>
      </c>
      <c r="E51" s="159">
        <v>-5187</v>
      </c>
      <c r="F51" s="159">
        <v>-4989</v>
      </c>
      <c r="G51" s="159">
        <v>-5637</v>
      </c>
      <c r="H51" s="159">
        <v>-2973</v>
      </c>
      <c r="I51" s="159">
        <v>-2664</v>
      </c>
      <c r="J51" s="159">
        <v>-2293</v>
      </c>
      <c r="K51" s="159">
        <v>-2877</v>
      </c>
      <c r="L51" s="159">
        <v>-2131</v>
      </c>
      <c r="M51" s="159">
        <v>-2162</v>
      </c>
      <c r="N51" s="159">
        <v>-1927</v>
      </c>
      <c r="O51" s="159">
        <v>-2517</v>
      </c>
      <c r="P51" s="159">
        <v>-1945</v>
      </c>
      <c r="Q51" s="159">
        <v>-4940.1823174970405</v>
      </c>
      <c r="R51" s="159">
        <v>-5024.3906964716598</v>
      </c>
      <c r="S51" s="159">
        <v>-4598.794764340304</v>
      </c>
      <c r="T51" s="159">
        <v>-4086.7349128142155</v>
      </c>
      <c r="U51" s="159">
        <v>-4177.7010646479202</v>
      </c>
      <c r="V51" s="159">
        <v>-4012.9989999999998</v>
      </c>
      <c r="W51" s="159">
        <v>-4626.2622687362182</v>
      </c>
      <c r="X51" s="159">
        <v>-4496.0110348099397</v>
      </c>
      <c r="Y51" s="159">
        <v>-4604</v>
      </c>
    </row>
    <row r="52" spans="2:25" s="34" customFormat="1" ht="16.350000000000001" customHeight="1" outlineLevel="1">
      <c r="B52" s="289" t="s">
        <v>1476</v>
      </c>
      <c r="C52" s="290" t="s">
        <v>1477</v>
      </c>
      <c r="D52" s="291">
        <f t="shared" ref="D52:W52" si="64">SUM(D48:D51)</f>
        <v>-141637</v>
      </c>
      <c r="E52" s="291">
        <f t="shared" si="64"/>
        <v>-154297.63933000001</v>
      </c>
      <c r="F52" s="291">
        <f t="shared" si="64"/>
        <v>-168317.40178999997</v>
      </c>
      <c r="G52" s="291">
        <f t="shared" si="64"/>
        <v>-177888.47336</v>
      </c>
      <c r="H52" s="291">
        <f t="shared" si="64"/>
        <v>-157573</v>
      </c>
      <c r="I52" s="291">
        <f t="shared" si="64"/>
        <v>-184365.63114000001</v>
      </c>
      <c r="J52" s="291">
        <f t="shared" si="64"/>
        <v>-203111</v>
      </c>
      <c r="K52" s="291">
        <f t="shared" si="64"/>
        <v>-210923</v>
      </c>
      <c r="L52" s="291">
        <f t="shared" si="64"/>
        <v>-185822</v>
      </c>
      <c r="M52" s="291">
        <f t="shared" si="64"/>
        <v>-170949.69116999995</v>
      </c>
      <c r="N52" s="291">
        <f t="shared" si="64"/>
        <v>-155455</v>
      </c>
      <c r="O52" s="291">
        <f t="shared" si="64"/>
        <v>-141413.44217999998</v>
      </c>
      <c r="P52" s="291">
        <f t="shared" si="64"/>
        <v>-119930</v>
      </c>
      <c r="Q52" s="291">
        <f t="shared" si="64"/>
        <v>-101419.08739639616</v>
      </c>
      <c r="R52" s="291">
        <f t="shared" si="64"/>
        <v>-94920.819953904895</v>
      </c>
      <c r="S52" s="291">
        <f t="shared" si="64"/>
        <v>-94213.683258839475</v>
      </c>
      <c r="T52" s="291">
        <f t="shared" si="64"/>
        <v>-103834.58070502557</v>
      </c>
      <c r="U52" s="291">
        <f t="shared" si="64"/>
        <v>-137258.9117953743</v>
      </c>
      <c r="V52" s="291">
        <f t="shared" si="64"/>
        <v>-132450.44229683696</v>
      </c>
      <c r="W52" s="291">
        <f t="shared" si="64"/>
        <v>-141928.08614595831</v>
      </c>
      <c r="X52" s="291">
        <f t="shared" ref="X52:Y52" si="65">SUM(X48:X51)</f>
        <v>-140297.00058835969</v>
      </c>
      <c r="Y52" s="291">
        <f t="shared" si="65"/>
        <v>-147331</v>
      </c>
    </row>
    <row r="53" spans="2:25" ht="16.350000000000001" customHeight="1" outlineLevel="1">
      <c r="B53" s="300" t="s">
        <v>1474</v>
      </c>
      <c r="C53" s="300" t="s">
        <v>1475</v>
      </c>
      <c r="D53" s="301"/>
      <c r="E53" s="301"/>
      <c r="F53" s="301"/>
      <c r="G53" s="301"/>
      <c r="H53" s="301"/>
      <c r="I53" s="301"/>
      <c r="J53" s="301"/>
      <c r="K53" s="301"/>
      <c r="L53" s="301"/>
      <c r="M53" s="301"/>
      <c r="N53" s="301"/>
      <c r="O53" s="301"/>
      <c r="P53" s="301"/>
      <c r="Q53" s="301"/>
      <c r="R53" s="301"/>
      <c r="S53" s="301"/>
      <c r="T53" s="301"/>
      <c r="U53" s="301"/>
      <c r="V53" s="301"/>
      <c r="W53" s="301"/>
      <c r="X53" s="301"/>
      <c r="Y53" s="301"/>
    </row>
    <row r="54" spans="2:25" ht="16.350000000000001" customHeight="1" outlineLevel="1">
      <c r="B54" s="294" t="s">
        <v>660</v>
      </c>
      <c r="C54" s="294" t="s">
        <v>658</v>
      </c>
      <c r="D54" s="38">
        <f t="shared" ref="D54:W54" si="66">-D48/(D37+D41)</f>
        <v>3.3849562509459905E-2</v>
      </c>
      <c r="E54" s="38">
        <f t="shared" si="66"/>
        <v>2.344119405115578E-2</v>
      </c>
      <c r="F54" s="38">
        <f t="shared" si="66"/>
        <v>2.4611320388467302E-2</v>
      </c>
      <c r="G54" s="38">
        <f t="shared" si="66"/>
        <v>2.2548325914807137E-2</v>
      </c>
      <c r="H54" s="38">
        <f t="shared" si="66"/>
        <v>2.385305090780639E-2</v>
      </c>
      <c r="I54" s="38">
        <f t="shared" si="66"/>
        <v>2.1722447851762076E-2</v>
      </c>
      <c r="J54" s="38">
        <f t="shared" si="66"/>
        <v>2.1580314738016651E-2</v>
      </c>
      <c r="K54" s="38">
        <f t="shared" si="66"/>
        <v>1.8859894628111096E-2</v>
      </c>
      <c r="L54" s="38">
        <f t="shared" si="66"/>
        <v>2.0632507686039855E-2</v>
      </c>
      <c r="M54" s="38">
        <f t="shared" si="66"/>
        <v>1.9253937592593619E-2</v>
      </c>
      <c r="N54" s="38">
        <f t="shared" si="66"/>
        <v>1.8914202257574758E-2</v>
      </c>
      <c r="O54" s="38">
        <f t="shared" si="66"/>
        <v>1.7019585468133418E-2</v>
      </c>
      <c r="P54" s="38">
        <f t="shared" si="66"/>
        <v>1.8943643565152702E-2</v>
      </c>
      <c r="Q54" s="38">
        <f t="shared" si="66"/>
        <v>2.1864303929893036E-2</v>
      </c>
      <c r="R54" s="38">
        <f t="shared" si="66"/>
        <v>2.2708286855161429E-2</v>
      </c>
      <c r="S54" s="38">
        <f t="shared" si="66"/>
        <v>2.517584015859764E-2</v>
      </c>
      <c r="T54" s="38">
        <f t="shared" si="66"/>
        <v>2.398877742605585E-2</v>
      </c>
      <c r="U54" s="38">
        <f t="shared" si="66"/>
        <v>2.5654865814492639E-2</v>
      </c>
      <c r="V54" s="64">
        <f t="shared" si="66"/>
        <v>2.4661348557355325E-2</v>
      </c>
      <c r="W54" s="64">
        <f t="shared" si="66"/>
        <v>2.5740010245672448E-2</v>
      </c>
      <c r="X54" s="64">
        <f t="shared" ref="X54:Y54" si="67">-X48/(X37+X41)</f>
        <v>2.4242534728380245E-2</v>
      </c>
      <c r="Y54" s="64">
        <f t="shared" si="67"/>
        <v>2.5845392097302251E-2</v>
      </c>
    </row>
    <row r="55" spans="2:25" ht="16.350000000000001" customHeight="1" outlineLevel="1">
      <c r="B55" s="294" t="s">
        <v>661</v>
      </c>
      <c r="C55" s="294" t="s">
        <v>659</v>
      </c>
      <c r="D55" s="38">
        <f t="shared" ref="D55:W55" si="68">-D49/(D38+D42)</f>
        <v>0.1307378425406775</v>
      </c>
      <c r="E55" s="38">
        <f t="shared" si="68"/>
        <v>0.11038751975648306</v>
      </c>
      <c r="F55" s="38">
        <f t="shared" si="68"/>
        <v>0.11051592895404568</v>
      </c>
      <c r="G55" s="38">
        <f t="shared" si="68"/>
        <v>0.11483411799902377</v>
      </c>
      <c r="H55" s="38">
        <f t="shared" si="68"/>
        <v>0.11314180527250016</v>
      </c>
      <c r="I55" s="38">
        <f t="shared" si="68"/>
        <v>0.11150088861527024</v>
      </c>
      <c r="J55" s="38">
        <f t="shared" si="68"/>
        <v>0.10892866434257766</v>
      </c>
      <c r="K55" s="38">
        <f t="shared" si="68"/>
        <v>0.10482930491876608</v>
      </c>
      <c r="L55" s="38">
        <f t="shared" si="68"/>
        <v>0.10057579833456755</v>
      </c>
      <c r="M55" s="38">
        <f t="shared" si="68"/>
        <v>0.10289604909858074</v>
      </c>
      <c r="N55" s="38">
        <f t="shared" si="68"/>
        <v>0.10029223941985063</v>
      </c>
      <c r="O55" s="38">
        <f t="shared" si="68"/>
        <v>9.7933318931374663E-2</v>
      </c>
      <c r="P55" s="38">
        <f t="shared" si="68"/>
        <v>9.7738195567501088E-2</v>
      </c>
      <c r="Q55" s="38">
        <f t="shared" si="68"/>
        <v>8.8979153825543264E-2</v>
      </c>
      <c r="R55" s="38">
        <f t="shared" si="68"/>
        <v>9.3522458370532968E-2</v>
      </c>
      <c r="S55" s="38">
        <f t="shared" si="68"/>
        <v>9.7017750912289868E-2</v>
      </c>
      <c r="T55" s="38">
        <f t="shared" si="68"/>
        <v>0.10189695677094995</v>
      </c>
      <c r="U55" s="38">
        <f t="shared" si="68"/>
        <v>9.8289626920101417E-2</v>
      </c>
      <c r="V55" s="64">
        <f t="shared" si="68"/>
        <v>0.10036515163113251</v>
      </c>
      <c r="W55" s="64">
        <f t="shared" si="68"/>
        <v>0.10017792224916598</v>
      </c>
      <c r="X55" s="64">
        <f t="shared" ref="X55:Y55" si="69">-X49/(X38+X42)</f>
        <v>0.10250895873446308</v>
      </c>
      <c r="Y55" s="64">
        <f t="shared" si="69"/>
        <v>9.9218032734985917E-2</v>
      </c>
    </row>
    <row r="56" spans="2:25" ht="16.350000000000001" customHeight="1" outlineLevel="1">
      <c r="B56" s="294" t="s">
        <v>2372</v>
      </c>
      <c r="C56" s="294" t="s">
        <v>2373</v>
      </c>
      <c r="D56" s="38">
        <f t="shared" ref="D56:W56" si="70">-D50/(D39+D43)</f>
        <v>0.78948534181340679</v>
      </c>
      <c r="E56" s="38">
        <f t="shared" si="70"/>
        <v>0.83424054091870636</v>
      </c>
      <c r="F56" s="38">
        <f t="shared" si="70"/>
        <v>0.85227033821262532</v>
      </c>
      <c r="G56" s="38">
        <f t="shared" si="70"/>
        <v>0.85455017272571909</v>
      </c>
      <c r="H56" s="38">
        <f t="shared" si="70"/>
        <v>0.82471322067272501</v>
      </c>
      <c r="I56" s="38">
        <f t="shared" si="70"/>
        <v>0.81904303882813079</v>
      </c>
      <c r="J56" s="38">
        <f t="shared" si="70"/>
        <v>0.82493211484651752</v>
      </c>
      <c r="K56" s="38">
        <f t="shared" si="70"/>
        <v>0.8306191366297524</v>
      </c>
      <c r="L56" s="38">
        <f t="shared" si="70"/>
        <v>0.82857414572373855</v>
      </c>
      <c r="M56" s="38">
        <f t="shared" si="70"/>
        <v>0.81698624946220344</v>
      </c>
      <c r="N56" s="38">
        <f t="shared" si="70"/>
        <v>0.81577057583736667</v>
      </c>
      <c r="O56" s="38">
        <f t="shared" si="70"/>
        <v>0.8248500452524663</v>
      </c>
      <c r="P56" s="38">
        <f t="shared" si="70"/>
        <v>0.82169284233918316</v>
      </c>
      <c r="Q56" s="38">
        <f t="shared" si="70"/>
        <v>0.695185776030532</v>
      </c>
      <c r="R56" s="38">
        <f t="shared" si="70"/>
        <v>0.71269575859793066</v>
      </c>
      <c r="S56" s="38">
        <f t="shared" si="70"/>
        <v>0.71089785142536921</v>
      </c>
      <c r="T56" s="38">
        <f t="shared" si="70"/>
        <v>0.71760491049115049</v>
      </c>
      <c r="U56" s="38">
        <f t="shared" si="70"/>
        <v>0.71192175935687696</v>
      </c>
      <c r="V56" s="64">
        <f t="shared" si="70"/>
        <v>0.71960976706434487</v>
      </c>
      <c r="W56" s="64">
        <f t="shared" si="70"/>
        <v>0.72105726249890045</v>
      </c>
      <c r="X56" s="64">
        <f t="shared" ref="X56:Y56" si="71">-X50/(X39+X43)</f>
        <v>0.72327657310977622</v>
      </c>
      <c r="Y56" s="64">
        <f t="shared" si="71"/>
        <v>0.71617359963958549</v>
      </c>
    </row>
    <row r="57" spans="2:25" ht="16.350000000000001" customHeight="1" outlineLevel="1">
      <c r="B57" s="296" t="s">
        <v>1472</v>
      </c>
      <c r="C57" s="296" t="s">
        <v>1471</v>
      </c>
      <c r="D57" s="29">
        <f t="shared" ref="D57:W57" si="72">-D51/D45</f>
        <v>5.670350792888035E-3</v>
      </c>
      <c r="E57" s="29">
        <f t="shared" si="72"/>
        <v>4.0428525220088775E-3</v>
      </c>
      <c r="F57" s="29">
        <f t="shared" si="72"/>
        <v>3.9449400549397542E-3</v>
      </c>
      <c r="G57" s="29">
        <f t="shared" si="72"/>
        <v>3.7448306787796252E-3</v>
      </c>
      <c r="H57" s="29">
        <f t="shared" si="72"/>
        <v>3.6156622754957095E-3</v>
      </c>
      <c r="I57" s="29">
        <f t="shared" si="72"/>
        <v>3.1711680826217847E-3</v>
      </c>
      <c r="J57" s="29">
        <f t="shared" si="72"/>
        <v>3.0172759774566194E-3</v>
      </c>
      <c r="K57" s="29">
        <f t="shared" si="72"/>
        <v>2.9417839665104939E-3</v>
      </c>
      <c r="L57" s="29">
        <f t="shared" si="72"/>
        <v>2.9752015346511153E-3</v>
      </c>
      <c r="M57" s="29">
        <f t="shared" si="72"/>
        <v>2.7452469261995851E-3</v>
      </c>
      <c r="N57" s="29">
        <f t="shared" si="72"/>
        <v>2.7584568101818121E-3</v>
      </c>
      <c r="O57" s="29">
        <f t="shared" si="72"/>
        <v>2.7483356572802504E-3</v>
      </c>
      <c r="P57" s="29">
        <f t="shared" si="72"/>
        <v>2.8313065351504157E-3</v>
      </c>
      <c r="Q57" s="29">
        <f t="shared" si="72"/>
        <v>2.1179214916102695E-3</v>
      </c>
      <c r="R57" s="29">
        <f t="shared" si="72"/>
        <v>2.237140377334888E-3</v>
      </c>
      <c r="S57" s="29">
        <f t="shared" si="72"/>
        <v>2.2183112479177464E-3</v>
      </c>
      <c r="T57" s="29">
        <f t="shared" si="72"/>
        <v>2.027413101270126E-3</v>
      </c>
      <c r="U57" s="29">
        <f t="shared" si="72"/>
        <v>2.1646767271438442E-3</v>
      </c>
      <c r="V57" s="30">
        <f t="shared" si="72"/>
        <v>2.0956653572292085E-3</v>
      </c>
      <c r="W57" s="30">
        <f t="shared" si="72"/>
        <v>2.5219992429198965E-3</v>
      </c>
      <c r="X57" s="30">
        <f t="shared" ref="X57:Y57" si="73">-X51/X45</f>
        <v>2.397753623318918E-3</v>
      </c>
      <c r="Y57" s="30">
        <f t="shared" si="73"/>
        <v>2.4715392418989384E-3</v>
      </c>
    </row>
    <row r="58" spans="2:25" ht="16.350000000000001" customHeight="1" outlineLevel="1">
      <c r="B58" s="309" t="s">
        <v>2408</v>
      </c>
      <c r="C58" s="309" t="s">
        <v>2460</v>
      </c>
      <c r="D58" s="393">
        <f t="shared" ref="D58:V58" si="74">-D52/D44</f>
        <v>0.1674732686238736</v>
      </c>
      <c r="E58" s="393">
        <f t="shared" si="74"/>
        <v>0.17304440493907466</v>
      </c>
      <c r="F58" s="393">
        <f t="shared" si="74"/>
        <v>0.19029903344190824</v>
      </c>
      <c r="G58" s="393">
        <f t="shared" si="74"/>
        <v>0.15912422634137266</v>
      </c>
      <c r="H58" s="393">
        <f t="shared" si="74"/>
        <v>0.1647887706910183</v>
      </c>
      <c r="I58" s="393">
        <f t="shared" si="74"/>
        <v>0.18292636648846874</v>
      </c>
      <c r="J58" s="393">
        <f t="shared" si="74"/>
        <v>0.22762890988355802</v>
      </c>
      <c r="K58" s="393">
        <f t="shared" si="74"/>
        <v>0.21465957929681975</v>
      </c>
      <c r="L58" s="393">
        <f t="shared" si="74"/>
        <v>0.22574856919322056</v>
      </c>
      <c r="M58" s="393">
        <f t="shared" si="74"/>
        <v>0.2162466635337513</v>
      </c>
      <c r="N58" s="393">
        <f t="shared" si="74"/>
        <v>0.2213689259003993</v>
      </c>
      <c r="O58" s="393">
        <f t="shared" si="74"/>
        <v>0.17698560117445189</v>
      </c>
      <c r="P58" s="393">
        <f t="shared" si="74"/>
        <v>0.17948971222978516</v>
      </c>
      <c r="Q58" s="393">
        <f t="shared" si="74"/>
        <v>0.15470278309126559</v>
      </c>
      <c r="R58" s="393">
        <f t="shared" si="74"/>
        <v>0.14807604122087206</v>
      </c>
      <c r="S58" s="393">
        <f t="shared" si="74"/>
        <v>0.12205965793594233</v>
      </c>
      <c r="T58" s="393">
        <f t="shared" si="74"/>
        <v>0.14997619872523174</v>
      </c>
      <c r="U58" s="393">
        <f t="shared" si="74"/>
        <v>0.18269308091414846</v>
      </c>
      <c r="V58" s="393">
        <f t="shared" si="74"/>
        <v>0.19229475686220462</v>
      </c>
      <c r="W58" s="393">
        <f>-W52/W44</f>
        <v>0.1758491241434135</v>
      </c>
      <c r="X58" s="393">
        <f>-X52/X44</f>
        <v>0.19838545506969241</v>
      </c>
      <c r="Y58" s="393">
        <f>-Y52/Y44</f>
        <v>0.20502533401799891</v>
      </c>
    </row>
    <row r="59" spans="2:25" ht="16.350000000000001" customHeight="1" outlineLevel="1">
      <c r="B59" s="309" t="s">
        <v>2409</v>
      </c>
      <c r="C59" s="309" t="s">
        <v>2461</v>
      </c>
      <c r="D59" s="393">
        <f t="shared" ref="D59:V59" si="75">-D52/D40</f>
        <v>0.57095347702875388</v>
      </c>
      <c r="E59" s="393">
        <f t="shared" si="75"/>
        <v>0.71911839922634169</v>
      </c>
      <c r="F59" s="393">
        <f t="shared" si="75"/>
        <v>0.72469388525790057</v>
      </c>
      <c r="G59" s="393">
        <f t="shared" si="75"/>
        <v>0.78260503979269957</v>
      </c>
      <c r="H59" s="393">
        <f t="shared" si="75"/>
        <v>0.6105965961931924</v>
      </c>
      <c r="I59" s="393">
        <f t="shared" si="75"/>
        <v>0.64561026144385925</v>
      </c>
      <c r="J59" s="393">
        <f t="shared" si="75"/>
        <v>0.68223529964999963</v>
      </c>
      <c r="K59" s="393">
        <f t="shared" si="75"/>
        <v>0.76125425429399474</v>
      </c>
      <c r="L59" s="393">
        <f t="shared" si="75"/>
        <v>0.67385163239181756</v>
      </c>
      <c r="M59" s="393">
        <f t="shared" si="75"/>
        <v>0.68514164229890562</v>
      </c>
      <c r="N59" s="393">
        <f t="shared" si="75"/>
        <v>0.73669070884948207</v>
      </c>
      <c r="O59" s="393">
        <f t="shared" si="75"/>
        <v>0.79349464795529012</v>
      </c>
      <c r="P59" s="393">
        <f t="shared" si="75"/>
        <v>0.69945527288845344</v>
      </c>
      <c r="Q59" s="393">
        <f t="shared" si="75"/>
        <v>0.66915707858722628</v>
      </c>
      <c r="R59" s="393">
        <f t="shared" si="75"/>
        <v>0.66831107349651719</v>
      </c>
      <c r="S59" s="393">
        <f t="shared" si="75"/>
        <v>0.74635576322962482</v>
      </c>
      <c r="T59" s="393">
        <f t="shared" si="75"/>
        <v>0.6035080721069096</v>
      </c>
      <c r="U59" s="393">
        <f t="shared" si="75"/>
        <v>0.67808467494899471</v>
      </c>
      <c r="V59" s="393">
        <f t="shared" si="75"/>
        <v>0.67781044333444529</v>
      </c>
      <c r="W59" s="393">
        <f>-W52/W40</f>
        <v>0.73915218493491319</v>
      </c>
      <c r="X59" s="393">
        <f>-X52/X40</f>
        <v>0.64969746930507455</v>
      </c>
      <c r="Y59" s="393">
        <f>-Y52/Y40</f>
        <v>0.67924832759344034</v>
      </c>
    </row>
    <row r="60" spans="2:25" ht="16.350000000000001" customHeight="1" outlineLevel="1">
      <c r="B60" s="309" t="s">
        <v>2410</v>
      </c>
      <c r="C60" s="309" t="s">
        <v>2462</v>
      </c>
      <c r="D60" s="393">
        <f t="shared" ref="D60:V60" si="76">-D52/(D43+D39)</f>
        <v>1.1204217887259322</v>
      </c>
      <c r="E60" s="393">
        <f t="shared" si="76"/>
        <v>1.0232006799116706</v>
      </c>
      <c r="F60" s="393">
        <f t="shared" si="76"/>
        <v>1.0214798200609303</v>
      </c>
      <c r="G60" s="393">
        <f t="shared" si="76"/>
        <v>1.0483082388576883</v>
      </c>
      <c r="H60" s="393">
        <f t="shared" si="76"/>
        <v>1.0206364525510567</v>
      </c>
      <c r="I60" s="393">
        <f t="shared" si="76"/>
        <v>0.96659098417724842</v>
      </c>
      <c r="J60" s="393">
        <f t="shared" si="76"/>
        <v>0.93321295492242029</v>
      </c>
      <c r="K60" s="393">
        <f t="shared" si="76"/>
        <v>0.92986439303096569</v>
      </c>
      <c r="L60" s="393">
        <f t="shared" si="76"/>
        <v>0.93009124626480932</v>
      </c>
      <c r="M60" s="393">
        <f t="shared" si="76"/>
        <v>0.91936115803682805</v>
      </c>
      <c r="N60" s="393">
        <f t="shared" si="76"/>
        <v>0.90760212749808789</v>
      </c>
      <c r="O60" s="393">
        <f t="shared" si="76"/>
        <v>0.93694100072218423</v>
      </c>
      <c r="P60" s="393">
        <f t="shared" si="76"/>
        <v>0.94508230955326678</v>
      </c>
      <c r="Q60" s="393">
        <f t="shared" si="76"/>
        <v>0.86767326850560889</v>
      </c>
      <c r="R60" s="393">
        <f t="shared" si="76"/>
        <v>0.91303847964452578</v>
      </c>
      <c r="S60" s="393">
        <f t="shared" si="76"/>
        <v>0.96656354354778695</v>
      </c>
      <c r="T60" s="393">
        <f t="shared" si="76"/>
        <v>0.9329578825476097</v>
      </c>
      <c r="U60" s="393">
        <f t="shared" si="76"/>
        <v>0.86003947410456882</v>
      </c>
      <c r="V60" s="393">
        <f t="shared" si="76"/>
        <v>0.86017082006262535</v>
      </c>
      <c r="W60" s="393">
        <f>-W52/(W43+W39)</f>
        <v>0.87597452900890393</v>
      </c>
      <c r="X60" s="393">
        <f>-X52/(X43+X39)</f>
        <v>0.86851654782119492</v>
      </c>
      <c r="Y60" s="393">
        <f>-Y52/(Y43+Y39)</f>
        <v>0.85096514838217796</v>
      </c>
    </row>
    <row r="61" spans="2:25" ht="16.350000000000001" customHeight="1" outlineLevel="1">
      <c r="B61" s="405" t="s">
        <v>2411</v>
      </c>
      <c r="C61" s="406" t="s">
        <v>2463</v>
      </c>
      <c r="D61" s="407">
        <f t="shared" ref="D61:V61" si="77">-D52/D43</f>
        <v>1.2651695831211869</v>
      </c>
      <c r="E61" s="407">
        <f t="shared" si="77"/>
        <v>1.1585211497541015</v>
      </c>
      <c r="F61" s="407">
        <f t="shared" si="77"/>
        <v>1.1177493378534524</v>
      </c>
      <c r="G61" s="407">
        <f t="shared" si="77"/>
        <v>1.1469793824350552</v>
      </c>
      <c r="H61" s="407">
        <f t="shared" si="77"/>
        <v>1.1165570703778238</v>
      </c>
      <c r="I61" s="407">
        <f t="shared" si="77"/>
        <v>1.0616531889507599</v>
      </c>
      <c r="J61" s="407">
        <f t="shared" si="77"/>
        <v>1.0131133967139194</v>
      </c>
      <c r="K61" s="407">
        <f t="shared" si="77"/>
        <v>1.0091043919242177</v>
      </c>
      <c r="L61" s="407">
        <f t="shared" si="77"/>
        <v>1.017399969339261</v>
      </c>
      <c r="M61" s="407">
        <f t="shared" si="77"/>
        <v>1.0270394605554851</v>
      </c>
      <c r="N61" s="407">
        <f t="shared" si="77"/>
        <v>1.0313406001419747</v>
      </c>
      <c r="O61" s="407">
        <f t="shared" si="77"/>
        <v>1.067263206919193</v>
      </c>
      <c r="P61" s="407">
        <f t="shared" si="77"/>
        <v>1.0858012005106243</v>
      </c>
      <c r="Q61" s="407">
        <f t="shared" si="77"/>
        <v>0.931531920185794</v>
      </c>
      <c r="R61" s="407">
        <f t="shared" si="77"/>
        <v>0.97776612701136512</v>
      </c>
      <c r="S61" s="407">
        <f t="shared" si="77"/>
        <v>1.03653936582551</v>
      </c>
      <c r="T61" s="407">
        <f t="shared" si="77"/>
        <v>0.9884539892047951</v>
      </c>
      <c r="U61" s="407">
        <f t="shared" si="77"/>
        <v>0.9065363421532151</v>
      </c>
      <c r="V61" s="407">
        <f t="shared" si="77"/>
        <v>0.90684739633153399</v>
      </c>
      <c r="W61" s="407">
        <f>-W52/W43</f>
        <v>0.92116435494225413</v>
      </c>
      <c r="X61" s="407">
        <f>-X52/X43</f>
        <v>0.90952672749646757</v>
      </c>
      <c r="Y61" s="407">
        <f>-Y52/Y43</f>
        <v>0.89271496694680585</v>
      </c>
    </row>
    <row r="62" spans="2:25" ht="16.350000000000001" customHeight="1">
      <c r="B62" s="302"/>
      <c r="C62" s="30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2"/>
    </row>
    <row r="63" spans="2:25" s="34" customFormat="1" ht="16.350000000000001" customHeight="1">
      <c r="B63" s="437" t="s">
        <v>2414</v>
      </c>
      <c r="C63" s="437" t="s">
        <v>2415</v>
      </c>
      <c r="D63" s="438">
        <v>44286</v>
      </c>
      <c r="E63" s="438">
        <f t="shared" ref="E63" si="78">EOMONTH(D63,3)</f>
        <v>44377</v>
      </c>
      <c r="F63" s="438">
        <f t="shared" ref="F63" si="79">EOMONTH(E63,3)</f>
        <v>44469</v>
      </c>
      <c r="G63" s="438">
        <f t="shared" ref="G63" si="80">EOMONTH(F63,3)</f>
        <v>44561</v>
      </c>
      <c r="H63" s="438">
        <f t="shared" ref="H63" si="81">EOMONTH(G63,3)</f>
        <v>44651</v>
      </c>
      <c r="I63" s="438">
        <f t="shared" ref="I63" si="82">EOMONTH(H63,3)</f>
        <v>44742</v>
      </c>
      <c r="J63" s="438">
        <f t="shared" ref="J63" si="83">EOMONTH(I63,3)</f>
        <v>44834</v>
      </c>
      <c r="K63" s="438">
        <f t="shared" ref="K63" si="84">EOMONTH(J63,3)</f>
        <v>44926</v>
      </c>
      <c r="L63" s="438">
        <f t="shared" ref="L63" si="85">EOMONTH(K63,3)</f>
        <v>45016</v>
      </c>
      <c r="M63" s="438">
        <f t="shared" ref="M63" si="86">EOMONTH(L63,3)</f>
        <v>45107</v>
      </c>
      <c r="N63" s="438">
        <f t="shared" ref="N63" si="87">EOMONTH(M63,3)</f>
        <v>45199</v>
      </c>
      <c r="O63" s="438">
        <f t="shared" ref="O63" si="88">EOMONTH(N63,3)</f>
        <v>45291</v>
      </c>
      <c r="P63" s="438">
        <f t="shared" ref="P63:Y63" si="89">EOMONTH(O63,3)</f>
        <v>45382</v>
      </c>
      <c r="Q63" s="438">
        <f t="shared" si="89"/>
        <v>45473</v>
      </c>
      <c r="R63" s="438">
        <f t="shared" si="89"/>
        <v>45565</v>
      </c>
      <c r="S63" s="438">
        <f t="shared" si="89"/>
        <v>45657</v>
      </c>
      <c r="T63" s="438">
        <f t="shared" si="89"/>
        <v>45747</v>
      </c>
      <c r="U63" s="438">
        <f t="shared" si="89"/>
        <v>45838</v>
      </c>
      <c r="V63" s="438">
        <f t="shared" si="89"/>
        <v>45930</v>
      </c>
      <c r="W63" s="438">
        <f t="shared" si="89"/>
        <v>46022</v>
      </c>
      <c r="X63" s="438">
        <f t="shared" si="89"/>
        <v>46112</v>
      </c>
      <c r="Y63" s="438">
        <f t="shared" si="89"/>
        <v>46203</v>
      </c>
    </row>
    <row r="64" spans="2:25" ht="16.350000000000001" customHeight="1" outlineLevel="1">
      <c r="B64" s="277" t="s">
        <v>619</v>
      </c>
      <c r="C64" s="277" t="s">
        <v>100</v>
      </c>
      <c r="D64" s="278">
        <f t="shared" ref="D64:W64" si="90">SUM(D65:D67)</f>
        <v>1870036</v>
      </c>
      <c r="E64" s="278">
        <f t="shared" si="90"/>
        <v>2146635</v>
      </c>
      <c r="F64" s="278">
        <f t="shared" si="90"/>
        <v>2348126</v>
      </c>
      <c r="G64" s="278">
        <f t="shared" si="90"/>
        <v>3103516</v>
      </c>
      <c r="H64" s="278">
        <f t="shared" si="90"/>
        <v>3148971</v>
      </c>
      <c r="I64" s="278">
        <f t="shared" si="90"/>
        <v>3447148</v>
      </c>
      <c r="J64" s="278">
        <f t="shared" si="90"/>
        <v>3523793</v>
      </c>
      <c r="K64" s="278">
        <f t="shared" si="90"/>
        <v>4032633</v>
      </c>
      <c r="L64" s="278">
        <f t="shared" si="90"/>
        <v>3887350</v>
      </c>
      <c r="M64" s="278">
        <f t="shared" si="90"/>
        <v>3900226</v>
      </c>
      <c r="N64" s="278">
        <f t="shared" si="90"/>
        <v>3648752</v>
      </c>
      <c r="O64" s="278">
        <f t="shared" si="90"/>
        <v>4026247</v>
      </c>
      <c r="P64" s="278">
        <f t="shared" si="90"/>
        <v>3783879</v>
      </c>
      <c r="Q64" s="278">
        <f t="shared" si="90"/>
        <v>3939508.678459784</v>
      </c>
      <c r="R64" s="278">
        <f t="shared" si="90"/>
        <v>3970935.5865789396</v>
      </c>
      <c r="S64" s="278">
        <f t="shared" si="90"/>
        <v>4352964.9425578527</v>
      </c>
      <c r="T64" s="278">
        <f t="shared" si="90"/>
        <v>4076790.91347</v>
      </c>
      <c r="U64" s="278">
        <f t="shared" si="90"/>
        <v>4113593.4095599982</v>
      </c>
      <c r="V64" s="278">
        <f t="shared" si="90"/>
        <v>4063020.752270001</v>
      </c>
      <c r="W64" s="278">
        <f t="shared" si="90"/>
        <v>4416770.1882499941</v>
      </c>
      <c r="X64" s="278">
        <f t="shared" ref="X64:Y64" si="91">SUM(X65:X67)</f>
        <v>4098966.1222399902</v>
      </c>
      <c r="Y64" s="278">
        <f t="shared" si="91"/>
        <v>4070684</v>
      </c>
    </row>
    <row r="65" spans="2:25" ht="16.350000000000001" customHeight="1" outlineLevel="1">
      <c r="B65" s="158" t="s">
        <v>660</v>
      </c>
      <c r="C65" s="158" t="s">
        <v>658</v>
      </c>
      <c r="D65" s="159">
        <v>1669078</v>
      </c>
      <c r="E65" s="159">
        <v>2020269</v>
      </c>
      <c r="F65" s="159">
        <v>2215869</v>
      </c>
      <c r="G65" s="159">
        <v>2950542</v>
      </c>
      <c r="H65" s="159">
        <v>2960867</v>
      </c>
      <c r="I65" s="159">
        <v>3226267</v>
      </c>
      <c r="J65" s="159">
        <v>3263065</v>
      </c>
      <c r="K65" s="159">
        <v>3720127</v>
      </c>
      <c r="L65" s="159">
        <v>3502884</v>
      </c>
      <c r="M65" s="159">
        <v>3482365</v>
      </c>
      <c r="N65" s="159">
        <v>3198610</v>
      </c>
      <c r="O65" s="159">
        <v>3577222</v>
      </c>
      <c r="P65" s="159">
        <v>3348765</v>
      </c>
      <c r="Q65" s="159">
        <v>2814024.36204971</v>
      </c>
      <c r="R65" s="159">
        <v>2829024.9553588498</v>
      </c>
      <c r="S65" s="159">
        <v>3082948.948167718</v>
      </c>
      <c r="T65" s="159">
        <v>2863689.8435899992</v>
      </c>
      <c r="U65" s="159">
        <v>2972014.34504</v>
      </c>
      <c r="V65" s="159">
        <v>2829695.7299600001</v>
      </c>
      <c r="W65" s="159">
        <v>3009599.1324799932</v>
      </c>
      <c r="X65" s="159">
        <v>2796421.3211899917</v>
      </c>
      <c r="Y65" s="159">
        <v>2751908</v>
      </c>
    </row>
    <row r="66" spans="2:25" ht="16.350000000000001" customHeight="1" outlineLevel="1">
      <c r="B66" s="158" t="s">
        <v>661</v>
      </c>
      <c r="C66" s="158" t="s">
        <v>659</v>
      </c>
      <c r="D66" s="159">
        <v>77726</v>
      </c>
      <c r="E66" s="159">
        <v>61323</v>
      </c>
      <c r="F66" s="159">
        <v>69617</v>
      </c>
      <c r="G66" s="159">
        <v>83791</v>
      </c>
      <c r="H66" s="159">
        <v>119684</v>
      </c>
      <c r="I66" s="159">
        <v>137981</v>
      </c>
      <c r="J66" s="159">
        <v>154280</v>
      </c>
      <c r="K66" s="159">
        <v>184072</v>
      </c>
      <c r="L66" s="159">
        <v>218951</v>
      </c>
      <c r="M66" s="159">
        <v>223324</v>
      </c>
      <c r="N66" s="159">
        <v>221937</v>
      </c>
      <c r="O66" s="159">
        <v>206029</v>
      </c>
      <c r="P66" s="159">
        <v>200997</v>
      </c>
      <c r="Q66" s="159">
        <v>1050882.0955900745</v>
      </c>
      <c r="R66" s="159">
        <v>1081332.59948009</v>
      </c>
      <c r="S66" s="159">
        <v>1219389.5166401353</v>
      </c>
      <c r="T66" s="159">
        <v>1156363.4432800007</v>
      </c>
      <c r="U66" s="159">
        <v>1080375.9431799988</v>
      </c>
      <c r="V66" s="159">
        <v>1172102.8174300005</v>
      </c>
      <c r="W66" s="159">
        <v>1342020.4869400004</v>
      </c>
      <c r="X66" s="159">
        <v>1235186.2448399982</v>
      </c>
      <c r="Y66" s="159">
        <v>1251759</v>
      </c>
    </row>
    <row r="67" spans="2:25" ht="16.350000000000001" customHeight="1" outlineLevel="1">
      <c r="B67" s="158" t="s">
        <v>2459</v>
      </c>
      <c r="C67" s="158" t="s">
        <v>2437</v>
      </c>
      <c r="D67" s="159">
        <v>123232</v>
      </c>
      <c r="E67" s="159">
        <v>65043</v>
      </c>
      <c r="F67" s="159">
        <v>62640</v>
      </c>
      <c r="G67" s="159">
        <v>69183</v>
      </c>
      <c r="H67" s="159">
        <v>68420</v>
      </c>
      <c r="I67" s="159">
        <v>82900</v>
      </c>
      <c r="J67" s="159">
        <v>106448</v>
      </c>
      <c r="K67" s="159">
        <v>128434</v>
      </c>
      <c r="L67" s="159">
        <v>165515</v>
      </c>
      <c r="M67" s="159">
        <v>194537</v>
      </c>
      <c r="N67" s="159">
        <v>228205</v>
      </c>
      <c r="O67" s="159">
        <v>242996</v>
      </c>
      <c r="P67" s="159">
        <v>234117</v>
      </c>
      <c r="Q67" s="159">
        <v>74602.220819999595</v>
      </c>
      <c r="R67" s="159">
        <v>60578.031740000224</v>
      </c>
      <c r="S67" s="159">
        <v>50626.477749999933</v>
      </c>
      <c r="T67" s="159">
        <v>56737.626599999894</v>
      </c>
      <c r="U67" s="159">
        <v>61203.121339999765</v>
      </c>
      <c r="V67" s="159">
        <v>61222.204879999998</v>
      </c>
      <c r="W67" s="159">
        <v>65150.568829999997</v>
      </c>
      <c r="X67" s="159">
        <v>67358.556210000097</v>
      </c>
      <c r="Y67" s="159">
        <v>67017</v>
      </c>
    </row>
    <row r="68" spans="2:25" ht="16.350000000000001" customHeight="1" outlineLevel="1">
      <c r="B68" s="280" t="s">
        <v>504</v>
      </c>
      <c r="C68" s="280" t="s">
        <v>182</v>
      </c>
      <c r="D68" s="281">
        <f t="shared" ref="D68:W68" si="92">SUM(D69:D71)</f>
        <v>330639</v>
      </c>
      <c r="E68" s="281">
        <f t="shared" si="92"/>
        <v>380232</v>
      </c>
      <c r="F68" s="281">
        <f t="shared" si="92"/>
        <v>484926</v>
      </c>
      <c r="G68" s="281">
        <f t="shared" si="92"/>
        <v>590228</v>
      </c>
      <c r="H68" s="281">
        <f t="shared" si="92"/>
        <v>830406</v>
      </c>
      <c r="I68" s="281">
        <f t="shared" si="92"/>
        <v>1044886</v>
      </c>
      <c r="J68" s="281">
        <f t="shared" si="92"/>
        <v>1235245</v>
      </c>
      <c r="K68" s="281">
        <f t="shared" si="92"/>
        <v>1353299</v>
      </c>
      <c r="L68" s="281">
        <f t="shared" si="92"/>
        <v>1464743</v>
      </c>
      <c r="M68" s="281">
        <f t="shared" si="92"/>
        <v>1518266</v>
      </c>
      <c r="N68" s="281">
        <f t="shared" si="92"/>
        <v>1470048</v>
      </c>
      <c r="O68" s="281">
        <f t="shared" si="92"/>
        <v>1361600</v>
      </c>
      <c r="P68" s="281">
        <f t="shared" si="92"/>
        <v>1297881</v>
      </c>
      <c r="Q68" s="281">
        <f t="shared" si="92"/>
        <v>1206101.5930800254</v>
      </c>
      <c r="R68" s="281">
        <f t="shared" si="92"/>
        <v>1122582.2672900239</v>
      </c>
      <c r="S68" s="281">
        <f t="shared" si="92"/>
        <v>1057357.5966099906</v>
      </c>
      <c r="T68" s="281">
        <f t="shared" si="92"/>
        <v>1342492.0101700036</v>
      </c>
      <c r="U68" s="281">
        <f t="shared" si="92"/>
        <v>1646643.5041500009</v>
      </c>
      <c r="V68" s="281">
        <f t="shared" si="92"/>
        <v>1643867.6062200004</v>
      </c>
      <c r="W68" s="281">
        <f t="shared" si="92"/>
        <v>1657179.4936600002</v>
      </c>
      <c r="X68" s="281">
        <f t="shared" ref="X68:Y68" si="93">SUM(X69:X71)</f>
        <v>1780594.0571199977</v>
      </c>
      <c r="Y68" s="281">
        <f t="shared" si="93"/>
        <v>1861041</v>
      </c>
    </row>
    <row r="69" spans="2:25" ht="16.350000000000001" customHeight="1" outlineLevel="1">
      <c r="B69" s="158" t="s">
        <v>660</v>
      </c>
      <c r="C69" s="158" t="s">
        <v>658</v>
      </c>
      <c r="D69" s="159">
        <v>77388</v>
      </c>
      <c r="E69" s="159">
        <v>68598</v>
      </c>
      <c r="F69" s="159">
        <v>91276</v>
      </c>
      <c r="G69" s="159">
        <v>92379</v>
      </c>
      <c r="H69" s="159">
        <v>135682</v>
      </c>
      <c r="I69" s="159">
        <v>154402</v>
      </c>
      <c r="J69" s="159">
        <v>158791</v>
      </c>
      <c r="K69" s="159">
        <v>126150</v>
      </c>
      <c r="L69" s="159">
        <v>136365</v>
      </c>
      <c r="M69" s="159">
        <v>146221</v>
      </c>
      <c r="N69" s="159">
        <v>146465</v>
      </c>
      <c r="O69" s="159">
        <v>110060</v>
      </c>
      <c r="P69" s="159">
        <v>133770</v>
      </c>
      <c r="Q69" s="159">
        <v>105331.372880008</v>
      </c>
      <c r="R69" s="159">
        <v>92737.802880006304</v>
      </c>
      <c r="S69" s="159">
        <v>70678.355059994603</v>
      </c>
      <c r="T69" s="159">
        <v>81501.439980000112</v>
      </c>
      <c r="U69" s="159">
        <v>94956.284449999628</v>
      </c>
      <c r="V69" s="159">
        <v>89680.279210000066</v>
      </c>
      <c r="W69" s="159">
        <v>66736.930560000023</v>
      </c>
      <c r="X69" s="159">
        <v>84687.151609999884</v>
      </c>
      <c r="Y69" s="159">
        <v>91251</v>
      </c>
    </row>
    <row r="70" spans="2:25" ht="16.350000000000001" customHeight="1" outlineLevel="1">
      <c r="B70" s="158" t="s">
        <v>661</v>
      </c>
      <c r="C70" s="158" t="s">
        <v>659</v>
      </c>
      <c r="D70" s="159">
        <v>83373</v>
      </c>
      <c r="E70" s="159">
        <v>81657</v>
      </c>
      <c r="F70" s="159">
        <v>115968</v>
      </c>
      <c r="G70" s="159">
        <v>142446</v>
      </c>
      <c r="H70" s="159">
        <v>236824</v>
      </c>
      <c r="I70" s="159">
        <v>238829</v>
      </c>
      <c r="J70" s="159">
        <v>258083</v>
      </c>
      <c r="K70" s="159">
        <v>266346</v>
      </c>
      <c r="L70" s="159">
        <v>320757</v>
      </c>
      <c r="M70" s="159">
        <v>268806</v>
      </c>
      <c r="N70" s="159">
        <v>221052</v>
      </c>
      <c r="O70" s="159">
        <v>193674</v>
      </c>
      <c r="P70" s="159">
        <v>219109</v>
      </c>
      <c r="Q70" s="159">
        <v>205893.45277000265</v>
      </c>
      <c r="R70" s="159">
        <v>210532.15474000297</v>
      </c>
      <c r="S70" s="159">
        <v>215475.597169997</v>
      </c>
      <c r="T70" s="159">
        <v>249249.41521000068</v>
      </c>
      <c r="U70" s="159">
        <v>221639.77651999972</v>
      </c>
      <c r="V70" s="159">
        <v>206697.84653000024</v>
      </c>
      <c r="W70" s="159">
        <v>207012.82379000037</v>
      </c>
      <c r="X70" s="159">
        <v>257473.06452999919</v>
      </c>
      <c r="Y70" s="159">
        <v>247455</v>
      </c>
    </row>
    <row r="71" spans="2:25" ht="16.350000000000001" customHeight="1" outlineLevel="1">
      <c r="B71" s="158" t="s">
        <v>2459</v>
      </c>
      <c r="C71" s="158" t="s">
        <v>2437</v>
      </c>
      <c r="D71" s="159">
        <v>169878</v>
      </c>
      <c r="E71" s="159">
        <v>229977</v>
      </c>
      <c r="F71" s="159">
        <v>277682</v>
      </c>
      <c r="G71" s="159">
        <v>355403</v>
      </c>
      <c r="H71" s="159">
        <v>457900</v>
      </c>
      <c r="I71" s="159">
        <v>651655</v>
      </c>
      <c r="J71" s="159">
        <v>818371</v>
      </c>
      <c r="K71" s="159">
        <v>960803</v>
      </c>
      <c r="L71" s="159">
        <v>1007621</v>
      </c>
      <c r="M71" s="159">
        <v>1103239</v>
      </c>
      <c r="N71" s="159">
        <v>1102531</v>
      </c>
      <c r="O71" s="159">
        <v>1057866</v>
      </c>
      <c r="P71" s="159">
        <v>945002</v>
      </c>
      <c r="Q71" s="159">
        <v>894876.76743001479</v>
      </c>
      <c r="R71" s="159">
        <v>819312.30967001466</v>
      </c>
      <c r="S71" s="159">
        <v>771203.64437999902</v>
      </c>
      <c r="T71" s="159">
        <v>1011741.1549800028</v>
      </c>
      <c r="U71" s="159">
        <v>1330047.4431800016</v>
      </c>
      <c r="V71" s="159">
        <v>1347489.4804800001</v>
      </c>
      <c r="W71" s="159">
        <v>1383429.7393099996</v>
      </c>
      <c r="X71" s="159">
        <v>1438433.8409799987</v>
      </c>
      <c r="Y71" s="159">
        <v>1522335</v>
      </c>
    </row>
    <row r="72" spans="2:25" ht="16.350000000000001" customHeight="1" outlineLevel="1">
      <c r="B72" s="282" t="s">
        <v>1473</v>
      </c>
      <c r="C72" s="283" t="s">
        <v>1473</v>
      </c>
      <c r="D72" s="284">
        <f t="shared" ref="D72:W72" si="94">D64+D68</f>
        <v>2200675</v>
      </c>
      <c r="E72" s="284">
        <f t="shared" si="94"/>
        <v>2526867</v>
      </c>
      <c r="F72" s="284">
        <f t="shared" si="94"/>
        <v>2833052</v>
      </c>
      <c r="G72" s="284">
        <f t="shared" si="94"/>
        <v>3693744</v>
      </c>
      <c r="H72" s="284">
        <f t="shared" si="94"/>
        <v>3979377</v>
      </c>
      <c r="I72" s="284">
        <f t="shared" si="94"/>
        <v>4492034</v>
      </c>
      <c r="J72" s="284">
        <f t="shared" si="94"/>
        <v>4759038</v>
      </c>
      <c r="K72" s="284">
        <f t="shared" si="94"/>
        <v>5385932</v>
      </c>
      <c r="L72" s="284">
        <f t="shared" si="94"/>
        <v>5352093</v>
      </c>
      <c r="M72" s="284">
        <f t="shared" si="94"/>
        <v>5418492</v>
      </c>
      <c r="N72" s="284">
        <f t="shared" si="94"/>
        <v>5118800</v>
      </c>
      <c r="O72" s="284">
        <f t="shared" si="94"/>
        <v>5387847</v>
      </c>
      <c r="P72" s="284">
        <f t="shared" si="94"/>
        <v>5081760</v>
      </c>
      <c r="Q72" s="284">
        <f t="shared" si="94"/>
        <v>5145610.2715398092</v>
      </c>
      <c r="R72" s="284">
        <f t="shared" si="94"/>
        <v>5093517.8538689632</v>
      </c>
      <c r="S72" s="284">
        <f t="shared" si="94"/>
        <v>5410322.5391678438</v>
      </c>
      <c r="T72" s="284">
        <f t="shared" si="94"/>
        <v>5419282.9236400034</v>
      </c>
      <c r="U72" s="284">
        <f t="shared" si="94"/>
        <v>5760236.9137099991</v>
      </c>
      <c r="V72" s="284">
        <f t="shared" si="94"/>
        <v>5706888.3584900014</v>
      </c>
      <c r="W72" s="284">
        <f t="shared" si="94"/>
        <v>6073949.6819099942</v>
      </c>
      <c r="X72" s="284">
        <f t="shared" ref="X72:Y72" si="95">X64+X68</f>
        <v>5879560.1793599874</v>
      </c>
      <c r="Y72" s="284">
        <f t="shared" si="95"/>
        <v>5931725</v>
      </c>
    </row>
    <row r="73" spans="2:25" ht="16.350000000000001" customHeight="1" outlineLevel="1">
      <c r="B73" s="285" t="s">
        <v>1472</v>
      </c>
      <c r="C73" s="285" t="s">
        <v>1471</v>
      </c>
      <c r="D73" s="286">
        <v>3099002</v>
      </c>
      <c r="E73" s="286">
        <v>3334857</v>
      </c>
      <c r="F73" s="286">
        <v>3616588</v>
      </c>
      <c r="G73" s="286">
        <v>4655732</v>
      </c>
      <c r="H73" s="286">
        <v>4549535</v>
      </c>
      <c r="I73" s="286">
        <v>4933319</v>
      </c>
      <c r="J73" s="286">
        <v>5450805</v>
      </c>
      <c r="K73" s="286">
        <v>5639780</v>
      </c>
      <c r="L73" s="286">
        <v>5849164</v>
      </c>
      <c r="M73" s="286">
        <v>5157281</v>
      </c>
      <c r="N73" s="286">
        <v>5424746</v>
      </c>
      <c r="O73" s="286">
        <v>5645873</v>
      </c>
      <c r="P73" s="286">
        <v>6038304</v>
      </c>
      <c r="Q73" s="287">
        <v>8928367.1566614993</v>
      </c>
      <c r="R73" s="287">
        <v>9117775.6629009005</v>
      </c>
      <c r="S73" s="287">
        <v>9381721.9941918291</v>
      </c>
      <c r="T73" s="287">
        <v>9857813.0280000009</v>
      </c>
      <c r="U73" s="287">
        <v>10151631.608999999</v>
      </c>
      <c r="V73" s="287">
        <v>10715969.297</v>
      </c>
      <c r="W73" s="287">
        <v>10872891.73</v>
      </c>
      <c r="X73" s="287">
        <v>10155205.471999999</v>
      </c>
      <c r="Y73" s="287">
        <v>9719219.5059999991</v>
      </c>
    </row>
    <row r="74" spans="2:25" ht="16.350000000000001" customHeight="1" outlineLevel="1"/>
    <row r="75" spans="2:25" ht="16.350000000000001" customHeight="1" outlineLevel="1">
      <c r="B75" s="271" t="s">
        <v>1478</v>
      </c>
      <c r="C75" s="310" t="s">
        <v>1479</v>
      </c>
      <c r="D75" s="119"/>
      <c r="E75" s="119"/>
      <c r="F75" s="119"/>
      <c r="G75" s="119"/>
      <c r="H75" s="119"/>
      <c r="I75" s="119"/>
      <c r="J75" s="119"/>
      <c r="K75" s="119"/>
      <c r="L75" s="119"/>
      <c r="M75" s="119"/>
      <c r="N75" s="119"/>
      <c r="O75" s="119"/>
      <c r="P75" s="119"/>
      <c r="Q75" s="119"/>
      <c r="R75" s="119"/>
      <c r="S75" s="119"/>
      <c r="T75" s="119"/>
      <c r="U75" s="119"/>
      <c r="V75" s="119"/>
      <c r="W75" s="119"/>
      <c r="X75" s="119"/>
      <c r="Y75" s="119"/>
    </row>
    <row r="76" spans="2:25" ht="16.350000000000001" customHeight="1" outlineLevel="1">
      <c r="B76" s="158" t="s">
        <v>660</v>
      </c>
      <c r="C76" s="158" t="s">
        <v>658</v>
      </c>
      <c r="D76" s="159">
        <v>-38570</v>
      </c>
      <c r="E76" s="159">
        <v>-42665.367789999997</v>
      </c>
      <c r="F76" s="159">
        <v>-44526.49651101933</v>
      </c>
      <c r="G76" s="159">
        <v>-59011.435607559702</v>
      </c>
      <c r="H76" s="159">
        <v>-57721.238972181898</v>
      </c>
      <c r="I76" s="159">
        <v>-64983.477490437654</v>
      </c>
      <c r="J76" s="159">
        <v>-64747.098162574257</v>
      </c>
      <c r="K76" s="159">
        <v>-69169.190283569449</v>
      </c>
      <c r="L76" s="159">
        <v>-63005.74090447741</v>
      </c>
      <c r="M76" s="159">
        <v>-63044.68844503093</v>
      </c>
      <c r="N76" s="159">
        <v>-56474.012101572909</v>
      </c>
      <c r="O76" s="159">
        <v>-60751.840070921004</v>
      </c>
      <c r="P76" s="159">
        <v>-56637.401719322756</v>
      </c>
      <c r="Q76" s="159">
        <v>-37713.219454047532</v>
      </c>
      <c r="R76" s="159">
        <v>-37379.114598076711</v>
      </c>
      <c r="S76" s="159">
        <v>-39732.900242172254</v>
      </c>
      <c r="T76" s="159">
        <v>-36827.709499424294</v>
      </c>
      <c r="U76" s="159">
        <v>-39611.335072862697</v>
      </c>
      <c r="V76" s="159">
        <v>-36425.15968659817</v>
      </c>
      <c r="W76" s="159">
        <v>-37060.621388746782</v>
      </c>
      <c r="X76" s="159">
        <v>-35044.383588510369</v>
      </c>
      <c r="Y76" s="159">
        <v>-34181</v>
      </c>
    </row>
    <row r="77" spans="2:25" ht="16.350000000000001" customHeight="1" outlineLevel="1">
      <c r="B77" s="158" t="s">
        <v>661</v>
      </c>
      <c r="C77" s="158" t="s">
        <v>659</v>
      </c>
      <c r="D77" s="159">
        <v>-20533</v>
      </c>
      <c r="E77" s="159">
        <v>-17418.319339999998</v>
      </c>
      <c r="F77" s="159">
        <v>-22802.829405976288</v>
      </c>
      <c r="G77" s="159">
        <v>-28682.638257855924</v>
      </c>
      <c r="H77" s="159">
        <v>-42525.623861296197</v>
      </c>
      <c r="I77" s="159">
        <v>-47798.496306773828</v>
      </c>
      <c r="J77" s="159">
        <v>-52211.018419285589</v>
      </c>
      <c r="K77" s="159">
        <v>-56346.679921662413</v>
      </c>
      <c r="L77" s="159">
        <v>-65595.775222801691</v>
      </c>
      <c r="M77" s="159">
        <v>-60196.246265071299</v>
      </c>
      <c r="N77" s="159">
        <v>-52540.843903746274</v>
      </c>
      <c r="O77" s="159">
        <v>-46455.331486969822</v>
      </c>
      <c r="P77" s="159">
        <v>-47193.920968256934</v>
      </c>
      <c r="Q77" s="159">
        <v>-110751.43990413395</v>
      </c>
      <c r="R77" s="159">
        <v>-111953.33305736831</v>
      </c>
      <c r="S77" s="159">
        <v>-120336.50991197568</v>
      </c>
      <c r="T77" s="159">
        <v>-123454.64321411296</v>
      </c>
      <c r="U77" s="159">
        <v>-115991.361918287</v>
      </c>
      <c r="V77" s="159">
        <v>-118503.77352296907</v>
      </c>
      <c r="W77" s="159">
        <v>-125423.52292639152</v>
      </c>
      <c r="X77" s="159">
        <v>-126946.05520299249</v>
      </c>
      <c r="Y77" s="159">
        <v>-128160</v>
      </c>
    </row>
    <row r="78" spans="2:25" ht="16.350000000000001" customHeight="1" outlineLevel="1">
      <c r="B78" s="158" t="s">
        <v>2459</v>
      </c>
      <c r="C78" s="158" t="s">
        <v>2437</v>
      </c>
      <c r="D78" s="159">
        <v>-221309</v>
      </c>
      <c r="E78" s="159">
        <v>-206909.55963</v>
      </c>
      <c r="F78" s="159">
        <v>-244831.7395745003</v>
      </c>
      <c r="G78" s="159">
        <v>-300892.20957449771</v>
      </c>
      <c r="H78" s="159">
        <v>-364553.22118699079</v>
      </c>
      <c r="I78" s="159">
        <v>-511153.07806265488</v>
      </c>
      <c r="J78" s="159">
        <v>-654886.48799605365</v>
      </c>
      <c r="K78" s="159">
        <v>-776716.74726719712</v>
      </c>
      <c r="L78" s="159">
        <v>-839154.26295247336</v>
      </c>
      <c r="M78" s="159">
        <v>-926172.43656929408</v>
      </c>
      <c r="N78" s="159">
        <v>-947838.30574304424</v>
      </c>
      <c r="O78" s="159">
        <v>-918994.65785929002</v>
      </c>
      <c r="P78" s="159">
        <v>-836083.97044527647</v>
      </c>
      <c r="Q78" s="159">
        <v>-749142.7856203788</v>
      </c>
      <c r="R78" s="159">
        <v>-681763.09986892296</v>
      </c>
      <c r="S78" s="159">
        <v>-637558.847156681</v>
      </c>
      <c r="T78" s="159">
        <v>-827535.33318547823</v>
      </c>
      <c r="U78" s="159">
        <v>-1078046.89845814</v>
      </c>
      <c r="V78" s="159">
        <v>-1092740.3490176415</v>
      </c>
      <c r="W78" s="159">
        <v>-1123573.2625301492</v>
      </c>
      <c r="X78" s="159">
        <v>-1168102.6559177716</v>
      </c>
      <c r="Y78" s="159">
        <v>-1229748</v>
      </c>
    </row>
    <row r="79" spans="2:25" ht="16.350000000000001" customHeight="1" outlineLevel="1">
      <c r="B79" s="158" t="s">
        <v>1472</v>
      </c>
      <c r="C79" s="158" t="s">
        <v>1471</v>
      </c>
      <c r="D79" s="159">
        <v>-10428</v>
      </c>
      <c r="E79" s="159">
        <v>-12232.75324</v>
      </c>
      <c r="F79" s="159">
        <v>-12098.934508504117</v>
      </c>
      <c r="G79" s="159">
        <v>-16663.716560086646</v>
      </c>
      <c r="H79" s="159">
        <v>-12718.915979531128</v>
      </c>
      <c r="I79" s="159">
        <v>-13205.948140133611</v>
      </c>
      <c r="J79" s="159">
        <v>-13851.395422086462</v>
      </c>
      <c r="K79" s="159">
        <v>-15002.382527571001</v>
      </c>
      <c r="L79" s="159">
        <v>-12497.220920247446</v>
      </c>
      <c r="M79" s="159">
        <v>-11103.628720603667</v>
      </c>
      <c r="N79" s="159">
        <v>-11399.838251636556</v>
      </c>
      <c r="O79" s="159">
        <v>-13522.170582819186</v>
      </c>
      <c r="P79" s="159">
        <v>-12799.706867143823</v>
      </c>
      <c r="Q79" s="159">
        <v>-11762.555021439801</v>
      </c>
      <c r="R79" s="159">
        <v>-11145.452475631972</v>
      </c>
      <c r="S79" s="159">
        <v>-11606.7426891711</v>
      </c>
      <c r="T79" s="159">
        <v>-11256.301912996651</v>
      </c>
      <c r="U79" s="159">
        <v>-10902.058377245099</v>
      </c>
      <c r="V79" s="159">
        <v>-11260.334000000001</v>
      </c>
      <c r="W79" s="159">
        <v>-11701.797750467409</v>
      </c>
      <c r="X79" s="159">
        <v>-11208.740661977199</v>
      </c>
      <c r="Y79" s="159">
        <v>-11641</v>
      </c>
    </row>
    <row r="80" spans="2:25" ht="16.350000000000001" customHeight="1" outlineLevel="1">
      <c r="B80" s="289" t="s">
        <v>1476</v>
      </c>
      <c r="C80" s="290" t="s">
        <v>1477</v>
      </c>
      <c r="D80" s="291">
        <f t="shared" ref="D80:W80" si="96">SUM(D76:D79)</f>
        <v>-290840</v>
      </c>
      <c r="E80" s="291">
        <f t="shared" si="96"/>
        <v>-279226</v>
      </c>
      <c r="F80" s="291">
        <f t="shared" si="96"/>
        <v>-324260</v>
      </c>
      <c r="G80" s="291">
        <f t="shared" si="96"/>
        <v>-405250</v>
      </c>
      <c r="H80" s="291">
        <f t="shared" si="96"/>
        <v>-477519</v>
      </c>
      <c r="I80" s="291">
        <f t="shared" si="96"/>
        <v>-637141</v>
      </c>
      <c r="J80" s="291">
        <f t="shared" si="96"/>
        <v>-785696</v>
      </c>
      <c r="K80" s="291">
        <f t="shared" si="96"/>
        <v>-917235</v>
      </c>
      <c r="L80" s="291">
        <f t="shared" si="96"/>
        <v>-980253</v>
      </c>
      <c r="M80" s="291">
        <f t="shared" si="96"/>
        <v>-1060517</v>
      </c>
      <c r="N80" s="291">
        <f t="shared" si="96"/>
        <v>-1068253</v>
      </c>
      <c r="O80" s="291">
        <f t="shared" si="96"/>
        <v>-1039724</v>
      </c>
      <c r="P80" s="291">
        <f t="shared" si="96"/>
        <v>-952715</v>
      </c>
      <c r="Q80" s="291">
        <f t="shared" si="96"/>
        <v>-909370.00000000012</v>
      </c>
      <c r="R80" s="291">
        <f t="shared" si="96"/>
        <v>-842240.99999999988</v>
      </c>
      <c r="S80" s="291">
        <f t="shared" si="96"/>
        <v>-809235</v>
      </c>
      <c r="T80" s="291">
        <f t="shared" si="96"/>
        <v>-999073.9878120122</v>
      </c>
      <c r="U80" s="291">
        <f t="shared" si="96"/>
        <v>-1244551.653826535</v>
      </c>
      <c r="V80" s="291">
        <f t="shared" si="96"/>
        <v>-1258929.6162272089</v>
      </c>
      <c r="W80" s="291">
        <f t="shared" si="96"/>
        <v>-1297759.2045957549</v>
      </c>
      <c r="X80" s="291">
        <f t="shared" ref="X80:Y80" si="97">SUM(X76:X79)</f>
        <v>-1341301.8353712515</v>
      </c>
      <c r="Y80" s="291">
        <f t="shared" si="97"/>
        <v>-1403730</v>
      </c>
    </row>
    <row r="81" spans="2:25" ht="16.350000000000001" customHeight="1" outlineLevel="1">
      <c r="B81" s="300" t="s">
        <v>1474</v>
      </c>
      <c r="C81" s="300" t="s">
        <v>1475</v>
      </c>
      <c r="D81" s="301"/>
      <c r="E81" s="301"/>
      <c r="F81" s="301"/>
      <c r="G81" s="301"/>
      <c r="H81" s="301"/>
      <c r="I81" s="301"/>
      <c r="J81" s="301"/>
      <c r="K81" s="301"/>
      <c r="L81" s="301"/>
      <c r="M81" s="301"/>
      <c r="N81" s="301"/>
      <c r="O81" s="301"/>
      <c r="P81" s="301"/>
      <c r="Q81" s="301"/>
      <c r="R81" s="301"/>
      <c r="S81" s="301"/>
      <c r="T81" s="301"/>
      <c r="U81" s="301"/>
      <c r="V81" s="301"/>
      <c r="W81" s="301"/>
      <c r="X81" s="301"/>
      <c r="Y81" s="301"/>
    </row>
    <row r="82" spans="2:25" ht="16.350000000000001" customHeight="1" outlineLevel="1">
      <c r="B82" s="158" t="s">
        <v>660</v>
      </c>
      <c r="C82" s="158" t="s">
        <v>658</v>
      </c>
      <c r="D82" s="38">
        <f t="shared" ref="D82:W82" si="98">-D76/(D65+D69)</f>
        <v>2.2084598268732401E-2</v>
      </c>
      <c r="E82" s="38">
        <f t="shared" si="98"/>
        <v>2.0425124141460416E-2</v>
      </c>
      <c r="F82" s="38">
        <f t="shared" si="98"/>
        <v>1.9299392327322005E-2</v>
      </c>
      <c r="G82" s="38">
        <f t="shared" si="98"/>
        <v>1.9393022562057872E-2</v>
      </c>
      <c r="H82" s="38">
        <f t="shared" si="98"/>
        <v>1.8640505599033602E-2</v>
      </c>
      <c r="I82" s="38">
        <f t="shared" si="98"/>
        <v>1.9222076308102819E-2</v>
      </c>
      <c r="J82" s="38">
        <f t="shared" si="98"/>
        <v>1.8921631466249384E-2</v>
      </c>
      <c r="K82" s="38">
        <f t="shared" si="98"/>
        <v>1.798341364482315E-2</v>
      </c>
      <c r="L82" s="38">
        <f t="shared" si="98"/>
        <v>1.7312841441868201E-2</v>
      </c>
      <c r="M82" s="38">
        <f t="shared" si="98"/>
        <v>1.7374450666190887E-2</v>
      </c>
      <c r="N82" s="38">
        <f t="shared" si="98"/>
        <v>1.6882734199254998E-2</v>
      </c>
      <c r="O82" s="38">
        <f t="shared" si="98"/>
        <v>1.6476049315165209E-2</v>
      </c>
      <c r="P82" s="38">
        <f t="shared" si="98"/>
        <v>1.6263268486697981E-2</v>
      </c>
      <c r="Q82" s="38">
        <f t="shared" si="98"/>
        <v>1.2918336399642457E-2</v>
      </c>
      <c r="R82" s="38">
        <f t="shared" si="98"/>
        <v>1.2793343502197156E-2</v>
      </c>
      <c r="S82" s="38">
        <f t="shared" si="98"/>
        <v>1.2599110935368281E-2</v>
      </c>
      <c r="T82" s="38">
        <f t="shared" si="98"/>
        <v>1.2504352333537997E-2</v>
      </c>
      <c r="U82" s="38">
        <f t="shared" si="98"/>
        <v>1.2915459539124959E-2</v>
      </c>
      <c r="V82" s="64">
        <f t="shared" si="98"/>
        <v>1.2477036042011631E-2</v>
      </c>
      <c r="W82" s="64">
        <f t="shared" si="98"/>
        <v>1.204700027217572E-2</v>
      </c>
      <c r="X82" s="64">
        <f t="shared" ref="X82:Y82" si="99">-X76/(X65+X69)</f>
        <v>1.2163507177656747E-2</v>
      </c>
      <c r="Y82" s="64">
        <f t="shared" si="99"/>
        <v>1.2022190809588912E-2</v>
      </c>
    </row>
    <row r="83" spans="2:25" ht="16.350000000000001" customHeight="1" outlineLevel="1">
      <c r="B83" s="158" t="s">
        <v>661</v>
      </c>
      <c r="C83" s="158" t="s">
        <v>659</v>
      </c>
      <c r="D83" s="38">
        <f t="shared" ref="D83:W83" si="100">-D77/(D66+D70)</f>
        <v>0.12745578805579177</v>
      </c>
      <c r="E83" s="38">
        <f t="shared" si="100"/>
        <v>0.12182346719820952</v>
      </c>
      <c r="F83" s="38">
        <f t="shared" si="100"/>
        <v>0.12287000245696736</v>
      </c>
      <c r="G83" s="38">
        <f t="shared" si="100"/>
        <v>0.12678137642320189</v>
      </c>
      <c r="H83" s="38">
        <f t="shared" si="100"/>
        <v>0.11928378566903462</v>
      </c>
      <c r="I83" s="38">
        <f t="shared" si="100"/>
        <v>0.1268503922580978</v>
      </c>
      <c r="J83" s="38">
        <f t="shared" si="100"/>
        <v>0.12661421713220047</v>
      </c>
      <c r="K83" s="38">
        <f t="shared" si="100"/>
        <v>0.12509864153222655</v>
      </c>
      <c r="L83" s="38">
        <f t="shared" si="100"/>
        <v>0.12153937911389434</v>
      </c>
      <c r="M83" s="38">
        <f t="shared" si="100"/>
        <v>0.12231777429758661</v>
      </c>
      <c r="N83" s="38">
        <f t="shared" si="100"/>
        <v>0.11860530149449823</v>
      </c>
      <c r="O83" s="38">
        <f t="shared" si="100"/>
        <v>0.11622462550185969</v>
      </c>
      <c r="P83" s="38">
        <f t="shared" si="100"/>
        <v>0.11233812649249697</v>
      </c>
      <c r="Q83" s="38">
        <f t="shared" si="100"/>
        <v>8.8123483981407541E-2</v>
      </c>
      <c r="R83" s="38">
        <f t="shared" si="100"/>
        <v>8.6660258120406147E-2</v>
      </c>
      <c r="S83" s="38">
        <f t="shared" si="100"/>
        <v>8.3866078249289114E-2</v>
      </c>
      <c r="T83" s="38">
        <f t="shared" si="100"/>
        <v>8.7829762276602802E-2</v>
      </c>
      <c r="U83" s="38">
        <f t="shared" si="100"/>
        <v>8.9085991945637141E-2</v>
      </c>
      <c r="V83" s="64">
        <f t="shared" si="100"/>
        <v>8.5946994819845038E-2</v>
      </c>
      <c r="W83" s="64">
        <f t="shared" si="100"/>
        <v>8.0968899801957234E-2</v>
      </c>
      <c r="X83" s="64">
        <f t="shared" ref="X83:Y83" si="101">-X77/(X66+X70)</f>
        <v>8.5046905483457086E-2</v>
      </c>
      <c r="Y83" s="64">
        <f t="shared" si="101"/>
        <v>8.5484794032072806E-2</v>
      </c>
    </row>
    <row r="84" spans="2:25" ht="16.350000000000001" customHeight="1" outlineLevel="1">
      <c r="B84" s="158" t="s">
        <v>2459</v>
      </c>
      <c r="C84" s="158" t="s">
        <v>2437</v>
      </c>
      <c r="D84" s="38">
        <f t="shared" ref="D84:W84" si="102">-D78/(D67+D71)</f>
        <v>0.75503735798846849</v>
      </c>
      <c r="E84" s="38">
        <f t="shared" si="102"/>
        <v>0.70134078920073217</v>
      </c>
      <c r="F84" s="38">
        <f t="shared" si="102"/>
        <v>0.7194120261825574</v>
      </c>
      <c r="G84" s="38">
        <f t="shared" si="102"/>
        <v>0.70867199948773085</v>
      </c>
      <c r="H84" s="38">
        <f t="shared" si="102"/>
        <v>0.69264557909064983</v>
      </c>
      <c r="I84" s="38">
        <f t="shared" si="102"/>
        <v>0.69586767234945635</v>
      </c>
      <c r="J84" s="38">
        <f t="shared" si="102"/>
        <v>0.70812395506153492</v>
      </c>
      <c r="K84" s="38">
        <f t="shared" si="102"/>
        <v>0.71308333013586311</v>
      </c>
      <c r="L84" s="38">
        <f t="shared" si="102"/>
        <v>0.71530859418897152</v>
      </c>
      <c r="M84" s="38">
        <f t="shared" si="102"/>
        <v>0.71366124552256638</v>
      </c>
      <c r="N84" s="38">
        <f t="shared" si="102"/>
        <v>0.71226622391146266</v>
      </c>
      <c r="O84" s="38">
        <f t="shared" si="102"/>
        <v>0.70645053653599688</v>
      </c>
      <c r="P84" s="38">
        <f t="shared" si="102"/>
        <v>0.7090751403762271</v>
      </c>
      <c r="Q84" s="38">
        <f t="shared" si="102"/>
        <v>0.77272720162057384</v>
      </c>
      <c r="R84" s="38">
        <f t="shared" si="102"/>
        <v>0.77482734811749931</v>
      </c>
      <c r="S84" s="38">
        <f t="shared" si="102"/>
        <v>0.7757793611948316</v>
      </c>
      <c r="T84" s="38">
        <f t="shared" si="102"/>
        <v>0.77449861190670377</v>
      </c>
      <c r="U84" s="38">
        <f t="shared" si="102"/>
        <v>0.7748761624618492</v>
      </c>
      <c r="V84" s="64">
        <f t="shared" si="102"/>
        <v>0.7757019128711129</v>
      </c>
      <c r="W84" s="64">
        <f t="shared" si="102"/>
        <v>0.77563753712269867</v>
      </c>
      <c r="X84" s="64">
        <f t="shared" ref="X84:Y84" si="103">-X78/(X67+X71)</f>
        <v>0.7757395097077131</v>
      </c>
      <c r="Y84" s="64">
        <f t="shared" si="103"/>
        <v>0.77374175135526935</v>
      </c>
    </row>
    <row r="85" spans="2:25" ht="16.350000000000001" customHeight="1" outlineLevel="1">
      <c r="B85" s="208" t="s">
        <v>1472</v>
      </c>
      <c r="C85" s="208" t="s">
        <v>1471</v>
      </c>
      <c r="D85" s="29">
        <f t="shared" ref="D85:W85" si="104">-D79/(D68+D72)</f>
        <v>4.1195995439522711E-3</v>
      </c>
      <c r="E85" s="29">
        <f t="shared" si="104"/>
        <v>4.2078901475319551E-3</v>
      </c>
      <c r="F85" s="29">
        <f t="shared" si="104"/>
        <v>3.6464782191154123E-3</v>
      </c>
      <c r="G85" s="29">
        <f t="shared" si="104"/>
        <v>3.8897818566710164E-3</v>
      </c>
      <c r="H85" s="29">
        <f t="shared" si="104"/>
        <v>2.6443845760881785E-3</v>
      </c>
      <c r="I85" s="29">
        <f t="shared" si="104"/>
        <v>2.3850711478825069E-3</v>
      </c>
      <c r="J85" s="29">
        <f t="shared" si="104"/>
        <v>2.3107676801523156E-3</v>
      </c>
      <c r="K85" s="29">
        <f t="shared" si="104"/>
        <v>2.2261267684059206E-3</v>
      </c>
      <c r="L85" s="29">
        <f t="shared" si="104"/>
        <v>1.8332876014983265E-3</v>
      </c>
      <c r="M85" s="29">
        <f t="shared" si="104"/>
        <v>1.6006942610083366E-3</v>
      </c>
      <c r="N85" s="29">
        <f t="shared" si="104"/>
        <v>1.7301716857994836E-3</v>
      </c>
      <c r="O85" s="29">
        <f t="shared" si="104"/>
        <v>2.0034486651749673E-3</v>
      </c>
      <c r="P85" s="29">
        <f t="shared" si="104"/>
        <v>2.006336542627371E-3</v>
      </c>
      <c r="Q85" s="29">
        <f t="shared" si="104"/>
        <v>1.8518716327419267E-3</v>
      </c>
      <c r="R85" s="29">
        <f t="shared" si="104"/>
        <v>1.7929975802181755E-3</v>
      </c>
      <c r="S85" s="29">
        <f t="shared" si="104"/>
        <v>1.7945758673137005E-3</v>
      </c>
      <c r="T85" s="29">
        <f t="shared" si="104"/>
        <v>1.6646963294671723E-3</v>
      </c>
      <c r="U85" s="29">
        <f t="shared" si="104"/>
        <v>1.4718825959384029E-3</v>
      </c>
      <c r="V85" s="30">
        <f t="shared" si="104"/>
        <v>1.5318606758351605E-3</v>
      </c>
      <c r="W85" s="30">
        <f t="shared" si="104"/>
        <v>1.5135949076422808E-3</v>
      </c>
      <c r="X85" s="30">
        <f t="shared" ref="X85:Y85" si="105">-X79/(X68+X72)</f>
        <v>1.4632526077083105E-3</v>
      </c>
      <c r="Y85" s="30">
        <f t="shared" si="105"/>
        <v>1.4938213209533047E-3</v>
      </c>
    </row>
    <row r="86" spans="2:25" ht="16.350000000000001" customHeight="1" outlineLevel="1">
      <c r="B86" s="309" t="s">
        <v>2408</v>
      </c>
      <c r="C86" s="309" t="s">
        <v>2460</v>
      </c>
      <c r="D86" s="295">
        <f t="shared" ref="D86:W86" si="106">-D80/D72</f>
        <v>0.13215945107751031</v>
      </c>
      <c r="E86" s="295">
        <f t="shared" si="106"/>
        <v>0.11050284799318683</v>
      </c>
      <c r="F86" s="295">
        <f t="shared" si="106"/>
        <v>0.11445607069690214</v>
      </c>
      <c r="G86" s="295">
        <f t="shared" si="106"/>
        <v>0.10971253015910144</v>
      </c>
      <c r="H86" s="295">
        <f t="shared" si="106"/>
        <v>0.11999843191534755</v>
      </c>
      <c r="I86" s="295">
        <f t="shared" si="106"/>
        <v>0.14183797362174907</v>
      </c>
      <c r="J86" s="295">
        <f t="shared" si="106"/>
        <v>0.16509555082350677</v>
      </c>
      <c r="K86" s="295">
        <f t="shared" si="106"/>
        <v>0.17030200158486963</v>
      </c>
      <c r="L86" s="295">
        <f t="shared" si="106"/>
        <v>0.18315320753955508</v>
      </c>
      <c r="M86" s="295">
        <f t="shared" si="106"/>
        <v>0.19572179861112649</v>
      </c>
      <c r="N86" s="295">
        <f t="shared" si="106"/>
        <v>0.20869207626787528</v>
      </c>
      <c r="O86" s="295">
        <f t="shared" si="106"/>
        <v>0.19297578420471109</v>
      </c>
      <c r="P86" s="295">
        <f t="shared" si="106"/>
        <v>0.18747737004502377</v>
      </c>
      <c r="Q86" s="295">
        <f t="shared" si="106"/>
        <v>0.1767273368971789</v>
      </c>
      <c r="R86" s="295">
        <f t="shared" si="106"/>
        <v>0.16535546240605511</v>
      </c>
      <c r="S86" s="295">
        <f t="shared" si="106"/>
        <v>0.14957241350059466</v>
      </c>
      <c r="T86" s="295">
        <f t="shared" si="106"/>
        <v>0.18435538463102752</v>
      </c>
      <c r="U86" s="295">
        <f t="shared" si="106"/>
        <v>0.21605910876067697</v>
      </c>
      <c r="V86" s="393">
        <f t="shared" si="106"/>
        <v>0.22059825550193729</v>
      </c>
      <c r="W86" s="393">
        <f t="shared" si="106"/>
        <v>0.2136598543878068</v>
      </c>
      <c r="X86" s="393">
        <f t="shared" ref="X86:Y86" si="107">-X80/X72</f>
        <v>0.22812962100121872</v>
      </c>
      <c r="Y86" s="393">
        <f t="shared" si="107"/>
        <v>0.23664785538776661</v>
      </c>
    </row>
    <row r="87" spans="2:25" ht="16.350000000000001" customHeight="1" outlineLevel="1">
      <c r="B87" s="309" t="s">
        <v>2409</v>
      </c>
      <c r="C87" s="309" t="s">
        <v>2461</v>
      </c>
      <c r="D87" s="295">
        <f t="shared" ref="D87:W87" si="108">-D80/D68</f>
        <v>0.8796300496916577</v>
      </c>
      <c r="E87" s="295">
        <f t="shared" si="108"/>
        <v>0.73435691893370358</v>
      </c>
      <c r="F87" s="295">
        <f t="shared" si="108"/>
        <v>0.66867934488973579</v>
      </c>
      <c r="G87" s="295">
        <f t="shared" si="108"/>
        <v>0.68659907696686706</v>
      </c>
      <c r="H87" s="295">
        <f t="shared" si="108"/>
        <v>0.57504281038431804</v>
      </c>
      <c r="I87" s="295">
        <f t="shared" si="108"/>
        <v>0.60977082667391469</v>
      </c>
      <c r="J87" s="295">
        <f t="shared" si="108"/>
        <v>0.63606491020000078</v>
      </c>
      <c r="K87" s="295">
        <f t="shared" si="108"/>
        <v>0.67777704705316411</v>
      </c>
      <c r="L87" s="295">
        <f t="shared" si="108"/>
        <v>0.66923207688993902</v>
      </c>
      <c r="M87" s="295">
        <f t="shared" si="108"/>
        <v>0.69850540023948371</v>
      </c>
      <c r="N87" s="295">
        <f t="shared" si="108"/>
        <v>0.72667899279479309</v>
      </c>
      <c r="O87" s="295">
        <f t="shared" si="108"/>
        <v>0.76360458284371324</v>
      </c>
      <c r="P87" s="295">
        <f t="shared" si="108"/>
        <v>0.73405420065475957</v>
      </c>
      <c r="Q87" s="295">
        <f t="shared" si="108"/>
        <v>0.75397462802261883</v>
      </c>
      <c r="R87" s="295">
        <f t="shared" si="108"/>
        <v>0.75027107103091573</v>
      </c>
      <c r="S87" s="295">
        <f t="shared" si="108"/>
        <v>0.76533710316594872</v>
      </c>
      <c r="T87" s="295">
        <f t="shared" si="108"/>
        <v>0.74419361921230098</v>
      </c>
      <c r="U87" s="295">
        <f t="shared" si="108"/>
        <v>0.75581123096160019</v>
      </c>
      <c r="V87" s="393">
        <f t="shared" si="108"/>
        <v>0.76583394639794677</v>
      </c>
      <c r="W87" s="393">
        <f t="shared" si="108"/>
        <v>0.78311324123952331</v>
      </c>
      <c r="X87" s="393">
        <f t="shared" ref="X87:Y87" si="109">-X80/X68</f>
        <v>0.75328895432838039</v>
      </c>
      <c r="Y87" s="393">
        <f t="shared" si="109"/>
        <v>0.75427139971661017</v>
      </c>
    </row>
    <row r="88" spans="2:25" ht="16.350000000000001" customHeight="1" outlineLevel="1">
      <c r="B88" s="309" t="s">
        <v>2410</v>
      </c>
      <c r="C88" s="309" t="s">
        <v>2462</v>
      </c>
      <c r="D88" s="393">
        <f t="shared" ref="D88:V88" si="110">-D80/(D71+D67)</f>
        <v>0.99225546723073244</v>
      </c>
      <c r="E88" s="393">
        <f t="shared" si="110"/>
        <v>0.94646464646464645</v>
      </c>
      <c r="F88" s="393">
        <f t="shared" si="110"/>
        <v>0.95280352137093693</v>
      </c>
      <c r="G88" s="393">
        <f t="shared" si="110"/>
        <v>0.95445916728295332</v>
      </c>
      <c r="H88" s="393">
        <f t="shared" si="110"/>
        <v>0.90727884176926588</v>
      </c>
      <c r="I88" s="393">
        <f t="shared" si="110"/>
        <v>0.86738365404905016</v>
      </c>
      <c r="J88" s="393">
        <f t="shared" si="110"/>
        <v>0.84956732074059893</v>
      </c>
      <c r="K88" s="393">
        <f t="shared" si="110"/>
        <v>0.84208946262383666</v>
      </c>
      <c r="L88" s="393">
        <f t="shared" si="110"/>
        <v>0.83558342766738047</v>
      </c>
      <c r="M88" s="393">
        <f t="shared" si="110"/>
        <v>0.81718031463056795</v>
      </c>
      <c r="N88" s="393">
        <f t="shared" si="110"/>
        <v>0.80275351384496996</v>
      </c>
      <c r="O88" s="393">
        <f t="shared" si="110"/>
        <v>0.79925772295600916</v>
      </c>
      <c r="P88" s="393">
        <f t="shared" si="110"/>
        <v>0.8079888459095308</v>
      </c>
      <c r="Q88" s="393">
        <f t="shared" si="110"/>
        <v>0.93799866837906853</v>
      </c>
      <c r="R88" s="393">
        <f t="shared" si="110"/>
        <v>0.9572113255048551</v>
      </c>
      <c r="S88" s="393">
        <f t="shared" si="110"/>
        <v>0.9846742997234571</v>
      </c>
      <c r="T88" s="393">
        <f t="shared" si="110"/>
        <v>0.9350433579360754</v>
      </c>
      <c r="U88" s="393">
        <f t="shared" si="110"/>
        <v>0.89455608181975521</v>
      </c>
      <c r="V88" s="393">
        <f t="shared" si="110"/>
        <v>0.89367443268243063</v>
      </c>
      <c r="W88" s="393">
        <f>-W80/(W71+W67)</f>
        <v>0.89588350559735175</v>
      </c>
      <c r="X88" s="393">
        <f>-X80/(X71+X67)</f>
        <v>0.89076146079253171</v>
      </c>
      <c r="Y88" s="393">
        <f>-Y80/(Y71+Y67)</f>
        <v>0.88320900593449403</v>
      </c>
    </row>
    <row r="89" spans="2:25" ht="16.350000000000001" customHeight="1" outlineLevel="1">
      <c r="B89" s="405" t="s">
        <v>2411</v>
      </c>
      <c r="C89" s="406" t="s">
        <v>2463</v>
      </c>
      <c r="D89" s="407">
        <f t="shared" ref="D89:V89" si="111">-D80/D71</f>
        <v>1.7120521786223055</v>
      </c>
      <c r="E89" s="407">
        <f t="shared" si="111"/>
        <v>1.2141475017066925</v>
      </c>
      <c r="F89" s="407">
        <f t="shared" si="111"/>
        <v>1.1677386362817899</v>
      </c>
      <c r="G89" s="407">
        <f t="shared" si="111"/>
        <v>1.1402548656032729</v>
      </c>
      <c r="H89" s="407">
        <f t="shared" si="111"/>
        <v>1.0428455994758681</v>
      </c>
      <c r="I89" s="407">
        <f t="shared" si="111"/>
        <v>0.97772747849705754</v>
      </c>
      <c r="J89" s="407">
        <f t="shared" si="111"/>
        <v>0.96007312087060759</v>
      </c>
      <c r="K89" s="407">
        <f t="shared" si="111"/>
        <v>0.95465459620754722</v>
      </c>
      <c r="L89" s="407">
        <f t="shared" si="111"/>
        <v>0.97283899402652385</v>
      </c>
      <c r="M89" s="407">
        <f t="shared" si="111"/>
        <v>0.96127584322164106</v>
      </c>
      <c r="N89" s="407">
        <f t="shared" si="111"/>
        <v>0.96890971773129286</v>
      </c>
      <c r="O89" s="407">
        <f t="shared" si="111"/>
        <v>0.98285037991579272</v>
      </c>
      <c r="P89" s="407">
        <f t="shared" si="111"/>
        <v>1.0081618874880689</v>
      </c>
      <c r="Q89" s="407">
        <f t="shared" si="111"/>
        <v>1.0161957859422457</v>
      </c>
      <c r="R89" s="407">
        <f t="shared" si="111"/>
        <v>1.027985287245617</v>
      </c>
      <c r="S89" s="407">
        <f t="shared" si="111"/>
        <v>1.0493142841027105</v>
      </c>
      <c r="T89" s="407">
        <f t="shared" si="111"/>
        <v>0.98747983404091044</v>
      </c>
      <c r="U89" s="407">
        <f t="shared" si="111"/>
        <v>0.93571974459117391</v>
      </c>
      <c r="V89" s="407">
        <f t="shared" si="111"/>
        <v>0.93427788080301399</v>
      </c>
      <c r="W89" s="407">
        <f>-W80/W71</f>
        <v>0.93807380868003176</v>
      </c>
      <c r="X89" s="407">
        <f>-X80/X71</f>
        <v>0.93247377610181115</v>
      </c>
      <c r="Y89" s="407">
        <f>-Y80/Y71</f>
        <v>0.92209007872774384</v>
      </c>
    </row>
  </sheetData>
  <phoneticPr fontId="29" type="noConversion"/>
  <printOptions horizontalCentered="1"/>
  <pageMargins left="0.25" right="0.25" top="0.75" bottom="0.75" header="0.3" footer="0.3"/>
  <pageSetup paperSize="9" scale="36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ignoredErrors>
    <ignoredError sqref="G15:R15 T11 S11 U11:V11 W11:Y11 X15 K11:O11 G11" formula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0F216-934E-4CB1-BA3C-B57256BE66A7}">
  <dimension ref="B1:Y16"/>
  <sheetViews>
    <sheetView showGridLines="0" zoomScale="110" zoomScaleNormal="110" workbookViewId="0">
      <pane xSplit="3" ySplit="6" topLeftCell="J7" activePane="bottomRight" state="frozen"/>
      <selection pane="topRight"/>
      <selection pane="bottomLeft"/>
      <selection pane="bottomRight" activeCell="Y6" sqref="Y6"/>
    </sheetView>
  </sheetViews>
  <sheetFormatPr defaultColWidth="8.5703125" defaultRowHeight="16.350000000000001" customHeight="1"/>
  <cols>
    <col min="1" max="1" width="3.5703125" style="172" customWidth="1"/>
    <col min="2" max="2" width="41.42578125" style="172" bestFit="1" customWidth="1"/>
    <col min="3" max="3" width="42.42578125" style="172" bestFit="1" customWidth="1"/>
    <col min="4" max="7" width="9" style="172" bestFit="1" customWidth="1"/>
    <col min="8" max="25" width="9.28515625" style="172" bestFit="1" customWidth="1"/>
    <col min="26" max="16384" width="8.5703125" style="172"/>
  </cols>
  <sheetData>
    <row r="1" spans="2:25" s="7" customFormat="1" ht="16.350000000000001" customHeight="1"/>
    <row r="2" spans="2:25" s="7" customFormat="1" ht="16.350000000000001" customHeight="1"/>
    <row r="3" spans="2:25" s="7" customFormat="1" ht="16.350000000000001" customHeight="1"/>
    <row r="4" spans="2:25" s="7" customFormat="1" ht="16.350000000000001" customHeight="1">
      <c r="T4" s="75"/>
      <c r="U4" s="75"/>
    </row>
    <row r="5" spans="2:25" s="7" customFormat="1" ht="16.350000000000001" customHeight="1"/>
    <row r="6" spans="2:25" s="7" customFormat="1" ht="16.350000000000001" customHeight="1">
      <c r="B6" s="437" t="s">
        <v>2585</v>
      </c>
      <c r="C6" s="437" t="s">
        <v>2586</v>
      </c>
      <c r="D6" s="438">
        <v>44286</v>
      </c>
      <c r="E6" s="438">
        <f t="shared" ref="E6:Y6" si="0">EOMONTH(D6,3)</f>
        <v>44377</v>
      </c>
      <c r="F6" s="438">
        <f t="shared" si="0"/>
        <v>44469</v>
      </c>
      <c r="G6" s="438">
        <f t="shared" si="0"/>
        <v>44561</v>
      </c>
      <c r="H6" s="438">
        <f t="shared" si="0"/>
        <v>44651</v>
      </c>
      <c r="I6" s="438">
        <f t="shared" si="0"/>
        <v>44742</v>
      </c>
      <c r="J6" s="438">
        <f t="shared" si="0"/>
        <v>44834</v>
      </c>
      <c r="K6" s="438">
        <f t="shared" si="0"/>
        <v>44926</v>
      </c>
      <c r="L6" s="438">
        <f t="shared" si="0"/>
        <v>45016</v>
      </c>
      <c r="M6" s="438">
        <f t="shared" si="0"/>
        <v>45107</v>
      </c>
      <c r="N6" s="438">
        <f t="shared" si="0"/>
        <v>45199</v>
      </c>
      <c r="O6" s="438">
        <f t="shared" si="0"/>
        <v>45291</v>
      </c>
      <c r="P6" s="438">
        <f t="shared" si="0"/>
        <v>45382</v>
      </c>
      <c r="Q6" s="438">
        <f t="shared" si="0"/>
        <v>45473</v>
      </c>
      <c r="R6" s="438">
        <f t="shared" si="0"/>
        <v>45565</v>
      </c>
      <c r="S6" s="438">
        <f t="shared" si="0"/>
        <v>45657</v>
      </c>
      <c r="T6" s="438">
        <f t="shared" si="0"/>
        <v>45747</v>
      </c>
      <c r="U6" s="438">
        <f t="shared" si="0"/>
        <v>45838</v>
      </c>
      <c r="V6" s="438">
        <f t="shared" si="0"/>
        <v>45930</v>
      </c>
      <c r="W6" s="438">
        <f t="shared" si="0"/>
        <v>46022</v>
      </c>
      <c r="X6" s="438">
        <f t="shared" si="0"/>
        <v>46112</v>
      </c>
      <c r="Y6" s="438">
        <f t="shared" si="0"/>
        <v>46203</v>
      </c>
    </row>
    <row r="7" spans="2:25" s="7" customFormat="1" ht="16.350000000000001" customHeight="1">
      <c r="B7" s="466" t="s">
        <v>2587</v>
      </c>
      <c r="C7" s="466" t="s">
        <v>2588</v>
      </c>
      <c r="D7" s="467">
        <v>-210742</v>
      </c>
      <c r="E7" s="467">
        <v>-124101</v>
      </c>
      <c r="F7" s="467">
        <v>-69292</v>
      </c>
      <c r="G7" s="467">
        <v>-88397</v>
      </c>
      <c r="H7" s="467">
        <v>-154789</v>
      </c>
      <c r="I7" s="467">
        <v>-134971</v>
      </c>
      <c r="J7" s="467">
        <v>-174635</v>
      </c>
      <c r="K7" s="467">
        <v>-226207</v>
      </c>
      <c r="L7" s="467">
        <v>-329350</v>
      </c>
      <c r="M7" s="467">
        <v>-354480</v>
      </c>
      <c r="N7" s="467">
        <v>-368112</v>
      </c>
      <c r="O7" s="467">
        <v>-367006</v>
      </c>
      <c r="P7" s="467">
        <v>-415852</v>
      </c>
      <c r="Q7" s="467">
        <v>-377711</v>
      </c>
      <c r="R7" s="467">
        <v>-335660</v>
      </c>
      <c r="S7" s="467">
        <v>-291662</v>
      </c>
      <c r="T7" s="467">
        <v>-6011</v>
      </c>
      <c r="U7" s="467">
        <v>-704</v>
      </c>
      <c r="V7" s="467">
        <f>-247201-38024-U7-T7</f>
        <v>-278510</v>
      </c>
      <c r="W7" s="467">
        <f>-523423-V7-U7-T7</f>
        <v>-238198</v>
      </c>
      <c r="X7" s="467">
        <v>-216096</v>
      </c>
      <c r="Y7" s="467">
        <f>-474204-X7</f>
        <v>-258108</v>
      </c>
    </row>
    <row r="8" spans="2:25" s="7" customFormat="1" ht="16.350000000000001" customHeight="1">
      <c r="B8" s="468" t="s">
        <v>2589</v>
      </c>
      <c r="C8" s="468" t="s">
        <v>2590</v>
      </c>
      <c r="D8" s="469"/>
      <c r="E8" s="469">
        <f t="shared" ref="E8:Y8" si="1">E12-D12-E7</f>
        <v>140188</v>
      </c>
      <c r="F8" s="469">
        <f t="shared" si="1"/>
        <v>191681</v>
      </c>
      <c r="G8" s="469">
        <f t="shared" si="1"/>
        <v>188742</v>
      </c>
      <c r="H8" s="469">
        <f t="shared" si="1"/>
        <v>425728</v>
      </c>
      <c r="I8" s="469">
        <f t="shared" si="1"/>
        <v>376955</v>
      </c>
      <c r="J8" s="469">
        <f t="shared" si="1"/>
        <v>377140</v>
      </c>
      <c r="K8" s="469">
        <f t="shared" si="1"/>
        <v>323620</v>
      </c>
      <c r="L8" s="469">
        <f t="shared" si="1"/>
        <v>439482</v>
      </c>
      <c r="M8" s="469">
        <f t="shared" si="1"/>
        <v>381752</v>
      </c>
      <c r="N8" s="469">
        <f t="shared" si="1"/>
        <v>281402</v>
      </c>
      <c r="O8" s="469">
        <f t="shared" si="1"/>
        <v>225756</v>
      </c>
      <c r="P8" s="469">
        <f t="shared" si="1"/>
        <v>345379</v>
      </c>
      <c r="Q8" s="469">
        <f t="shared" si="1"/>
        <v>266032.04477002262</v>
      </c>
      <c r="R8" s="469">
        <f t="shared" si="1"/>
        <v>242609.11759000435</v>
      </c>
      <c r="S8" s="469">
        <f t="shared" si="1"/>
        <v>210638.03571996326</v>
      </c>
      <c r="T8" s="469">
        <f t="shared" si="1"/>
        <v>336965.49707001401</v>
      </c>
      <c r="U8" s="469">
        <f t="shared" si="1"/>
        <v>335225.30127999652</v>
      </c>
      <c r="V8" s="469">
        <f t="shared" si="1"/>
        <v>268721.87737999926</v>
      </c>
      <c r="W8" s="469">
        <f t="shared" si="1"/>
        <v>248115.32133999956</v>
      </c>
      <c r="X8" s="469">
        <f t="shared" si="1"/>
        <v>363437.90763999801</v>
      </c>
      <c r="Y8" s="469">
        <f t="shared" si="1"/>
        <v>339515.89721000241</v>
      </c>
    </row>
    <row r="9" spans="2:25" s="7" customFormat="1" ht="16.350000000000001" customHeight="1">
      <c r="B9" s="468" t="s">
        <v>2591</v>
      </c>
      <c r="C9" s="468" t="s">
        <v>2592</v>
      </c>
      <c r="D9" s="469"/>
      <c r="E9" s="469">
        <f t="shared" ref="E9:Y9" si="2">SUM(E15:E15)-SUM(D15:D15)-E7</f>
        <v>205434</v>
      </c>
      <c r="F9" s="469">
        <f t="shared" si="2"/>
        <v>134398</v>
      </c>
      <c r="G9" s="469">
        <f t="shared" si="2"/>
        <v>170625</v>
      </c>
      <c r="H9" s="469">
        <f t="shared" si="2"/>
        <v>243317</v>
      </c>
      <c r="I9" s="469">
        <f t="shared" si="2"/>
        <v>361261</v>
      </c>
      <c r="J9" s="469">
        <f t="shared" si="2"/>
        <v>368174</v>
      </c>
      <c r="K9" s="469">
        <f t="shared" si="2"/>
        <v>377177</v>
      </c>
      <c r="L9" s="469">
        <f t="shared" si="2"/>
        <v>349792</v>
      </c>
      <c r="M9" s="469">
        <f t="shared" si="2"/>
        <v>433903</v>
      </c>
      <c r="N9" s="469">
        <f t="shared" si="2"/>
        <v>351686</v>
      </c>
      <c r="O9" s="469">
        <f t="shared" si="2"/>
        <v>304111</v>
      </c>
      <c r="P9" s="469">
        <f t="shared" si="2"/>
        <v>280940</v>
      </c>
      <c r="Q9" s="469">
        <f t="shared" si="2"/>
        <v>326006.21041001286</v>
      </c>
      <c r="R9" s="469">
        <f t="shared" si="2"/>
        <v>248301.36733000481</v>
      </c>
      <c r="S9" s="469">
        <f t="shared" si="2"/>
        <v>237366.59456998121</v>
      </c>
      <c r="T9" s="469">
        <f t="shared" si="2"/>
        <v>260703.44248000463</v>
      </c>
      <c r="U9" s="469">
        <f t="shared" si="2"/>
        <v>365373.09779999801</v>
      </c>
      <c r="V9" s="469">
        <f t="shared" si="2"/>
        <v>290597.70059999824</v>
      </c>
      <c r="W9" s="469">
        <f t="shared" si="2"/>
        <v>282156.98758999933</v>
      </c>
      <c r="X9" s="469">
        <f t="shared" si="2"/>
        <v>271278.19203999941</v>
      </c>
      <c r="Y9" s="469">
        <f t="shared" si="2"/>
        <v>352793.40718000149</v>
      </c>
    </row>
    <row r="10" spans="2:25" s="7" customFormat="1" ht="16.350000000000001" customHeight="1">
      <c r="B10" s="470" t="s">
        <v>2593</v>
      </c>
      <c r="C10" s="470" t="s">
        <v>2622</v>
      </c>
      <c r="D10" s="471"/>
      <c r="E10" s="471">
        <f>E9/AVERAGE('Estimated Credit Losses IFRS'!D15:E15)</f>
        <v>6.3553297356694641E-2</v>
      </c>
      <c r="F10" s="471">
        <f>F9/AVERAGE('Estimated Credit Losses IFRS'!E15:F15)</f>
        <v>3.7667215568002177E-2</v>
      </c>
      <c r="G10" s="471">
        <f>G9/AVERAGE('Estimated Credit Losses IFRS'!F15:G15)</f>
        <v>4.000958119553201E-2</v>
      </c>
      <c r="H10" s="471">
        <f>H9/AVERAGE('Estimated Credit Losses IFRS'!G15:H15)</f>
        <v>4.9925235361135009E-2</v>
      </c>
      <c r="I10" s="471">
        <f>I9/AVERAGE('Estimated Credit Losses IFRS'!H15:I15)</f>
        <v>6.923699134041704E-2</v>
      </c>
      <c r="J10" s="471">
        <f>J9/AVERAGE('Estimated Credit Losses IFRS'!I15:J15)</f>
        <v>6.6032895025929877E-2</v>
      </c>
      <c r="K10" s="471">
        <f>K9/AVERAGE('Estimated Credit Losses IFRS'!J15:K15)</f>
        <v>6.2759003791477322E-2</v>
      </c>
      <c r="L10" s="471">
        <f>L9/AVERAGE('Estimated Credit Losses IFRS'!K15:L15)</f>
        <v>5.5771497450324885E-2</v>
      </c>
      <c r="M10" s="471">
        <f>M9/AVERAGE('Estimated Credit Losses IFRS'!L15:M15)</f>
        <v>7.007334233239583E-2</v>
      </c>
      <c r="N10" s="471">
        <f>N9/AVERAGE('Estimated Credit Losses IFRS'!M15:N15)</f>
        <v>5.8467837294671761E-2</v>
      </c>
      <c r="O10" s="471">
        <f>O9/AVERAGE('Estimated Credit Losses IFRS'!N15:O15)</f>
        <v>5.0651812448169548E-2</v>
      </c>
      <c r="P10" s="471">
        <f>P9/AVERAGE('Estimated Credit Losses IFRS'!O15:P15)</f>
        <v>4.7071281307621227E-2</v>
      </c>
      <c r="Q10" s="471">
        <f>Q9/AVERAGE('Estimated Credit Losses IFRS'!P15:Q15)</f>
        <v>5.6445837634736817E-2</v>
      </c>
      <c r="R10" s="471">
        <f>R9/AVERAGE('Estimated Credit Losses IFRS'!Q15:R15)</f>
        <v>4.3049096929543992E-2</v>
      </c>
      <c r="S10" s="471">
        <f>S9/AVERAGE('Estimated Credit Losses IFRS'!R15:S15)</f>
        <v>3.9837525733089546E-2</v>
      </c>
      <c r="T10" s="471">
        <f>T9/AVERAGE('Estimated Credit Losses IFRS'!S15:T15)</f>
        <v>4.2412141715947871E-2</v>
      </c>
      <c r="U10" s="471">
        <f>U9/AVERAGE('Estimated Credit Losses IFRS'!T15:U15)</f>
        <v>5.7889282486725563E-2</v>
      </c>
      <c r="V10" s="471">
        <f>V9/AVERAGE('Estimated Credit Losses IFRS'!U15:V15)</f>
        <v>4.5028695672458395E-2</v>
      </c>
      <c r="W10" s="471">
        <f>W9/AVERAGE('Estimated Credit Losses IFRS'!V15:W15)</f>
        <v>4.2503994153161473E-2</v>
      </c>
      <c r="X10" s="471">
        <f>X9/AVERAGE('Estimated Credit Losses IFRS'!W15:X15)</f>
        <v>4.0285434146928555E-2</v>
      </c>
      <c r="Y10" s="471">
        <f>Y9/AVERAGE('Estimated Credit Losses IFRS'!X15:Y15)</f>
        <v>5.3303818681519261E-2</v>
      </c>
    </row>
    <row r="11" spans="2:25" s="7" customFormat="1" ht="16.350000000000001" customHeight="1"/>
    <row r="12" spans="2:25" s="7" customFormat="1" ht="16.350000000000001" customHeight="1">
      <c r="B12" s="472" t="s">
        <v>504</v>
      </c>
      <c r="C12" s="472" t="s">
        <v>182</v>
      </c>
      <c r="D12" s="473">
        <f t="shared" ref="D12:X12" si="3">SUM(D13:D15)</f>
        <v>578710</v>
      </c>
      <c r="E12" s="473">
        <f t="shared" si="3"/>
        <v>594797</v>
      </c>
      <c r="F12" s="473">
        <f t="shared" si="3"/>
        <v>717186</v>
      </c>
      <c r="G12" s="473">
        <f t="shared" si="3"/>
        <v>817531</v>
      </c>
      <c r="H12" s="473">
        <f t="shared" si="3"/>
        <v>1088470</v>
      </c>
      <c r="I12" s="473">
        <f t="shared" si="3"/>
        <v>1330454</v>
      </c>
      <c r="J12" s="473">
        <f t="shared" si="3"/>
        <v>1532959</v>
      </c>
      <c r="K12" s="473">
        <f t="shared" si="3"/>
        <v>1630372</v>
      </c>
      <c r="L12" s="473">
        <f t="shared" si="3"/>
        <v>1740504</v>
      </c>
      <c r="M12" s="473">
        <f t="shared" si="3"/>
        <v>1767776</v>
      </c>
      <c r="N12" s="473">
        <f t="shared" si="3"/>
        <v>1681066</v>
      </c>
      <c r="O12" s="473">
        <f t="shared" si="3"/>
        <v>1539816</v>
      </c>
      <c r="P12" s="473">
        <f t="shared" si="3"/>
        <v>1469343</v>
      </c>
      <c r="Q12" s="473">
        <f t="shared" si="3"/>
        <v>1357664.0447700226</v>
      </c>
      <c r="R12" s="473">
        <f t="shared" si="3"/>
        <v>1264613.162360027</v>
      </c>
      <c r="S12" s="473">
        <f t="shared" si="3"/>
        <v>1183589.1980799902</v>
      </c>
      <c r="T12" s="473">
        <f t="shared" si="3"/>
        <v>1514543.6951500042</v>
      </c>
      <c r="U12" s="473">
        <f t="shared" si="3"/>
        <v>1849064.9964300008</v>
      </c>
      <c r="V12" s="473">
        <f t="shared" si="3"/>
        <v>1839276.87381</v>
      </c>
      <c r="W12" s="473">
        <f t="shared" si="3"/>
        <v>1849194.1951499996</v>
      </c>
      <c r="X12" s="473">
        <f t="shared" si="3"/>
        <v>1996536.1027899976</v>
      </c>
      <c r="Y12" s="473">
        <f t="shared" ref="Y12" si="4">SUM(Y13:Y15)</f>
        <v>2077944</v>
      </c>
    </row>
    <row r="13" spans="2:25" ht="16.350000000000001" customHeight="1">
      <c r="B13" s="474" t="s">
        <v>660</v>
      </c>
      <c r="C13" s="474" t="s">
        <v>658</v>
      </c>
      <c r="D13" s="475">
        <f>'Estimated Credit Losses IFRS'!D12</f>
        <v>148294</v>
      </c>
      <c r="E13" s="475">
        <f>'Estimated Credit Losses IFRS'!E12</f>
        <v>107798</v>
      </c>
      <c r="F13" s="475">
        <f>'Estimated Credit Losses IFRS'!F12</f>
        <v>136519</v>
      </c>
      <c r="G13" s="475">
        <f>'Estimated Credit Losses IFRS'!G12</f>
        <v>125301</v>
      </c>
      <c r="H13" s="475">
        <f>'Estimated Credit Losses IFRS'!H12</f>
        <v>193589</v>
      </c>
      <c r="I13" s="475">
        <f>'Estimated Credit Losses IFRS'!I12</f>
        <v>209834</v>
      </c>
      <c r="J13" s="475">
        <f>'Estimated Credit Losses IFRS'!J12</f>
        <v>206523</v>
      </c>
      <c r="K13" s="475">
        <f>'Estimated Credit Losses IFRS'!K12</f>
        <v>154329</v>
      </c>
      <c r="L13" s="475">
        <f>'Estimated Credit Losses IFRS'!L12</f>
        <v>184432</v>
      </c>
      <c r="M13" s="475">
        <f>'Estimated Credit Losses IFRS'!M12</f>
        <v>186854</v>
      </c>
      <c r="N13" s="475">
        <f>'Estimated Credit Losses IFRS'!N12</f>
        <v>177877</v>
      </c>
      <c r="O13" s="475">
        <f>'Estimated Credit Losses IFRS'!O12</f>
        <v>131860</v>
      </c>
      <c r="P13" s="475">
        <f>'Estimated Credit Losses IFRS'!P12</f>
        <v>168818</v>
      </c>
      <c r="Q13" s="475">
        <f>'Estimated Credit Losses IFRS'!Q12</f>
        <v>128147.9528900072</v>
      </c>
      <c r="R13" s="475">
        <f>'Estimated Credit Losses IFRS'!R12</f>
        <v>117966.14217000641</v>
      </c>
      <c r="S13" s="475">
        <f>'Estimated Credit Losses IFRS'!S12</f>
        <v>88364.115689994505</v>
      </c>
      <c r="T13" s="475">
        <f>'Estimated Credit Losses IFRS'!T12</f>
        <v>112726.86475000012</v>
      </c>
      <c r="U13" s="475">
        <f>'Estimated Credit Losses IFRS'!U12</f>
        <v>122038.22828999962</v>
      </c>
      <c r="V13" s="475">
        <f>'Estimated Credit Losses IFRS'!V12</f>
        <v>115773.69980000006</v>
      </c>
      <c r="W13" s="475">
        <f>'Estimated Credit Losses IFRS'!W12</f>
        <v>84514.914730000019</v>
      </c>
      <c r="X13" s="475">
        <f>'Estimated Credit Losses IFRS'!X12</f>
        <v>112700.57699999987</v>
      </c>
      <c r="Y13" s="475">
        <f>'Estimated Credit Losses IFRS'!Y12</f>
        <v>117155</v>
      </c>
    </row>
    <row r="14" spans="2:25" ht="16.350000000000001" customHeight="1">
      <c r="B14" s="474" t="s">
        <v>661</v>
      </c>
      <c r="C14" s="474" t="s">
        <v>659</v>
      </c>
      <c r="D14" s="475">
        <f>'Estimated Credit Losses IFRS'!D13</f>
        <v>148587</v>
      </c>
      <c r="E14" s="475">
        <f>'Estimated Credit Losses IFRS'!E13</f>
        <v>123837</v>
      </c>
      <c r="F14" s="475">
        <f>'Estimated Credit Losses IFRS'!F13</f>
        <v>152399</v>
      </c>
      <c r="G14" s="475">
        <f>'Estimated Credit Losses IFRS'!G13</f>
        <v>181734</v>
      </c>
      <c r="H14" s="475">
        <f>'Estimated Credit Losses IFRS'!H13</f>
        <v>295857</v>
      </c>
      <c r="I14" s="475">
        <f>'Estimated Credit Losses IFRS'!I13</f>
        <v>295306</v>
      </c>
      <c r="J14" s="475">
        <f>'Estimated Credit Losses IFRS'!J13</f>
        <v>307583</v>
      </c>
      <c r="K14" s="475">
        <f>'Estimated Credit Losses IFRS'!K13</f>
        <v>306220</v>
      </c>
      <c r="L14" s="475">
        <f>'Estimated Credit Losses IFRS'!L13</f>
        <v>365807</v>
      </c>
      <c r="M14" s="475">
        <f>'Estimated Credit Losses IFRS'!M13</f>
        <v>311234</v>
      </c>
      <c r="N14" s="475">
        <f>'Estimated Credit Losses IFRS'!N13</f>
        <v>249927</v>
      </c>
      <c r="O14" s="475">
        <f>'Estimated Credit Losses IFRS'!O13</f>
        <v>217589</v>
      </c>
      <c r="P14" s="475">
        <f>'Estimated Credit Losses IFRS'!P13</f>
        <v>245070</v>
      </c>
      <c r="Q14" s="475">
        <f>'Estimated Credit Losses IFRS'!Q13</f>
        <v>225765.88147000258</v>
      </c>
      <c r="R14" s="475">
        <f>'Estimated Credit Losses IFRS'!R13</f>
        <v>230255.44245000291</v>
      </c>
      <c r="S14" s="475">
        <f>'Estimated Credit Losses IFRS'!S13</f>
        <v>233128.91007999697</v>
      </c>
      <c r="T14" s="475">
        <f>'Estimated Credit Losses IFRS'!T13</f>
        <v>285028.21561000071</v>
      </c>
      <c r="U14" s="475">
        <f>'Estimated Credit Losses IFRS'!U13</f>
        <v>245569.0555499997</v>
      </c>
      <c r="V14" s="475">
        <f>'Estimated Credit Losses IFRS'!V13</f>
        <v>229957.76082000026</v>
      </c>
      <c r="W14" s="475">
        <f>'Estimated Credit Losses IFRS'!W13</f>
        <v>227174.87964000038</v>
      </c>
      <c r="X14" s="475">
        <f>'Estimated Credit Losses IFRS'!X13</f>
        <v>291148.93296999921</v>
      </c>
      <c r="Y14" s="475">
        <f>'Estimated Credit Losses IFRS'!Y13</f>
        <v>273417</v>
      </c>
    </row>
    <row r="15" spans="2:25" ht="16.350000000000001" customHeight="1">
      <c r="B15" s="479" t="s">
        <v>2459</v>
      </c>
      <c r="C15" s="479" t="s">
        <v>2437</v>
      </c>
      <c r="D15" s="476">
        <f>'Estimated Credit Losses IFRS'!D14</f>
        <v>281829</v>
      </c>
      <c r="E15" s="476">
        <f>'Estimated Credit Losses IFRS'!E14</f>
        <v>363162</v>
      </c>
      <c r="F15" s="476">
        <f>'Estimated Credit Losses IFRS'!F14</f>
        <v>428268</v>
      </c>
      <c r="G15" s="476">
        <f>'Estimated Credit Losses IFRS'!G14</f>
        <v>510496</v>
      </c>
      <c r="H15" s="476">
        <f>'Estimated Credit Losses IFRS'!H14</f>
        <v>599024</v>
      </c>
      <c r="I15" s="476">
        <f>'Estimated Credit Losses IFRS'!I14</f>
        <v>825314</v>
      </c>
      <c r="J15" s="476">
        <f>'Estimated Credit Losses IFRS'!J14</f>
        <v>1018853</v>
      </c>
      <c r="K15" s="476">
        <f>'Estimated Credit Losses IFRS'!K14</f>
        <v>1169823</v>
      </c>
      <c r="L15" s="476">
        <f>'Estimated Credit Losses IFRS'!L14</f>
        <v>1190265</v>
      </c>
      <c r="M15" s="476">
        <f>'Estimated Credit Losses IFRS'!M14</f>
        <v>1269688</v>
      </c>
      <c r="N15" s="476">
        <f>'Estimated Credit Losses IFRS'!N14</f>
        <v>1253262</v>
      </c>
      <c r="O15" s="476">
        <f>'Estimated Credit Losses IFRS'!O14</f>
        <v>1190367</v>
      </c>
      <c r="P15" s="476">
        <f>'Estimated Credit Losses IFRS'!P14</f>
        <v>1055455</v>
      </c>
      <c r="Q15" s="476">
        <f>'Estimated Credit Losses IFRS'!Q14</f>
        <v>1003750.2104100129</v>
      </c>
      <c r="R15" s="476">
        <f>'Estimated Credit Losses IFRS'!R14</f>
        <v>916391.57774001767</v>
      </c>
      <c r="S15" s="476">
        <f>'Estimated Credit Losses IFRS'!S14</f>
        <v>862096.17230999889</v>
      </c>
      <c r="T15" s="476">
        <f>'Estimated Credit Losses IFRS'!T14</f>
        <v>1116788.6147900035</v>
      </c>
      <c r="U15" s="476">
        <f>'Estimated Credit Losses IFRS'!U14</f>
        <v>1481457.7125900015</v>
      </c>
      <c r="V15" s="476">
        <f>'Estimated Credit Losses IFRS'!V14</f>
        <v>1493545.4131899998</v>
      </c>
      <c r="W15" s="476">
        <f>'Estimated Credit Losses IFRS'!W14</f>
        <v>1537504.4007799991</v>
      </c>
      <c r="X15" s="476">
        <f>'Estimated Credit Losses IFRS'!X14</f>
        <v>1592686.5928199985</v>
      </c>
      <c r="Y15" s="476">
        <f>'Estimated Credit Losses IFRS'!Y14</f>
        <v>1687372</v>
      </c>
    </row>
    <row r="16" spans="2:25" ht="16.350000000000001" customHeight="1">
      <c r="T16" s="477"/>
      <c r="V16" s="478"/>
      <c r="W16" s="478"/>
      <c r="X16" s="478"/>
      <c r="Y16" s="478"/>
    </row>
  </sheetData>
  <pageMargins left="0.511811024" right="0.511811024" top="0.78740157499999996" bottom="0.78740157499999996" header="0.31496062000000002" footer="0.31496062000000002"/>
  <headerFooter>
    <oddFooter>&amp;L_x000D_&amp;1#&amp;"Aptos"&amp;10&amp;K000000 Classificação: Interno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4">
    <pageSetUpPr fitToPage="1"/>
  </sheetPr>
  <dimension ref="A1:DW37"/>
  <sheetViews>
    <sheetView showGridLines="0" zoomScaleNormal="100" workbookViewId="0">
      <pane xSplit="3" ySplit="6" topLeftCell="AZ7" activePane="bottomRight" state="frozen"/>
      <selection pane="topRight"/>
      <selection pane="bottomLeft"/>
      <selection pane="bottomRight" activeCell="DU6" sqref="DU6"/>
    </sheetView>
  </sheetViews>
  <sheetFormatPr defaultColWidth="9.42578125" defaultRowHeight="16.350000000000001" customHeight="1" outlineLevelCol="1"/>
  <cols>
    <col min="1" max="1" width="6.5703125" style="151" customWidth="1"/>
    <col min="2" max="2" width="39.5703125" style="7" bestFit="1" customWidth="1"/>
    <col min="3" max="3" width="39.42578125" style="7" bestFit="1" customWidth="1"/>
    <col min="4" max="9" width="12.5703125" style="7" hidden="1" customWidth="1" outlineLevel="1"/>
    <col min="10" max="10" width="12.5703125" style="7" customWidth="1" collapsed="1"/>
    <col min="11" max="16" width="12.5703125" style="7" hidden="1" customWidth="1" outlineLevel="1"/>
    <col min="17" max="17" width="12.5703125" style="7" customWidth="1" collapsed="1"/>
    <col min="18" max="23" width="12.5703125" style="7" hidden="1" customWidth="1" outlineLevel="1"/>
    <col min="24" max="24" width="12.5703125" style="7" customWidth="1" collapsed="1"/>
    <col min="25" max="28" width="12.5703125" style="7" hidden="1" customWidth="1" outlineLevel="1"/>
    <col min="29" max="29" width="11" style="7" hidden="1" customWidth="1" outlineLevel="1"/>
    <col min="30" max="30" width="12.5703125" style="7" hidden="1" customWidth="1" outlineLevel="1"/>
    <col min="31" max="31" width="12.5703125" style="7" customWidth="1" collapsed="1"/>
    <col min="32" max="37" width="12.5703125" style="7" hidden="1" customWidth="1" outlineLevel="1"/>
    <col min="38" max="38" width="12.5703125" style="7" customWidth="1" collapsed="1"/>
    <col min="39" max="44" width="12.5703125" style="7" hidden="1" customWidth="1" outlineLevel="1"/>
    <col min="45" max="45" width="12.5703125" style="7" customWidth="1" collapsed="1"/>
    <col min="46" max="51" width="12.5703125" style="7" hidden="1" customWidth="1" outlineLevel="1"/>
    <col min="52" max="52" width="12.5703125" style="7" customWidth="1" collapsed="1"/>
    <col min="53" max="58" width="12.5703125" style="7" hidden="1" customWidth="1" outlineLevel="1"/>
    <col min="59" max="59" width="12.5703125" style="7" customWidth="1" collapsed="1"/>
    <col min="60" max="65" width="12.5703125" style="7" hidden="1" customWidth="1" outlineLevel="1"/>
    <col min="66" max="66" width="12.5703125" style="7" customWidth="1" collapsed="1"/>
    <col min="67" max="72" width="12.5703125" style="7" hidden="1" customWidth="1" outlineLevel="1"/>
    <col min="73" max="73" width="12.5703125" style="7" customWidth="1" collapsed="1"/>
    <col min="74" max="79" width="12.5703125" style="7" hidden="1" customWidth="1" outlineLevel="1"/>
    <col min="80" max="80" width="12.5703125" style="7" customWidth="1" collapsed="1"/>
    <col min="81" max="86" width="12.5703125" style="7" hidden="1" customWidth="1" outlineLevel="1"/>
    <col min="87" max="87" width="12.5703125" style="7" customWidth="1" collapsed="1"/>
    <col min="88" max="93" width="12.5703125" style="7" hidden="1" customWidth="1" outlineLevel="1"/>
    <col min="94" max="94" width="12.5703125" style="7" customWidth="1" collapsed="1"/>
    <col min="95" max="100" width="12.5703125" style="7" hidden="1" customWidth="1" outlineLevel="1"/>
    <col min="101" max="101" width="12.5703125" style="7" customWidth="1" collapsed="1"/>
    <col min="102" max="107" width="12.5703125" style="7" hidden="1" customWidth="1" outlineLevel="1"/>
    <col min="108" max="108" width="12.5703125" style="7" customWidth="1" collapsed="1"/>
    <col min="109" max="114" width="12.5703125" style="7" hidden="1" customWidth="1" outlineLevel="1"/>
    <col min="115" max="115" width="12.5703125" style="7" customWidth="1" collapsed="1"/>
    <col min="116" max="118" width="12.5703125" style="7" hidden="1" customWidth="1" outlineLevel="1"/>
    <col min="119" max="119" width="11.42578125" style="7" hidden="1" customWidth="1" outlineLevel="1"/>
    <col min="120" max="120" width="12.5703125" style="7" hidden="1" customWidth="1" outlineLevel="1"/>
    <col min="121" max="121" width="11.42578125" style="7" hidden="1" customWidth="1" outlineLevel="1"/>
    <col min="122" max="122" width="12.5703125" style="7" customWidth="1" collapsed="1"/>
    <col min="123" max="125" width="12.5703125" style="7" customWidth="1"/>
  </cols>
  <sheetData>
    <row r="1" spans="1:125" ht="16.350000000000001" customHeight="1">
      <c r="DL1" s="265"/>
      <c r="DM1" s="265"/>
      <c r="DO1" s="265"/>
      <c r="DS1" s="265"/>
      <c r="DT1" s="265"/>
    </row>
    <row r="2" spans="1:125" ht="16.350000000000001" customHeight="1">
      <c r="DE2" s="83"/>
      <c r="DF2" s="83"/>
      <c r="DG2" s="83"/>
      <c r="DH2" s="83"/>
      <c r="DI2" s="83"/>
      <c r="DJ2" s="83"/>
      <c r="DK2" s="264"/>
      <c r="DL2" s="265"/>
      <c r="DM2" s="265"/>
      <c r="DN2" s="264"/>
      <c r="DO2" s="265"/>
      <c r="DS2" s="265"/>
      <c r="DT2" s="265"/>
      <c r="DU2" s="264"/>
    </row>
    <row r="3" spans="1:125" ht="16.350000000000001" customHeight="1">
      <c r="CM3" s="142"/>
      <c r="CN3" s="142"/>
      <c r="DL3" s="359"/>
      <c r="DM3" s="359"/>
      <c r="DN3" s="359"/>
      <c r="DS3" s="359"/>
      <c r="DT3" s="359"/>
      <c r="DU3" s="359"/>
    </row>
    <row r="4" spans="1:125" ht="16.350000000000001" customHeight="1">
      <c r="B4" s="8"/>
      <c r="CM4" s="152"/>
      <c r="CN4" s="152"/>
      <c r="CQ4" s="152"/>
      <c r="CR4" s="152"/>
      <c r="CS4" s="152"/>
      <c r="CT4" s="152"/>
      <c r="CU4" s="152"/>
      <c r="CV4" s="152"/>
      <c r="CW4" s="152"/>
      <c r="CX4" s="153"/>
      <c r="DE4" s="152"/>
      <c r="DF4" s="152"/>
      <c r="DH4" s="152"/>
      <c r="DJ4" s="152"/>
      <c r="DK4" s="264"/>
      <c r="DL4" s="410"/>
      <c r="DM4" s="410"/>
      <c r="DN4" s="142"/>
      <c r="DO4" s="410"/>
      <c r="DQ4" s="410"/>
      <c r="DS4" s="410"/>
      <c r="DT4" s="410"/>
      <c r="DU4" s="142"/>
    </row>
    <row r="5" spans="1:125" ht="16.350000000000001" customHeight="1">
      <c r="A5" s="263"/>
      <c r="B5" s="263"/>
      <c r="C5" s="154">
        <v>39813</v>
      </c>
      <c r="D5" s="154">
        <f>EOMONTH(C5,3)</f>
        <v>39903</v>
      </c>
      <c r="E5" s="154">
        <f>EOMONTH(D5,3)</f>
        <v>39994</v>
      </c>
      <c r="F5" s="154">
        <f>E5</f>
        <v>39994</v>
      </c>
      <c r="G5" s="154">
        <f>EOMONTH(F5,3)</f>
        <v>40086</v>
      </c>
      <c r="H5" s="154">
        <f>G5</f>
        <v>40086</v>
      </c>
      <c r="I5" s="154">
        <f>EOMONTH(H5,3)</f>
        <v>40178</v>
      </c>
      <c r="J5" s="154">
        <f>I5</f>
        <v>40178</v>
      </c>
      <c r="K5" s="154">
        <f>EOMONTH(J5,3)</f>
        <v>40268</v>
      </c>
      <c r="L5" s="154">
        <f>EOMONTH(K5,3)</f>
        <v>40359</v>
      </c>
      <c r="M5" s="154">
        <f>L5</f>
        <v>40359</v>
      </c>
      <c r="N5" s="154">
        <f>EOMONTH(M5,3)</f>
        <v>40451</v>
      </c>
      <c r="O5" s="154">
        <f>N5</f>
        <v>40451</v>
      </c>
      <c r="P5" s="154">
        <f>EOMONTH(O5,3)</f>
        <v>40543</v>
      </c>
      <c r="Q5" s="154">
        <f>P5</f>
        <v>40543</v>
      </c>
      <c r="R5" s="154">
        <f>EOMONTH(Q5,3)</f>
        <v>40633</v>
      </c>
      <c r="S5" s="154">
        <f>EOMONTH(R5,3)</f>
        <v>40724</v>
      </c>
      <c r="T5" s="154">
        <f>S5</f>
        <v>40724</v>
      </c>
      <c r="U5" s="154">
        <f>EOMONTH(T5,3)</f>
        <v>40816</v>
      </c>
      <c r="V5" s="154">
        <f>U5</f>
        <v>40816</v>
      </c>
      <c r="W5" s="154">
        <f>EOMONTH(V5,3)</f>
        <v>40908</v>
      </c>
      <c r="X5" s="154">
        <f>W5</f>
        <v>40908</v>
      </c>
      <c r="Y5" s="154">
        <f>EOMONTH(X5,3)</f>
        <v>40999</v>
      </c>
      <c r="Z5" s="154">
        <f>EOMONTH(Y5,3)</f>
        <v>41090</v>
      </c>
      <c r="AA5" s="154">
        <f>Z5</f>
        <v>41090</v>
      </c>
      <c r="AB5" s="154">
        <f>EOMONTH(AA5,3)</f>
        <v>41182</v>
      </c>
      <c r="AC5" s="154">
        <f>AB5</f>
        <v>41182</v>
      </c>
      <c r="AD5" s="154">
        <f>EOMONTH(AC5,3)</f>
        <v>41274</v>
      </c>
      <c r="AE5" s="154">
        <f>AD5</f>
        <v>41274</v>
      </c>
      <c r="AF5" s="154">
        <f>EOMONTH(AE5,3)</f>
        <v>41364</v>
      </c>
      <c r="AG5" s="154">
        <f>EOMONTH(AF5,3)</f>
        <v>41455</v>
      </c>
      <c r="AH5" s="154">
        <f>AG5</f>
        <v>41455</v>
      </c>
      <c r="AI5" s="154">
        <f>EOMONTH(AH5,3)</f>
        <v>41547</v>
      </c>
      <c r="AJ5" s="154">
        <f>AI5</f>
        <v>41547</v>
      </c>
      <c r="AK5" s="154">
        <f>EOMONTH(AJ5,3)</f>
        <v>41639</v>
      </c>
      <c r="AL5" s="154">
        <f>AK5</f>
        <v>41639</v>
      </c>
      <c r="AM5" s="154">
        <f>EOMONTH(AL5,3)</f>
        <v>41729</v>
      </c>
      <c r="AN5" s="154">
        <f>EOMONTH(AM5,3)</f>
        <v>41820</v>
      </c>
      <c r="AO5" s="154">
        <f>AN5</f>
        <v>41820</v>
      </c>
      <c r="AP5" s="154">
        <f>EOMONTH(AO5,3)</f>
        <v>41912</v>
      </c>
      <c r="AQ5" s="154">
        <f>AP5</f>
        <v>41912</v>
      </c>
      <c r="AR5" s="154">
        <f>EOMONTH(AQ5,3)</f>
        <v>42004</v>
      </c>
      <c r="AS5" s="154">
        <f>AR5</f>
        <v>42004</v>
      </c>
      <c r="AT5" s="154">
        <f>EOMONTH(AS5,3)</f>
        <v>42094</v>
      </c>
      <c r="AU5" s="154">
        <f>EOMONTH(AT5,3)</f>
        <v>42185</v>
      </c>
      <c r="AV5" s="154">
        <f>AU5</f>
        <v>42185</v>
      </c>
      <c r="AW5" s="154">
        <f>EOMONTH(AV5,3)</f>
        <v>42277</v>
      </c>
      <c r="AX5" s="154">
        <f>AW5</f>
        <v>42277</v>
      </c>
      <c r="AY5" s="154">
        <f>EOMONTH(AX5,3)</f>
        <v>42369</v>
      </c>
      <c r="AZ5" s="154">
        <f>AY5</f>
        <v>42369</v>
      </c>
      <c r="BA5" s="154">
        <f>EOMONTH(AZ5,3)</f>
        <v>42460</v>
      </c>
      <c r="BB5" s="154">
        <f>EOMONTH(BA5,3)</f>
        <v>42551</v>
      </c>
      <c r="BC5" s="154">
        <f>BB5</f>
        <v>42551</v>
      </c>
      <c r="BD5" s="154">
        <f>EOMONTH(BC5,3)</f>
        <v>42643</v>
      </c>
      <c r="BE5" s="154">
        <f>BD5</f>
        <v>42643</v>
      </c>
      <c r="BF5" s="154">
        <f>EOMONTH(BE5,3)</f>
        <v>42735</v>
      </c>
      <c r="BG5" s="154">
        <f>BF5</f>
        <v>42735</v>
      </c>
      <c r="BH5" s="154">
        <f>EOMONTH(BG5,3)</f>
        <v>42825</v>
      </c>
      <c r="BI5" s="154">
        <f>EOMONTH(BH5,3)</f>
        <v>42916</v>
      </c>
      <c r="BJ5" s="154">
        <f>BI5</f>
        <v>42916</v>
      </c>
      <c r="BK5" s="154">
        <f>EOMONTH(BJ5,3)</f>
        <v>43008</v>
      </c>
      <c r="BL5" s="154">
        <f>BK5</f>
        <v>43008</v>
      </c>
      <c r="BM5" s="154">
        <f>EOMONTH(BL5,3)</f>
        <v>43100</v>
      </c>
      <c r="BN5" s="154">
        <f>BM5</f>
        <v>43100</v>
      </c>
      <c r="BO5" s="154">
        <f>EOMONTH(BN5,3)</f>
        <v>43190</v>
      </c>
      <c r="BP5" s="154">
        <f>EOMONTH(BO5,3)</f>
        <v>43281</v>
      </c>
      <c r="BQ5" s="154">
        <f>BP5</f>
        <v>43281</v>
      </c>
      <c r="BR5" s="154">
        <f>EOMONTH(BQ5,3)</f>
        <v>43373</v>
      </c>
      <c r="BS5" s="154">
        <f>BR5</f>
        <v>43373</v>
      </c>
      <c r="BT5" s="154">
        <f>EOMONTH(BS5,3)</f>
        <v>43465</v>
      </c>
      <c r="BU5" s="154">
        <f>BT5</f>
        <v>43465</v>
      </c>
      <c r="BV5" s="154">
        <f>EOMONTH(BU5,3)</f>
        <v>43555</v>
      </c>
      <c r="BW5" s="154">
        <f>EOMONTH(BV5,3)</f>
        <v>43646</v>
      </c>
      <c r="BX5" s="154">
        <f>BW5</f>
        <v>43646</v>
      </c>
      <c r="BY5" s="154">
        <f>EOMONTH(BX5,3)</f>
        <v>43738</v>
      </c>
      <c r="BZ5" s="154">
        <f>BY5</f>
        <v>43738</v>
      </c>
      <c r="CA5" s="154">
        <f>EOMONTH(BZ5,3)</f>
        <v>43830</v>
      </c>
      <c r="CB5" s="154">
        <f>CA5</f>
        <v>43830</v>
      </c>
      <c r="CC5" s="154">
        <f>EOMONTH(CB5,3)</f>
        <v>43921</v>
      </c>
      <c r="CD5" s="154">
        <f>EOMONTH(CC5,3)</f>
        <v>44012</v>
      </c>
      <c r="CE5" s="154">
        <f>CD5</f>
        <v>44012</v>
      </c>
      <c r="CF5" s="154">
        <f>EOMONTH(CE5,3)</f>
        <v>44104</v>
      </c>
      <c r="CG5" s="154">
        <f>CF5</f>
        <v>44104</v>
      </c>
      <c r="CH5" s="154">
        <f>EOMONTH(CG5,3)</f>
        <v>44196</v>
      </c>
      <c r="CI5" s="154">
        <f>CH5</f>
        <v>44196</v>
      </c>
      <c r="CJ5" s="154">
        <f>EOMONTH(CI5,3)</f>
        <v>44286</v>
      </c>
      <c r="CK5" s="154">
        <f>EOMONTH(CJ5,3)</f>
        <v>44377</v>
      </c>
      <c r="CL5" s="154">
        <f>CK5</f>
        <v>44377</v>
      </c>
      <c r="CM5" s="154">
        <f>EOMONTH(CL5,3)</f>
        <v>44469</v>
      </c>
      <c r="CN5" s="154">
        <f>CM5</f>
        <v>44469</v>
      </c>
      <c r="CO5" s="154">
        <f>EOMONTH(CN5,3)</f>
        <v>44561</v>
      </c>
      <c r="CP5" s="154">
        <f>CO5</f>
        <v>44561</v>
      </c>
      <c r="CQ5" s="154">
        <f>EOMONTH(CP5,3)</f>
        <v>44651</v>
      </c>
      <c r="CR5" s="154">
        <f>EOMONTH(CQ5,3)</f>
        <v>44742</v>
      </c>
      <c r="CS5" s="154">
        <f>CR5</f>
        <v>44742</v>
      </c>
      <c r="CT5" s="154">
        <f>EOMONTH(CS5,3)</f>
        <v>44834</v>
      </c>
      <c r="CU5" s="154">
        <f>CT5</f>
        <v>44834</v>
      </c>
      <c r="CV5" s="154">
        <f>EOMONTH(CU5,3)</f>
        <v>44926</v>
      </c>
      <c r="CW5" s="154">
        <f>CV5</f>
        <v>44926</v>
      </c>
      <c r="CX5" s="154">
        <f>EOMONTH(CW5,3)</f>
        <v>45016</v>
      </c>
      <c r="CY5" s="154">
        <f>EOMONTH(CX5,3)</f>
        <v>45107</v>
      </c>
      <c r="CZ5" s="154">
        <f>CY5</f>
        <v>45107</v>
      </c>
      <c r="DA5" s="154">
        <f>EOMONTH(CZ5,3)</f>
        <v>45199</v>
      </c>
      <c r="DB5" s="154">
        <f>DA5</f>
        <v>45199</v>
      </c>
      <c r="DC5" s="154">
        <f>EOMONTH(DB5,3)</f>
        <v>45291</v>
      </c>
      <c r="DD5" s="154">
        <f>DC5</f>
        <v>45291</v>
      </c>
      <c r="DE5" s="154">
        <f>EOMONTH(DD5,3)</f>
        <v>45382</v>
      </c>
      <c r="DF5" s="154">
        <f>EOMONTH(DE5,3)</f>
        <v>45473</v>
      </c>
      <c r="DG5" s="154">
        <f>DF5</f>
        <v>45473</v>
      </c>
      <c r="DH5" s="154">
        <f>EOMONTH(DG5,3)</f>
        <v>45565</v>
      </c>
      <c r="DI5" s="154">
        <f>DH5</f>
        <v>45565</v>
      </c>
      <c r="DJ5" s="154">
        <f>EOMONTH(DI5,3)</f>
        <v>45657</v>
      </c>
      <c r="DK5" s="154">
        <f>DJ5</f>
        <v>45657</v>
      </c>
      <c r="DL5" s="154">
        <f>EOMONTH(DK5,3)</f>
        <v>45747</v>
      </c>
      <c r="DM5" s="154">
        <f>EOMONTH(DL5,3)</f>
        <v>45838</v>
      </c>
      <c r="DN5" s="154">
        <f>DM5</f>
        <v>45838</v>
      </c>
      <c r="DO5" s="154">
        <f>EOMONTH(DN5,3)</f>
        <v>45930</v>
      </c>
      <c r="DP5" s="154">
        <f>DO5</f>
        <v>45930</v>
      </c>
      <c r="DQ5" s="154">
        <f>EOMONTH(DP5,3)</f>
        <v>46022</v>
      </c>
      <c r="DR5" s="154">
        <f>DQ5</f>
        <v>46022</v>
      </c>
      <c r="DS5" s="154">
        <f>EOMONTH(DR5,3)</f>
        <v>46112</v>
      </c>
      <c r="DT5" s="154">
        <f>EOMONTH(DS5,3)</f>
        <v>46203</v>
      </c>
      <c r="DU5" s="154">
        <f>DT5</f>
        <v>46203</v>
      </c>
    </row>
    <row r="6" spans="1:125" ht="16.350000000000001" customHeight="1">
      <c r="A6" s="155"/>
      <c r="B6" s="437" t="s">
        <v>385</v>
      </c>
      <c r="C6" s="437" t="s">
        <v>374</v>
      </c>
      <c r="D6" s="447" t="s">
        <v>244</v>
      </c>
      <c r="E6" s="447" t="s">
        <v>245</v>
      </c>
      <c r="F6" s="447" t="s">
        <v>325</v>
      </c>
      <c r="G6" s="447" t="s">
        <v>246</v>
      </c>
      <c r="H6" s="447" t="s">
        <v>35</v>
      </c>
      <c r="I6" s="447" t="s">
        <v>247</v>
      </c>
      <c r="J6" s="447">
        <v>2009</v>
      </c>
      <c r="K6" s="447" t="s">
        <v>248</v>
      </c>
      <c r="L6" s="447" t="s">
        <v>249</v>
      </c>
      <c r="M6" s="447" t="s">
        <v>326</v>
      </c>
      <c r="N6" s="447" t="s">
        <v>250</v>
      </c>
      <c r="O6" s="447" t="s">
        <v>36</v>
      </c>
      <c r="P6" s="447" t="s">
        <v>251</v>
      </c>
      <c r="Q6" s="447">
        <v>2010</v>
      </c>
      <c r="R6" s="447" t="s">
        <v>252</v>
      </c>
      <c r="S6" s="447" t="s">
        <v>253</v>
      </c>
      <c r="T6" s="447" t="s">
        <v>327</v>
      </c>
      <c r="U6" s="447" t="s">
        <v>254</v>
      </c>
      <c r="V6" s="447" t="s">
        <v>257</v>
      </c>
      <c r="W6" s="447" t="s">
        <v>467</v>
      </c>
      <c r="X6" s="447">
        <v>2011</v>
      </c>
      <c r="Y6" s="447" t="s">
        <v>255</v>
      </c>
      <c r="Z6" s="447" t="s">
        <v>256</v>
      </c>
      <c r="AA6" s="447" t="s">
        <v>328</v>
      </c>
      <c r="AB6" s="447" t="s">
        <v>256</v>
      </c>
      <c r="AC6" s="447" t="s">
        <v>328</v>
      </c>
      <c r="AD6" s="447" t="s">
        <v>258</v>
      </c>
      <c r="AE6" s="447">
        <v>2012</v>
      </c>
      <c r="AF6" s="447" t="s">
        <v>259</v>
      </c>
      <c r="AG6" s="447" t="s">
        <v>260</v>
      </c>
      <c r="AH6" s="447" t="s">
        <v>329</v>
      </c>
      <c r="AI6" s="447" t="s">
        <v>261</v>
      </c>
      <c r="AJ6" s="447" t="s">
        <v>89</v>
      </c>
      <c r="AK6" s="447" t="s">
        <v>262</v>
      </c>
      <c r="AL6" s="447">
        <v>2013</v>
      </c>
      <c r="AM6" s="447" t="s">
        <v>263</v>
      </c>
      <c r="AN6" s="447" t="s">
        <v>264</v>
      </c>
      <c r="AO6" s="447" t="s">
        <v>330</v>
      </c>
      <c r="AP6" s="447" t="s">
        <v>265</v>
      </c>
      <c r="AQ6" s="447" t="s">
        <v>93</v>
      </c>
      <c r="AR6" s="447" t="s">
        <v>266</v>
      </c>
      <c r="AS6" s="447">
        <v>2014</v>
      </c>
      <c r="AT6" s="447" t="s">
        <v>267</v>
      </c>
      <c r="AU6" s="447" t="s">
        <v>268</v>
      </c>
      <c r="AV6" s="447" t="s">
        <v>331</v>
      </c>
      <c r="AW6" s="447" t="s">
        <v>269</v>
      </c>
      <c r="AX6" s="447" t="s">
        <v>103</v>
      </c>
      <c r="AY6" s="447" t="s">
        <v>270</v>
      </c>
      <c r="AZ6" s="447">
        <v>2015</v>
      </c>
      <c r="BA6" s="447" t="s">
        <v>271</v>
      </c>
      <c r="BB6" s="447" t="s">
        <v>272</v>
      </c>
      <c r="BC6" s="447" t="s">
        <v>332</v>
      </c>
      <c r="BD6" s="447" t="s">
        <v>273</v>
      </c>
      <c r="BE6" s="447" t="s">
        <v>189</v>
      </c>
      <c r="BF6" s="447" t="s">
        <v>274</v>
      </c>
      <c r="BG6" s="447">
        <v>2016</v>
      </c>
      <c r="BH6" s="447" t="s">
        <v>275</v>
      </c>
      <c r="BI6" s="447" t="s">
        <v>276</v>
      </c>
      <c r="BJ6" s="447" t="s">
        <v>333</v>
      </c>
      <c r="BK6" s="447" t="s">
        <v>227</v>
      </c>
      <c r="BL6" s="447" t="s">
        <v>203</v>
      </c>
      <c r="BM6" s="447" t="s">
        <v>277</v>
      </c>
      <c r="BN6" s="447">
        <v>2017</v>
      </c>
      <c r="BO6" s="447" t="s">
        <v>278</v>
      </c>
      <c r="BP6" s="447" t="s">
        <v>279</v>
      </c>
      <c r="BQ6" s="447" t="s">
        <v>334</v>
      </c>
      <c r="BR6" s="447" t="s">
        <v>207</v>
      </c>
      <c r="BS6" s="447" t="s">
        <v>213</v>
      </c>
      <c r="BT6" s="447" t="s">
        <v>212</v>
      </c>
      <c r="BU6" s="447">
        <v>2018</v>
      </c>
      <c r="BV6" s="447" t="s">
        <v>215</v>
      </c>
      <c r="BW6" s="447" t="s">
        <v>217</v>
      </c>
      <c r="BX6" s="447" t="s">
        <v>335</v>
      </c>
      <c r="BY6" s="447" t="s">
        <v>220</v>
      </c>
      <c r="BZ6" s="447" t="s">
        <v>219</v>
      </c>
      <c r="CA6" s="447" t="s">
        <v>221</v>
      </c>
      <c r="CB6" s="447">
        <v>2019</v>
      </c>
      <c r="CC6" s="447" t="s">
        <v>223</v>
      </c>
      <c r="CD6" s="447" t="s">
        <v>225</v>
      </c>
      <c r="CE6" s="447" t="s">
        <v>336</v>
      </c>
      <c r="CF6" s="447" t="s">
        <v>224</v>
      </c>
      <c r="CG6" s="447" t="s">
        <v>226</v>
      </c>
      <c r="CH6" s="447" t="s">
        <v>280</v>
      </c>
      <c r="CI6" s="447">
        <v>2020</v>
      </c>
      <c r="CJ6" s="447" t="s">
        <v>282</v>
      </c>
      <c r="CK6" s="447" t="s">
        <v>320</v>
      </c>
      <c r="CL6" s="447" t="s">
        <v>337</v>
      </c>
      <c r="CM6" s="447" t="s">
        <v>341</v>
      </c>
      <c r="CN6" s="447" t="s">
        <v>342</v>
      </c>
      <c r="CO6" s="447" t="s">
        <v>345</v>
      </c>
      <c r="CP6" s="447">
        <v>2021</v>
      </c>
      <c r="CQ6" s="447" t="str">
        <f>'Income Statement'!DS6</f>
        <v>1Q22</v>
      </c>
      <c r="CR6" s="447" t="str">
        <f>'Income Statement'!DT6</f>
        <v>2Q22</v>
      </c>
      <c r="CS6" s="447" t="str">
        <f>'Income Statement'!DU6</f>
        <v>1H22</v>
      </c>
      <c r="CT6" s="447" t="str">
        <f>'Income Statement'!DV6</f>
        <v>3Q22</v>
      </c>
      <c r="CU6" s="447" t="str">
        <f>'Income Statement'!DW6</f>
        <v>9M22</v>
      </c>
      <c r="CV6" s="447" t="str">
        <f>'Income Statement'!DX6</f>
        <v>4Q22</v>
      </c>
      <c r="CW6" s="447">
        <f>'Income Statement'!DY6</f>
        <v>2022</v>
      </c>
      <c r="CX6" s="447" t="str">
        <f>'Income Statement'!DZ6</f>
        <v>1Q23</v>
      </c>
      <c r="CY6" s="447" t="str">
        <f>'Income Statement'!EA6</f>
        <v>2Q23</v>
      </c>
      <c r="CZ6" s="447" t="str">
        <f>'Income Statement'!EB6</f>
        <v>1H23</v>
      </c>
      <c r="DA6" s="447" t="s">
        <v>616</v>
      </c>
      <c r="DB6" s="447" t="s">
        <v>617</v>
      </c>
      <c r="DC6" s="447" t="s">
        <v>642</v>
      </c>
      <c r="DD6" s="447">
        <v>2023</v>
      </c>
      <c r="DE6" s="447" t="str">
        <f>'Income Statement'!EG6</f>
        <v>1Q24</v>
      </c>
      <c r="DF6" s="447" t="str">
        <f>'Income Statement'!EH6</f>
        <v>2Q24</v>
      </c>
      <c r="DG6" s="447" t="str">
        <f>'Income Statement'!EI6</f>
        <v>1H24</v>
      </c>
      <c r="DH6" s="447" t="str">
        <f>'Income Statement'!EJ6</f>
        <v>3Q24</v>
      </c>
      <c r="DI6" s="447" t="str">
        <f>'Income Statement'!EK6</f>
        <v>9M24</v>
      </c>
      <c r="DJ6" s="447" t="str">
        <f>'Income Statement'!EL6</f>
        <v>4Q24</v>
      </c>
      <c r="DK6" s="447">
        <f>'Income Statement'!EM6</f>
        <v>2024</v>
      </c>
      <c r="DL6" s="447" t="str">
        <f>'Income Statement'!EN6</f>
        <v>1Q25</v>
      </c>
      <c r="DM6" s="447" t="str">
        <f>'Income Statement'!EO6</f>
        <v>2Q25</v>
      </c>
      <c r="DN6" s="447" t="str">
        <f>'Income Statement'!EP6</f>
        <v>1H25</v>
      </c>
      <c r="DO6" s="447" t="str">
        <f>'Income Statement'!EQ6</f>
        <v>3Q25</v>
      </c>
      <c r="DP6" s="447" t="str">
        <f>'Income Statement'!ER6</f>
        <v>9M25</v>
      </c>
      <c r="DQ6" s="447" t="str">
        <f>'Income Statement'!ES6</f>
        <v>4Q25</v>
      </c>
      <c r="DR6" s="447">
        <f>'Income Statement'!ET6</f>
        <v>2025</v>
      </c>
      <c r="DS6" s="447" t="str">
        <f>'Income Statement'!EU6</f>
        <v>1Q26</v>
      </c>
      <c r="DT6" s="447" t="str">
        <f>'Income Statement'!EV6</f>
        <v>2Q26</v>
      </c>
      <c r="DU6" s="447" t="str">
        <f>'Income Statement'!EW6</f>
        <v>1H26</v>
      </c>
    </row>
    <row r="7" spans="1:125" ht="16.350000000000001" customHeight="1">
      <c r="A7" s="155"/>
      <c r="B7" s="156" t="s">
        <v>95</v>
      </c>
      <c r="C7" s="156" t="s">
        <v>398</v>
      </c>
      <c r="D7" s="157">
        <f t="shared" ref="D7:AI7" si="0">D8+D9</f>
        <v>50117</v>
      </c>
      <c r="E7" s="157">
        <f t="shared" si="0"/>
        <v>50743</v>
      </c>
      <c r="F7" s="157">
        <f t="shared" si="0"/>
        <v>100860</v>
      </c>
      <c r="G7" s="157">
        <f t="shared" si="0"/>
        <v>57306</v>
      </c>
      <c r="H7" s="157">
        <f t="shared" si="0"/>
        <v>158166</v>
      </c>
      <c r="I7" s="157">
        <f t="shared" si="0"/>
        <v>60330</v>
      </c>
      <c r="J7" s="157">
        <f t="shared" si="0"/>
        <v>218496</v>
      </c>
      <c r="K7" s="157">
        <f t="shared" si="0"/>
        <v>59477</v>
      </c>
      <c r="L7" s="157">
        <f t="shared" si="0"/>
        <v>65179</v>
      </c>
      <c r="M7" s="157">
        <f t="shared" si="0"/>
        <v>124656</v>
      </c>
      <c r="N7" s="157">
        <f t="shared" si="0"/>
        <v>67611</v>
      </c>
      <c r="O7" s="157">
        <f t="shared" si="0"/>
        <v>192267</v>
      </c>
      <c r="P7" s="157">
        <f t="shared" si="0"/>
        <v>69295</v>
      </c>
      <c r="Q7" s="157">
        <f t="shared" si="0"/>
        <v>261562</v>
      </c>
      <c r="R7" s="157">
        <f t="shared" si="0"/>
        <v>74906</v>
      </c>
      <c r="S7" s="157">
        <f t="shared" si="0"/>
        <v>81241</v>
      </c>
      <c r="T7" s="157">
        <f t="shared" si="0"/>
        <v>156147</v>
      </c>
      <c r="U7" s="157">
        <f t="shared" si="0"/>
        <v>79559</v>
      </c>
      <c r="V7" s="157">
        <f t="shared" ref="V7" si="1">V8+V9</f>
        <v>235706</v>
      </c>
      <c r="W7" s="157">
        <f t="shared" si="0"/>
        <v>85337</v>
      </c>
      <c r="X7" s="157">
        <f t="shared" si="0"/>
        <v>321043</v>
      </c>
      <c r="Y7" s="157">
        <f t="shared" si="0"/>
        <v>85865</v>
      </c>
      <c r="Z7" s="157">
        <f t="shared" si="0"/>
        <v>94901</v>
      </c>
      <c r="AA7" s="157">
        <f t="shared" si="0"/>
        <v>180766</v>
      </c>
      <c r="AB7" s="157">
        <f t="shared" ref="AB7:AC7" si="2">AB8+AB9</f>
        <v>97389</v>
      </c>
      <c r="AC7" s="157">
        <f t="shared" si="2"/>
        <v>278155</v>
      </c>
      <c r="AD7" s="157">
        <f t="shared" si="0"/>
        <v>104559</v>
      </c>
      <c r="AE7" s="157">
        <f t="shared" si="0"/>
        <v>382714</v>
      </c>
      <c r="AF7" s="157">
        <f t="shared" si="0"/>
        <v>103938</v>
      </c>
      <c r="AG7" s="157">
        <f t="shared" si="0"/>
        <v>108957</v>
      </c>
      <c r="AH7" s="157">
        <f t="shared" si="0"/>
        <v>212895</v>
      </c>
      <c r="AI7" s="157">
        <f t="shared" si="0"/>
        <v>109455</v>
      </c>
      <c r="AJ7" s="157">
        <f t="shared" ref="AJ7:BO7" si="3">AJ8+AJ9</f>
        <v>322350</v>
      </c>
      <c r="AK7" s="157">
        <f t="shared" si="3"/>
        <v>117393</v>
      </c>
      <c r="AL7" s="157">
        <f t="shared" si="3"/>
        <v>439743</v>
      </c>
      <c r="AM7" s="157">
        <f t="shared" si="3"/>
        <v>120066</v>
      </c>
      <c r="AN7" s="157">
        <f t="shared" si="3"/>
        <v>140463</v>
      </c>
      <c r="AO7" s="157">
        <f t="shared" si="3"/>
        <v>260529</v>
      </c>
      <c r="AP7" s="157">
        <f t="shared" si="3"/>
        <v>150971</v>
      </c>
      <c r="AQ7" s="157">
        <f t="shared" si="3"/>
        <v>411500</v>
      </c>
      <c r="AR7" s="157">
        <f t="shared" si="3"/>
        <v>139935</v>
      </c>
      <c r="AS7" s="157">
        <f t="shared" si="3"/>
        <v>551435</v>
      </c>
      <c r="AT7" s="157">
        <f t="shared" si="3"/>
        <v>151459</v>
      </c>
      <c r="AU7" s="157">
        <f t="shared" si="3"/>
        <v>168541</v>
      </c>
      <c r="AV7" s="157">
        <f t="shared" si="3"/>
        <v>320000</v>
      </c>
      <c r="AW7" s="157">
        <f t="shared" si="3"/>
        <v>161548</v>
      </c>
      <c r="AX7" s="157">
        <f t="shared" si="3"/>
        <v>481548</v>
      </c>
      <c r="AY7" s="157">
        <f t="shared" si="3"/>
        <v>167626</v>
      </c>
      <c r="AZ7" s="157">
        <f t="shared" si="3"/>
        <v>649174</v>
      </c>
      <c r="BA7" s="157">
        <f t="shared" si="3"/>
        <v>160379</v>
      </c>
      <c r="BB7" s="157">
        <f t="shared" si="3"/>
        <v>172594</v>
      </c>
      <c r="BC7" s="157">
        <f t="shared" si="3"/>
        <v>332973</v>
      </c>
      <c r="BD7" s="157">
        <f t="shared" si="3"/>
        <v>175005</v>
      </c>
      <c r="BE7" s="157">
        <f t="shared" si="3"/>
        <v>507978</v>
      </c>
      <c r="BF7" s="157">
        <f t="shared" si="3"/>
        <v>183391</v>
      </c>
      <c r="BG7" s="157">
        <f t="shared" si="3"/>
        <v>691369</v>
      </c>
      <c r="BH7" s="157">
        <f t="shared" si="3"/>
        <v>174210</v>
      </c>
      <c r="BI7" s="157">
        <f t="shared" si="3"/>
        <v>195348</v>
      </c>
      <c r="BJ7" s="157">
        <f t="shared" si="3"/>
        <v>369558</v>
      </c>
      <c r="BK7" s="157">
        <f t="shared" si="3"/>
        <v>228064</v>
      </c>
      <c r="BL7" s="157">
        <f t="shared" si="3"/>
        <v>597622</v>
      </c>
      <c r="BM7" s="157">
        <f t="shared" si="3"/>
        <v>224579</v>
      </c>
      <c r="BN7" s="157">
        <f t="shared" si="3"/>
        <v>822201</v>
      </c>
      <c r="BO7" s="157">
        <f t="shared" si="3"/>
        <v>222683</v>
      </c>
      <c r="BP7" s="157">
        <f t="shared" ref="BP7:CU7" si="4">BP8+BP9</f>
        <v>232840</v>
      </c>
      <c r="BQ7" s="157">
        <f t="shared" si="4"/>
        <v>455523</v>
      </c>
      <c r="BR7" s="157">
        <f t="shared" si="4"/>
        <v>224966</v>
      </c>
      <c r="BS7" s="157">
        <f t="shared" si="4"/>
        <v>680489</v>
      </c>
      <c r="BT7" s="157">
        <f t="shared" si="4"/>
        <v>233500</v>
      </c>
      <c r="BU7" s="157">
        <f t="shared" si="4"/>
        <v>913989</v>
      </c>
      <c r="BV7" s="157">
        <f t="shared" si="4"/>
        <v>236179</v>
      </c>
      <c r="BW7" s="157">
        <f t="shared" si="4"/>
        <v>266875</v>
      </c>
      <c r="BX7" s="157">
        <f t="shared" si="4"/>
        <v>503054</v>
      </c>
      <c r="BY7" s="157">
        <f t="shared" si="4"/>
        <v>286667</v>
      </c>
      <c r="BZ7" s="157">
        <f t="shared" si="4"/>
        <v>789721</v>
      </c>
      <c r="CA7" s="157">
        <f t="shared" si="4"/>
        <v>300808</v>
      </c>
      <c r="CB7" s="157">
        <f t="shared" si="4"/>
        <v>1090529</v>
      </c>
      <c r="CC7" s="157">
        <f t="shared" si="4"/>
        <v>308147</v>
      </c>
      <c r="CD7" s="157">
        <f t="shared" si="4"/>
        <v>262068</v>
      </c>
      <c r="CE7" s="157">
        <f t="shared" si="4"/>
        <v>570215</v>
      </c>
      <c r="CF7" s="157">
        <f t="shared" si="4"/>
        <v>132474</v>
      </c>
      <c r="CG7" s="157">
        <f t="shared" si="4"/>
        <v>702689</v>
      </c>
      <c r="CH7" s="157">
        <f t="shared" si="4"/>
        <v>151659</v>
      </c>
      <c r="CI7" s="157">
        <f t="shared" si="4"/>
        <v>854348</v>
      </c>
      <c r="CJ7" s="157">
        <f t="shared" si="4"/>
        <v>213079</v>
      </c>
      <c r="CK7" s="157">
        <f t="shared" si="4"/>
        <v>228013</v>
      </c>
      <c r="CL7" s="157">
        <f t="shared" si="4"/>
        <v>441092</v>
      </c>
      <c r="CM7" s="157">
        <f t="shared" si="4"/>
        <v>250925</v>
      </c>
      <c r="CN7" s="157">
        <f t="shared" si="4"/>
        <v>692017</v>
      </c>
      <c r="CO7" s="157">
        <f t="shared" si="4"/>
        <v>301615</v>
      </c>
      <c r="CP7" s="157">
        <f t="shared" si="4"/>
        <v>993632</v>
      </c>
      <c r="CQ7" s="157">
        <f t="shared" si="4"/>
        <v>366743</v>
      </c>
      <c r="CR7" s="157">
        <f t="shared" si="4"/>
        <v>423188</v>
      </c>
      <c r="CS7" s="157">
        <f t="shared" si="4"/>
        <v>789931</v>
      </c>
      <c r="CT7" s="157">
        <f t="shared" si="4"/>
        <v>367887</v>
      </c>
      <c r="CU7" s="157">
        <f t="shared" si="4"/>
        <v>1157818</v>
      </c>
      <c r="CV7" s="157">
        <f t="shared" ref="CV7:DL7" si="5">CV8+CV9</f>
        <v>427476</v>
      </c>
      <c r="CW7" s="157">
        <f t="shared" si="5"/>
        <v>1585294</v>
      </c>
      <c r="CX7" s="157">
        <f t="shared" si="5"/>
        <v>468937</v>
      </c>
      <c r="CY7" s="157">
        <f t="shared" si="5"/>
        <v>488392</v>
      </c>
      <c r="CZ7" s="157">
        <f t="shared" si="5"/>
        <v>957329</v>
      </c>
      <c r="DA7" s="157">
        <f t="shared" si="5"/>
        <v>434627</v>
      </c>
      <c r="DB7" s="157">
        <f t="shared" si="5"/>
        <v>1391956</v>
      </c>
      <c r="DC7" s="157">
        <f t="shared" si="5"/>
        <v>443867</v>
      </c>
      <c r="DD7" s="157">
        <f t="shared" si="5"/>
        <v>1835823</v>
      </c>
      <c r="DE7" s="157">
        <f t="shared" si="5"/>
        <v>429294</v>
      </c>
      <c r="DF7" s="157">
        <f t="shared" si="5"/>
        <v>426021</v>
      </c>
      <c r="DG7" s="157">
        <f t="shared" si="5"/>
        <v>855315</v>
      </c>
      <c r="DH7" s="157">
        <f t="shared" si="5"/>
        <v>426809</v>
      </c>
      <c r="DI7" s="157">
        <f t="shared" si="5"/>
        <v>1282124</v>
      </c>
      <c r="DJ7" s="157">
        <f t="shared" si="5"/>
        <v>444070</v>
      </c>
      <c r="DK7" s="157">
        <f t="shared" si="5"/>
        <v>1726194</v>
      </c>
      <c r="DL7" s="157">
        <f t="shared" si="5"/>
        <v>503545</v>
      </c>
      <c r="DM7" s="157">
        <f t="shared" ref="DM7:DN7" si="6">DM8+DM9</f>
        <v>519511</v>
      </c>
      <c r="DN7" s="157">
        <f t="shared" si="6"/>
        <v>1023056</v>
      </c>
      <c r="DO7" s="157">
        <f t="shared" ref="DO7:DP7" si="7">DO8+DO9</f>
        <v>490300</v>
      </c>
      <c r="DP7" s="157">
        <f t="shared" si="7"/>
        <v>1513356</v>
      </c>
      <c r="DQ7" s="157">
        <f t="shared" ref="DQ7" si="8">DQ8+DQ9</f>
        <v>495423</v>
      </c>
      <c r="DR7" s="157">
        <f>DP7+DQ7</f>
        <v>2008779</v>
      </c>
      <c r="DS7" s="157">
        <f t="shared" ref="DS7:DU7" si="9">DS8+DS9</f>
        <v>497506</v>
      </c>
      <c r="DT7" s="157">
        <f t="shared" si="9"/>
        <v>509242</v>
      </c>
      <c r="DU7" s="157">
        <f t="shared" si="9"/>
        <v>1006748</v>
      </c>
    </row>
    <row r="8" spans="1:125" ht="16.350000000000001" customHeight="1">
      <c r="A8" s="155"/>
      <c r="B8" s="23" t="s">
        <v>392</v>
      </c>
      <c r="C8" s="23" t="s">
        <v>393</v>
      </c>
      <c r="D8" s="80">
        <f>'Income Statement'!AF17</f>
        <v>56485</v>
      </c>
      <c r="E8" s="80">
        <f>'Income Statement'!AG17</f>
        <v>58682</v>
      </c>
      <c r="F8" s="80">
        <f>'Income Statement'!AH17</f>
        <v>115167</v>
      </c>
      <c r="G8" s="80">
        <f>'Income Statement'!AI17</f>
        <v>65581</v>
      </c>
      <c r="H8" s="80">
        <f>'Income Statement'!AJ17</f>
        <v>180748</v>
      </c>
      <c r="I8" s="80">
        <f>'Income Statement'!AK17</f>
        <v>66911</v>
      </c>
      <c r="J8" s="80">
        <f>'Income Statement'!AL17</f>
        <v>247659</v>
      </c>
      <c r="K8" s="80">
        <f>'Income Statement'!AM17</f>
        <v>65488</v>
      </c>
      <c r="L8" s="80">
        <f>'Income Statement'!AN17</f>
        <v>71990</v>
      </c>
      <c r="M8" s="80">
        <f>'Income Statement'!AO17</f>
        <v>137478</v>
      </c>
      <c r="N8" s="80">
        <f>'Income Statement'!AP17</f>
        <v>75133</v>
      </c>
      <c r="O8" s="80">
        <f>'Income Statement'!AQ17</f>
        <v>212611</v>
      </c>
      <c r="P8" s="80">
        <f>'Income Statement'!AR17</f>
        <v>76043</v>
      </c>
      <c r="Q8" s="80">
        <f>'Income Statement'!AS17</f>
        <v>288654</v>
      </c>
      <c r="R8" s="80">
        <f>'Income Statement'!AT17</f>
        <v>81060</v>
      </c>
      <c r="S8" s="80">
        <f>'Income Statement'!AU17</f>
        <v>86766</v>
      </c>
      <c r="T8" s="80">
        <f>'Income Statement'!AV17</f>
        <v>167826</v>
      </c>
      <c r="U8" s="80">
        <f>'Income Statement'!AW17</f>
        <v>84846</v>
      </c>
      <c r="V8" s="80">
        <f>'Income Statement'!AX17</f>
        <v>252672</v>
      </c>
      <c r="W8" s="80">
        <f>'Income Statement'!AY17</f>
        <v>89254</v>
      </c>
      <c r="X8" s="80">
        <f>'Income Statement'!AZ17</f>
        <v>341926</v>
      </c>
      <c r="Y8" s="80">
        <f>'Income Statement'!BA17</f>
        <v>90077</v>
      </c>
      <c r="Z8" s="80">
        <f>'Income Statement'!BB17</f>
        <v>100285</v>
      </c>
      <c r="AA8" s="80">
        <f>'Income Statement'!BC17</f>
        <v>190362</v>
      </c>
      <c r="AB8" s="80">
        <f>'Income Statement'!BD17</f>
        <v>101798</v>
      </c>
      <c r="AC8" s="80">
        <f>'Income Statement'!BE17</f>
        <v>292160</v>
      </c>
      <c r="AD8" s="80">
        <f>'Income Statement'!BF17</f>
        <v>108388</v>
      </c>
      <c r="AE8" s="80">
        <f>'Income Statement'!BG17</f>
        <v>400548</v>
      </c>
      <c r="AF8" s="80">
        <f>'Income Statement'!BH17</f>
        <v>107065</v>
      </c>
      <c r="AG8" s="80">
        <f>'Income Statement'!BI17</f>
        <v>113199</v>
      </c>
      <c r="AH8" s="80">
        <f>'Income Statement'!BJ17</f>
        <v>220264</v>
      </c>
      <c r="AI8" s="80">
        <f>'Income Statement'!BK17</f>
        <v>114517</v>
      </c>
      <c r="AJ8" s="80">
        <f>'Income Statement'!BL17</f>
        <v>334781</v>
      </c>
      <c r="AK8" s="80">
        <f>'Income Statement'!BM17</f>
        <v>121738</v>
      </c>
      <c r="AL8" s="80">
        <f>'Income Statement'!BN17</f>
        <v>456519</v>
      </c>
      <c r="AM8" s="80">
        <f>'Income Statement'!BO17</f>
        <v>124384</v>
      </c>
      <c r="AN8" s="80">
        <f>'Income Statement'!BP17</f>
        <v>144029</v>
      </c>
      <c r="AO8" s="80">
        <f>'Income Statement'!BQ17</f>
        <v>268413</v>
      </c>
      <c r="AP8" s="80">
        <f>'Income Statement'!BR17</f>
        <v>157202</v>
      </c>
      <c r="AQ8" s="80">
        <f>'Income Statement'!BS17</f>
        <v>425615</v>
      </c>
      <c r="AR8" s="80">
        <f>'Income Statement'!BT17</f>
        <v>148592</v>
      </c>
      <c r="AS8" s="80">
        <f>'Income Statement'!BU17</f>
        <v>574207</v>
      </c>
      <c r="AT8" s="80">
        <f>'Income Statement'!BV17</f>
        <v>163052</v>
      </c>
      <c r="AU8" s="80">
        <f>'Income Statement'!BW17</f>
        <v>182175</v>
      </c>
      <c r="AV8" s="80">
        <f>'Income Statement'!BX17</f>
        <v>345227</v>
      </c>
      <c r="AW8" s="80">
        <f>'Income Statement'!BY17</f>
        <v>172240</v>
      </c>
      <c r="AX8" s="80">
        <f>'Income Statement'!BZ17</f>
        <v>517467</v>
      </c>
      <c r="AY8" s="80">
        <f>'Income Statement'!CA17</f>
        <v>176879</v>
      </c>
      <c r="AZ8" s="80">
        <f>'Income Statement'!CB17</f>
        <v>694346</v>
      </c>
      <c r="BA8" s="80">
        <f>'Income Statement'!CC17</f>
        <v>171221</v>
      </c>
      <c r="BB8" s="80">
        <f>'Income Statement'!CD17</f>
        <v>182892</v>
      </c>
      <c r="BC8" s="80">
        <f>'Income Statement'!CE17</f>
        <v>354113</v>
      </c>
      <c r="BD8" s="80">
        <f>'Income Statement'!CF17</f>
        <v>185411</v>
      </c>
      <c r="BE8" s="80">
        <f>'Income Statement'!CG17</f>
        <v>539524</v>
      </c>
      <c r="BF8" s="80">
        <f>'Income Statement'!CH17</f>
        <v>190298</v>
      </c>
      <c r="BG8" s="80">
        <f>'Income Statement'!CI17</f>
        <v>729822</v>
      </c>
      <c r="BH8" s="80">
        <f>'Income Statement'!CJ17</f>
        <v>180640</v>
      </c>
      <c r="BI8" s="80">
        <f>'Income Statement'!CK17</f>
        <v>200676</v>
      </c>
      <c r="BJ8" s="80">
        <f>'Income Statement'!CL17</f>
        <v>381316</v>
      </c>
      <c r="BK8" s="80">
        <f>'Income Statement'!CM17</f>
        <v>233799</v>
      </c>
      <c r="BL8" s="80">
        <f>'Income Statement'!CN17</f>
        <v>615115</v>
      </c>
      <c r="BM8" s="80">
        <f>'Income Statement'!CO17</f>
        <v>229117</v>
      </c>
      <c r="BN8" s="80">
        <f>'Income Statement'!CP17</f>
        <v>844232</v>
      </c>
      <c r="BO8" s="80">
        <f>'Income Statement'!CQ17</f>
        <v>229466</v>
      </c>
      <c r="BP8" s="80">
        <f>'Income Statement'!CR17</f>
        <v>240066</v>
      </c>
      <c r="BQ8" s="80">
        <f>'Income Statement'!CS17</f>
        <v>469532</v>
      </c>
      <c r="BR8" s="80">
        <f>'Income Statement'!CT17</f>
        <v>231827</v>
      </c>
      <c r="BS8" s="80">
        <f>'Income Statement'!CU17</f>
        <v>701359</v>
      </c>
      <c r="BT8" s="80">
        <f>'Income Statement'!CV17</f>
        <v>239749</v>
      </c>
      <c r="BU8" s="80">
        <f>'Income Statement'!CW17</f>
        <v>941108</v>
      </c>
      <c r="BV8" s="80">
        <f>'Income Statement'!CX17</f>
        <v>241780</v>
      </c>
      <c r="BW8" s="80">
        <f>'Income Statement'!CY17</f>
        <v>272630</v>
      </c>
      <c r="BX8" s="80">
        <f>'Income Statement'!CZ17</f>
        <v>514410</v>
      </c>
      <c r="BY8" s="80">
        <f>'Income Statement'!DA17</f>
        <v>293831</v>
      </c>
      <c r="BZ8" s="80">
        <f>'Income Statement'!DB17</f>
        <v>808241</v>
      </c>
      <c r="CA8" s="80">
        <f>'Income Statement'!DC17</f>
        <v>305503</v>
      </c>
      <c r="CB8" s="80">
        <f>'Income Statement'!DD17</f>
        <v>1113744</v>
      </c>
      <c r="CC8" s="80">
        <f>'Income Statement'!DE17</f>
        <v>313581</v>
      </c>
      <c r="CD8" s="80">
        <f>'Income Statement'!DF17</f>
        <v>268870</v>
      </c>
      <c r="CE8" s="80">
        <f>'Income Statement'!DG17</f>
        <v>582451</v>
      </c>
      <c r="CF8" s="80">
        <f>'Income Statement'!DH17</f>
        <v>138842</v>
      </c>
      <c r="CG8" s="80">
        <f>'Income Statement'!DI17</f>
        <v>721293</v>
      </c>
      <c r="CH8" s="80">
        <f>'Income Statement'!DJ17</f>
        <v>155316</v>
      </c>
      <c r="CI8" s="80">
        <f>'Income Statement'!DK17</f>
        <v>876609</v>
      </c>
      <c r="CJ8" s="80">
        <f>'Income Statement'!DL17</f>
        <v>216977</v>
      </c>
      <c r="CK8" s="80">
        <f>'Income Statement'!DM17</f>
        <v>231569</v>
      </c>
      <c r="CL8" s="80">
        <f>'Income Statement'!DN17</f>
        <v>448546</v>
      </c>
      <c r="CM8" s="80">
        <f>'Income Statement'!DO17</f>
        <v>256457</v>
      </c>
      <c r="CN8" s="80">
        <f>'Income Statement'!DP17</f>
        <v>705003</v>
      </c>
      <c r="CO8" s="80">
        <f>'Income Statement'!DQ17</f>
        <v>311130</v>
      </c>
      <c r="CP8" s="80">
        <f>'Income Statement'!DR17</f>
        <v>1016133</v>
      </c>
      <c r="CQ8" s="80">
        <f>'Income Statement'!DS17</f>
        <v>383359</v>
      </c>
      <c r="CR8" s="80">
        <f>'Income Statement'!DT17</f>
        <v>450592</v>
      </c>
      <c r="CS8" s="80">
        <f>'Income Statement'!DU17</f>
        <v>833951</v>
      </c>
      <c r="CT8" s="80">
        <f>'Income Statement'!DV17</f>
        <v>402111</v>
      </c>
      <c r="CU8" s="80">
        <f>'Income Statement'!DW17</f>
        <v>1236062</v>
      </c>
      <c r="CV8" s="80">
        <f>'Income Statement'!DX17</f>
        <v>459280</v>
      </c>
      <c r="CW8" s="80">
        <f>'Income Statement'!DY17</f>
        <v>1695342</v>
      </c>
      <c r="CX8" s="80">
        <f>'Income Statement'!DZ17</f>
        <v>497293</v>
      </c>
      <c r="CY8" s="80">
        <f>'Income Statement'!EA17</f>
        <v>518779</v>
      </c>
      <c r="CZ8" s="80">
        <f>'Income Statement'!EB17</f>
        <v>1016072</v>
      </c>
      <c r="DA8" s="80">
        <f>'Income Statement'!EC17</f>
        <v>460990</v>
      </c>
      <c r="DB8" s="80">
        <f>'Income Statement'!ED17</f>
        <v>1477062</v>
      </c>
      <c r="DC8" s="80">
        <f>'Income Statement'!EE17</f>
        <v>464447</v>
      </c>
      <c r="DD8" s="80">
        <f>'Income Statement'!EF17</f>
        <v>1941509</v>
      </c>
      <c r="DE8" s="80">
        <f>'Income Statement'!EG17</f>
        <v>446953</v>
      </c>
      <c r="DF8" s="80">
        <f>'Income Statement'!EH17</f>
        <v>440468</v>
      </c>
      <c r="DG8" s="80">
        <f>'Income Statement'!EI17</f>
        <v>887421</v>
      </c>
      <c r="DH8" s="80">
        <f>'Income Statement'!EJ17</f>
        <v>434557</v>
      </c>
      <c r="DI8" s="80">
        <f>'Income Statement'!EK17</f>
        <v>1321978</v>
      </c>
      <c r="DJ8" s="80">
        <f>'Income Statement'!EL17</f>
        <v>442438</v>
      </c>
      <c r="DK8" s="80">
        <f>'Income Statement'!EM17</f>
        <v>1764416</v>
      </c>
      <c r="DL8" s="80">
        <f>'Income Statement'!EN17</f>
        <v>500736</v>
      </c>
      <c r="DM8" s="80">
        <f>'Income Statement'!EO17</f>
        <v>517897</v>
      </c>
      <c r="DN8" s="80">
        <f>'Income Statement'!EP17</f>
        <v>1018633</v>
      </c>
      <c r="DO8" s="80">
        <f>'Income Statement'!EQ17</f>
        <v>484323</v>
      </c>
      <c r="DP8" s="80">
        <f>'Income Statement'!ER17</f>
        <v>1502956</v>
      </c>
      <c r="DQ8" s="80">
        <f>'Income Statement'!ES17</f>
        <v>488324</v>
      </c>
      <c r="DR8" s="80">
        <f>'Income Statement'!ET17</f>
        <v>1991280</v>
      </c>
      <c r="DS8" s="80">
        <f>'Income Statement'!EU17</f>
        <v>489766</v>
      </c>
      <c r="DT8" s="80">
        <f>'Income Statement'!EV17</f>
        <v>512258</v>
      </c>
      <c r="DU8" s="80">
        <f>'Income Statement'!EW17</f>
        <v>1002024</v>
      </c>
    </row>
    <row r="9" spans="1:125" ht="16.350000000000001" customHeight="1">
      <c r="A9" s="155"/>
      <c r="B9" s="23" t="s">
        <v>2378</v>
      </c>
      <c r="C9" s="23" t="s">
        <v>2377</v>
      </c>
      <c r="D9" s="80">
        <f>'Income Statement'!AF23</f>
        <v>-6368</v>
      </c>
      <c r="E9" s="80">
        <f>'Income Statement'!AG23</f>
        <v>-7939</v>
      </c>
      <c r="F9" s="80">
        <f>'Income Statement'!AH23</f>
        <v>-14307</v>
      </c>
      <c r="G9" s="80">
        <f>'Income Statement'!AI23</f>
        <v>-8275</v>
      </c>
      <c r="H9" s="80">
        <f>'Income Statement'!AJ23</f>
        <v>-22582</v>
      </c>
      <c r="I9" s="80">
        <f>'Income Statement'!AK23</f>
        <v>-6581</v>
      </c>
      <c r="J9" s="80">
        <f>'Income Statement'!AL23</f>
        <v>-29163</v>
      </c>
      <c r="K9" s="80">
        <f>'Income Statement'!AM23</f>
        <v>-6011</v>
      </c>
      <c r="L9" s="80">
        <f>'Income Statement'!AN23</f>
        <v>-6811</v>
      </c>
      <c r="M9" s="80">
        <f>'Income Statement'!AO23</f>
        <v>-12822</v>
      </c>
      <c r="N9" s="80">
        <f>'Income Statement'!AP23</f>
        <v>-7522</v>
      </c>
      <c r="O9" s="80">
        <f>'Income Statement'!AQ23</f>
        <v>-20344</v>
      </c>
      <c r="P9" s="80">
        <f>'Income Statement'!AR23</f>
        <v>-6748</v>
      </c>
      <c r="Q9" s="80">
        <f>'Income Statement'!AS23</f>
        <v>-27092</v>
      </c>
      <c r="R9" s="80">
        <f>'Income Statement'!AT23</f>
        <v>-6154</v>
      </c>
      <c r="S9" s="80">
        <f>'Income Statement'!AU23</f>
        <v>-5525</v>
      </c>
      <c r="T9" s="80">
        <f>'Income Statement'!AV23</f>
        <v>-11679</v>
      </c>
      <c r="U9" s="80">
        <f>'Income Statement'!AW23</f>
        <v>-5287</v>
      </c>
      <c r="V9" s="80">
        <f>'Income Statement'!AX23</f>
        <v>-16966</v>
      </c>
      <c r="W9" s="80">
        <f>'Income Statement'!AY23</f>
        <v>-3917</v>
      </c>
      <c r="X9" s="80">
        <f>'Income Statement'!AZ23</f>
        <v>-20883</v>
      </c>
      <c r="Y9" s="80">
        <f>'Income Statement'!BA23</f>
        <v>-4212</v>
      </c>
      <c r="Z9" s="80">
        <f>'Income Statement'!BB23</f>
        <v>-5384</v>
      </c>
      <c r="AA9" s="80">
        <f>'Income Statement'!BC23</f>
        <v>-9596</v>
      </c>
      <c r="AB9" s="80">
        <f>'Income Statement'!BD23</f>
        <v>-4409</v>
      </c>
      <c r="AC9" s="80">
        <f>'Income Statement'!BE23</f>
        <v>-14005</v>
      </c>
      <c r="AD9" s="80">
        <f>'Income Statement'!BF23</f>
        <v>-3829</v>
      </c>
      <c r="AE9" s="80">
        <f>'Income Statement'!BG23</f>
        <v>-17834</v>
      </c>
      <c r="AF9" s="80">
        <f>'Income Statement'!BH23</f>
        <v>-3127</v>
      </c>
      <c r="AG9" s="80">
        <f>'Income Statement'!BI23</f>
        <v>-4242</v>
      </c>
      <c r="AH9" s="80">
        <f>'Income Statement'!BJ23</f>
        <v>-7369</v>
      </c>
      <c r="AI9" s="80">
        <f>'Income Statement'!BK23</f>
        <v>-5062</v>
      </c>
      <c r="AJ9" s="80">
        <f>'Income Statement'!BL23</f>
        <v>-12431</v>
      </c>
      <c r="AK9" s="80">
        <f>'Income Statement'!BM23</f>
        <v>-4345</v>
      </c>
      <c r="AL9" s="80">
        <f>'Income Statement'!BN23</f>
        <v>-16776</v>
      </c>
      <c r="AM9" s="80">
        <f>'Income Statement'!BO23</f>
        <v>-4318</v>
      </c>
      <c r="AN9" s="80">
        <f>'Income Statement'!BP23</f>
        <v>-3566</v>
      </c>
      <c r="AO9" s="80">
        <f>'Income Statement'!BQ23</f>
        <v>-7884</v>
      </c>
      <c r="AP9" s="80">
        <f>'Income Statement'!BR23</f>
        <v>-6231</v>
      </c>
      <c r="AQ9" s="80">
        <f>'Income Statement'!BS23</f>
        <v>-14115</v>
      </c>
      <c r="AR9" s="80">
        <f>'Income Statement'!BT23</f>
        <v>-8657</v>
      </c>
      <c r="AS9" s="80">
        <f>'Income Statement'!BU23</f>
        <v>-22772</v>
      </c>
      <c r="AT9" s="80">
        <f>'Income Statement'!BV23</f>
        <v>-11593</v>
      </c>
      <c r="AU9" s="80">
        <f>'Income Statement'!BW23</f>
        <v>-13634</v>
      </c>
      <c r="AV9" s="80">
        <f>'Income Statement'!BX23</f>
        <v>-25227</v>
      </c>
      <c r="AW9" s="80">
        <f>'Income Statement'!BY23</f>
        <v>-10692</v>
      </c>
      <c r="AX9" s="80">
        <f>'Income Statement'!BZ23</f>
        <v>-35919</v>
      </c>
      <c r="AY9" s="80">
        <f>'Income Statement'!CA23</f>
        <v>-9253</v>
      </c>
      <c r="AZ9" s="80">
        <f>'Income Statement'!CB23</f>
        <v>-45172</v>
      </c>
      <c r="BA9" s="80">
        <f>'Income Statement'!CC23</f>
        <v>-10842</v>
      </c>
      <c r="BB9" s="80">
        <f>'Income Statement'!CD23</f>
        <v>-10298</v>
      </c>
      <c r="BC9" s="80">
        <f>'Income Statement'!CE23</f>
        <v>-21140</v>
      </c>
      <c r="BD9" s="80">
        <f>'Income Statement'!CF23</f>
        <v>-10406</v>
      </c>
      <c r="BE9" s="80">
        <f>'Income Statement'!CG23</f>
        <v>-31546</v>
      </c>
      <c r="BF9" s="80">
        <f>'Income Statement'!CH23</f>
        <v>-6907</v>
      </c>
      <c r="BG9" s="80">
        <f>'Income Statement'!CI23</f>
        <v>-38453</v>
      </c>
      <c r="BH9" s="80">
        <f>'Income Statement'!CJ23</f>
        <v>-6430</v>
      </c>
      <c r="BI9" s="80">
        <f>'Income Statement'!CK23</f>
        <v>-5328</v>
      </c>
      <c r="BJ9" s="80">
        <f>'Income Statement'!CL23</f>
        <v>-11758</v>
      </c>
      <c r="BK9" s="80">
        <f>'Income Statement'!CM23</f>
        <v>-5735</v>
      </c>
      <c r="BL9" s="80">
        <f>'Income Statement'!CN23</f>
        <v>-17493</v>
      </c>
      <c r="BM9" s="80">
        <f>'Income Statement'!CO23</f>
        <v>-4538</v>
      </c>
      <c r="BN9" s="80">
        <f>'Income Statement'!CP23</f>
        <v>-22031</v>
      </c>
      <c r="BO9" s="80">
        <f>'Income Statement'!CQ23</f>
        <v>-6783</v>
      </c>
      <c r="BP9" s="80">
        <f>'Income Statement'!CR23</f>
        <v>-7226</v>
      </c>
      <c r="BQ9" s="80">
        <f>'Income Statement'!CS23</f>
        <v>-14009</v>
      </c>
      <c r="BR9" s="80">
        <f>'Income Statement'!CT23</f>
        <v>-6861</v>
      </c>
      <c r="BS9" s="80">
        <f>'Income Statement'!CU23</f>
        <v>-20870</v>
      </c>
      <c r="BT9" s="80">
        <f>'Income Statement'!CV23</f>
        <v>-6249</v>
      </c>
      <c r="BU9" s="80">
        <f>'Income Statement'!CW23</f>
        <v>-27119</v>
      </c>
      <c r="BV9" s="80">
        <f>'Income Statement'!CX23</f>
        <v>-5601</v>
      </c>
      <c r="BW9" s="80">
        <f>'Income Statement'!CY23</f>
        <v>-5755</v>
      </c>
      <c r="BX9" s="80">
        <f>'Income Statement'!CZ23</f>
        <v>-11356</v>
      </c>
      <c r="BY9" s="80">
        <f>'Income Statement'!DA23</f>
        <v>-7164</v>
      </c>
      <c r="BZ9" s="80">
        <f>'Income Statement'!DB23</f>
        <v>-18520</v>
      </c>
      <c r="CA9" s="80">
        <f>'Income Statement'!DC23</f>
        <v>-4695</v>
      </c>
      <c r="CB9" s="80">
        <f>'Income Statement'!DD23</f>
        <v>-23215</v>
      </c>
      <c r="CC9" s="80">
        <f>'Income Statement'!DE23</f>
        <v>-5434</v>
      </c>
      <c r="CD9" s="80">
        <f>'Income Statement'!DF23</f>
        <v>-6802</v>
      </c>
      <c r="CE9" s="80">
        <f>'Income Statement'!DG23</f>
        <v>-12236</v>
      </c>
      <c r="CF9" s="80">
        <f>'Income Statement'!DH23</f>
        <v>-6368</v>
      </c>
      <c r="CG9" s="80">
        <f>'Income Statement'!DI23</f>
        <v>-18604</v>
      </c>
      <c r="CH9" s="80">
        <f>'Income Statement'!DJ23</f>
        <v>-3657</v>
      </c>
      <c r="CI9" s="80">
        <f>'Income Statement'!DK23</f>
        <v>-22261</v>
      </c>
      <c r="CJ9" s="80">
        <f>'Income Statement'!DL23</f>
        <v>-3898</v>
      </c>
      <c r="CK9" s="80">
        <f>'Income Statement'!DM23</f>
        <v>-3556</v>
      </c>
      <c r="CL9" s="80">
        <f>'Income Statement'!DN23</f>
        <v>-7454</v>
      </c>
      <c r="CM9" s="80">
        <f>'Income Statement'!DO23</f>
        <v>-5532</v>
      </c>
      <c r="CN9" s="80">
        <f>'Income Statement'!DP23</f>
        <v>-12986</v>
      </c>
      <c r="CO9" s="80">
        <f>'Income Statement'!DQ23</f>
        <v>-9515</v>
      </c>
      <c r="CP9" s="80">
        <f>'Income Statement'!DR23</f>
        <v>-22501</v>
      </c>
      <c r="CQ9" s="80">
        <f>'Income Statement'!DS23</f>
        <v>-16616</v>
      </c>
      <c r="CR9" s="80">
        <f>'Income Statement'!DT23</f>
        <v>-27404</v>
      </c>
      <c r="CS9" s="80">
        <f>'Income Statement'!DU23</f>
        <v>-44020</v>
      </c>
      <c r="CT9" s="80">
        <f>'Income Statement'!DV23</f>
        <v>-34224</v>
      </c>
      <c r="CU9" s="80">
        <f>'Income Statement'!DW23</f>
        <v>-78244</v>
      </c>
      <c r="CV9" s="80">
        <f>'Income Statement'!DX23</f>
        <v>-31804</v>
      </c>
      <c r="CW9" s="80">
        <f>'Income Statement'!DY23</f>
        <v>-110048</v>
      </c>
      <c r="CX9" s="80">
        <f>'Income Statement'!DZ23</f>
        <v>-28356</v>
      </c>
      <c r="CY9" s="80">
        <f>'Income Statement'!EA23</f>
        <v>-30387</v>
      </c>
      <c r="CZ9" s="80">
        <f>'Income Statement'!EB23</f>
        <v>-58743</v>
      </c>
      <c r="DA9" s="80">
        <f>'Income Statement'!EC23</f>
        <v>-26363</v>
      </c>
      <c r="DB9" s="80">
        <f>'Income Statement'!ED23</f>
        <v>-85106</v>
      </c>
      <c r="DC9" s="80">
        <f>'Income Statement'!EE23</f>
        <v>-20580</v>
      </c>
      <c r="DD9" s="80">
        <f>'Income Statement'!EF23</f>
        <v>-105686</v>
      </c>
      <c r="DE9" s="80">
        <f>'Income Statement'!EG23</f>
        <v>-17659</v>
      </c>
      <c r="DF9" s="80">
        <f>'Income Statement'!EH23</f>
        <v>-14447</v>
      </c>
      <c r="DG9" s="80">
        <f>'Income Statement'!EI23</f>
        <v>-32106</v>
      </c>
      <c r="DH9" s="80">
        <f>'Income Statement'!EJ23</f>
        <v>-7748</v>
      </c>
      <c r="DI9" s="80">
        <f>'Income Statement'!EK23</f>
        <v>-39854</v>
      </c>
      <c r="DJ9" s="80">
        <f>'Income Statement'!EL23</f>
        <v>1632</v>
      </c>
      <c r="DK9" s="80">
        <f>'Income Statement'!EM23</f>
        <v>-38222</v>
      </c>
      <c r="DL9" s="80">
        <f>'Income Statement'!EN23</f>
        <v>2809</v>
      </c>
      <c r="DM9" s="80">
        <f>'Income Statement'!EO23</f>
        <v>1614</v>
      </c>
      <c r="DN9" s="80">
        <f>'Income Statement'!EP23</f>
        <v>4423</v>
      </c>
      <c r="DO9" s="80">
        <f>'Income Statement'!EQ23</f>
        <v>5977</v>
      </c>
      <c r="DP9" s="80">
        <f>'Income Statement'!ER23</f>
        <v>10400</v>
      </c>
      <c r="DQ9" s="80">
        <f>'Income Statement'!ES23</f>
        <v>7099</v>
      </c>
      <c r="DR9" s="80">
        <f>'Income Statement'!ET23</f>
        <v>17499</v>
      </c>
      <c r="DS9" s="80">
        <f>'Income Statement'!EU23</f>
        <v>7740</v>
      </c>
      <c r="DT9" s="80">
        <f>'Income Statement'!EV23</f>
        <v>-3016</v>
      </c>
      <c r="DU9" s="80">
        <f>'Income Statement'!EW23</f>
        <v>4724</v>
      </c>
    </row>
    <row r="10" spans="1:125" ht="16.350000000000001" customHeight="1">
      <c r="A10" s="155"/>
      <c r="B10" s="121" t="s">
        <v>2381</v>
      </c>
      <c r="C10" s="121" t="s">
        <v>2380</v>
      </c>
      <c r="D10" s="80">
        <f t="shared" ref="D10:AI10" si="10">D9-D11</f>
        <v>-6368</v>
      </c>
      <c r="E10" s="80">
        <f t="shared" si="10"/>
        <v>-7939</v>
      </c>
      <c r="F10" s="80">
        <f t="shared" si="10"/>
        <v>-14307</v>
      </c>
      <c r="G10" s="80">
        <f t="shared" si="10"/>
        <v>-8275</v>
      </c>
      <c r="H10" s="80">
        <f t="shared" si="10"/>
        <v>-22582</v>
      </c>
      <c r="I10" s="80">
        <f t="shared" si="10"/>
        <v>-6581</v>
      </c>
      <c r="J10" s="80">
        <f t="shared" si="10"/>
        <v>-29163</v>
      </c>
      <c r="K10" s="80">
        <f t="shared" si="10"/>
        <v>-6011</v>
      </c>
      <c r="L10" s="80">
        <f t="shared" si="10"/>
        <v>-6811</v>
      </c>
      <c r="M10" s="80">
        <f t="shared" si="10"/>
        <v>-12822</v>
      </c>
      <c r="N10" s="80">
        <f t="shared" si="10"/>
        <v>-7522</v>
      </c>
      <c r="O10" s="80">
        <f t="shared" si="10"/>
        <v>-20344</v>
      </c>
      <c r="P10" s="80">
        <f t="shared" si="10"/>
        <v>-6748</v>
      </c>
      <c r="Q10" s="80">
        <f t="shared" si="10"/>
        <v>-27092</v>
      </c>
      <c r="R10" s="80">
        <f t="shared" si="10"/>
        <v>-6154</v>
      </c>
      <c r="S10" s="80">
        <f t="shared" si="10"/>
        <v>-5525</v>
      </c>
      <c r="T10" s="80">
        <f t="shared" si="10"/>
        <v>-11679</v>
      </c>
      <c r="U10" s="80">
        <f t="shared" si="10"/>
        <v>-5287</v>
      </c>
      <c r="V10" s="80">
        <f t="shared" ref="V10" si="11">V9-V11</f>
        <v>-16966</v>
      </c>
      <c r="W10" s="80">
        <f t="shared" si="10"/>
        <v>-3917</v>
      </c>
      <c r="X10" s="80">
        <f t="shared" si="10"/>
        <v>-20883</v>
      </c>
      <c r="Y10" s="80">
        <f t="shared" si="10"/>
        <v>-4212</v>
      </c>
      <c r="Z10" s="80">
        <f t="shared" si="10"/>
        <v>-5384</v>
      </c>
      <c r="AA10" s="80">
        <f t="shared" si="10"/>
        <v>-9596</v>
      </c>
      <c r="AB10" s="80">
        <f t="shared" ref="AB10:AC10" si="12">AB9-AB11</f>
        <v>-4409</v>
      </c>
      <c r="AC10" s="80">
        <f t="shared" si="12"/>
        <v>-14005</v>
      </c>
      <c r="AD10" s="80">
        <f t="shared" si="10"/>
        <v>-3829</v>
      </c>
      <c r="AE10" s="80">
        <f t="shared" si="10"/>
        <v>-17834</v>
      </c>
      <c r="AF10" s="80">
        <f t="shared" si="10"/>
        <v>-3127</v>
      </c>
      <c r="AG10" s="80">
        <f t="shared" si="10"/>
        <v>-4242</v>
      </c>
      <c r="AH10" s="80">
        <f t="shared" si="10"/>
        <v>-7369</v>
      </c>
      <c r="AI10" s="80">
        <f t="shared" si="10"/>
        <v>-5062</v>
      </c>
      <c r="AJ10" s="80">
        <f t="shared" ref="AJ10:BO10" si="13">AJ9-AJ11</f>
        <v>-12431</v>
      </c>
      <c r="AK10" s="80">
        <f t="shared" si="13"/>
        <v>-4345</v>
      </c>
      <c r="AL10" s="80">
        <f t="shared" si="13"/>
        <v>-16776</v>
      </c>
      <c r="AM10" s="80">
        <f t="shared" si="13"/>
        <v>-4318</v>
      </c>
      <c r="AN10" s="80">
        <f t="shared" si="13"/>
        <v>-3566</v>
      </c>
      <c r="AO10" s="80">
        <f t="shared" si="13"/>
        <v>-7884</v>
      </c>
      <c r="AP10" s="80">
        <f t="shared" si="13"/>
        <v>-6231</v>
      </c>
      <c r="AQ10" s="80">
        <f t="shared" si="13"/>
        <v>-14115</v>
      </c>
      <c r="AR10" s="80">
        <f t="shared" si="13"/>
        <v>-8657</v>
      </c>
      <c r="AS10" s="80">
        <f t="shared" si="13"/>
        <v>-22772</v>
      </c>
      <c r="AT10" s="80">
        <f t="shared" si="13"/>
        <v>-11593</v>
      </c>
      <c r="AU10" s="80">
        <f t="shared" si="13"/>
        <v>-13634</v>
      </c>
      <c r="AV10" s="80">
        <f t="shared" si="13"/>
        <v>-25227</v>
      </c>
      <c r="AW10" s="80">
        <f t="shared" si="13"/>
        <v>-10692</v>
      </c>
      <c r="AX10" s="80">
        <f t="shared" si="13"/>
        <v>-35919</v>
      </c>
      <c r="AY10" s="80">
        <f t="shared" si="13"/>
        <v>-9253</v>
      </c>
      <c r="AZ10" s="80">
        <f t="shared" si="13"/>
        <v>-45172</v>
      </c>
      <c r="BA10" s="80">
        <f t="shared" si="13"/>
        <v>-10842</v>
      </c>
      <c r="BB10" s="80">
        <f t="shared" si="13"/>
        <v>-10298</v>
      </c>
      <c r="BC10" s="80">
        <f t="shared" si="13"/>
        <v>-21140</v>
      </c>
      <c r="BD10" s="80">
        <f t="shared" si="13"/>
        <v>-10406</v>
      </c>
      <c r="BE10" s="80">
        <f t="shared" si="13"/>
        <v>-31546</v>
      </c>
      <c r="BF10" s="80">
        <f t="shared" si="13"/>
        <v>-6907</v>
      </c>
      <c r="BG10" s="80">
        <f t="shared" si="13"/>
        <v>-38453</v>
      </c>
      <c r="BH10" s="80">
        <f t="shared" si="13"/>
        <v>-6430</v>
      </c>
      <c r="BI10" s="80">
        <f t="shared" si="13"/>
        <v>-5328</v>
      </c>
      <c r="BJ10" s="80">
        <f t="shared" si="13"/>
        <v>-11758</v>
      </c>
      <c r="BK10" s="80">
        <f t="shared" si="13"/>
        <v>-5735</v>
      </c>
      <c r="BL10" s="80">
        <f t="shared" si="13"/>
        <v>-17493</v>
      </c>
      <c r="BM10" s="80">
        <f t="shared" si="13"/>
        <v>-4538</v>
      </c>
      <c r="BN10" s="80">
        <f t="shared" si="13"/>
        <v>-22031</v>
      </c>
      <c r="BO10" s="80">
        <f t="shared" si="13"/>
        <v>-6783</v>
      </c>
      <c r="BP10" s="80">
        <f t="shared" ref="BP10:CU10" si="14">BP9-BP11</f>
        <v>-7226</v>
      </c>
      <c r="BQ10" s="80">
        <f t="shared" si="14"/>
        <v>-14009</v>
      </c>
      <c r="BR10" s="80">
        <f t="shared" si="14"/>
        <v>-6861</v>
      </c>
      <c r="BS10" s="80">
        <f t="shared" si="14"/>
        <v>-20870</v>
      </c>
      <c r="BT10" s="80">
        <f t="shared" si="14"/>
        <v>-6249</v>
      </c>
      <c r="BU10" s="80">
        <f t="shared" si="14"/>
        <v>-27119</v>
      </c>
      <c r="BV10" s="80">
        <f t="shared" si="14"/>
        <v>-5601</v>
      </c>
      <c r="BW10" s="80">
        <f t="shared" si="14"/>
        <v>-5755</v>
      </c>
      <c r="BX10" s="80">
        <f t="shared" si="14"/>
        <v>-11356</v>
      </c>
      <c r="BY10" s="80">
        <f t="shared" si="14"/>
        <v>-7164</v>
      </c>
      <c r="BZ10" s="80">
        <f t="shared" si="14"/>
        <v>-18520</v>
      </c>
      <c r="CA10" s="80">
        <f t="shared" si="14"/>
        <v>-4695</v>
      </c>
      <c r="CB10" s="80">
        <f t="shared" si="14"/>
        <v>-23215</v>
      </c>
      <c r="CC10" s="80">
        <f t="shared" si="14"/>
        <v>-5434</v>
      </c>
      <c r="CD10" s="80">
        <f t="shared" si="14"/>
        <v>-6802</v>
      </c>
      <c r="CE10" s="80">
        <f t="shared" si="14"/>
        <v>-12236</v>
      </c>
      <c r="CF10" s="80">
        <f t="shared" si="14"/>
        <v>-6368</v>
      </c>
      <c r="CG10" s="80">
        <f t="shared" si="14"/>
        <v>-18604</v>
      </c>
      <c r="CH10" s="80">
        <f t="shared" si="14"/>
        <v>-3657</v>
      </c>
      <c r="CI10" s="80">
        <f t="shared" ref="CI10" si="15">CI9-CI11</f>
        <v>-22261</v>
      </c>
      <c r="CJ10" s="80">
        <f t="shared" si="14"/>
        <v>-3898</v>
      </c>
      <c r="CK10" s="80">
        <f t="shared" si="14"/>
        <v>-3556</v>
      </c>
      <c r="CL10" s="80">
        <f t="shared" si="14"/>
        <v>-7454</v>
      </c>
      <c r="CM10" s="80">
        <f t="shared" si="14"/>
        <v>-5532</v>
      </c>
      <c r="CN10" s="80">
        <f t="shared" si="14"/>
        <v>-12986</v>
      </c>
      <c r="CO10" s="80">
        <f t="shared" si="14"/>
        <v>-9515</v>
      </c>
      <c r="CP10" s="80">
        <f t="shared" si="14"/>
        <v>-22501</v>
      </c>
      <c r="CQ10" s="80">
        <f t="shared" si="14"/>
        <v>-16616</v>
      </c>
      <c r="CR10" s="80">
        <f t="shared" si="14"/>
        <v>-27404</v>
      </c>
      <c r="CS10" s="80">
        <f t="shared" si="14"/>
        <v>-44020</v>
      </c>
      <c r="CT10" s="80">
        <f t="shared" si="14"/>
        <v>-34224</v>
      </c>
      <c r="CU10" s="80">
        <f t="shared" si="14"/>
        <v>-78244</v>
      </c>
      <c r="CV10" s="80">
        <f t="shared" ref="CV10:DL10" si="16">CV9-CV11</f>
        <v>-31804</v>
      </c>
      <c r="CW10" s="80">
        <f t="shared" si="16"/>
        <v>-110048</v>
      </c>
      <c r="CX10" s="80">
        <f t="shared" si="16"/>
        <v>-28356</v>
      </c>
      <c r="CY10" s="80">
        <f t="shared" si="16"/>
        <v>-30387</v>
      </c>
      <c r="CZ10" s="80">
        <f t="shared" si="16"/>
        <v>-58743</v>
      </c>
      <c r="DA10" s="80">
        <f t="shared" si="16"/>
        <v>-26363</v>
      </c>
      <c r="DB10" s="80">
        <f t="shared" si="16"/>
        <v>-85106</v>
      </c>
      <c r="DC10" s="80">
        <f t="shared" si="16"/>
        <v>-20580</v>
      </c>
      <c r="DD10" s="80">
        <f t="shared" si="16"/>
        <v>-105686</v>
      </c>
      <c r="DE10" s="80">
        <f t="shared" si="16"/>
        <v>-17659</v>
      </c>
      <c r="DF10" s="80">
        <f t="shared" si="16"/>
        <v>-17361</v>
      </c>
      <c r="DG10" s="80">
        <f t="shared" si="16"/>
        <v>-35020</v>
      </c>
      <c r="DH10" s="80">
        <f t="shared" si="16"/>
        <v>-16626</v>
      </c>
      <c r="DI10" s="80">
        <f t="shared" si="16"/>
        <v>-51646</v>
      </c>
      <c r="DJ10" s="80">
        <f t="shared" si="16"/>
        <v>-14062</v>
      </c>
      <c r="DK10" s="80">
        <f t="shared" si="16"/>
        <v>-65708</v>
      </c>
      <c r="DL10" s="80">
        <f t="shared" si="16"/>
        <v>-15975</v>
      </c>
      <c r="DM10" s="80">
        <f t="shared" ref="DM10:DO10" si="17">DM9-DM11</f>
        <v>-19985</v>
      </c>
      <c r="DN10" s="80">
        <f t="shared" ref="DN10:DQ10" si="18">DN9-DN11</f>
        <v>-35960</v>
      </c>
      <c r="DO10" s="80">
        <f t="shared" si="17"/>
        <v>-18946</v>
      </c>
      <c r="DP10" s="80">
        <f t="shared" si="18"/>
        <v>-54906</v>
      </c>
      <c r="DQ10" s="80">
        <f t="shared" si="18"/>
        <v>-18013</v>
      </c>
      <c r="DR10" s="80">
        <f t="shared" ref="DR10:DU10" si="19">DR9-DR11</f>
        <v>-72919</v>
      </c>
      <c r="DS10" s="80">
        <f t="shared" si="19"/>
        <v>-16678</v>
      </c>
      <c r="DT10" s="80">
        <f t="shared" si="19"/>
        <v>-27241</v>
      </c>
      <c r="DU10" s="80">
        <f t="shared" si="19"/>
        <v>-43919</v>
      </c>
    </row>
    <row r="11" spans="1:125" ht="16.350000000000001" customHeight="1">
      <c r="A11" s="155"/>
      <c r="B11" s="266" t="s">
        <v>2379</v>
      </c>
      <c r="C11" s="266" t="s">
        <v>2376</v>
      </c>
      <c r="D11" s="85">
        <v>0</v>
      </c>
      <c r="E11" s="85">
        <v>0</v>
      </c>
      <c r="F11" s="85">
        <v>0</v>
      </c>
      <c r="G11" s="85">
        <v>0</v>
      </c>
      <c r="H11" s="85">
        <v>0</v>
      </c>
      <c r="I11" s="85">
        <v>0</v>
      </c>
      <c r="J11" s="85">
        <v>0</v>
      </c>
      <c r="K11" s="85">
        <v>0</v>
      </c>
      <c r="L11" s="85">
        <v>0</v>
      </c>
      <c r="M11" s="85">
        <v>0</v>
      </c>
      <c r="N11" s="85">
        <v>0</v>
      </c>
      <c r="O11" s="85">
        <v>0</v>
      </c>
      <c r="P11" s="85">
        <v>0</v>
      </c>
      <c r="Q11" s="85">
        <v>0</v>
      </c>
      <c r="R11" s="85">
        <v>0</v>
      </c>
      <c r="S11" s="85">
        <v>0</v>
      </c>
      <c r="T11" s="85">
        <v>0</v>
      </c>
      <c r="U11" s="85">
        <v>0</v>
      </c>
      <c r="V11" s="85">
        <v>0</v>
      </c>
      <c r="W11" s="85">
        <v>0</v>
      </c>
      <c r="X11" s="85">
        <v>0</v>
      </c>
      <c r="Y11" s="85">
        <v>0</v>
      </c>
      <c r="Z11" s="85">
        <v>0</v>
      </c>
      <c r="AA11" s="85">
        <v>0</v>
      </c>
      <c r="AB11" s="85">
        <v>0</v>
      </c>
      <c r="AC11" s="85">
        <v>0</v>
      </c>
      <c r="AD11" s="85">
        <v>0</v>
      </c>
      <c r="AE11" s="85">
        <v>0</v>
      </c>
      <c r="AF11" s="85">
        <v>0</v>
      </c>
      <c r="AG11" s="85">
        <v>0</v>
      </c>
      <c r="AH11" s="85">
        <v>0</v>
      </c>
      <c r="AI11" s="85">
        <v>0</v>
      </c>
      <c r="AJ11" s="85">
        <v>0</v>
      </c>
      <c r="AK11" s="85">
        <v>0</v>
      </c>
      <c r="AL11" s="85">
        <v>0</v>
      </c>
      <c r="AM11" s="85">
        <v>0</v>
      </c>
      <c r="AN11" s="85">
        <v>0</v>
      </c>
      <c r="AO11" s="85">
        <v>0</v>
      </c>
      <c r="AP11" s="85">
        <v>0</v>
      </c>
      <c r="AQ11" s="85">
        <v>0</v>
      </c>
      <c r="AR11" s="85">
        <v>0</v>
      </c>
      <c r="AS11" s="85">
        <v>0</v>
      </c>
      <c r="AT11" s="85">
        <v>0</v>
      </c>
      <c r="AU11" s="85">
        <v>0</v>
      </c>
      <c r="AV11" s="85">
        <v>0</v>
      </c>
      <c r="AW11" s="85">
        <v>0</v>
      </c>
      <c r="AX11" s="85">
        <v>0</v>
      </c>
      <c r="AY11" s="85">
        <v>0</v>
      </c>
      <c r="AZ11" s="85">
        <v>0</v>
      </c>
      <c r="BA11" s="85">
        <v>0</v>
      </c>
      <c r="BB11" s="85">
        <v>0</v>
      </c>
      <c r="BC11" s="85">
        <v>0</v>
      </c>
      <c r="BD11" s="85">
        <v>0</v>
      </c>
      <c r="BE11" s="85">
        <v>0</v>
      </c>
      <c r="BF11" s="85">
        <v>0</v>
      </c>
      <c r="BG11" s="85">
        <v>0</v>
      </c>
      <c r="BH11" s="85">
        <v>0</v>
      </c>
      <c r="BI11" s="85">
        <v>0</v>
      </c>
      <c r="BJ11" s="85">
        <v>0</v>
      </c>
      <c r="BK11" s="85">
        <v>0</v>
      </c>
      <c r="BL11" s="85">
        <v>0</v>
      </c>
      <c r="BM11" s="85">
        <v>0</v>
      </c>
      <c r="BN11" s="85">
        <v>0</v>
      </c>
      <c r="BO11" s="85">
        <v>0</v>
      </c>
      <c r="BP11" s="85">
        <v>0</v>
      </c>
      <c r="BQ11" s="85">
        <v>0</v>
      </c>
      <c r="BR11" s="85">
        <v>0</v>
      </c>
      <c r="BS11" s="85">
        <v>0</v>
      </c>
      <c r="BT11" s="85">
        <v>0</v>
      </c>
      <c r="BU11" s="85">
        <v>0</v>
      </c>
      <c r="BV11" s="85">
        <v>0</v>
      </c>
      <c r="BW11" s="85">
        <v>0</v>
      </c>
      <c r="BX11" s="85">
        <v>0</v>
      </c>
      <c r="BY11" s="85">
        <v>0</v>
      </c>
      <c r="BZ11" s="85">
        <v>0</v>
      </c>
      <c r="CA11" s="85">
        <v>0</v>
      </c>
      <c r="CB11" s="85">
        <v>0</v>
      </c>
      <c r="CC11" s="85">
        <v>0</v>
      </c>
      <c r="CD11" s="85">
        <v>0</v>
      </c>
      <c r="CE11" s="85">
        <v>0</v>
      </c>
      <c r="CF11" s="85">
        <v>0</v>
      </c>
      <c r="CG11" s="85">
        <v>0</v>
      </c>
      <c r="CH11" s="85">
        <v>0</v>
      </c>
      <c r="CI11" s="85">
        <v>0</v>
      </c>
      <c r="CJ11" s="85">
        <v>0</v>
      </c>
      <c r="CK11" s="85">
        <v>0</v>
      </c>
      <c r="CL11" s="85">
        <v>0</v>
      </c>
      <c r="CM11" s="85">
        <v>0</v>
      </c>
      <c r="CN11" s="85">
        <v>0</v>
      </c>
      <c r="CO11" s="85">
        <v>0</v>
      </c>
      <c r="CP11" s="85">
        <v>0</v>
      </c>
      <c r="CQ11" s="85">
        <v>0</v>
      </c>
      <c r="CR11" s="85">
        <v>0</v>
      </c>
      <c r="CS11" s="85">
        <v>0</v>
      </c>
      <c r="CT11" s="85">
        <v>0</v>
      </c>
      <c r="CU11" s="85">
        <v>0</v>
      </c>
      <c r="CV11" s="85">
        <v>0</v>
      </c>
      <c r="CW11" s="85">
        <v>0</v>
      </c>
      <c r="CX11" s="85">
        <v>0</v>
      </c>
      <c r="CY11" s="85">
        <v>0</v>
      </c>
      <c r="CZ11" s="85">
        <v>0</v>
      </c>
      <c r="DA11" s="85">
        <v>0</v>
      </c>
      <c r="DB11" s="85">
        <v>0</v>
      </c>
      <c r="DC11" s="85">
        <v>0</v>
      </c>
      <c r="DD11" s="85">
        <v>0</v>
      </c>
      <c r="DE11" s="85">
        <v>0</v>
      </c>
      <c r="DF11" s="85">
        <v>2914</v>
      </c>
      <c r="DG11" s="85">
        <f>SUM(DE11:DF11)</f>
        <v>2914</v>
      </c>
      <c r="DH11" s="85">
        <v>8878</v>
      </c>
      <c r="DI11" s="85">
        <f>SUM(DG11:DH11)</f>
        <v>11792</v>
      </c>
      <c r="DJ11" s="85">
        <f>27486-DI11</f>
        <v>15694</v>
      </c>
      <c r="DK11" s="85">
        <f>SUM(DI11:DJ11)</f>
        <v>27486</v>
      </c>
      <c r="DL11" s="85">
        <v>18784</v>
      </c>
      <c r="DM11" s="85">
        <v>21599</v>
      </c>
      <c r="DN11" s="85">
        <f>SUM(DL11:DM11)</f>
        <v>40383</v>
      </c>
      <c r="DO11" s="85">
        <v>24923</v>
      </c>
      <c r="DP11" s="85">
        <f>SUM(DN11:DO11)</f>
        <v>65306</v>
      </c>
      <c r="DQ11" s="85">
        <v>25112</v>
      </c>
      <c r="DR11" s="85">
        <f>SUM(DP11:DQ11)</f>
        <v>90418</v>
      </c>
      <c r="DS11" s="85">
        <v>24418</v>
      </c>
      <c r="DT11" s="85">
        <v>24225</v>
      </c>
      <c r="DU11" s="85">
        <f>SUM(DS11:DT11)</f>
        <v>48643</v>
      </c>
    </row>
    <row r="12" spans="1:125" ht="16.350000000000001" customHeight="1">
      <c r="A12" s="155"/>
      <c r="B12" s="17"/>
      <c r="C12" s="17"/>
      <c r="D12" s="358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8"/>
      <c r="S12" s="358"/>
      <c r="T12" s="358"/>
      <c r="U12" s="358"/>
      <c r="V12" s="358"/>
      <c r="W12" s="358"/>
      <c r="X12" s="358"/>
      <c r="Y12" s="358"/>
      <c r="Z12" s="358"/>
      <c r="AA12" s="358"/>
      <c r="AB12" s="358"/>
      <c r="AC12" s="358"/>
      <c r="AD12" s="358"/>
      <c r="AE12" s="358"/>
      <c r="AF12" s="358"/>
      <c r="AG12" s="358"/>
      <c r="AH12" s="358"/>
      <c r="AI12" s="358"/>
      <c r="AJ12" s="358"/>
      <c r="AK12" s="358"/>
      <c r="AL12" s="358"/>
      <c r="AM12" s="358"/>
      <c r="AN12" s="358"/>
      <c r="AO12" s="358"/>
      <c r="AP12" s="358"/>
      <c r="AQ12" s="358"/>
      <c r="AR12" s="358"/>
      <c r="AS12" s="358"/>
      <c r="AT12" s="358"/>
      <c r="AU12" s="358"/>
      <c r="AV12" s="358"/>
      <c r="AW12" s="358"/>
      <c r="AX12" s="358"/>
      <c r="AY12" s="358"/>
      <c r="AZ12" s="358"/>
      <c r="BA12" s="358"/>
      <c r="BB12" s="358"/>
      <c r="BC12" s="358"/>
      <c r="BD12" s="358"/>
      <c r="BE12" s="358"/>
      <c r="BF12" s="358"/>
      <c r="BG12" s="358"/>
      <c r="BH12" s="358"/>
      <c r="BI12" s="358"/>
      <c r="BJ12" s="358"/>
      <c r="BK12" s="358"/>
      <c r="BL12" s="358"/>
      <c r="BM12" s="358"/>
      <c r="BN12" s="358"/>
      <c r="BO12" s="358"/>
      <c r="BP12" s="358"/>
      <c r="BQ12" s="358"/>
      <c r="BR12" s="358"/>
      <c r="BS12" s="358"/>
      <c r="BT12" s="358"/>
      <c r="BU12" s="358"/>
      <c r="BV12" s="358"/>
      <c r="BW12" s="358"/>
      <c r="BX12" s="358"/>
      <c r="BY12" s="358"/>
      <c r="BZ12" s="358"/>
      <c r="CA12" s="358"/>
      <c r="CB12" s="358"/>
      <c r="CC12" s="358"/>
      <c r="CD12" s="358"/>
      <c r="CE12" s="358"/>
      <c r="CF12" s="358"/>
      <c r="CG12" s="358"/>
      <c r="CH12" s="358"/>
      <c r="CI12" s="358"/>
      <c r="CJ12" s="32"/>
      <c r="CK12" s="32"/>
      <c r="CL12" s="32"/>
      <c r="CM12" s="32"/>
      <c r="CN12" s="33"/>
      <c r="CO12" s="32"/>
      <c r="CP12" s="33"/>
      <c r="CQ12" s="32"/>
      <c r="CR12" s="32"/>
      <c r="CS12" s="32"/>
      <c r="CT12" s="32"/>
      <c r="CU12" s="33"/>
      <c r="CV12" s="32"/>
      <c r="CW12" s="33"/>
      <c r="CX12" s="32"/>
      <c r="CY12" s="32"/>
      <c r="CZ12" s="32"/>
      <c r="DA12" s="32"/>
      <c r="DB12" s="33"/>
      <c r="DC12" s="32"/>
      <c r="DD12" s="33"/>
      <c r="DE12" s="32"/>
      <c r="DF12" s="32"/>
      <c r="DG12" s="32"/>
      <c r="DH12" s="32"/>
      <c r="DI12" s="33"/>
      <c r="DJ12" s="32"/>
      <c r="DK12" s="33"/>
      <c r="DL12" s="32"/>
      <c r="DM12" s="32"/>
      <c r="DN12" s="32"/>
      <c r="DO12" s="32"/>
      <c r="DP12" s="32"/>
      <c r="DQ12" s="32"/>
      <c r="DR12" s="32"/>
      <c r="DS12" s="32"/>
      <c r="DT12" s="32"/>
      <c r="DU12" s="32"/>
    </row>
    <row r="13" spans="1:125" ht="16.350000000000001" customHeight="1">
      <c r="A13" s="155"/>
      <c r="B13" s="156" t="s">
        <v>376</v>
      </c>
      <c r="C13" s="156" t="s">
        <v>375</v>
      </c>
      <c r="D13" s="157">
        <v>50117</v>
      </c>
      <c r="E13" s="157">
        <v>50744</v>
      </c>
      <c r="F13" s="157">
        <v>100861</v>
      </c>
      <c r="G13" s="157">
        <v>57306</v>
      </c>
      <c r="H13" s="157">
        <v>158167</v>
      </c>
      <c r="I13" s="157">
        <v>60328.771999999997</v>
      </c>
      <c r="J13" s="157">
        <v>218495.772</v>
      </c>
      <c r="K13" s="157">
        <v>59476</v>
      </c>
      <c r="L13" s="157">
        <v>65178</v>
      </c>
      <c r="M13" s="157">
        <v>124655</v>
      </c>
      <c r="N13" s="157">
        <v>67612</v>
      </c>
      <c r="O13" s="157">
        <v>192267</v>
      </c>
      <c r="P13" s="157">
        <v>69295</v>
      </c>
      <c r="Q13" s="157">
        <v>261561</v>
      </c>
      <c r="R13" s="157">
        <v>74906</v>
      </c>
      <c r="S13" s="157">
        <v>81242</v>
      </c>
      <c r="T13" s="157">
        <v>156148</v>
      </c>
      <c r="U13" s="157">
        <v>79558</v>
      </c>
      <c r="V13" s="157">
        <v>79558</v>
      </c>
      <c r="W13" s="157">
        <v>85337</v>
      </c>
      <c r="X13" s="157">
        <v>277889</v>
      </c>
      <c r="Y13" s="157">
        <v>85866</v>
      </c>
      <c r="Z13" s="157">
        <v>94901</v>
      </c>
      <c r="AA13" s="157">
        <v>180767</v>
      </c>
      <c r="AB13" s="157">
        <v>94901</v>
      </c>
      <c r="AC13" s="157">
        <v>208509</v>
      </c>
      <c r="AD13" s="157">
        <v>104558</v>
      </c>
      <c r="AE13" s="157">
        <v>379567</v>
      </c>
      <c r="AF13" s="157">
        <v>103936</v>
      </c>
      <c r="AG13" s="157">
        <v>108956</v>
      </c>
      <c r="AH13" s="157">
        <v>212892</v>
      </c>
      <c r="AI13" s="157">
        <v>109455.3</v>
      </c>
      <c r="AJ13" s="157">
        <v>322347.3</v>
      </c>
      <c r="AK13" s="157">
        <v>117392.99999999999</v>
      </c>
      <c r="AL13" s="157">
        <v>439740.9</v>
      </c>
      <c r="AM13" s="157">
        <v>120065.5</v>
      </c>
      <c r="AN13" s="157">
        <v>140463</v>
      </c>
      <c r="AO13" s="157">
        <v>260528.50000000003</v>
      </c>
      <c r="AP13" s="157">
        <v>150970</v>
      </c>
      <c r="AQ13" s="157">
        <v>411498.5</v>
      </c>
      <c r="AR13" s="157">
        <v>139936.37</v>
      </c>
      <c r="AS13" s="157">
        <v>551434.87</v>
      </c>
      <c r="AT13" s="157">
        <v>151460.1</v>
      </c>
      <c r="AU13" s="157">
        <v>168541</v>
      </c>
      <c r="AV13" s="157">
        <v>320001.09999999998</v>
      </c>
      <c r="AW13" s="157">
        <v>161547.37578</v>
      </c>
      <c r="AX13" s="157">
        <v>481548.47577999998</v>
      </c>
      <c r="AY13" s="157">
        <v>167626</v>
      </c>
      <c r="AZ13" s="157">
        <v>649173.38789999997</v>
      </c>
      <c r="BA13" s="157">
        <v>160379</v>
      </c>
      <c r="BB13" s="157">
        <v>172594</v>
      </c>
      <c r="BC13" s="157">
        <v>332973</v>
      </c>
      <c r="BD13" s="157">
        <v>175005</v>
      </c>
      <c r="BE13" s="157">
        <v>507978</v>
      </c>
      <c r="BF13" s="157">
        <v>183392</v>
      </c>
      <c r="BG13" s="157">
        <v>691367</v>
      </c>
      <c r="BH13" s="157">
        <v>174209</v>
      </c>
      <c r="BI13" s="157">
        <v>195348</v>
      </c>
      <c r="BJ13" s="157">
        <v>369557</v>
      </c>
      <c r="BK13" s="157">
        <v>228063.46583</v>
      </c>
      <c r="BL13" s="157">
        <v>597620.46583</v>
      </c>
      <c r="BM13" s="157">
        <v>224578.82906000002</v>
      </c>
      <c r="BN13" s="157">
        <v>822199.29489000002</v>
      </c>
      <c r="BO13" s="157">
        <v>222683</v>
      </c>
      <c r="BP13" s="157">
        <v>232840</v>
      </c>
      <c r="BQ13" s="157">
        <v>455523</v>
      </c>
      <c r="BR13" s="157">
        <v>224966.28662</v>
      </c>
      <c r="BS13" s="157">
        <v>680489.28662000003</v>
      </c>
      <c r="BT13" s="157">
        <v>233499.9290900004</v>
      </c>
      <c r="BU13" s="157">
        <v>913989.21571000037</v>
      </c>
      <c r="BV13" s="157">
        <v>236178.60819</v>
      </c>
      <c r="BW13" s="157">
        <v>266874.77643000003</v>
      </c>
      <c r="BX13" s="157">
        <v>503053.38462000003</v>
      </c>
      <c r="BY13" s="157">
        <v>286666.40789000003</v>
      </c>
      <c r="BZ13" s="157">
        <v>789719.79251000006</v>
      </c>
      <c r="CA13" s="157">
        <v>300808.04796742985</v>
      </c>
      <c r="CB13" s="157">
        <v>1090527.8404774298</v>
      </c>
      <c r="CC13" s="157">
        <v>308147.23</v>
      </c>
      <c r="CD13" s="157">
        <v>262068.17787000001</v>
      </c>
      <c r="CE13" s="157">
        <v>570215.40787</v>
      </c>
      <c r="CF13" s="157">
        <v>132473.62887000002</v>
      </c>
      <c r="CG13" s="157">
        <v>702689.03674000001</v>
      </c>
      <c r="CH13" s="157">
        <v>151658.26866999999</v>
      </c>
      <c r="CI13" s="157">
        <v>151658.26866999999</v>
      </c>
      <c r="CJ13" s="157">
        <v>213079</v>
      </c>
      <c r="CK13" s="157">
        <v>228013</v>
      </c>
      <c r="CL13" s="157">
        <v>441092</v>
      </c>
      <c r="CM13" s="157">
        <v>250925</v>
      </c>
      <c r="CN13" s="157">
        <v>692017</v>
      </c>
      <c r="CO13" s="157">
        <v>301615</v>
      </c>
      <c r="CP13" s="157">
        <v>993632</v>
      </c>
      <c r="CQ13" s="157">
        <v>366743</v>
      </c>
      <c r="CR13" s="157">
        <v>423189</v>
      </c>
      <c r="CS13" s="157">
        <v>789932</v>
      </c>
      <c r="CT13" s="157">
        <v>367887</v>
      </c>
      <c r="CU13" s="157">
        <v>1157819</v>
      </c>
      <c r="CV13" s="157">
        <v>427475</v>
      </c>
      <c r="CW13" s="157">
        <v>1585294</v>
      </c>
      <c r="CX13" s="157">
        <v>468937</v>
      </c>
      <c r="CY13" s="157">
        <v>488392</v>
      </c>
      <c r="CZ13" s="157">
        <v>957329</v>
      </c>
      <c r="DA13" s="157">
        <v>434627</v>
      </c>
      <c r="DB13" s="157">
        <v>1391956</v>
      </c>
      <c r="DC13" s="157">
        <v>443867</v>
      </c>
      <c r="DD13" s="157">
        <v>1835823</v>
      </c>
      <c r="DE13" s="157">
        <v>429294</v>
      </c>
      <c r="DF13" s="157">
        <v>426021</v>
      </c>
      <c r="DG13" s="157">
        <v>855315</v>
      </c>
      <c r="DH13" s="157">
        <v>426809</v>
      </c>
      <c r="DI13" s="157">
        <v>1282124</v>
      </c>
      <c r="DJ13" s="157">
        <v>444070</v>
      </c>
      <c r="DK13" s="157">
        <v>1726194</v>
      </c>
      <c r="DL13" s="157">
        <v>503545</v>
      </c>
      <c r="DM13" s="157">
        <v>519512</v>
      </c>
      <c r="DN13" s="157">
        <v>1023057</v>
      </c>
      <c r="DO13" s="157">
        <v>490300.87766999996</v>
      </c>
      <c r="DP13" s="157">
        <v>1513357.8776699998</v>
      </c>
      <c r="DQ13" s="157">
        <v>495422</v>
      </c>
      <c r="DR13" s="157">
        <v>2008779.8776699998</v>
      </c>
      <c r="DS13" s="157">
        <f>DS15+DS17+DS19+DS20</f>
        <v>497506</v>
      </c>
      <c r="DT13" s="157">
        <v>509242</v>
      </c>
      <c r="DU13" s="157">
        <f>SUM(DS13:DT13)</f>
        <v>1006748</v>
      </c>
    </row>
    <row r="14" spans="1:125" ht="16.350000000000001" customHeight="1">
      <c r="A14" s="155"/>
      <c r="B14" s="160" t="s">
        <v>2374</v>
      </c>
      <c r="C14" s="160" t="s">
        <v>2375</v>
      </c>
      <c r="D14" s="165" t="s">
        <v>624</v>
      </c>
      <c r="E14" s="165" t="s">
        <v>624</v>
      </c>
      <c r="F14" s="165" t="s">
        <v>624</v>
      </c>
      <c r="G14" s="165" t="s">
        <v>624</v>
      </c>
      <c r="H14" s="165" t="s">
        <v>624</v>
      </c>
      <c r="I14" s="165" t="s">
        <v>624</v>
      </c>
      <c r="J14" s="165" t="s">
        <v>624</v>
      </c>
      <c r="K14" s="165" t="s">
        <v>624</v>
      </c>
      <c r="L14" s="165" t="s">
        <v>624</v>
      </c>
      <c r="M14" s="165" t="s">
        <v>624</v>
      </c>
      <c r="N14" s="165" t="s">
        <v>624</v>
      </c>
      <c r="O14" s="165" t="s">
        <v>624</v>
      </c>
      <c r="P14" s="165" t="s">
        <v>624</v>
      </c>
      <c r="Q14" s="165" t="s">
        <v>624</v>
      </c>
      <c r="R14" s="165" t="s">
        <v>624</v>
      </c>
      <c r="S14" s="165" t="s">
        <v>624</v>
      </c>
      <c r="T14" s="165" t="s">
        <v>624</v>
      </c>
      <c r="U14" s="165" t="s">
        <v>624</v>
      </c>
      <c r="V14" s="165" t="s">
        <v>624</v>
      </c>
      <c r="W14" s="165" t="s">
        <v>624</v>
      </c>
      <c r="X14" s="165" t="s">
        <v>624</v>
      </c>
      <c r="Y14" s="165" t="s">
        <v>624</v>
      </c>
      <c r="Z14" s="165" t="s">
        <v>624</v>
      </c>
      <c r="AA14" s="165" t="s">
        <v>624</v>
      </c>
      <c r="AB14" s="165" t="s">
        <v>624</v>
      </c>
      <c r="AC14" s="165" t="s">
        <v>624</v>
      </c>
      <c r="AD14" s="165" t="s">
        <v>624</v>
      </c>
      <c r="AE14" s="165" t="s">
        <v>624</v>
      </c>
      <c r="AF14" s="165" t="s">
        <v>624</v>
      </c>
      <c r="AG14" s="165" t="s">
        <v>624</v>
      </c>
      <c r="AH14" s="165" t="s">
        <v>624</v>
      </c>
      <c r="AI14" s="165" t="s">
        <v>624</v>
      </c>
      <c r="AJ14" s="165" t="s">
        <v>624</v>
      </c>
      <c r="AK14" s="165" t="s">
        <v>624</v>
      </c>
      <c r="AL14" s="165" t="s">
        <v>624</v>
      </c>
      <c r="AM14" s="165" t="s">
        <v>624</v>
      </c>
      <c r="AN14" s="165" t="s">
        <v>624</v>
      </c>
      <c r="AO14" s="165" t="s">
        <v>624</v>
      </c>
      <c r="AP14" s="165" t="s">
        <v>624</v>
      </c>
      <c r="AQ14" s="165" t="s">
        <v>624</v>
      </c>
      <c r="AR14" s="165" t="s">
        <v>624</v>
      </c>
      <c r="AS14" s="165" t="s">
        <v>624</v>
      </c>
      <c r="AT14" s="165" t="s">
        <v>624</v>
      </c>
      <c r="AU14" s="165" t="s">
        <v>624</v>
      </c>
      <c r="AV14" s="165" t="s">
        <v>624</v>
      </c>
      <c r="AW14" s="165" t="s">
        <v>624</v>
      </c>
      <c r="AX14" s="165" t="s">
        <v>624</v>
      </c>
      <c r="AY14" s="165" t="s">
        <v>624</v>
      </c>
      <c r="AZ14" s="165" t="s">
        <v>624</v>
      </c>
      <c r="BA14" s="165" t="s">
        <v>624</v>
      </c>
      <c r="BB14" s="165" t="s">
        <v>624</v>
      </c>
      <c r="BC14" s="165" t="s">
        <v>624</v>
      </c>
      <c r="BD14" s="165" t="s">
        <v>624</v>
      </c>
      <c r="BE14" s="165" t="s">
        <v>624</v>
      </c>
      <c r="BF14" s="165" t="s">
        <v>624</v>
      </c>
      <c r="BG14" s="165" t="s">
        <v>624</v>
      </c>
      <c r="BH14" s="165" t="s">
        <v>624</v>
      </c>
      <c r="BI14" s="165" t="s">
        <v>624</v>
      </c>
      <c r="BJ14" s="165" t="s">
        <v>624</v>
      </c>
      <c r="BK14" s="165" t="s">
        <v>624</v>
      </c>
      <c r="BL14" s="165" t="s">
        <v>624</v>
      </c>
      <c r="BM14" s="165" t="s">
        <v>624</v>
      </c>
      <c r="BN14" s="165" t="s">
        <v>624</v>
      </c>
      <c r="BO14" s="165" t="s">
        <v>624</v>
      </c>
      <c r="BP14" s="165" t="s">
        <v>624</v>
      </c>
      <c r="BQ14" s="165" t="s">
        <v>624</v>
      </c>
      <c r="BR14" s="165" t="s">
        <v>624</v>
      </c>
      <c r="BS14" s="165" t="s">
        <v>624</v>
      </c>
      <c r="BT14" s="165" t="s">
        <v>624</v>
      </c>
      <c r="BU14" s="165" t="s">
        <v>624</v>
      </c>
      <c r="BV14" s="165" t="s">
        <v>624</v>
      </c>
      <c r="BW14" s="165" t="s">
        <v>624</v>
      </c>
      <c r="BX14" s="165" t="s">
        <v>624</v>
      </c>
      <c r="BY14" s="165" t="s">
        <v>624</v>
      </c>
      <c r="BZ14" s="165" t="s">
        <v>624</v>
      </c>
      <c r="CA14" s="165" t="s">
        <v>624</v>
      </c>
      <c r="CB14" s="165" t="s">
        <v>624</v>
      </c>
      <c r="CC14" s="165" t="s">
        <v>624</v>
      </c>
      <c r="CD14" s="165" t="s">
        <v>624</v>
      </c>
      <c r="CE14" s="165" t="s">
        <v>624</v>
      </c>
      <c r="CF14" s="165" t="s">
        <v>624</v>
      </c>
      <c r="CG14" s="165" t="s">
        <v>624</v>
      </c>
      <c r="CH14" s="165" t="s">
        <v>624</v>
      </c>
      <c r="CI14" s="165" t="s">
        <v>624</v>
      </c>
      <c r="CJ14" s="38">
        <f>CJ$13/AVERAGE(HLOOKUP(CI$5,'Receivables BACEN'!$6:$42,30,0),HLOOKUP(CJ$5,'Receivables BACEN'!$6:$42,30,0))</f>
        <v>6.4743612690800756E-2</v>
      </c>
      <c r="CK14" s="38">
        <f>CK$13/AVERAGE(HLOOKUP(CJ$5,'Receivables BACEN'!$6:$42,30,0),HLOOKUP(CK$5,'Receivables BACEN'!$6:$42,30,0))</f>
        <v>7.0541200733231946E-2</v>
      </c>
      <c r="CL14" s="38">
        <f>CL$13/AVERAGE(HLOOKUP(CI$5,'Receivables BACEN'!$6:$42,30,0),HLOOKUP(CJ$5,'Receivables BACEN'!$6:$42,30,0),HLOOKUP(CL$5,'Receivables BACEN'!$6:$42,30,0))</f>
        <v>0.13232082093163047</v>
      </c>
      <c r="CM14" s="38">
        <f>CM$13/AVERAGE(HLOOKUP(CL$5,'Receivables BACEN'!$6:$42,30,0),HLOOKUP(CM$5,'Receivables BACEN'!$6:$42,30,0))</f>
        <v>7.0328353685254599E-2</v>
      </c>
      <c r="CN14" s="38">
        <f>CN$13/AVERAGE(HLOOKUP(CI$5,'Receivables BACEN'!$6:$42,30,0),HLOOKUP(CJ$5,'Receivables BACEN'!$6:$42,30,0),HLOOKUP(CL$5,'Receivables BACEN'!$6:$42,30,0),HLOOKUP(CN$5,'Receivables BACEN'!$6:$42,30,0))</f>
        <v>0.20178285761881792</v>
      </c>
      <c r="CO14" s="38">
        <f>CO$13/AVERAGE(HLOOKUP(CN$5,'Receivables BACEN'!$6:$42,30,0),HLOOKUP(CO$5,'Receivables BACEN'!$6:$42,30,0))</f>
        <v>7.0725217091491988E-2</v>
      </c>
      <c r="CP14" s="38">
        <f>CP$13/AVERAGE(HLOOKUP(CI$5,'Receivables BACEN'!$6:$42,30,0),HLOOKUP(CJ$5,'Receivables BACEN'!$6:$42,30,0),HLOOKUP(CL$5,'Receivables BACEN'!$6:$42,30,0),HLOOKUP(CN$5,'Receivables BACEN'!$6:$42,30,0),HLOOKUP(CP$5,'Receivables BACEN'!$6:$42,30,0))</f>
        <v>0.26811847375141196</v>
      </c>
      <c r="CQ14" s="38">
        <f>CQ$13/AVERAGE(HLOOKUP(CP$5,'Estimated Credit Losses IFRS'!6:16,10,0),HLOOKUP(CQ$5,'Estimated Credit Losses IFRS'!6:16,10,0))</f>
        <v>7.5250519248752604E-2</v>
      </c>
      <c r="CR14" s="38">
        <f>CR$13/AVERAGE(HLOOKUP(CQ$5,'Estimated Credit Losses IFRS'!6:16,10,0),HLOOKUP(CR$5,'Estimated Credit Losses IFRS'!6:16,10,0))</f>
        <v>8.1105718935505763E-2</v>
      </c>
      <c r="CS14" s="38">
        <f>CS$13/AVERAGE(HLOOKUP(CP$5,'Estimated Credit Losses IFRS'!6:16,10,0),HLOOKUP(CQ$5,'Estimated Credit Losses IFRS'!6:16,10,0),HLOOKUP(CS$5,'Estimated Credit Losses IFRS'!6:16,10,0))</f>
        <v>0.1554254343940972</v>
      </c>
      <c r="CT14" s="38">
        <f>CT$13/AVERAGE(HLOOKUP(CS$5,'Estimated Credit Losses IFRS'!6:16,10,0),HLOOKUP(CT$5,'Estimated Credit Losses IFRS'!6:16,10,0))</f>
        <v>6.5981420883615527E-2</v>
      </c>
      <c r="CU14" s="38">
        <f>CU$13/AVERAGE(HLOOKUP(CP$5,'Estimated Credit Losses IFRS'!6:16,10,0),HLOOKUP(CQ$5,'Estimated Credit Losses IFRS'!6:16,10,0),HLOOKUP(CS$5,'Estimated Credit Losses IFRS'!6:16,10,0),HLOOKUP(CU$5,'Estimated Credit Losses IFRS'!6:16,10,0))</f>
        <v>0.22160821705496833</v>
      </c>
      <c r="CV14" s="38">
        <f>CV$13/AVERAGE(HLOOKUP(CU$5,'Estimated Credit Losses IFRS'!6:16,10,0),HLOOKUP(CV$5,'Estimated Credit Losses IFRS'!6:16,10,0))</f>
        <v>7.112815772372591E-2</v>
      </c>
      <c r="CW14" s="38">
        <f>CW$13/AVERAGE(HLOOKUP(CP$5,'Estimated Credit Losses IFRS'!6:16,10,0),HLOOKUP(CQ$5,'Estimated Credit Losses IFRS'!6:16,10,0),HLOOKUP(CS$5,'Estimated Credit Losses IFRS'!6:16,10,0),HLOOKUP(CU$5,'Estimated Credit Losses IFRS'!6:16,10,0),HLOOKUP(CW$5,'Estimated Credit Losses IFRS'!6:16,10,0))</f>
        <v>0.29069817336040876</v>
      </c>
      <c r="CX14" s="38">
        <f>CX$13/AVERAGE(HLOOKUP(CW$5,'Estimated Credit Losses IFRS'!6:16,10,0),HLOOKUP(CX$5,'Estimated Credit Losses IFRS'!6:16,10,0))</f>
        <v>7.4768201387861929E-2</v>
      </c>
      <c r="CY14" s="38">
        <f>CY$13/AVERAGE(HLOOKUP(CX$5,'Estimated Credit Losses IFRS'!6:16,10,0),HLOOKUP(CY$5,'Estimated Credit Losses IFRS'!6:16,10,0))</f>
        <v>7.8873065658461597E-2</v>
      </c>
      <c r="CZ14" s="38">
        <f>CZ$13/AVERAGE(HLOOKUP(CW$5,'Estimated Credit Losses IFRS'!6:16,10,0),HLOOKUP(CX$5,'Estimated Credit Losses IFRS'!6:16,10,0),HLOOKUP(CZ$5,'Estimated Credit Losses IFRS'!6:16,10,0))</f>
        <v>0.1531499493035112</v>
      </c>
      <c r="DA14" s="38">
        <f>DA$13/AVERAGE(HLOOKUP(CZ$5,'Estimated Credit Losses IFRS'!6:16,10,0),HLOOKUP(DA$5,'Estimated Credit Losses IFRS'!6:16,10,0))</f>
        <v>7.2256787929776287E-2</v>
      </c>
      <c r="DB14" s="38">
        <f>DB$13/AVERAGE(HLOOKUP(CW$5,'Estimated Credit Losses IFRS'!6:16,10,0),HLOOKUP(CX$5,'Estimated Credit Losses IFRS'!6:16,10,0),HLOOKUP(CZ$5,'Estimated Credit Losses IFRS'!6:16,10,0),HLOOKUP(DB$5,'Estimated Credit Losses IFRS'!6:16,10,0))</f>
        <v>0.22657541834558742</v>
      </c>
      <c r="DC14" s="38">
        <f>DC$13/AVERAGE(HLOOKUP(DB$5,'Estimated Credit Losses IFRS'!6:16,10,0),HLOOKUP(DC$5,'Estimated Credit Losses IFRS'!6:16,10,0))</f>
        <v>7.3929150987408127E-2</v>
      </c>
      <c r="DD14" s="38">
        <f>DD$13/AVERAGE(HLOOKUP(CW$5,'Estimated Credit Losses IFRS'!6:16,10,0),HLOOKUP(CX$5,'Estimated Credit Losses IFRS'!6:16,10,0),HLOOKUP(CZ$5,'Estimated Credit Losses IFRS'!6:16,10,0),HLOOKUP(DB$5,'Estimated Credit Losses IFRS'!6:16,10,0),HLOOKUP(DD$5,'Estimated Credit Losses IFRS'!6:16,10,0))</f>
        <v>0.2984041640171804</v>
      </c>
      <c r="DE14" s="38">
        <f>DE$13/AVERAGE(HLOOKUP(DD$5,'Estimated Credit Losses IFRS'!6:16,10,0),HLOOKUP(DE$5,'Estimated Credit Losses IFRS'!6:16,10,0))</f>
        <v>7.192788010847137E-2</v>
      </c>
      <c r="DF14" s="38">
        <f>DF$13/AVERAGE(HLOOKUP(DE$5,'Estimated Credit Losses IFRS'!6:16,10,0),HLOOKUP(DF$5,'Estimated Credit Losses IFRS'!6:16,10,0))</f>
        <v>7.376274263224783E-2</v>
      </c>
      <c r="DG14" s="38">
        <f>DG$13/AVERAGE(HLOOKUP(DD$5,'Estimated Credit Losses IFRS'!6:16,10,0),HLOOKUP(DE$5,'Estimated Credit Losses IFRS'!6:16,10,0),HLOOKUP(DG$5,'Estimated Credit Losses IFRS'!6:16,10,0))</f>
        <v>0.14465829036493888</v>
      </c>
      <c r="DH14" s="38">
        <f>DH$13/AVERAGE(HLOOKUP(DG$5,'Estimated Credit Losses IFRS'!6:16,10,0),HLOOKUP(DH$5,'Estimated Credit Losses IFRS'!6:16,10,0))</f>
        <v>7.3997748014742626E-2</v>
      </c>
      <c r="DI14" s="38">
        <f>DI$13/AVERAGE(HLOOKUP(DD$5,'Estimated Credit Losses IFRS'!6:16,10,0),HLOOKUP(DE$5,'Estimated Credit Losses IFRS'!6:16,10,0),HLOOKUP(DG$5,'Estimated Credit Losses IFRS'!6:16,10,0),HLOOKUP(DI$5,'Estimated Credit Losses IFRS'!6:16,10,0))</f>
        <v>0.21848937068297275</v>
      </c>
      <c r="DJ14" s="38">
        <f>DJ$13/AVERAGE(HLOOKUP(DI$5,'Estimated Credit Losses IFRS'!6:16,10,0),HLOOKUP(DJ$5,'Estimated Credit Losses IFRS'!6:16,10,0))</f>
        <v>7.4528810948911603E-2</v>
      </c>
      <c r="DK14" s="38">
        <f>DK$13/AVERAGE(HLOOKUP(DD$5,'Estimated Credit Losses IFRS'!6:16,10,0),HLOOKUP(DE$5,'Estimated Credit Losses IFRS'!6:16,10,0),HLOOKUP(DG$5,'Estimated Credit Losses IFRS'!6:16,10,0),HLOOKUP(DI$5,'Estimated Credit Losses IFRS'!6:16,10,0),HLOOKUP(DK$5,'Estimated Credit Losses IFRS'!6:16,10,0))</f>
        <v>0.29104889675098256</v>
      </c>
      <c r="DL14" s="64">
        <f>DL$13/AVERAGE(HLOOKUP(DK$5,'Estimated Credit Losses IFRS'!6:16,10,0),HLOOKUP(DL$5,'Estimated Credit Losses IFRS'!6:16,10,0))</f>
        <v>8.1918449933759352E-2</v>
      </c>
      <c r="DM14" s="64">
        <f>DM$13/AVERAGE(HLOOKUP(DL$5,'Estimated Credit Losses IFRS'!6:16,10,0),HLOOKUP(DM$5,'Estimated Credit Losses IFRS'!6:16,10,0))</f>
        <v>8.2310868272261542E-2</v>
      </c>
      <c r="DN14" s="64">
        <f>DN$13/AVERAGE(HLOOKUP(DK$5,'Estimated Credit Losses IFRS'!6:16,10,0),HLOOKUP(DL$5,'Estimated Credit Losses IFRS'!6:16,10,0),HLOOKUP(DN$5,'Estimated Credit Losses IFRS'!6:16,10,0))</f>
        <v>0.16320726778867214</v>
      </c>
      <c r="DO14" s="38">
        <f>DO$13/AVERAGE(HLOOKUP(DN$5,'Estimated Credit Losses IFRS'!6:16,10,0),HLOOKUP(DO$5,'Estimated Credit Losses IFRS'!6:16,10,0))</f>
        <v>7.5973102894337952E-2</v>
      </c>
      <c r="DP14" s="38">
        <f>DP$13/AVERAGE(HLOOKUP(DK$5,'Estimated Credit Losses IFRS'!6:16,10,0),HLOOKUP(DL$5,'Estimated Credit Losses IFRS'!6:16,10,0),HLOOKUP(DN$5,'Estimated Credit Losses IFRS'!6:16,10,0),HLOOKUP(DP$5,'Estimated Credit Losses IFRS'!6:16,10,0))</f>
        <v>0.24020567642964569</v>
      </c>
      <c r="DQ14" s="38">
        <f>DQ$13/AVERAGE(HLOOKUP(DP$5,'Estimated Credit Losses IFRS'!6:16,10,0),HLOOKUP(DQ$5,'Estimated Credit Losses IFRS'!6:16,10,0))</f>
        <v>7.4630133994575978E-2</v>
      </c>
      <c r="DR14" s="38">
        <f>DR$13/AVERAGE(HLOOKUP(DM$5,'Estimated Credit Losses IFRS'!6:16,10,0),HLOOKUP(DN$5,'Estimated Credit Losses IFRS'!6:16,10,0),HLOOKUP(DP$5,'Estimated Credit Losses IFRS'!6:16,10,0),HLOOKUP(DR$5,'Estimated Credit Losses IFRS'!6:16,10,0))</f>
        <v>0.30551994913436298</v>
      </c>
      <c r="DS14" s="64">
        <f>DS$13/AVERAGE(HLOOKUP(DR$5,'Estimated Credit Losses IFRS'!6:16,10,0),HLOOKUP(DS$5,'Estimated Credit Losses IFRS'!6:16,10,0))</f>
        <v>7.3880782859783473E-2</v>
      </c>
      <c r="DT14" s="64">
        <f>DT$13/AVERAGE(HLOOKUP(DS$5,'Estimated Credit Losses IFRS'!6:16,10,0),HLOOKUP(DT$5,'Estimated Credit Losses IFRS'!6:16,10,0))</f>
        <v>7.6941753106980829E-2</v>
      </c>
      <c r="DU14" s="64">
        <f>DU$13/AVERAGE(HLOOKUP(DR$5,'Estimated Credit Losses IFRS'!6:16,10,0),HLOOKUP(DS$5,'Estimated Credit Losses IFRS'!6:16,10,0),HLOOKUP(DU$5,'Estimated Credit Losses IFRS'!6:16,10,0))</f>
        <v>0.15012548894897668</v>
      </c>
    </row>
    <row r="15" spans="1:125" ht="16.350000000000001" customHeight="1">
      <c r="A15" s="155" t="s">
        <v>573</v>
      </c>
      <c r="B15" s="158" t="s">
        <v>377</v>
      </c>
      <c r="C15" s="158" t="s">
        <v>378</v>
      </c>
      <c r="D15" s="80">
        <v>35520</v>
      </c>
      <c r="E15" s="80">
        <v>36139</v>
      </c>
      <c r="F15" s="80">
        <v>71659</v>
      </c>
      <c r="G15" s="80">
        <v>37140</v>
      </c>
      <c r="H15" s="80">
        <v>108799</v>
      </c>
      <c r="I15" s="80">
        <v>38433.771999999997</v>
      </c>
      <c r="J15" s="80">
        <v>147232.772</v>
      </c>
      <c r="K15" s="80">
        <v>39714</v>
      </c>
      <c r="L15" s="80">
        <v>46602</v>
      </c>
      <c r="M15" s="80">
        <v>86316</v>
      </c>
      <c r="N15" s="80">
        <v>47313</v>
      </c>
      <c r="O15" s="80">
        <v>133629</v>
      </c>
      <c r="P15" s="80">
        <v>47389</v>
      </c>
      <c r="Q15" s="80">
        <v>181019</v>
      </c>
      <c r="R15" s="80">
        <v>53247</v>
      </c>
      <c r="S15" s="80">
        <v>59749</v>
      </c>
      <c r="T15" s="159">
        <f>SUM(S15,R15)</f>
        <v>112996</v>
      </c>
      <c r="U15" s="80">
        <v>56935</v>
      </c>
      <c r="V15" s="159">
        <v>56935</v>
      </c>
      <c r="W15" s="159">
        <v>60189</v>
      </c>
      <c r="X15" s="159">
        <v>230118</v>
      </c>
      <c r="Y15" s="159">
        <v>60657</v>
      </c>
      <c r="Z15" s="159">
        <v>67159</v>
      </c>
      <c r="AA15" s="159">
        <v>127816</v>
      </c>
      <c r="AB15" s="159">
        <v>67159</v>
      </c>
      <c r="AC15" s="159">
        <v>127816</v>
      </c>
      <c r="AD15" s="159">
        <v>68577</v>
      </c>
      <c r="AE15" s="159">
        <v>262893</v>
      </c>
      <c r="AF15" s="159">
        <v>72971</v>
      </c>
      <c r="AG15" s="159">
        <v>78070</v>
      </c>
      <c r="AH15" s="159">
        <v>151041</v>
      </c>
      <c r="AI15" s="159">
        <v>74287.5</v>
      </c>
      <c r="AJ15" s="159">
        <v>225328.5</v>
      </c>
      <c r="AK15" s="159">
        <v>75161.899999999994</v>
      </c>
      <c r="AL15" s="159">
        <v>300490.7</v>
      </c>
      <c r="AM15" s="159">
        <v>72087.199999999997</v>
      </c>
      <c r="AN15" s="159">
        <v>86368</v>
      </c>
      <c r="AO15" s="159">
        <v>158455.20000000001</v>
      </c>
      <c r="AP15" s="159">
        <v>89171.799999999988</v>
      </c>
      <c r="AQ15" s="159">
        <v>247627</v>
      </c>
      <c r="AR15" s="159">
        <v>78533.97</v>
      </c>
      <c r="AS15" s="159">
        <v>326160.96999999997</v>
      </c>
      <c r="AT15" s="159">
        <v>81456</v>
      </c>
      <c r="AU15" s="159">
        <v>91699</v>
      </c>
      <c r="AV15" s="159">
        <f>AT15+AU15</f>
        <v>173155</v>
      </c>
      <c r="AW15" s="159">
        <v>81566.549880000006</v>
      </c>
      <c r="AX15" s="159">
        <f>AV15+AW15</f>
        <v>254721.54988000001</v>
      </c>
      <c r="AY15" s="159">
        <v>82411</v>
      </c>
      <c r="AZ15" s="159">
        <f>AX15+AY15</f>
        <v>337132.54988000001</v>
      </c>
      <c r="BA15" s="159">
        <v>74809</v>
      </c>
      <c r="BB15" s="159">
        <v>83309</v>
      </c>
      <c r="BC15" s="159">
        <f>BA15+BB15</f>
        <v>158118</v>
      </c>
      <c r="BD15" s="159">
        <v>82502</v>
      </c>
      <c r="BE15" s="159">
        <f>BC15+BD15</f>
        <v>240620</v>
      </c>
      <c r="BF15" s="159">
        <v>88364</v>
      </c>
      <c r="BG15" s="159">
        <v>328981</v>
      </c>
      <c r="BH15" s="159">
        <v>83675</v>
      </c>
      <c r="BI15" s="159">
        <v>88836</v>
      </c>
      <c r="BJ15" s="159">
        <f>BH15+BI15</f>
        <v>172511</v>
      </c>
      <c r="BK15" s="159">
        <v>81784</v>
      </c>
      <c r="BL15" s="159">
        <f>BJ15+BK15</f>
        <v>254295</v>
      </c>
      <c r="BM15" s="80">
        <v>87042.316049999892</v>
      </c>
      <c r="BN15" s="159">
        <f>BL15+BM15</f>
        <v>341337.31604999991</v>
      </c>
      <c r="BO15" s="159">
        <v>73103</v>
      </c>
      <c r="BP15" s="159">
        <v>79071</v>
      </c>
      <c r="BQ15" s="159">
        <v>152175</v>
      </c>
      <c r="BR15" s="159">
        <v>72816.525900000008</v>
      </c>
      <c r="BS15" s="159">
        <f t="shared" ref="BS15:BS27" si="20">BR15+BQ15</f>
        <v>224991.52590000001</v>
      </c>
      <c r="BT15" s="159">
        <v>74148.829770000404</v>
      </c>
      <c r="BU15" s="159">
        <f t="shared" ref="BU15:BU27" si="21">BS15+BT15</f>
        <v>299140.35567000043</v>
      </c>
      <c r="BV15" s="159">
        <f>73444.75913+18030.75972</f>
        <v>91475.518850000008</v>
      </c>
      <c r="BW15" s="159">
        <f>85586.08353+19472.62123</f>
        <v>105058.70476000001</v>
      </c>
      <c r="BX15" s="80">
        <f>BV15+BW15</f>
        <v>196534.22361000002</v>
      </c>
      <c r="BY15" s="80">
        <f>88963.48393+22319.46695</f>
        <v>111282.95088</v>
      </c>
      <c r="BZ15" s="159">
        <f>BY15+BX15</f>
        <v>307817.17449</v>
      </c>
      <c r="CA15" s="80">
        <f>80925.85614+26003.01149</f>
        <v>106928.86763000001</v>
      </c>
      <c r="CB15" s="159">
        <f>CA15+BZ15</f>
        <v>414746.04212</v>
      </c>
      <c r="CC15" s="80">
        <v>113253.93</v>
      </c>
      <c r="CD15" s="80">
        <v>85948.452720000001</v>
      </c>
      <c r="CE15" s="80">
        <v>199202.38271999999</v>
      </c>
      <c r="CF15" s="80">
        <v>18027.157809999997</v>
      </c>
      <c r="CG15" s="80">
        <v>217229.54053</v>
      </c>
      <c r="CH15" s="80">
        <v>29633.424369999997</v>
      </c>
      <c r="CI15" s="159">
        <v>29633.424369999997</v>
      </c>
      <c r="CJ15" s="80">
        <v>56506</v>
      </c>
      <c r="CK15" s="80">
        <v>42533</v>
      </c>
      <c r="CL15" s="80">
        <f>CJ15+CK15</f>
        <v>99039</v>
      </c>
      <c r="CM15" s="80">
        <v>31146</v>
      </c>
      <c r="CN15" s="80">
        <f>CL15+CM15</f>
        <v>130185</v>
      </c>
      <c r="CO15" s="80">
        <v>41836</v>
      </c>
      <c r="CP15" s="80">
        <f>CN15+CO15</f>
        <v>172021</v>
      </c>
      <c r="CQ15" s="80">
        <v>50391</v>
      </c>
      <c r="CR15" s="80">
        <v>57095</v>
      </c>
      <c r="CS15" s="80">
        <f>CQ15+CR15</f>
        <v>107486</v>
      </c>
      <c r="CT15" s="80">
        <v>8189</v>
      </c>
      <c r="CU15" s="80">
        <f>CS15+CT15</f>
        <v>115675</v>
      </c>
      <c r="CV15" s="80">
        <v>13912</v>
      </c>
      <c r="CW15" s="80">
        <f>CU15+CV15</f>
        <v>129587</v>
      </c>
      <c r="CX15" s="80">
        <v>60108</v>
      </c>
      <c r="CY15" s="80">
        <v>43162</v>
      </c>
      <c r="CZ15" s="80">
        <f>CX15+CY15</f>
        <v>103270</v>
      </c>
      <c r="DA15" s="80">
        <v>31217</v>
      </c>
      <c r="DB15" s="80">
        <f t="shared" ref="DB15:DD15" si="22">CZ15+DA15</f>
        <v>134487</v>
      </c>
      <c r="DC15" s="80">
        <v>15473</v>
      </c>
      <c r="DD15" s="80">
        <f t="shared" si="22"/>
        <v>149960</v>
      </c>
      <c r="DE15" s="80">
        <v>23453</v>
      </c>
      <c r="DF15" s="80">
        <v>19735</v>
      </c>
      <c r="DG15" s="80">
        <f>DE15+DF15</f>
        <v>43188</v>
      </c>
      <c r="DH15" s="80">
        <f>ROUND(22731.10511,0)</f>
        <v>22731</v>
      </c>
      <c r="DI15" s="80">
        <f>DG15+DH15</f>
        <v>65919</v>
      </c>
      <c r="DJ15" s="80">
        <v>23151</v>
      </c>
      <c r="DK15" s="80">
        <f>DI15+DJ15</f>
        <v>89070</v>
      </c>
      <c r="DL15" s="80">
        <v>32103</v>
      </c>
      <c r="DM15" s="80">
        <v>38982</v>
      </c>
      <c r="DN15" s="80">
        <f>DL15+DM15</f>
        <v>71085</v>
      </c>
      <c r="DO15" s="80">
        <v>32990</v>
      </c>
      <c r="DP15" s="80">
        <f>DN15+DO15</f>
        <v>104075</v>
      </c>
      <c r="DQ15" s="80">
        <v>29332</v>
      </c>
      <c r="DR15" s="80">
        <f>DP15+DQ15</f>
        <v>133407</v>
      </c>
      <c r="DS15" s="80">
        <v>29414</v>
      </c>
      <c r="DT15" s="80">
        <v>28295</v>
      </c>
      <c r="DU15" s="80">
        <f>SUM(DS15:DT15)</f>
        <v>57709</v>
      </c>
    </row>
    <row r="16" spans="1:125" ht="16.350000000000001" customHeight="1">
      <c r="A16" s="155"/>
      <c r="B16" s="160" t="s">
        <v>1485</v>
      </c>
      <c r="C16" s="160" t="s">
        <v>1483</v>
      </c>
      <c r="D16" s="38">
        <f>D$15/AVERAGE(HLOOKUP(C$5,'Receivables BACEN'!$6:$42,9,0),HLOOKUP(D$5,'Receivables BACEN'!$6:$42,9,0))</f>
        <v>6.1022225352741793E-2</v>
      </c>
      <c r="E16" s="38">
        <f>E$15/AVERAGE(HLOOKUP(D$5,'Receivables BACEN'!$6:$42,9,0),HLOOKUP(E$5,'Receivables BACEN'!$6:$42,9,0))</f>
        <v>6.7171176931433874E-2</v>
      </c>
      <c r="F16" s="38">
        <f>F$15/AVERAGE(HLOOKUP(C$5,'Receivables BACEN'!$6:$42,9,0),HLOOKUP(D$5,'Receivables BACEN'!$6:$42,9,0),HLOOKUP(F$5,'Receivables BACEN'!$6:$42,9,0))</f>
        <v>0.12470763083520124</v>
      </c>
      <c r="G16" s="38">
        <f>G$15/AVERAGE(HLOOKUP(F$5,'Receivables BACEN'!$6:$42,9,0),HLOOKUP(G$5,'Receivables BACEN'!$6:$42,9,0))</f>
        <v>6.9309988644284309E-2</v>
      </c>
      <c r="H16" s="38">
        <f>H$15/AVERAGE(HLOOKUP(C$5,'Receivables BACEN'!$6:$42,9,0),HLOOKUP(D$5,'Receivables BACEN'!$6:$42,9,0),HLOOKUP(F$5,'Receivables BACEN'!$6:$42,9,0),HLOOKUP(H$5,'Receivables BACEN'!$6:$42,9,0))</f>
        <v>0.19464254007271434</v>
      </c>
      <c r="I16" s="38">
        <f>I$15/AVERAGE(HLOOKUP(H$5,'Receivables BACEN'!$6:$42,9,0),HLOOKUP(I$5,'Receivables BACEN'!$6:$42,9,0))</f>
        <v>6.4148767806921636E-2</v>
      </c>
      <c r="J16" s="38">
        <f>J$15/AVERAGE(HLOOKUP(C$5,'Receivables BACEN'!$6:$42,9,0),HLOOKUP(D$5,'Receivables BACEN'!$6:$42,9,0),HLOOKUP(F$5,'Receivables BACEN'!$6:$42,9,0),HLOOKUP(H$5,'Receivables BACEN'!$6:$42,9,0),HLOOKUP(J$5,'Receivables BACEN'!$6:$42,9,0))</f>
        <v>0.2519281767539846</v>
      </c>
      <c r="K16" s="38">
        <f>K$15/AVERAGE(HLOOKUP(J$5,'Receivables BACEN'!$6:$42,9,0),HLOOKUP(K$5,'Receivables BACEN'!$6:$42,9,0))</f>
        <v>6.3447533248287155E-2</v>
      </c>
      <c r="L16" s="38">
        <f>L$15/AVERAGE(HLOOKUP(K$5,'Receivables BACEN'!$6:$42,9,0),HLOOKUP(L$5,'Receivables BACEN'!$6:$42,9,0))</f>
        <v>7.9478669590992354E-2</v>
      </c>
      <c r="M16" s="38">
        <f>M$15/AVERAGE(HLOOKUP(J$5,'Receivables BACEN'!$6:$42,9,0),HLOOKUP(K$5,'Receivables BACEN'!$6:$42,9,0),HLOOKUP(M$5,'Receivables BACEN'!$6:$42,9,0))</f>
        <v>0.13929896494609553</v>
      </c>
      <c r="N16" s="38">
        <f>N$15/AVERAGE(HLOOKUP(M$5,'Receivables BACEN'!$6:$42,9,0),HLOOKUP(N$5,'Receivables BACEN'!$6:$42,9,0))</f>
        <v>8.0855776181614034E-2</v>
      </c>
      <c r="O16" s="38">
        <f>O$15/AVERAGE(HLOOKUP(J$5,'Receivables BACEN'!$6:$42,9,0),HLOOKUP(K$5,'Receivables BACEN'!$6:$42,9,0),HLOOKUP(M$5,'Receivables BACEN'!$6:$42,9,0),HLOOKUP(O$5,'Receivables BACEN'!$6:$42,9,0))</f>
        <v>0.22067604528987378</v>
      </c>
      <c r="P16" s="38">
        <f>P$15/AVERAGE(HLOOKUP(O$5,'Receivables BACEN'!$6:$42,9,0),HLOOKUP(P$5,'Receivables BACEN'!$6:$42,9,0))</f>
        <v>7.3479064459508914E-2</v>
      </c>
      <c r="Q16" s="38">
        <f>Q$15/AVERAGE(HLOOKUP(J$5,'Receivables BACEN'!$6:$42,9,0),HLOOKUP(K$5,'Receivables BACEN'!$6:$42,9,0),HLOOKUP(M$5,'Receivables BACEN'!$6:$42,9,0),HLOOKUP(O$5,'Receivables BACEN'!$6:$42,9,0),HLOOKUP(Q$5,'Receivables BACEN'!$6:$42,9,0))</f>
        <v>0.28744115617341331</v>
      </c>
      <c r="R16" s="38">
        <f>R$15/AVERAGE(HLOOKUP(Q$5,'Receivables BACEN'!$6:$42,9,0),HLOOKUP(R$5,'Receivables BACEN'!$6:$42,9,0))</f>
        <v>7.951775922009964E-2</v>
      </c>
      <c r="S16" s="38">
        <f>S$15/AVERAGE(HLOOKUP(R$5,'Receivables BACEN'!$6:$42,9,0),HLOOKUP(S$5,'Receivables BACEN'!$6:$42,9,0))</f>
        <v>9.4046704611277607E-2</v>
      </c>
      <c r="T16" s="38">
        <f>T$15/AVERAGE(HLOOKUP(Q$5,'Receivables BACEN'!$6:$42,9,0),HLOOKUP(R$5,'Receivables BACEN'!$6:$42,9,0),HLOOKUP(T$5,'Receivables BACEN'!$6:$42,9,0))</f>
        <v>0.16972737514081862</v>
      </c>
      <c r="U16" s="38">
        <f>U$15/AVERAGE(HLOOKUP(T$5,'Receivables BACEN'!$6:$42,9,0),HLOOKUP(U$5,'Receivables BACEN'!$6:$42,9,0))</f>
        <v>9.0804915762033228E-2</v>
      </c>
      <c r="V16" s="38">
        <f>V$15/AVERAGE(HLOOKUP(U$5,'Receivables BACEN'!$6:$42,9,0),HLOOKUP(V$5,'Receivables BACEN'!$6:$42,9,0))</f>
        <v>9.552772208286843E-2</v>
      </c>
      <c r="W16" s="38">
        <f>W$15/AVERAGE(HLOOKUP(V$5,'Receivables BACEN'!$6:$42,9,0),HLOOKUP(W$5,'Receivables BACEN'!$6:$42,9,0))</f>
        <v>8.708693066642359E-2</v>
      </c>
      <c r="X16" s="38">
        <f>X$15/AVERAGE(HLOOKUP(Q$5,'Receivables BACEN'!$6:$42,9,0),HLOOKUP(R$5,'Receivables BACEN'!$6:$42,9,0),HLOOKUP(T$5,'Receivables BACEN'!$6:$42,9,0),HLOOKUP(V$5,'Receivables BACEN'!$6:$42,9,0),HLOOKUP(X$5,'Receivables BACEN'!$6:$42,9,0))</f>
        <v>0.34045918892719801</v>
      </c>
      <c r="Y16" s="38">
        <f>Y$15/AVERAGE(HLOOKUP(X$5,'Receivables BACEN'!$6:$42,9,0),HLOOKUP(Y$5,'Receivables BACEN'!$6:$42,9,0))</f>
        <v>8.345498147416909E-2</v>
      </c>
      <c r="Z16" s="38">
        <f>Z$15/AVERAGE(HLOOKUP(Y$5,'Receivables BACEN'!$6:$42,9,0),HLOOKUP(Z$5,'Receivables BACEN'!$6:$42,9,0))</f>
        <v>9.7531824297781469E-2</v>
      </c>
      <c r="AA16" s="38">
        <f>AA$15/AVERAGE(HLOOKUP(X$5,'Receivables BACEN'!$6:$42,9,0),HLOOKUP(Y$5,'Receivables BACEN'!$6:$42,9,0),HLOOKUP(AA$5,'Receivables BACEN'!$6:$42,9,0))</f>
        <v>0.17723995118884739</v>
      </c>
      <c r="AB16" s="38">
        <f>AB$15/AVERAGE(HLOOKUP(AA$5,'Receivables BACEN'!$6:$42,9,0),HLOOKUP(AB$5,'Receivables BACEN'!$6:$42,9,0))</f>
        <v>9.6180987932085127E-2</v>
      </c>
      <c r="AC16" s="38">
        <f>AC$15/AVERAGE(HLOOKUP(Z$5,'Receivables BACEN'!$6:$42,9,0),HLOOKUP(AA$5,'Receivables BACEN'!$6:$42,9,0),HLOOKUP(AC$5,'Receivables BACEN'!$6:$42,9,0))</f>
        <v>0.1820475362803238</v>
      </c>
      <c r="AD16" s="38">
        <f>AD$15/AVERAGE(HLOOKUP(AC$5,'Receivables BACEN'!$6:$42,9,0),HLOOKUP(AD$5,'Receivables BACEN'!$6:$42,9,0))</f>
        <v>8.5357945245548628E-2</v>
      </c>
      <c r="AE16" s="38">
        <f>AE$15/AVERAGE(HLOOKUP(X$5,'Receivables BACEN'!$6:$42,9,0),HLOOKUP(Y$5,'Receivables BACEN'!$6:$42,9,0),HLOOKUP(AA$5,'Receivables BACEN'!$6:$42,9,0),HLOOKUP(AC$5,'Receivables BACEN'!$6:$42,9,0),HLOOKUP(AE$5,'Receivables BACEN'!$6:$42,9,0))</f>
        <v>0.34864133678138054</v>
      </c>
      <c r="AF16" s="38">
        <f>AF$15/AVERAGE(HLOOKUP(AE$5,'Receivables BACEN'!$6:$42,9,0),HLOOKUP(AF$5,'Receivables BACEN'!$6:$42,9,0))</f>
        <v>8.5465350523771147E-2</v>
      </c>
      <c r="AG16" s="38">
        <f>AG$15/AVERAGE(HLOOKUP(AF$5,'Receivables BACEN'!$6:$42,9,0),HLOOKUP(AG$5,'Receivables BACEN'!$6:$42,9,0))</f>
        <v>9.7686407487581173E-2</v>
      </c>
      <c r="AH16" s="38">
        <f>AH$15/AVERAGE(HLOOKUP(AE$5,'Receivables BACEN'!$6:$42,9,0),HLOOKUP(AF$5,'Receivables BACEN'!$6:$42,9,0),HLOOKUP(AH$5,'Receivables BACEN'!$6:$42,9,0))</f>
        <v>0.17991987995891157</v>
      </c>
      <c r="AI16" s="38">
        <f>AI$15/AVERAGE(HLOOKUP(AH$5,'Receivables BACEN'!$6:$42,9,0),HLOOKUP(AI$5,'Receivables BACEN'!$6:$42,9,0))</f>
        <v>9.202351392012427E-2</v>
      </c>
      <c r="AJ16" s="38">
        <f>AJ$15/AVERAGE(HLOOKUP(AE$5,'Receivables BACEN'!$6:$42,9,0),HLOOKUP(AF$5,'Receivables BACEN'!$6:$42,9,0),HLOOKUP(AH$5,'Receivables BACEN'!$6:$42,9,0),HLOOKUP(AJ$5,'Receivables BACEN'!$6:$42,9,0))</f>
        <v>0.27130450801574524</v>
      </c>
      <c r="AK16" s="38">
        <f>AK$15/AVERAGE(HLOOKUP(AJ$5,'Receivables BACEN'!$6:$42,9,0),HLOOKUP(AK$5,'Receivables BACEN'!$6:$42,9,0))</f>
        <v>7.9465303794330047E-2</v>
      </c>
      <c r="AL16" s="38">
        <f>AL$15/AVERAGE(HLOOKUP(AE$5,'Receivables BACEN'!$6:$42,9,0),HLOOKUP(AF$5,'Receivables BACEN'!$6:$42,9,0),HLOOKUP(AH$5,'Receivables BACEN'!$6:$42,9,0),HLOOKUP(AJ$5,'Receivables BACEN'!$6:$42,9,0),HLOOKUP(AL$5,'Receivables BACEN'!$6:$42,9,0))</f>
        <v>0.34067988885669054</v>
      </c>
      <c r="AM16" s="38">
        <f>AM$15/AVERAGE(HLOOKUP(AL$5,'Receivables BACEN'!$6:$42,9,0),HLOOKUP(AM$5,'Receivables BACEN'!$6:$42,9,0))</f>
        <v>7.1781589881081298E-2</v>
      </c>
      <c r="AN16" s="38">
        <f>AN$15/AVERAGE(HLOOKUP(AM$5,'Receivables BACEN'!$6:$42,9,0),HLOOKUP(AN$5,'Receivables BACEN'!$6:$42,9,0))</f>
        <v>9.4545215706450941E-2</v>
      </c>
      <c r="AO16" s="38">
        <f>AO$15/AVERAGE(HLOOKUP(AL$5,'Receivables BACEN'!$6:$42,9,0),HLOOKUP(AM$5,'Receivables BACEN'!$6:$42,9,0),HLOOKUP(AO$5,'Receivables BACEN'!$6:$42,9,0))</f>
        <v>0.16307383141117102</v>
      </c>
      <c r="AP16" s="38">
        <f>AP$15/AVERAGE(HLOOKUP(AO$5,'Receivables BACEN'!$6:$42,9,0),HLOOKUP(AP$5,'Receivables BACEN'!$6:$42,9,0))</f>
        <v>0.10115818508840242</v>
      </c>
      <c r="AQ16" s="38">
        <f>AQ$15/AVERAGE(HLOOKUP(AL$5,'Receivables BACEN'!$6:$42,9,0),HLOOKUP(AM$5,'Receivables BACEN'!$6:$42,9,0),HLOOKUP(AO$5,'Receivables BACEN'!$6:$42,9,0),HLOOKUP(AQ$5,'Receivables BACEN'!$6:$42,9,0))</f>
        <v>0.26262749460961754</v>
      </c>
      <c r="AR16" s="38">
        <f>AR$15/AVERAGE(HLOOKUP(AQ$5,'Receivables BACEN'!$6:$42,9,0),HLOOKUP(AR$5,'Receivables BACEN'!$6:$42,9,0))</f>
        <v>7.7120353912778772E-2</v>
      </c>
      <c r="AS16" s="38">
        <f>AS$15/AVERAGE(HLOOKUP(AL$5,'Receivables BACEN'!$6:$42,9,0),HLOOKUP(AM$5,'Receivables BACEN'!$6:$42,9,0),HLOOKUP(AO$5,'Receivables BACEN'!$6:$42,9,0),HLOOKUP(AQ$5,'Receivables BACEN'!$6:$42,9,0),HLOOKUP(AS$5,'Receivables BACEN'!$6:$42,9,0))</f>
        <v>0.32934288333303374</v>
      </c>
      <c r="AT16" s="38">
        <f>AT$15/AVERAGE(HLOOKUP(AS$5,'Receivables BACEN'!$6:$42,9,0),HLOOKUP(AT$5,'Receivables BACEN'!$6:$42,9,0))</f>
        <v>7.4762237800747838E-2</v>
      </c>
      <c r="AU16" s="38">
        <f>AU$15/AVERAGE(HLOOKUP(AT$5,'Receivables BACEN'!$6:$42,9,0),HLOOKUP(AU$5,'Receivables BACEN'!$6:$42,9,0))</f>
        <v>9.0079752125981308E-2</v>
      </c>
      <c r="AV16" s="38">
        <f>AV$15/AVERAGE(HLOOKUP(AS$5,'Receivables BACEN'!$6:$42,9,0),HLOOKUP(AT$5,'Receivables BACEN'!$6:$42,9,0),HLOOKUP(AV$5,'Receivables BACEN'!$6:$42,9,0))</f>
        <v>0.16151953999873495</v>
      </c>
      <c r="AW16" s="38">
        <f>AW$15/AVERAGE(HLOOKUP(AV$5,'Receivables BACEN'!$6:$42,9,0),HLOOKUP(AW$5,'Receivables BACEN'!$6:$42,9,0))</f>
        <v>8.1235416924862094E-2</v>
      </c>
      <c r="AX16" s="38">
        <f>AX$15/AVERAGE(HLOOKUP(AS$5,'Receivables BACEN'!$6:$42,9,0),HLOOKUP(AT$5,'Receivables BACEN'!$6:$42,9,0),HLOOKUP(AV$5,'Receivables BACEN'!$6:$42,9,0),HLOOKUP(AX$5,'Receivables BACEN'!$6:$42,9,0))</f>
        <v>0.24333235304226192</v>
      </c>
      <c r="AY16" s="38">
        <f>AY$15/AVERAGE(HLOOKUP(AX$5,'Receivables BACEN'!$6:$42,9,0),HLOOKUP(AY$5,'Receivables BACEN'!$6:$42,9,0))</f>
        <v>7.4306467857274891E-2</v>
      </c>
      <c r="AZ16" s="38">
        <f>AZ$15/AVERAGE(HLOOKUP(AS$5,'Receivables BACEN'!$6:$42,9,0),HLOOKUP(AT$5,'Receivables BACEN'!$6:$42,9,0),HLOOKUP(AV$5,'Receivables BACEN'!$6:$42,9,0),HLOOKUP(AX$5,'Receivables BACEN'!$6:$42,9,0),HLOOKUP(AZ$5,'Receivables BACEN'!$6:$42,9,0))</f>
        <v>0.31019232029274202</v>
      </c>
      <c r="BA16" s="38">
        <f>BA$15/AVERAGE(HLOOKUP(AZ$5,'Receivables BACEN'!$6:$42,9,0),HLOOKUP(BA$5,'Receivables BACEN'!$6:$42,9,0))</f>
        <v>6.6503982647037913E-2</v>
      </c>
      <c r="BB16" s="38">
        <f>BB$15/AVERAGE(HLOOKUP(BA$5,'Receivables BACEN'!$6:$42,9,0),HLOOKUP(BB$5,'Receivables BACEN'!$6:$42,9,0))</f>
        <v>8.1429803704997916E-2</v>
      </c>
      <c r="BC16" s="38">
        <f>BC$15/AVERAGE(HLOOKUP(AZ$5,'Receivables BACEN'!$6:$42,9,0),HLOOKUP(BA$5,'Receivables BACEN'!$6:$42,9,0),HLOOKUP(BC$5,'Receivables BACEN'!$6:$42,9,0))</f>
        <v>0.14404110306587697</v>
      </c>
      <c r="BD16" s="38">
        <f>BD$15/AVERAGE(HLOOKUP(BC$5,'Receivables BACEN'!$6:$42,9,0),HLOOKUP(BD$5,'Receivables BACEN'!$6:$42,9,0))</f>
        <v>8.3131471502214768E-2</v>
      </c>
      <c r="BE16" s="38">
        <f>BE$15/AVERAGE(HLOOKUP(AZ$5,'Receivables BACEN'!$6:$42,9,0),HLOOKUP(BA$5,'Receivables BACEN'!$6:$42,9,0),HLOOKUP(BC$5,'Receivables BACEN'!$6:$42,9,0),HLOOKUP(BE$5,'Receivables BACEN'!$6:$42,9,0))</f>
        <v>0.22728861365469738</v>
      </c>
      <c r="BF16" s="38">
        <f>BF$15/AVERAGE(HLOOKUP(BE$5,'Receivables BACEN'!$6:$42,9,0),HLOOKUP(BF$5,'Receivables BACEN'!$6:$42,9,0))</f>
        <v>8.1174906734842178E-2</v>
      </c>
      <c r="BG16" s="38">
        <f>BG$15/AVERAGE(HLOOKUP(AZ$5,'Receivables BACEN'!$6:$42,9,0),HLOOKUP(BA$5,'Receivables BACEN'!$6:$42,9,0),HLOOKUP(BC$5,'Receivables BACEN'!$6:$42,9,0),HLOOKUP(BE$5,'Receivables BACEN'!$6:$42,9,0),HLOOKUP(BG$5,'Receivables BACEN'!$6:$42,9,0))</f>
        <v>0.30069679767749952</v>
      </c>
      <c r="BH16" s="38">
        <f>BH$15/AVERAGE(HLOOKUP(BG$5,'Receivables BACEN'!$6:$42,9,0),HLOOKUP(BH$5,'Receivables BACEN'!$6:$42,9,0))</f>
        <v>7.440687913495056E-2</v>
      </c>
      <c r="BI16" s="38">
        <f>BI$15/AVERAGE(HLOOKUP(BH$5,'Receivables BACEN'!$6:$42,9,0),HLOOKUP(BI$5,'Receivables BACEN'!$6:$42,9,0))</f>
        <v>8.9230039856004112E-2</v>
      </c>
      <c r="BJ16" s="38">
        <f>BJ$15/AVERAGE(HLOOKUP(BG$5,'Receivables BACEN'!$6:$42,9,0),HLOOKUP(BH$5,'Receivables BACEN'!$6:$42,9,0),HLOOKUP(BJ$5,'Receivables BACEN'!$6:$42,9,0))</f>
        <v>0.16038269985431672</v>
      </c>
      <c r="BK16" s="38">
        <f>BK$15/AVERAGE(HLOOKUP(BJ$5,'Receivables BACEN'!$6:$42,9,0),HLOOKUP(BK$5,'Receivables BACEN'!$6:$42,9,0))</f>
        <v>8.7468734876502002E-2</v>
      </c>
      <c r="BL16" s="38">
        <f>BL$15/AVERAGE(HLOOKUP(BG$5,'Receivables BACEN'!$6:$42,9,0),HLOOKUP(BH$5,'Receivables BACEN'!$6:$42,9,0),HLOOKUP(BJ$5,'Receivables BACEN'!$6:$42,9,0),HLOOKUP(BL$5,'Receivables BACEN'!$6:$42,9,0))</f>
        <v>0.24694008959068317</v>
      </c>
      <c r="BM16" s="38">
        <f>BM$15/AVERAGE(HLOOKUP(BL$5,'Receivables BACEN'!$6:$42,9,0),HLOOKUP(BM$5,'Receivables BACEN'!$6:$42,9,0))</f>
        <v>8.4567581827336757E-2</v>
      </c>
      <c r="BN16" s="38">
        <f>BN$15/AVERAGE(HLOOKUP(BG$5,'Receivables BACEN'!$6:$42,9,0),HLOOKUP(BH$5,'Receivables BACEN'!$6:$42,9,0),HLOOKUP(BJ$5,'Receivables BACEN'!$6:$42,9,0),HLOOKUP(BL$5,'Receivables BACEN'!$6:$42,9,0),HLOOKUP(BN$5,'Receivables BACEN'!$6:$42,9,0))</f>
        <v>0.32290647436978964</v>
      </c>
      <c r="BO16" s="38">
        <f>BO$15/AVERAGE(HLOOKUP(BN$5,'Receivables BACEN'!$6:$42,9,0),HLOOKUP(BO$5,'Receivables BACEN'!$6:$42,9,0))</f>
        <v>6.8354196913364709E-2</v>
      </c>
      <c r="BP16" s="38">
        <f>BP$15/AVERAGE(HLOOKUP(BO$5,'Receivables BACEN'!$6:$42,9,0),HLOOKUP(BP$5,'Receivables BACEN'!$6:$42,9,0))</f>
        <v>8.0476491067439523E-2</v>
      </c>
      <c r="BQ16" s="38">
        <f>BQ$15/AVERAGE(HLOOKUP(BN$5,'Receivables BACEN'!$6:$42,9,0),HLOOKUP(BO$5,'Receivables BACEN'!$6:$42,9,0),HLOOKUP(BQ$5,'Receivables BACEN'!$6:$42,9,0))</f>
        <v>0.14579297142462289</v>
      </c>
      <c r="BR16" s="38">
        <f>BR$15/AVERAGE(HLOOKUP(BQ$5,'Receivables BACEN'!$6:$42,9,0),HLOOKUP(BR$5,'Receivables BACEN'!$6:$42,9,0))</f>
        <v>7.5388984493922423E-2</v>
      </c>
      <c r="BS16" s="38">
        <f>BS$15/AVERAGE(HLOOKUP(BN$5,'Receivables BACEN'!$6:$42,9,0),HLOOKUP(BO$5,'Receivables BACEN'!$6:$42,9,0),HLOOKUP(BQ$5,'Receivables BACEN'!$6:$42,9,0),HLOOKUP(BS$5,'Receivables BACEN'!$6:$42,9,0))</f>
        <v>0.22108376049384432</v>
      </c>
      <c r="BT16" s="38">
        <f>BT$15/AVERAGE(HLOOKUP(BS$5,'Receivables BACEN'!$6:$42,9,0),HLOOKUP(BT$5,'Receivables BACEN'!$6:$42,9,0))</f>
        <v>6.67820672802346E-2</v>
      </c>
      <c r="BU16" s="38">
        <f>BU$15/AVERAGE(HLOOKUP(BN$5,'Receivables BACEN'!$6:$42,9,0),HLOOKUP(BO$5,'Receivables BACEN'!$6:$42,9,0),HLOOKUP(BQ$5,'Receivables BACEN'!$6:$42,9,0),HLOOKUP(BS$5,'Receivables BACEN'!$6:$42,9,0),HLOOKUP(BU$5,'Receivables BACEN'!$6:$42,9,0))</f>
        <v>0.27946883664604816</v>
      </c>
      <c r="BV16" s="38">
        <f>BV$15/AVERAGE(HLOOKUP(BU$5,'Receivables BACEN'!$6:$42,9,0),HLOOKUP(BV$5,'Receivables BACEN'!$6:$42,9,0))</f>
        <v>7.6764195018871106E-2</v>
      </c>
      <c r="BW16" s="38">
        <f>BW$15/AVERAGE(HLOOKUP(BV$5,'Receivables BACEN'!$6:$42,9,0),HLOOKUP(BW$5,'Receivables BACEN'!$6:$42,9,0))</f>
        <v>9.6469404399727079E-2</v>
      </c>
      <c r="BX16" s="38">
        <f>BX$15/AVERAGE(HLOOKUP(BU$5,'Receivables BACEN'!$6:$42,9,0),HLOOKUP(BV$5,'Receivables BACEN'!$6:$42,9,0),HLOOKUP(BX$5,'Receivables BACEN'!$6:$42,9,0))</f>
        <v>0.17043909850005176</v>
      </c>
      <c r="BY16" s="38">
        <f>BY$15/AVERAGE(HLOOKUP(BX$5,'Receivables BACEN'!$6:$42,9,0),HLOOKUP(BY$5,'Receivables BACEN'!$6:$42,9,0))</f>
        <v>0.10350572761312142</v>
      </c>
      <c r="BZ16" s="38">
        <f>BZ$15/AVERAGE(HLOOKUP(BU$5,'Receivables BACEN'!$6:$42,9,0),HLOOKUP(BV$5,'Receivables BACEN'!$6:$42,9,0),HLOOKUP(BX$5,'Receivables BACEN'!$6:$42,9,0),HLOOKUP(BZ$5,'Receivables BACEN'!$6:$42,9,0))</f>
        <v>0.27158967348378626</v>
      </c>
      <c r="CA16" s="38">
        <f>CA$15/AVERAGE(HLOOKUP(BZ$5,'Receivables BACEN'!$6:$42,9,0),HLOOKUP(CA$5,'Receivables BACEN'!$6:$42,9,0))</f>
        <v>8.6615016487362029E-2</v>
      </c>
      <c r="CB16" s="38">
        <f>CB$15/AVERAGE(HLOOKUP(BU$5,'Receivables BACEN'!$6:$42,9,0),HLOOKUP(BV$5,'Receivables BACEN'!$6:$42,9,0),HLOOKUP(BX$5,'Receivables BACEN'!$6:$42,9,0),HLOOKUP(BZ$5,'Receivables BACEN'!$6:$42,9,0),HLOOKUP(CB$5,'Receivables BACEN'!$6:$42,9,0))</f>
        <v>0.34979731690495064</v>
      </c>
      <c r="CC16" s="38">
        <f>CC$15/AVERAGE(HLOOKUP(CB$5,'Receivables BACEN'!$6:$42,9,0),HLOOKUP(CC$5,'Receivables BACEN'!$6:$42,9,0))</f>
        <v>8.8350879601105353E-2</v>
      </c>
      <c r="CD16" s="38">
        <f>CD$15/AVERAGE(HLOOKUP(CC$5,'Receivables BACEN'!$6:$42,9,0),HLOOKUP(CD$5,'Receivables BACEN'!$6:$42,9,0))</f>
        <v>8.7768909307267995E-2</v>
      </c>
      <c r="CE16" s="38">
        <f>CE$15/AVERAGE(HLOOKUP(CB$5,'Receivables BACEN'!$6:$42,9,0),HLOOKUP(CC$5,'Receivables BACEN'!$6:$42,9,0),HLOOKUP(CE$5,'Receivables BACEN'!$6:$42,9,0))</f>
        <v>0.17821297393998775</v>
      </c>
      <c r="CF16" s="38">
        <f>CF$15/AVERAGE(HLOOKUP(CE$5,'Receivables BACEN'!$6:$42,9,0),HLOOKUP(CF$5,'Receivables BACEN'!$6:$42,9,0))</f>
        <v>2.1873545036934346E-2</v>
      </c>
      <c r="CG16" s="38">
        <f>CG$15/AVERAGE(HLOOKUP(CB$5,'Receivables BACEN'!$6:$42,9,0),HLOOKUP(CC$5,'Receivables BACEN'!$6:$42,9,0),HLOOKUP(CE$5,'Receivables BACEN'!$6:$42,9,0),HLOOKUP(CG$5,'Receivables BACEN'!$6:$42,9,0))</f>
        <v>0.20629401881097156</v>
      </c>
      <c r="CH16" s="38">
        <f>CH$15/AVERAGE(HLOOKUP(CG$5,'Receivables BACEN'!$6:$42,9,0),HLOOKUP(CH$5,'Receivables BACEN'!$6:$42,9,0))</f>
        <v>2.9071953862410124E-2</v>
      </c>
      <c r="CI16" s="38">
        <f>CI$15/AVERAGE(HLOOKUP(CH$5,'Receivables BACEN'!$6:$42,9,0),HLOOKUP(CI$5,'Receivables BACEN'!$6:$42,9,0))</f>
        <v>2.5114774196555695E-2</v>
      </c>
      <c r="CJ16" s="38">
        <f>CJ$15/AVERAGE(HLOOKUP(CI$5,'Receivables BACEN'!$6:$42,9,0),HLOOKUP(CJ$5,'Receivables BACEN'!$6:$42,9,0))</f>
        <v>5.5790542088260155E-2</v>
      </c>
      <c r="CK16" s="38">
        <f>CK$15/AVERAGE(HLOOKUP(CJ$5,'Receivables BACEN'!$6:$42,9,0),HLOOKUP(CK$5,'Receivables BACEN'!$6:$42,9,0))</f>
        <v>4.8969187177006726E-2</v>
      </c>
      <c r="CL16" s="38">
        <f>CL$15/AVERAGE(HLOOKUP(CI$5,'Receivables BACEN'!$6:$42,9,0),HLOOKUP(CJ$5,'Receivables BACEN'!$6:$42,9,0),HLOOKUP(CL$5,'Receivables BACEN'!$6:$42,9,0))</f>
        <v>0.10185518786909632</v>
      </c>
      <c r="CM16" s="38">
        <f>CM$15/AVERAGE(HLOOKUP(CL$5,'Receivables BACEN'!$6:$42,9,0),HLOOKUP(CM$5,'Receivables BACEN'!$6:$42,9,0))</f>
        <v>3.5076433982028497E-2</v>
      </c>
      <c r="CN16" s="38">
        <f>CN$15/AVERAGE(HLOOKUP(CI$5,'Receivables BACEN'!$6:$42,9,0),HLOOKUP(CJ$5,'Receivables BACEN'!$6:$42,9,0),HLOOKUP(CL$5,'Receivables BACEN'!$6:$42,9,0),HLOOKUP(CN$5,'Receivables BACEN'!$6:$42,9,0))</f>
        <v>0.13698128598472531</v>
      </c>
      <c r="CO16" s="38">
        <f>CO$15/AVERAGE(HLOOKUP(CN$5,'Receivables BACEN'!$6:$42,9,0),HLOOKUP(CO$5,'Receivables BACEN'!$6:$42,9,0))</f>
        <v>4.1785657200133088E-2</v>
      </c>
      <c r="CP16" s="38">
        <f>CP$15/AVERAGE(HLOOKUP(CI$5,'Receivables BACEN'!$6:$42,9,0),HLOOKUP(CJ$5,'Receivables BACEN'!$6:$42,9,0),HLOOKUP(CL$5,'Receivables BACEN'!$6:$42,9,0),HLOOKUP(CN$5,'Receivables BACEN'!$6:$42,9,0),HLOOKUP(CP$5,'Receivables BACEN'!$6:$42,9,0))</f>
        <v>0.17483718092576139</v>
      </c>
      <c r="CQ16" s="64">
        <f>CQ$15/AVERAGE(HLOOKUP(CP$5,'Estimated Credit Losses IFRS'!6:89,39,0),HLOOKUP(CQ$5,'Estimated Credit Losses IFRS'!6:89,39,0))</f>
        <v>4.8589917527025739E-2</v>
      </c>
      <c r="CR16" s="64">
        <f>CR$15/AVERAGE(HLOOKUP(CQ$5,'Estimated Credit Losses IFRS'!6:89,39,0),HLOOKUP(CR$5,'Estimated Credit Losses IFRS'!6:89,39,0))</f>
        <v>5.8139179666816018E-2</v>
      </c>
      <c r="CS16" s="38">
        <f>CS$15/AVERAGE(HLOOKUP(CP$5,'Estimated Credit Losses IFRS'!6:89,39,0),HLOOKUP(CQ$5,'Estimated Credit Losses IFRS'!6:89,39,0),HLOOKUP(CS$5,'Estimated Credit Losses IFRS'!6:89,39,0))</f>
        <v>0.10462614884740504</v>
      </c>
      <c r="CT16" s="64">
        <f>CT$15/AVERAGE(HLOOKUP(CS$5,'Estimated Credit Losses IFRS'!6:89,39,0),HLOOKUP(CT$5,'Estimated Credit Losses IFRS'!6:89,39,0))</f>
        <v>8.619283238551741E-3</v>
      </c>
      <c r="CU16" s="64">
        <f>CU$15/AVERAGE(HLOOKUP(CP$5,'Estimated Credit Losses IFRS'!6:89,39,0),HLOOKUP(CQ$5,'Estimated Credit Losses IFRS'!6:89,39,0),HLOOKUP(CS$5,'Estimated Credit Losses IFRS'!6:89,39,0),HLOOKUP(CU$5,'Estimated Credit Losses IFRS'!6:89,39,0))</f>
        <v>0.11642325224216037</v>
      </c>
      <c r="CV16" s="64">
        <f>CV$15/AVERAGE(HLOOKUP(CU$5,'Estimated Credit Losses IFRS'!6:89,39,0),HLOOKUP(CV$5,'Estimated Credit Losses IFRS'!6:89,39,0))</f>
        <v>1.4840392707171595E-2</v>
      </c>
      <c r="CW16" s="64">
        <f>CW$15/AVERAGE(HLOOKUP(CP$5,'Estimated Credit Losses IFRS'!6:89,39,0),HLOOKUP(CQ$5,'Estimated Credit Losses IFRS'!6:89,39,0),HLOOKUP(CS$5,'Estimated Credit Losses IFRS'!6:89,39,0),HLOOKUP(CU$5,'Estimated Credit Losses IFRS'!6:89,39,0),HLOOKUP(CW$5,'Estimated Credit Losses IFRS'!6:89,39,0))</f>
        <v>0.13071414809905818</v>
      </c>
      <c r="CX16" s="64">
        <f>CX$15/AVERAGE(HLOOKUP(CW$5,'Estimated Credit Losses IFRS'!6:89,39,0),HLOOKUP(CX$5,'Estimated Credit Losses IFRS'!6:89,39,0))</f>
        <v>6.6574737086939909E-2</v>
      </c>
      <c r="CY16" s="64">
        <f>CY$15/AVERAGE(HLOOKUP(CX$5,'Estimated Credit Losses IFRS'!6:89,39,0),HLOOKUP(CY$5,'Estimated Credit Losses IFRS'!6:89,39,0))</f>
        <v>5.3495514566813E-2</v>
      </c>
      <c r="CZ16" s="38">
        <f>CZ$15/AVERAGE(HLOOKUP(CW$5,'Estimated Credit Losses IFRS'!6:89,39,0),HLOOKUP(CX$5,'Estimated Credit Losses IFRS'!6:89,39,0),HLOOKUP(CZ$5,'Estimated Credit Losses IFRS'!6:89,39,0))</f>
        <v>0.11932929701597797</v>
      </c>
      <c r="DA16" s="64">
        <f>DA$15/AVERAGE(HLOOKUP(CZ$5,'Estimated Credit Losses IFRS'!6:89,39,0),HLOOKUP(DA$5,'Estimated Credit Losses IFRS'!6:89,39,0))</f>
        <v>4.1824119508968194E-2</v>
      </c>
      <c r="DB16" s="64">
        <f>DB$15/AVERAGE(HLOOKUP(CW$5,'Estimated Credit Losses IFRS'!6:89,39,0),HLOOKUP(CX$5,'Estimated Credit Losses IFRS'!6:89,39,0),HLOOKUP(CZ$5,'Estimated Credit Losses IFRS'!6:89,39,0),HLOOKUP(DB$5,'Estimated Credit Losses IFRS'!6:89,39,0))</f>
        <v>0.16308842945516228</v>
      </c>
      <c r="DC16" s="64">
        <f>DC$15/AVERAGE(HLOOKUP(DB$5,'Estimated Credit Losses IFRS'!6:89,39,0),HLOOKUP(DC$5,'Estimated Credit Losses IFRS'!6:89,39,0))</f>
        <v>2.0613420105178668E-2</v>
      </c>
      <c r="DD16" s="64">
        <f>DD$15/AVERAGE(HLOOKUP(CW$5,'Estimated Credit Losses IFRS'!6:89,39,0),HLOOKUP(CX$5,'Estimated Credit Losses IFRS'!6:89,39,0),HLOOKUP(CZ$5,'Estimated Credit Losses IFRS'!6:89,39,0),HLOOKUP(DB$5,'Estimated Credit Losses IFRS'!6:89,39,0),HLOOKUP(DD$5,'Estimated Credit Losses IFRS'!6:89,39,0))</f>
        <v>0.18298891328307199</v>
      </c>
      <c r="DE16" s="64">
        <f>DE$15/AVERAGE(HLOOKUP(DD$5,'Estimated Credit Losses IFRS'!6:89,39,0),HLOOKUP(DE$5,'Estimated Credit Losses IFRS'!6:89,39,0))</f>
        <v>3.197010870491275E-2</v>
      </c>
      <c r="DF16" s="64">
        <f>DF$15/AVERAGE(HLOOKUP(DE$5,'Estimated Credit Losses IFRS'!6:89,39,0),HLOOKUP(DF$5,'Estimated Credit Losses IFRS'!6:89,39,0))</f>
        <v>2.9816903493191459E-2</v>
      </c>
      <c r="DG16" s="38">
        <f>DG$15/AVERAGE(HLOOKUP(DD$5,'Estimated Credit Losses IFRS'!6:89,39,0),HLOOKUP(DE$5,'Estimated Credit Losses IFRS'!6:89,39,0),HLOOKUP(DG$5,'Estimated Credit Losses IFRS'!6:89,39,0))</f>
        <v>6.1035725605660569E-2</v>
      </c>
      <c r="DH16" s="64">
        <f>DH$15/AVERAGE(HLOOKUP(DG$5,'Estimated Credit Losses IFRS'!6:89,39,0),HLOOKUP(DH$5,'Estimated Credit Losses IFRS'!6:89,39,0))</f>
        <v>3.5062435626960493E-2</v>
      </c>
      <c r="DI16" s="64">
        <f>DI$15/AVERAGE(HLOOKUP(DD$5,'Estimated Credit Losses IFRS'!6:89,39,0),HLOOKUP(DE$5,'Estimated Credit Losses IFRS'!6:89,39,0),HLOOKUP(DG$5,'Estimated Credit Losses IFRS'!6:89,39,0),HLOOKUP(DI$5,'Estimated Credit Losses IFRS'!6:89,39,0))</f>
        <v>9.5403971631451742E-2</v>
      </c>
      <c r="DJ16" s="64">
        <f>DJ$15/AVERAGE(HLOOKUP(DI$5,'Estimated Credit Losses IFRS'!6:89,39,0),HLOOKUP(DJ$5,'Estimated Credit Losses IFRS'!6:89,39,0))</f>
        <v>3.2771049815570913E-2</v>
      </c>
      <c r="DK16" s="64">
        <f>DK$15/AVERAGE(HLOOKUP(DD$5,'Estimated Credit Losses IFRS'!6:89,39,0),HLOOKUP(DE$5,'Estimated Credit Losses IFRS'!6:89,39,0),HLOOKUP(DG$5,'Estimated Credit Losses IFRS'!6:89,39,0),HLOOKUP(DI$5,'Estimated Credit Losses IFRS'!6:89,39,0),HLOOKUP(DK$5,'Estimated Credit Losses IFRS'!6:89,39,0))</f>
        <v>0.12595985972468104</v>
      </c>
      <c r="DL16" s="64">
        <f>DL$15/AVERAGE(HLOOKUP(DK$5,'Estimated Credit Losses IFRS'!6:89,39,0),HLOOKUP(DL$5,'Estimated Credit Losses IFRS'!6:89,39,0))</f>
        <v>4.3850379425934033E-2</v>
      </c>
      <c r="DM16" s="64">
        <f>DM$15/AVERAGE(HLOOKUP(DL$5,'Estimated Credit Losses IFRS'!6:89,39,0),HLOOKUP(DM$5,'Estimated Credit Losses IFRS'!6:89,39,0))</f>
        <v>5.4004811211031331E-2</v>
      </c>
      <c r="DN16" s="64">
        <f>DN$15/AVERAGE(HLOOKUP(DK$5,'Estimated Credit Losses IFRS'!6:89,39,0),HLOOKUP(DL$5,'Estimated Credit Losses IFRS'!6:89,39,0),HLOOKUP(DN$5,'Estimated Credit Losses IFRS'!6:89,39,0))</f>
        <v>9.6255271733723322E-2</v>
      </c>
      <c r="DO16" s="64">
        <f>DO$15/AVERAGE(HLOOKUP(DN$5,'Estimated Credit Losses IFRS'!6:89,39,0),HLOOKUP(DO$5,'Estimated Credit Losses IFRS'!6:89,39,0))</f>
        <v>4.5816345819111905E-2</v>
      </c>
      <c r="DP16" s="64">
        <f>DP$15/AVERAGE(HLOOKUP(DK$5,'Estimated Credit Losses IFRS'!6:89,39,0),HLOOKUP(DL$5,'Estimated Credit Losses IFRS'!6:89,39,0),HLOOKUP(DN$5,'Estimated Credit Losses IFRS'!6:89,39,0),HLOOKUP(DP$5,'Estimated Credit Losses IFRS'!6:89,39,0))</f>
        <v>0.1433390066830367</v>
      </c>
      <c r="DQ16" s="64">
        <f>DQ$15/AVERAGE(HLOOKUP(DP$5,'Estimated Credit Losses IFRS'!6:89,39,0),HLOOKUP(DQ$5,'Estimated Credit Losses IFRS'!6:89,39,0))</f>
        <v>3.9216784753810664E-2</v>
      </c>
      <c r="DR16" s="64">
        <f>DR$15/AVERAGE(HLOOKUP(DM$5,'Estimated Credit Losses IFRS'!6:89,39,0),HLOOKUP(DN$5,'Estimated Credit Losses IFRS'!6:89,39,0),HLOOKUP(DP$5,'Estimated Credit Losses IFRS'!6:89,39,0),HLOOKUP(DR$5,'Estimated Credit Losses IFRS'!6:89,39,0))</f>
        <v>0.17796453052304764</v>
      </c>
      <c r="DS16" s="64">
        <f>DS$15/AVERAGE(HLOOKUP(DR$5,'Estimated Credit Losses IFRS'!6:89,39,0),HLOOKUP(DS$5,'Estimated Credit Losses IFRS'!6:89,39,0))</f>
        <v>3.884842940967502E-2</v>
      </c>
      <c r="DT16" s="64">
        <f>DT$15/AVERAGE(HLOOKUP(DS$5,'Estimated Credit Losses IFRS'!6:89,39,0),HLOOKUP(DT$5,'Estimated Credit Losses IFRS'!6:89,39,0))</f>
        <v>3.9690193867575732E-2</v>
      </c>
      <c r="DU16" s="64">
        <f>DU$15/AVERAGE(HLOOKUP(DR$5,'Estimated Credit Losses IFRS'!6:89,39,0),HLOOKUP(DS$5,'Estimated Credit Losses IFRS'!6:89,39,0),HLOOKUP(DU$5,'Estimated Credit Losses IFRS'!6:89,39,0))</f>
        <v>7.7534788887971551E-2</v>
      </c>
    </row>
    <row r="17" spans="1:125" ht="16.350000000000001" customHeight="1">
      <c r="A17" s="155" t="s">
        <v>574</v>
      </c>
      <c r="B17" s="158" t="s">
        <v>97</v>
      </c>
      <c r="C17" s="158" t="s">
        <v>379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  <c r="K17" s="80">
        <v>0</v>
      </c>
      <c r="L17" s="80">
        <v>0</v>
      </c>
      <c r="M17" s="80">
        <v>0</v>
      </c>
      <c r="N17" s="80">
        <v>0</v>
      </c>
      <c r="O17" s="80">
        <v>0</v>
      </c>
      <c r="P17" s="80">
        <v>0</v>
      </c>
      <c r="Q17" s="80">
        <v>0</v>
      </c>
      <c r="R17" s="80">
        <v>347</v>
      </c>
      <c r="S17" s="80">
        <v>1309</v>
      </c>
      <c r="T17" s="159">
        <f>SUM(S17,R17)</f>
        <v>1656</v>
      </c>
      <c r="U17" s="80">
        <v>2288</v>
      </c>
      <c r="V17" s="159">
        <v>2288</v>
      </c>
      <c r="W17" s="159">
        <v>3018</v>
      </c>
      <c r="X17" s="159">
        <f>W17+V17</f>
        <v>5306</v>
      </c>
      <c r="Y17" s="159">
        <v>4676</v>
      </c>
      <c r="Z17" s="159">
        <v>6824</v>
      </c>
      <c r="AA17" s="159">
        <f>Z17+Y17</f>
        <v>11500</v>
      </c>
      <c r="AB17" s="159">
        <v>6824</v>
      </c>
      <c r="AC17" s="159">
        <f>AB17+AA17</f>
        <v>18324</v>
      </c>
      <c r="AD17" s="159">
        <v>12409</v>
      </c>
      <c r="AE17" s="159">
        <f>AD17+AC17</f>
        <v>30733</v>
      </c>
      <c r="AF17" s="159">
        <v>10779</v>
      </c>
      <c r="AG17" s="159">
        <v>10848</v>
      </c>
      <c r="AH17" s="159">
        <f>AF17+AG17</f>
        <v>21627</v>
      </c>
      <c r="AI17" s="159">
        <v>13344.6</v>
      </c>
      <c r="AJ17" s="159">
        <f>AH17+AI17</f>
        <v>34971.599999999999</v>
      </c>
      <c r="AK17" s="159">
        <v>19383.900000000001</v>
      </c>
      <c r="AL17" s="159">
        <v>54355.9</v>
      </c>
      <c r="AM17" s="159">
        <v>24344.7</v>
      </c>
      <c r="AN17" s="159">
        <v>29988</v>
      </c>
      <c r="AO17" s="159">
        <f>AM17+AN17</f>
        <v>54332.7</v>
      </c>
      <c r="AP17" s="159">
        <v>35935.300000000003</v>
      </c>
      <c r="AQ17" s="159">
        <f>AO17+AP17</f>
        <v>90268</v>
      </c>
      <c r="AR17" s="159">
        <v>35117.379999999997</v>
      </c>
      <c r="AS17" s="159">
        <v>125385.38</v>
      </c>
      <c r="AT17" s="159">
        <v>43546</v>
      </c>
      <c r="AU17" s="159">
        <v>48227</v>
      </c>
      <c r="AV17" s="159">
        <f>AT17+AU17</f>
        <v>91773</v>
      </c>
      <c r="AW17" s="159">
        <v>51134.838019999996</v>
      </c>
      <c r="AX17" s="159">
        <f>AV17+AW17</f>
        <v>142907.83802</v>
      </c>
      <c r="AY17" s="159">
        <v>51118</v>
      </c>
      <c r="AZ17" s="159">
        <f>AX17+AY17</f>
        <v>194025.83802</v>
      </c>
      <c r="BA17" s="159">
        <v>55715</v>
      </c>
      <c r="BB17" s="159">
        <v>61859</v>
      </c>
      <c r="BC17" s="159">
        <f>BA17+BB17</f>
        <v>117574</v>
      </c>
      <c r="BD17" s="159">
        <v>63888</v>
      </c>
      <c r="BE17" s="159">
        <f>BC17+BD17</f>
        <v>181462</v>
      </c>
      <c r="BF17" s="159">
        <v>66103</v>
      </c>
      <c r="BG17" s="159">
        <f>BE17+BF17</f>
        <v>247565</v>
      </c>
      <c r="BH17" s="159">
        <v>65170</v>
      </c>
      <c r="BI17" s="159">
        <v>84193</v>
      </c>
      <c r="BJ17" s="159">
        <f>BH17+BI17</f>
        <v>149363</v>
      </c>
      <c r="BK17" s="159">
        <v>126560.7598</v>
      </c>
      <c r="BL17" s="159">
        <f>BJ17+BK17</f>
        <v>275923.7598</v>
      </c>
      <c r="BM17" s="80">
        <v>113114.26735000013</v>
      </c>
      <c r="BN17" s="159">
        <f>BL17+BM17</f>
        <v>389038.0271500001</v>
      </c>
      <c r="BO17" s="159">
        <v>126470</v>
      </c>
      <c r="BP17" s="159">
        <v>130731</v>
      </c>
      <c r="BQ17" s="159">
        <v>257201</v>
      </c>
      <c r="BR17" s="159">
        <v>131359.18132</v>
      </c>
      <c r="BS17" s="159">
        <f t="shared" si="20"/>
        <v>388560.18131999997</v>
      </c>
      <c r="BT17" s="159">
        <v>139689.34219</v>
      </c>
      <c r="BU17" s="159">
        <f t="shared" si="21"/>
        <v>528249.52350999997</v>
      </c>
      <c r="BV17" s="159">
        <v>144703.08934000001</v>
      </c>
      <c r="BW17" s="159">
        <v>161816.07167</v>
      </c>
      <c r="BX17" s="80">
        <f>BV17+BW17</f>
        <v>306519.16101000004</v>
      </c>
      <c r="BY17" s="80">
        <v>175383.45701000001</v>
      </c>
      <c r="BZ17" s="159">
        <f>BY17+BX17</f>
        <v>481902.61802000005</v>
      </c>
      <c r="CA17" s="80">
        <v>193879.18033742986</v>
      </c>
      <c r="CB17" s="159">
        <f>CA17+BZ17</f>
        <v>675781.79835742991</v>
      </c>
      <c r="CC17" s="80">
        <v>194893.3</v>
      </c>
      <c r="CD17" s="80">
        <v>176119.72515000001</v>
      </c>
      <c r="CE17" s="80">
        <v>371013.02515</v>
      </c>
      <c r="CF17" s="80">
        <v>114446.47106000001</v>
      </c>
      <c r="CG17" s="80">
        <v>485459.49621000001</v>
      </c>
      <c r="CH17" s="80">
        <v>122024.84429999998</v>
      </c>
      <c r="CI17" s="159">
        <v>122024.84429999998</v>
      </c>
      <c r="CJ17" s="80">
        <v>156573</v>
      </c>
      <c r="CK17" s="80">
        <v>185442</v>
      </c>
      <c r="CL17" s="80">
        <f>CJ17+CK17</f>
        <v>342015</v>
      </c>
      <c r="CM17" s="80">
        <v>219522</v>
      </c>
      <c r="CN17" s="80">
        <f>CL17+CM17</f>
        <v>561537</v>
      </c>
      <c r="CO17" s="80">
        <v>258719</v>
      </c>
      <c r="CP17" s="80">
        <f>CN17+CO17</f>
        <v>820256</v>
      </c>
      <c r="CQ17" s="80">
        <v>315016</v>
      </c>
      <c r="CR17" s="80">
        <v>363190</v>
      </c>
      <c r="CS17" s="80">
        <f>CQ17+CR17</f>
        <v>678206</v>
      </c>
      <c r="CT17" s="80">
        <v>358061</v>
      </c>
      <c r="CU17" s="80">
        <f>CS17+CT17</f>
        <v>1036267</v>
      </c>
      <c r="CV17" s="80">
        <v>401638</v>
      </c>
      <c r="CW17" s="80">
        <f>CU17+CV17</f>
        <v>1437905</v>
      </c>
      <c r="CX17" s="80">
        <v>408661</v>
      </c>
      <c r="CY17" s="80">
        <v>444259</v>
      </c>
      <c r="CZ17" s="80">
        <f>CX17+CY17</f>
        <v>852920</v>
      </c>
      <c r="DA17" s="80">
        <v>402080</v>
      </c>
      <c r="DB17" s="80">
        <f t="shared" ref="DB17:DD17" si="23">CZ17+DA17</f>
        <v>1255000</v>
      </c>
      <c r="DC17" s="80">
        <v>423484</v>
      </c>
      <c r="DD17" s="80">
        <f t="shared" si="23"/>
        <v>1678484</v>
      </c>
      <c r="DE17" s="80">
        <v>405099</v>
      </c>
      <c r="DF17" s="80">
        <v>405695</v>
      </c>
      <c r="DG17" s="80">
        <f>DE17+DF17</f>
        <v>810794</v>
      </c>
      <c r="DH17" s="80">
        <f>ROUND(402898.82073,0)-1</f>
        <v>402898</v>
      </c>
      <c r="DI17" s="80">
        <f>DG17+DH17</f>
        <v>1213692</v>
      </c>
      <c r="DJ17" s="80">
        <v>418996</v>
      </c>
      <c r="DK17" s="80">
        <f>DI17+DJ17</f>
        <v>1632688</v>
      </c>
      <c r="DL17" s="80">
        <v>470785</v>
      </c>
      <c r="DM17" s="80">
        <v>480324</v>
      </c>
      <c r="DN17" s="80">
        <f>DL17+DM17</f>
        <v>951109</v>
      </c>
      <c r="DO17" s="80">
        <v>457253.87766999996</v>
      </c>
      <c r="DP17" s="80">
        <f>DN17+DO17</f>
        <v>1408362.8776699998</v>
      </c>
      <c r="DQ17" s="80">
        <v>465593</v>
      </c>
      <c r="DR17" s="80">
        <f>DP17+DQ17</f>
        <v>1873955.8776699998</v>
      </c>
      <c r="DS17" s="80">
        <v>467685</v>
      </c>
      <c r="DT17" s="80">
        <v>480716</v>
      </c>
      <c r="DU17" s="80">
        <f>SUM(DS17:DT17)</f>
        <v>948401</v>
      </c>
    </row>
    <row r="18" spans="1:125" ht="16.350000000000001" customHeight="1">
      <c r="A18" s="155"/>
      <c r="B18" s="160" t="s">
        <v>1486</v>
      </c>
      <c r="C18" s="160" t="s">
        <v>1484</v>
      </c>
      <c r="D18" s="161" t="s">
        <v>624</v>
      </c>
      <c r="E18" s="161" t="s">
        <v>624</v>
      </c>
      <c r="F18" s="161" t="s">
        <v>624</v>
      </c>
      <c r="G18" s="161" t="s">
        <v>624</v>
      </c>
      <c r="H18" s="161" t="s">
        <v>624</v>
      </c>
      <c r="I18" s="161" t="s">
        <v>624</v>
      </c>
      <c r="J18" s="161" t="s">
        <v>624</v>
      </c>
      <c r="K18" s="161" t="s">
        <v>624</v>
      </c>
      <c r="L18" s="161" t="s">
        <v>624</v>
      </c>
      <c r="M18" s="161" t="s">
        <v>624</v>
      </c>
      <c r="N18" s="161" t="s">
        <v>624</v>
      </c>
      <c r="O18" s="161" t="s">
        <v>624</v>
      </c>
      <c r="P18" s="161" t="s">
        <v>624</v>
      </c>
      <c r="Q18" s="161" t="s">
        <v>624</v>
      </c>
      <c r="R18" s="161" t="s">
        <v>624</v>
      </c>
      <c r="S18" s="161" t="s">
        <v>624</v>
      </c>
      <c r="T18" s="161" t="s">
        <v>624</v>
      </c>
      <c r="U18" s="161" t="s">
        <v>624</v>
      </c>
      <c r="V18" s="161" t="s">
        <v>624</v>
      </c>
      <c r="W18" s="161" t="s">
        <v>624</v>
      </c>
      <c r="X18" s="161" t="s">
        <v>624</v>
      </c>
      <c r="Y18" s="161" t="s">
        <v>624</v>
      </c>
      <c r="Z18" s="38">
        <f>Z$17/AVERAGE(HLOOKUP(Y$5,'Receivables BACEN'!$6:$42,20,0),HLOOKUP(Z$5,'Receivables BACEN'!$6:$42,20,0))</f>
        <v>0.21804006773812187</v>
      </c>
      <c r="AA18" s="38">
        <f>AA$17/AVERAGE(HLOOKUP(X$5,'Receivables BACEN'!$6:$42,20,0),HLOOKUP(Y$5,'Receivables BACEN'!$6:$42,20,0),HLOOKUP(AA$5,'Receivables BACEN'!$6:$42,20,0))</f>
        <v>0.55117103875770834</v>
      </c>
      <c r="AB18" s="38">
        <f>AB$17/AVERAGE(HLOOKUP(AA$5,'Receivables BACEN'!$6:$42,20,0),HLOOKUP(AB$5,'Receivables BACEN'!$6:$42,20,0))</f>
        <v>9.5435887753746326E-2</v>
      </c>
      <c r="AC18" s="38">
        <f>AC$17/AVERAGE(HLOOKUP(Z$5,'Receivables BACEN'!$6:$42,20,0),HLOOKUP(AA$5,'Receivables BACEN'!$6:$42,20,0),HLOOKUP(AC$5,'Receivables BACEN'!$6:$42,20,0))</f>
        <v>0.26737224040739099</v>
      </c>
      <c r="AD18" s="38">
        <f>AD$17/AVERAGE(HLOOKUP(AC$5,'Receivables BACEN'!$6:$42,20,0),HLOOKUP(AD$5,'Receivables BACEN'!$6:$42,20,0))</f>
        <v>0.14502764045206457</v>
      </c>
      <c r="AE18" s="38">
        <f>AE$17/AVERAGE(HLOOKUP(X$5,'Receivables BACEN'!$6:$42,20,0),HLOOKUP(Y$5,'Receivables BACEN'!$6:$42,20,0),HLOOKUP(AA$5,'Receivables BACEN'!$6:$42,20,0),HLOOKUP(AC$5,'Receivables BACEN'!$6:$42,20,0),HLOOKUP(AE$5,'Receivables BACEN'!$6:$42,20,0))</f>
        <v>0.65747475611843231</v>
      </c>
      <c r="AF18" s="38">
        <f>AF$17/AVERAGE(HLOOKUP(AE$5,'Receivables BACEN'!$6:$42,20,0),HLOOKUP(AF$5,'Receivables BACEN'!$6:$42,20,0))</f>
        <v>0.12328156094882997</v>
      </c>
      <c r="AG18" s="38">
        <f>AG$17/AVERAGE(HLOOKUP(AF$5,'Receivables BACEN'!$6:$42,20,0),HLOOKUP(AG$5,'Receivables BACEN'!$6:$42,20,0))</f>
        <v>0.12189174916008405</v>
      </c>
      <c r="AH18" s="38">
        <f>AH$17/AVERAGE(HLOOKUP(AE$5,'Receivables BACEN'!$6:$42,20,0),HLOOKUP(AF$5,'Receivables BACEN'!$6:$42,20,0),HLOOKUP(AH$5,'Receivables BACEN'!$6:$42,20,0))</f>
        <v>0.24145630742779309</v>
      </c>
      <c r="AI18" s="38">
        <f>AI$17/AVERAGE(HLOOKUP(AH$5,'Receivables BACEN'!$6:$42,20,0),HLOOKUP(AI$5,'Receivables BACEN'!$6:$42,20,0))</f>
        <v>0.11994822611525083</v>
      </c>
      <c r="AJ18" s="38">
        <f>AJ$17/AVERAGE(HLOOKUP(AE$5,'Receivables BACEN'!$6:$42,20,0),HLOOKUP(AF$5,'Receivables BACEN'!$6:$42,20,0),HLOOKUP(AH$5,'Receivables BACEN'!$6:$42,20,0),HLOOKUP(AJ$5,'Receivables BACEN'!$6:$42,20,0))</f>
        <v>0.35202705763336301</v>
      </c>
      <c r="AK18" s="38">
        <f>AK$17/AVERAGE(HLOOKUP(AJ$5,'Receivables BACEN'!$6:$42,20,0),HLOOKUP(AK$5,'Receivables BACEN'!$6:$42,20,0))</f>
        <v>0.12753656562732341</v>
      </c>
      <c r="AL18" s="38">
        <f>AL$17/AVERAGE(HLOOKUP(AE$5,'Receivables BACEN'!$6:$42,20,0),HLOOKUP(AF$5,'Receivables BACEN'!$6:$42,20,0),HLOOKUP(AH$5,'Receivables BACEN'!$6:$42,20,0),HLOOKUP(AJ$5,'Receivables BACEN'!$6:$42,20,0),HLOOKUP(AL$5,'Receivables BACEN'!$6:$42,20,0))</f>
        <v>0.47457397748484759</v>
      </c>
      <c r="AM18" s="38">
        <f>AM$17/AVERAGE(HLOOKUP(AL$5,'Receivables BACEN'!$6:$42,20,0),HLOOKUP(AM$5,'Receivables BACEN'!$6:$42,20,0))</f>
        <v>0.12704377571761441</v>
      </c>
      <c r="AN18" s="38">
        <f>AN$17/AVERAGE(HLOOKUP(AM$5,'Receivables BACEN'!$6:$42,20,0),HLOOKUP(AN$5,'Receivables BACEN'!$6:$42,20,0))</f>
        <v>0.13163167886575877</v>
      </c>
      <c r="AO18" s="38">
        <f>AO$17/AVERAGE(HLOOKUP(AL$5,'Receivables BACEN'!$6:$42,20,0),HLOOKUP(AM$5,'Receivables BACEN'!$6:$42,20,0),HLOOKUP(AO$5,'Receivables BACEN'!$6:$42,20,0))</f>
        <v>0.258340861759084</v>
      </c>
      <c r="AP18" s="38">
        <f>AP$17/AVERAGE(HLOOKUP(AO$5,'Receivables BACEN'!$6:$42,20,0),HLOOKUP(AP$5,'Receivables BACEN'!$6:$42,20,0))</f>
        <v>0.13493202764328077</v>
      </c>
      <c r="AQ18" s="38">
        <f>AQ$17/AVERAGE(HLOOKUP(AL$5,'Receivables BACEN'!$6:$42,20,0),HLOOKUP(AM$5,'Receivables BACEN'!$6:$42,20,0),HLOOKUP(AO$5,'Receivables BACEN'!$6:$42,20,0),HLOOKUP(AQ$5,'Receivables BACEN'!$6:$42,20,0))</f>
        <v>0.39422988736663273</v>
      </c>
      <c r="AR18" s="38">
        <f>AR$17/AVERAGE(HLOOKUP(AQ$5,'Receivables BACEN'!$6:$42,20,0),HLOOKUP(AR$5,'Receivables BACEN'!$6:$42,20,0))</f>
        <v>0.11274451605653699</v>
      </c>
      <c r="AS18" s="38">
        <f>AS$17/AVERAGE(HLOOKUP(AL$5,'Receivables BACEN'!$6:$42,20,0),HLOOKUP(AM$5,'Receivables BACEN'!$6:$42,20,0),HLOOKUP(AO$5,'Receivables BACEN'!$6:$42,20,0),HLOOKUP(AQ$5,'Receivables BACEN'!$6:$42,20,0),HLOOKUP(AS$5,'Receivables BACEN'!$6:$42,20,0))</f>
        <v>0.49998277370469824</v>
      </c>
      <c r="AT18" s="38">
        <f>AT$17/AVERAGE(HLOOKUP(AS$5,'Receivables BACEN'!$6:$42,20,0),HLOOKUP(AT$5,'Receivables BACEN'!$6:$42,20,0))</f>
        <v>0.12691950243069297</v>
      </c>
      <c r="AU18" s="38">
        <f>AU$17/AVERAGE(HLOOKUP(AT$5,'Receivables BACEN'!$6:$42,20,0),HLOOKUP(AU$5,'Receivables BACEN'!$6:$42,20,0))</f>
        <v>0.13073234539007919</v>
      </c>
      <c r="AV18" s="38">
        <f>AV$17/AVERAGE(HLOOKUP(AS$5,'Receivables BACEN'!$6:$42,20,0),HLOOKUP(AT$5,'Receivables BACEN'!$6:$42,20,0),HLOOKUP(AV$5,'Receivables BACEN'!$6:$42,20,0))</f>
        <v>0.25591964630846087</v>
      </c>
      <c r="AW18" s="38">
        <f>AW$17/AVERAGE(HLOOKUP(AV$5,'Receivables BACEN'!$6:$42,20,0),HLOOKUP(AW$5,'Receivables BACEN'!$6:$42,20,0))</f>
        <v>0.12817687834237351</v>
      </c>
      <c r="AX18" s="38">
        <f>AX$17/AVERAGE(HLOOKUP(AS$5,'Receivables BACEN'!$6:$42,20,0),HLOOKUP(AT$5,'Receivables BACEN'!$6:$42,20,0),HLOOKUP(AV$5,'Receivables BACEN'!$6:$42,20,0),HLOOKUP(AX$5,'Receivables BACEN'!$6:$42,20,0))</f>
        <v>0.38517608273081294</v>
      </c>
      <c r="AY18" s="38">
        <f>AY$17/AVERAGE(HLOOKUP(AX$5,'Receivables BACEN'!$6:$42,20,0),HLOOKUP(AY$5,'Receivables BACEN'!$6:$42,20,0))</f>
        <v>0.11839715401658174</v>
      </c>
      <c r="AZ18" s="38">
        <f>AZ$17/AVERAGE(HLOOKUP(AS$5,'Receivables BACEN'!$6:$42,20,0),HLOOKUP(AT$5,'Receivables BACEN'!$6:$42,20,0),HLOOKUP(AV$5,'Receivables BACEN'!$6:$42,20,0),HLOOKUP(AX$5,'Receivables BACEN'!$6:$42,20,0),HLOOKUP(AZ$5,'Receivables BACEN'!$6:$42,20,0))</f>
        <v>0.5002463194544865</v>
      </c>
      <c r="BA18" s="38">
        <f>BA$17/AVERAGE(HLOOKUP(AZ$5,'Receivables BACEN'!$6:$42,20,0),HLOOKUP(BA$5,'Receivables BACEN'!$6:$42,20,0))</f>
        <v>0.12343830410267581</v>
      </c>
      <c r="BB18" s="38">
        <f>BB$17/AVERAGE(HLOOKUP(BA$5,'Receivables BACEN'!$6:$42,20,0),HLOOKUP(BB$5,'Receivables BACEN'!$6:$42,20,0))</f>
        <v>0.13357413464710058</v>
      </c>
      <c r="BC18" s="38">
        <f>BC$17/AVERAGE(HLOOKUP(AZ$5,'Receivables BACEN'!$6:$42,20,0),HLOOKUP(BA$5,'Receivables BACEN'!$6:$42,20,0),HLOOKUP(BC$5,'Receivables BACEN'!$6:$42,20,0))</f>
        <v>0.25532972967456696</v>
      </c>
      <c r="BD18" s="38">
        <f>BD$17/AVERAGE(HLOOKUP(BC$5,'Receivables BACEN'!$6:$42,20,0),HLOOKUP(BD$5,'Receivables BACEN'!$6:$42,20,0))</f>
        <v>0.13161893813246137</v>
      </c>
      <c r="BE18" s="38">
        <f>BE$17/AVERAGE(HLOOKUP(AZ$5,'Receivables BACEN'!$6:$42,20,0),HLOOKUP(BA$5,'Receivables BACEN'!$6:$42,20,0),HLOOKUP(BC$5,'Receivables BACEN'!$6:$42,20,0),HLOOKUP(BE$5,'Receivables BACEN'!$6:$42,20,0))</f>
        <v>0.38742459289118869</v>
      </c>
      <c r="BF18" s="38">
        <f>BF$17/AVERAGE(HLOOKUP(BE$5,'Receivables BACEN'!$6:$42,20,0),HLOOKUP(BF$5,'Receivables BACEN'!$6:$42,20,0))</f>
        <v>0.12941738123187804</v>
      </c>
      <c r="BG18" s="38">
        <f>BG$17/AVERAGE(HLOOKUP(AZ$5,'Receivables BACEN'!$6:$42,20,0),HLOOKUP(BA$5,'Receivables BACEN'!$6:$42,20,0),HLOOKUP(BC$5,'Receivables BACEN'!$6:$42,20,0),HLOOKUP(BE$5,'Receivables BACEN'!$6:$42,20,0),HLOOKUP(BG$5,'Receivables BACEN'!$6:$42,20,0))</f>
        <v>0.51511979348780002</v>
      </c>
      <c r="BH18" s="38">
        <f>BH$17/AVERAGE(HLOOKUP(BG$5,'Receivables BACEN'!$6:$42,20,0),HLOOKUP(BH$5,'Receivables BACEN'!$6:$42,20,0))</f>
        <v>0.11813812351436695</v>
      </c>
      <c r="BI18" s="38">
        <f>BI$17/AVERAGE(HLOOKUP(BH$5,'Receivables BACEN'!$6:$42,20,0),HLOOKUP(BI$5,'Receivables BACEN'!$6:$42,20,0))</f>
        <v>0.11972839673940287</v>
      </c>
      <c r="BJ18" s="38">
        <f>BJ$17/AVERAGE(HLOOKUP(BG$5,'Receivables BACEN'!$6:$42,20,0),HLOOKUP(BH$5,'Receivables BACEN'!$6:$42,20,0),HLOOKUP(BJ$5,'Receivables BACEN'!$6:$42,20,0))</f>
        <v>0.23146720462065454</v>
      </c>
      <c r="BK18" s="38">
        <f>BK$17/AVERAGE(HLOOKUP(BJ$5,'Receivables BACEN'!$6:$42,20,0),HLOOKUP(BK$5,'Receivables BACEN'!$6:$42,20,0))</f>
        <v>0.14710302602739642</v>
      </c>
      <c r="BL18" s="38">
        <f>BL$17/AVERAGE(HLOOKUP(BG$5,'Receivables BACEN'!$6:$42,20,0),HLOOKUP(BH$5,'Receivables BACEN'!$6:$42,20,0),HLOOKUP(BJ$5,'Receivables BACEN'!$6:$42,20,0),HLOOKUP(BL$5,'Receivables BACEN'!$6:$42,20,0))</f>
        <v>0.3908276908985559</v>
      </c>
      <c r="BM18" s="38">
        <f>BM$17/AVERAGE(HLOOKUP(BL$5,'Receivables BACEN'!$6:$42,20,0),HLOOKUP(BM$5,'Receivables BACEN'!$6:$42,20,0))</f>
        <v>0.11480070984012357</v>
      </c>
      <c r="BN18" s="38">
        <f>BN$17/AVERAGE(HLOOKUP(BG$5,'Receivables BACEN'!$6:$42,20,0),HLOOKUP(BH$5,'Receivables BACEN'!$6:$42,20,0),HLOOKUP(BJ$5,'Receivables BACEN'!$6:$42,20,0),HLOOKUP(BL$5,'Receivables BACEN'!$6:$42,20,0),HLOOKUP(BN$5,'Receivables BACEN'!$6:$42,20,0))</f>
        <v>0.49793890652749062</v>
      </c>
      <c r="BO18" s="38">
        <f>BO$17/AVERAGE(HLOOKUP(BN$5,'Receivables BACEN'!$6:$42,20,0),HLOOKUP(BO$5,'Receivables BACEN'!$6:$42,20,0))</f>
        <v>0.11743652428871852</v>
      </c>
      <c r="BP18" s="38">
        <f>BP$17/AVERAGE(HLOOKUP(BO$5,'Receivables BACEN'!$6:$42,20,0),HLOOKUP(BP$5,'Receivables BACEN'!$6:$42,20,0))</f>
        <v>0.11742140073449511</v>
      </c>
      <c r="BQ18" s="38">
        <f>BQ$17/AVERAGE(HLOOKUP(BN$5,'Receivables BACEN'!$6:$42,20,0),HLOOKUP(BO$5,'Receivables BACEN'!$6:$42,20,0),HLOOKUP(BQ$5,'Receivables BACEN'!$6:$42,20,0))</f>
        <v>0.23316991895807326</v>
      </c>
      <c r="BR18" s="38">
        <f>BR$17/AVERAGE(HLOOKUP(BQ$5,'Receivables BACEN'!$6:$42,20,0),HLOOKUP(BR$5,'Receivables BACEN'!$6:$42,20,0))</f>
        <v>0.11107397475284006</v>
      </c>
      <c r="BS18" s="38">
        <f>BS$17/AVERAGE(HLOOKUP(BN$5,'Receivables BACEN'!$6:$42,20,0),HLOOKUP(BO$5,'Receivables BACEN'!$6:$42,20,0),HLOOKUP(BQ$5,'Receivables BACEN'!$6:$42,20,0),HLOOKUP(BS$5,'Receivables BACEN'!$6:$42,20,0))</f>
        <v>0.34392703375018258</v>
      </c>
      <c r="BT18" s="38">
        <f>BT$17/AVERAGE(HLOOKUP(BS$5,'Receivables BACEN'!$6:$42,20,0),HLOOKUP(BT$5,'Receivables BACEN'!$6:$42,20,0))</f>
        <v>0.10474066299273817</v>
      </c>
      <c r="BU18" s="38">
        <f>BU$17/AVERAGE(HLOOKUP(BN$5,'Receivables BACEN'!$6:$42,20,0),HLOOKUP(BO$5,'Receivables BACEN'!$6:$42,20,0),HLOOKUP(BQ$5,'Receivables BACEN'!$6:$42,20,0),HLOOKUP(BS$5,'Receivables BACEN'!$6:$42,20,0),HLOOKUP(BU$5,'Receivables BACEN'!$6:$42,20,0))</f>
        <v>0.44193701860362683</v>
      </c>
      <c r="BV18" s="38">
        <f>BV$17/AVERAGE(HLOOKUP(BU$5,'Receivables BACEN'!$6:$42,20,0),HLOOKUP(BV$5,'Receivables BACEN'!$6:$42,20,0))</f>
        <v>9.9332152115552783E-2</v>
      </c>
      <c r="BW18" s="38">
        <f>BW$17/AVERAGE(HLOOKUP(BV$5,'Receivables BACEN'!$6:$42,20,0),HLOOKUP(BW$5,'Receivables BACEN'!$6:$42,20,0))</f>
        <v>0.10599215471406923</v>
      </c>
      <c r="BX18" s="38">
        <f>BX$17/AVERAGE(HLOOKUP(BU$5,'Receivables BACEN'!$6:$42,20,0),HLOOKUP(BV$5,'Receivables BACEN'!$6:$42,20,0),HLOOKUP(BX$5,'Receivables BACEN'!$6:$42,20,0))</f>
        <v>0.2038575664265132</v>
      </c>
      <c r="BY18" s="38">
        <f>BY$17/AVERAGE(HLOOKUP(BX$5,'Receivables BACEN'!$6:$42,20,0),HLOOKUP(BY$5,'Receivables BACEN'!$6:$42,20,0))</f>
        <v>0.10392235012681277</v>
      </c>
      <c r="BZ18" s="38">
        <f>BZ$17/AVERAGE(HLOOKUP(BU$5,'Receivables BACEN'!$6:$42,20,0),HLOOKUP(BV$5,'Receivables BACEN'!$6:$42,20,0),HLOOKUP(BX$5,'Receivables BACEN'!$6:$42,20,0),HLOOKUP(BZ$5,'Receivables BACEN'!$6:$42,20,0))</f>
        <v>0.30651490209068505</v>
      </c>
      <c r="CA18" s="38">
        <f>CA$17/AVERAGE(HLOOKUP(BZ$5,'Receivables BACEN'!$6:$42,20,0),HLOOKUP(CA$5,'Receivables BACEN'!$6:$42,20,0))</f>
        <v>0.1005495189838945</v>
      </c>
      <c r="CB18" s="38">
        <f>CB$17/AVERAGE(HLOOKUP(BU$5,'Receivables BACEN'!$6:$42,20,0),HLOOKUP(BV$5,'Receivables BACEN'!$6:$42,20,0),HLOOKUP(BX$5,'Receivables BACEN'!$6:$42,20,0),HLOOKUP(BZ$5,'Receivables BACEN'!$6:$42,20,0),HLOOKUP(CB$5,'Receivables BACEN'!$6:$42,20,0))</f>
        <v>0.40382907255227851</v>
      </c>
      <c r="CC18" s="38">
        <f>CC$17/AVERAGE(HLOOKUP(CB$5,'Receivables BACEN'!$6:$42,20,0),HLOOKUP(CC$5,'Receivables BACEN'!$6:$42,20,0))</f>
        <v>9.3729146539771616E-2</v>
      </c>
      <c r="CD18" s="38">
        <f>CD$17/AVERAGE(HLOOKUP(CC$5,'Receivables BACEN'!$6:$42,20,0),HLOOKUP(CD$5,'Receivables BACEN'!$6:$42,20,0))</f>
        <v>8.9249514523259854E-2</v>
      </c>
      <c r="CE18" s="38">
        <f>CE$17/AVERAGE(HLOOKUP(CB$5,'Receivables BACEN'!$6:$42,20,0),HLOOKUP(CC$5,'Receivables BACEN'!$6:$42,20,0),HLOOKUP(CE$5,'Receivables BACEN'!$6:$42,20,0))</f>
        <v>0.18473494881218716</v>
      </c>
      <c r="CF18" s="38">
        <f>CF$17/AVERAGE(HLOOKUP(CE$5,'Receivables BACEN'!$6:$42,20,0),HLOOKUP(CF$5,'Receivables BACEN'!$6:$42,20,0))</f>
        <v>5.9069059096581854E-2</v>
      </c>
      <c r="CG18" s="38">
        <f>CG$17/AVERAGE(HLOOKUP(CB$5,'Receivables BACEN'!$6:$42,20,0),HLOOKUP(CC$5,'Receivables BACEN'!$6:$42,20,0),HLOOKUP(CE$5,'Receivables BACEN'!$6:$42,20,0),HLOOKUP(CG$5,'Receivables BACEN'!$6:$42,20,0))</f>
        <v>0.2417129073918011</v>
      </c>
      <c r="CH18" s="38">
        <f>CH$17/AVERAGE(HLOOKUP(CG$5,'Receivables BACEN'!$6:$42,20,0),HLOOKUP(CH$5,'Receivables BACEN'!$6:$42,20,0))</f>
        <v>5.5916841613368649E-2</v>
      </c>
      <c r="CI18" s="38">
        <f>CI$17/AVERAGE(HLOOKUP(CH$5,'Receivables BACEN'!$6:$42,20,0),HLOOKUP(CI$5,'Receivables BACEN'!$6:$42,20,0))</f>
        <v>5.1795064962798877E-2</v>
      </c>
      <c r="CJ18" s="38">
        <f>CJ$17/AVERAGE(HLOOKUP(CI$5,'Receivables BACEN'!$6:$42,20,0),HLOOKUP(CJ$5,'Receivables BACEN'!$6:$42,20,0))</f>
        <v>6.8723729714145337E-2</v>
      </c>
      <c r="CK18" s="38">
        <f>CK$17/AVERAGE(HLOOKUP(CJ$5,'Receivables BACEN'!$6:$42,20,0),HLOOKUP(CK$5,'Receivables BACEN'!$6:$42,20,0))</f>
        <v>7.8451750220636718E-2</v>
      </c>
      <c r="CL18" s="38">
        <f>CL$17/AVERAGE(HLOOKUP(CI$5,'Receivables BACEN'!$6:$42,20,0),HLOOKUP(CJ$5,'Receivables BACEN'!$6:$42,20,0),HLOOKUP(CL$5,'Receivables BACEN'!$6:$42,20,0))</f>
        <v>0.14485083913064151</v>
      </c>
      <c r="CM18" s="38">
        <f>CM$17/AVERAGE(HLOOKUP(CL$5,'Receivables BACEN'!$6:$42,20,0),HLOOKUP(CM$5,'Receivables BACEN'!$6:$42,20,0))</f>
        <v>8.1912415164853869E-2</v>
      </c>
      <c r="CN18" s="38">
        <f>CN$17/AVERAGE(HLOOKUP(CI$5,'Receivables BACEN'!$6:$42,20,0),HLOOKUP(CJ$5,'Receivables BACEN'!$6:$42,20,0),HLOOKUP(CL$5,'Receivables BACEN'!$6:$42,20,0),HLOOKUP(CN$5,'Receivables BACEN'!$6:$42,20,0))</f>
        <v>0.22650584891926678</v>
      </c>
      <c r="CO18" s="38">
        <f>CO$17/AVERAGE(HLOOKUP(CN$5,'Receivables BACEN'!$6:$42,20,0),HLOOKUP(CO$5,'Receivables BACEN'!$6:$42,20,0))</f>
        <v>7.927900697324336E-2</v>
      </c>
      <c r="CP18" s="38">
        <f>CP$17/AVERAGE(HLOOKUP(CI$5,'Receivables BACEN'!$6:$42,20,0),HLOOKUP(CJ$5,'Receivables BACEN'!$6:$42,20,0),HLOOKUP(CL$5,'Receivables BACEN'!$6:$42,20,0),HLOOKUP(CN$5,'Receivables BACEN'!$6:$42,20,0),HLOOKUP(CP$5,'Receivables BACEN'!$6:$42,20,0))</f>
        <v>0.30133745471871265</v>
      </c>
      <c r="CQ18" s="64">
        <f>CQ$17/AVERAGE(HLOOKUP(CP$5,'Estimated Credit Losses IFRS'!6:89,67,0),HLOOKUP(CQ$5,'Estimated Credit Losses IFRS'!6:89,67,0))</f>
        <v>8.2108961920449322E-2</v>
      </c>
      <c r="CR18" s="64">
        <f>CR$17/AVERAGE(HLOOKUP(CQ$5,'Estimated Credit Losses IFRS'!6:89,67,0),HLOOKUP(CR$5,'Estimated Credit Losses IFRS'!6:89,67,0))</f>
        <v>8.5744865878895501E-2</v>
      </c>
      <c r="CS18" s="38">
        <f>CS$17/AVERAGE(HLOOKUP(CP$5,'Estimated Credit Losses IFRS'!6:89,67,0),HLOOKUP(CQ$5,'Estimated Credit Losses IFRS'!6:89,67,0),HLOOKUP(CS$5,'Estimated Credit Losses IFRS'!6:89,67,0))</f>
        <v>0.16724965690942697</v>
      </c>
      <c r="CT18" s="64">
        <f>CT$17/AVERAGE(HLOOKUP(CS$5,'Estimated Credit Losses IFRS'!6:89,67,0),HLOOKUP(CT$5,'Estimated Credit Losses IFRS'!6:89,67,0))</f>
        <v>7.7409623446882694E-2</v>
      </c>
      <c r="CU18" s="64">
        <f>CU$17/AVERAGE(HLOOKUP(CP$5,'Estimated Credit Losses IFRS'!6:89,67,0),HLOOKUP(CQ$5,'Estimated Credit Losses IFRS'!6:89,67,0),HLOOKUP(CS$5,'Estimated Credit Losses IFRS'!6:89,67,0),HLOOKUP(CU$5,'Estimated Credit Losses IFRS'!6:89,67,0))</f>
        <v>0.24491968391048247</v>
      </c>
      <c r="CV18" s="64">
        <f>CV$17/AVERAGE(HLOOKUP(CU$5,'Estimated Credit Losses IFRS'!6:89,67,0),HLOOKUP(CV$5,'Estimated Credit Losses IFRS'!6:89,67,0))</f>
        <v>7.9179731433409853E-2</v>
      </c>
      <c r="CW18" s="64">
        <f>CW$17/AVERAGE(HLOOKUP(CP$5,'Estimated Credit Losses IFRS'!6:89,67,0),HLOOKUP(CQ$5,'Estimated Credit Losses IFRS'!6:89,67,0),HLOOKUP(CS$5,'Estimated Credit Losses IFRS'!6:89,67,0),HLOOKUP(CU$5,'Estimated Credit Losses IFRS'!6:89,67,0),HLOOKUP(CW$5,'Estimated Credit Losses IFRS'!6:89,67,0))</f>
        <v>0.32225390937970988</v>
      </c>
      <c r="CX18" s="64">
        <f>CX$17/AVERAGE(HLOOKUP(CW$5,'Estimated Credit Losses IFRS'!6:89,67,0),HLOOKUP(CX$5,'Estimated Credit Losses IFRS'!6:89,67,0))</f>
        <v>7.6114741770483871E-2</v>
      </c>
      <c r="CY18" s="64">
        <f>CY$17/AVERAGE(HLOOKUP(CX$5,'Estimated Credit Losses IFRS'!6:89,67,0),HLOOKUP(CY$5,'Estimated Credit Losses IFRS'!6:89,67,0))</f>
        <v>8.2494869127350087E-2</v>
      </c>
      <c r="CZ18" s="38">
        <f>CZ$17/AVERAGE(HLOOKUP(CW$5,'Estimated Credit Losses IFRS'!6:89,67,0),HLOOKUP(CX$5,'Estimated Credit Losses IFRS'!6:89,67,0),HLOOKUP(CZ$5,'Estimated Credit Losses IFRS'!6:89,67,0))</f>
        <v>0.15837324344102136</v>
      </c>
      <c r="DA18" s="64">
        <f>DA$17/AVERAGE(HLOOKUP(CZ$5,'Estimated Credit Losses IFRS'!6:89,67,0),HLOOKUP(DA$5,'Estimated Credit Losses IFRS'!6:89,67,0))</f>
        <v>7.6315622647640399E-2</v>
      </c>
      <c r="DB18" s="64">
        <f>DB$17/AVERAGE(HLOOKUP(CW$5,'Estimated Credit Losses IFRS'!6:89,67,0),HLOOKUP(CX$5,'Estimated Credit Losses IFRS'!6:89,67,0),HLOOKUP(CZ$5,'Estimated Credit Losses IFRS'!6:89,67,0),HLOOKUP(DB$5,'Estimated Credit Losses IFRS'!6:89,67,0))</f>
        <v>0.23595418108223723</v>
      </c>
      <c r="DC18" s="64">
        <f>DC$17/AVERAGE(HLOOKUP(DB$5,'Estimated Credit Losses IFRS'!6:89,67,0),HLOOKUP(DC$5,'Estimated Credit Losses IFRS'!6:89,67,0))</f>
        <v>8.0612587441074204E-2</v>
      </c>
      <c r="DD18" s="64">
        <f>DD$17/AVERAGE(HLOOKUP(CW$5,'Estimated Credit Losses IFRS'!6:89,67,0),HLOOKUP(CX$5,'Estimated Credit Losses IFRS'!6:89,67,0),HLOOKUP(CZ$5,'Estimated Credit Losses IFRS'!6:89,67,0),HLOOKUP(DB$5,'Estimated Credit Losses IFRS'!6:89,67,0),HLOOKUP(DD$5,'Estimated Credit Losses IFRS'!6:89,67,0))</f>
        <v>0.31475709334421076</v>
      </c>
      <c r="DE18" s="64">
        <f>DE$17/AVERAGE(HLOOKUP(DD$5,'Estimated Credit Losses IFRS'!6:89,67,0),HLOOKUP(DE$5,'Estimated Credit Losses IFRS'!6:89,67,0))</f>
        <v>7.7385712758845676E-2</v>
      </c>
      <c r="DF18" s="64">
        <f>DF$17/AVERAGE(HLOOKUP(DE$5,'Estimated Credit Losses IFRS'!6:89,67,0),HLOOKUP(DF$5,'Estimated Credit Losses IFRS'!6:89,67,0))</f>
        <v>7.9335154439249517E-2</v>
      </c>
      <c r="DG18" s="38">
        <f>DG$17/AVERAGE(HLOOKUP(DD$5,'Estimated Credit Losses IFRS'!6:89,67,0),HLOOKUP(DE$5,'Estimated Credit Losses IFRS'!6:89,67,0),HLOOKUP(DG$5,'Estimated Credit Losses IFRS'!6:89,67,0))</f>
        <v>0.15576997474337057</v>
      </c>
      <c r="DH18" s="64">
        <f>DH$17/AVERAGE(HLOOKUP(DG$5,'Estimated Credit Losses IFRS'!6:89,67,0),HLOOKUP(DH$5,'Estimated Credit Losses IFRS'!6:89,67,0))</f>
        <v>7.8697716263593537E-2</v>
      </c>
      <c r="DI18" s="64">
        <f>DI$17/AVERAGE(HLOOKUP(DD$5,'Estimated Credit Losses IFRS'!6:89,67,0),HLOOKUP(DE$5,'Estimated Credit Losses IFRS'!6:89,67,0),HLOOKUP(DG$5,'Estimated Credit Losses IFRS'!6:89,67,0),HLOOKUP(DI$5,'Estimated Credit Losses IFRS'!6:89,67,0))</f>
        <v>0.23443092833049942</v>
      </c>
      <c r="DJ18" s="64">
        <f>DJ$17/AVERAGE(HLOOKUP(DI$5,'Estimated Credit Losses IFRS'!6:89,67,0),HLOOKUP(DJ$5,'Estimated Credit Losses IFRS'!6:89,67,0))</f>
        <v>7.9779582385459763E-2</v>
      </c>
      <c r="DK18" s="64">
        <f>DK$17/AVERAGE(HLOOKUP(DD$5,'Estimated Credit Losses IFRS'!6:89,67,0),HLOOKUP(DE$5,'Estimated Credit Losses IFRS'!6:89,67,0),HLOOKUP(DG$5,'Estimated Credit Losses IFRS'!6:89,67,0),HLOOKUP(DI$5,'Estimated Credit Losses IFRS'!6:89,67,0),HLOOKUP(DK$5,'Estimated Credit Losses IFRS'!6:89,67,0))</f>
        <v>0.31254726356653678</v>
      </c>
      <c r="DL18" s="64">
        <f>DL$17/AVERAGE(HLOOKUP(DK$5,'Estimated Credit Losses IFRS'!6:89,67,0),HLOOKUP(DL$5,'Estimated Credit Losses IFRS'!6:89,67,0))</f>
        <v>8.6944072268711661E-2</v>
      </c>
      <c r="DM18" s="64">
        <f>DM$17/AVERAGE(HLOOKUP(DL$5,'Estimated Credit Losses IFRS'!6:89,67,0),HLOOKUP(DM$5,'Estimated Credit Losses IFRS'!6:89,67,0))</f>
        <v>8.5929271916539873E-2</v>
      </c>
      <c r="DN18" s="64">
        <f>DN$17/AVERAGE(HLOOKUP(DK$5,'Estimated Credit Losses IFRS'!6:89,67,0),HLOOKUP(DL$5,'Estimated Credit Losses IFRS'!6:89,67,0),HLOOKUP(DN$5,'Estimated Credit Losses IFRS'!6:89,67,0))</f>
        <v>0.17199241169637344</v>
      </c>
      <c r="DO18" s="64">
        <f>DO$17/AVERAGE(HLOOKUP(DN$5,'Estimated Credit Losses IFRS'!6:89,67,0),HLOOKUP(DO$5,'Estimated Credit Losses IFRS'!6:89,67,0))</f>
        <v>7.9750393723966806E-2</v>
      </c>
      <c r="DP18" s="64">
        <f>DP$17/AVERAGE(HLOOKUP(DK$5,'Estimated Credit Losses IFRS'!6:89,67,0),HLOOKUP(DL$5,'Estimated Credit Losses IFRS'!6:89,67,0),HLOOKUP(DN$5,'Estimated Credit Losses IFRS'!6:89,67,0),HLOOKUP(DP$5,'Estimated Credit Losses IFRS'!6:89,67,0))</f>
        <v>0.25265818462950623</v>
      </c>
      <c r="DQ18" s="64">
        <f>DQ$17/AVERAGE(HLOOKUP(DP$5,'Estimated Credit Losses IFRS'!6:89,67,0),HLOOKUP(DQ$5,'Estimated Credit Losses IFRS'!6:89,67,0))</f>
        <v>7.9042424384978938E-2</v>
      </c>
      <c r="DR18" s="64">
        <f>DR$17/AVERAGE(HLOOKUP(DM$5,'Estimated Credit Losses IFRS'!6:89,67,0),HLOOKUP(DN$5,'Estimated Credit Losses IFRS'!6:89,67,0),HLOOKUP(DP$5,'Estimated Credit Losses IFRS'!6:89,67,0),HLOOKUP(DR$5,'Estimated Credit Losses IFRS'!6:89,67,0))</f>
        <v>0.32169105126789099</v>
      </c>
      <c r="DS18" s="64">
        <f>DS$17/AVERAGE(HLOOKUP(DR$5,'Estimated Credit Losses IFRS'!6:89,67,0),HLOOKUP(DS$5,'Estimated Credit Losses IFRS'!6:89,67,0))</f>
        <v>7.8250656991604578E-2</v>
      </c>
      <c r="DT18" s="64">
        <f>DT$17/AVERAGE(HLOOKUP(DS$5,'Estimated Credit Losses IFRS'!6:89,67,0),HLOOKUP(DT$5,'Estimated Credit Losses IFRS'!6:89,67,0))</f>
        <v>8.1399440060941505E-2</v>
      </c>
      <c r="DU18" s="64">
        <f>DU$17/AVERAGE(HLOOKUP(DR$5,'Estimated Credit Losses IFRS'!6:89,67,0),HLOOKUP(DS$5,'Estimated Credit Losses IFRS'!6:89,67,0),HLOOKUP(DU$5,'Estimated Credit Losses IFRS'!6:89,67,0))</f>
        <v>0.15908110919813609</v>
      </c>
    </row>
    <row r="19" spans="1:125" ht="16.350000000000001" customHeight="1">
      <c r="A19" s="155"/>
      <c r="B19" s="158" t="s">
        <v>381</v>
      </c>
      <c r="C19" s="158" t="s">
        <v>380</v>
      </c>
      <c r="D19" s="80">
        <v>14597</v>
      </c>
      <c r="E19" s="80">
        <v>14605</v>
      </c>
      <c r="F19" s="159">
        <f>SUM(D19+E19)</f>
        <v>29202</v>
      </c>
      <c r="G19" s="80">
        <v>20166</v>
      </c>
      <c r="H19" s="159">
        <f>SUM(F19+G19)</f>
        <v>49368</v>
      </c>
      <c r="I19" s="80">
        <v>21895</v>
      </c>
      <c r="J19" s="80">
        <f>SUM(H19,I19)</f>
        <v>71263</v>
      </c>
      <c r="K19" s="80">
        <v>19762</v>
      </c>
      <c r="L19" s="80">
        <v>18576</v>
      </c>
      <c r="M19" s="159">
        <v>38339</v>
      </c>
      <c r="N19" s="80">
        <v>20299</v>
      </c>
      <c r="O19" s="159">
        <f>SUM(M19+N19)</f>
        <v>58638</v>
      </c>
      <c r="P19" s="80">
        <v>21906</v>
      </c>
      <c r="Q19" s="80">
        <v>80542</v>
      </c>
      <c r="R19" s="80">
        <v>21312</v>
      </c>
      <c r="S19" s="80">
        <v>20184</v>
      </c>
      <c r="T19" s="159">
        <f>SUM(S19,R19)</f>
        <v>41496</v>
      </c>
      <c r="U19" s="80">
        <v>20335</v>
      </c>
      <c r="V19" s="159">
        <v>20335</v>
      </c>
      <c r="W19" s="159">
        <v>22130</v>
      </c>
      <c r="X19" s="159">
        <f>W19+V19</f>
        <v>42465</v>
      </c>
      <c r="Y19" s="159">
        <v>20533</v>
      </c>
      <c r="Z19" s="159">
        <v>20918</v>
      </c>
      <c r="AA19" s="159">
        <f>Z19+Y19</f>
        <v>41451</v>
      </c>
      <c r="AB19" s="159">
        <v>20918</v>
      </c>
      <c r="AC19" s="159">
        <f>AB19+AA19</f>
        <v>62369</v>
      </c>
      <c r="AD19" s="159">
        <v>23572</v>
      </c>
      <c r="AE19" s="159">
        <f>AD19+AC19</f>
        <v>85941</v>
      </c>
      <c r="AF19" s="159">
        <v>20186</v>
      </c>
      <c r="AG19" s="159">
        <v>20038</v>
      </c>
      <c r="AH19" s="159">
        <f>AF19+AG19</f>
        <v>40224</v>
      </c>
      <c r="AI19" s="159">
        <v>21823.200000000001</v>
      </c>
      <c r="AJ19" s="159">
        <f>AH19+AI19</f>
        <v>62047.199999999997</v>
      </c>
      <c r="AK19" s="159">
        <v>22847.200000000001</v>
      </c>
      <c r="AL19" s="159">
        <v>84894.3</v>
      </c>
      <c r="AM19" s="159">
        <v>23633.599999999999</v>
      </c>
      <c r="AN19" s="159">
        <v>24107</v>
      </c>
      <c r="AO19" s="159">
        <f>AM19+AN19</f>
        <v>47740.6</v>
      </c>
      <c r="AP19" s="159">
        <v>25862.9</v>
      </c>
      <c r="AQ19" s="159">
        <f>AO19+AP19</f>
        <v>73603.5</v>
      </c>
      <c r="AR19" s="159">
        <v>26285.02</v>
      </c>
      <c r="AS19" s="159">
        <f>SUM(AR19,AQ19)</f>
        <v>99888.52</v>
      </c>
      <c r="AT19" s="159">
        <v>26458.1</v>
      </c>
      <c r="AU19" s="159">
        <v>28615</v>
      </c>
      <c r="AV19" s="159">
        <f>AT19+AU19</f>
        <v>55073.1</v>
      </c>
      <c r="AW19" s="159">
        <v>28845.987880000001</v>
      </c>
      <c r="AX19" s="159">
        <f>AV19+AW19</f>
        <v>83919.087880000006</v>
      </c>
      <c r="AY19" s="159">
        <v>34097</v>
      </c>
      <c r="AZ19" s="159">
        <v>118015</v>
      </c>
      <c r="BA19" s="159">
        <v>29855</v>
      </c>
      <c r="BB19" s="159">
        <v>27426</v>
      </c>
      <c r="BC19" s="159">
        <f>BA19+BB19</f>
        <v>57281</v>
      </c>
      <c r="BD19" s="159">
        <v>28615</v>
      </c>
      <c r="BE19" s="159">
        <f>BC19+BD19</f>
        <v>85896</v>
      </c>
      <c r="BF19" s="159">
        <v>28925</v>
      </c>
      <c r="BG19" s="159">
        <f>BE19+BF19</f>
        <v>114821</v>
      </c>
      <c r="BH19" s="159">
        <v>25364</v>
      </c>
      <c r="BI19" s="159">
        <v>22319</v>
      </c>
      <c r="BJ19" s="159">
        <f>BH19+BI19</f>
        <v>47683</v>
      </c>
      <c r="BK19" s="159">
        <v>19718.706029999998</v>
      </c>
      <c r="BL19" s="159">
        <f>BJ19+BK19</f>
        <v>67401.706030000001</v>
      </c>
      <c r="BM19" s="80">
        <v>24422.24566</v>
      </c>
      <c r="BN19" s="159">
        <f>BL19+BM19</f>
        <v>91823.951690000002</v>
      </c>
      <c r="BO19" s="159">
        <v>23110</v>
      </c>
      <c r="BP19" s="159">
        <v>23038</v>
      </c>
      <c r="BQ19" s="159">
        <v>46147</v>
      </c>
      <c r="BR19" s="159">
        <v>20790.579399999999</v>
      </c>
      <c r="BS19" s="159">
        <f t="shared" si="20"/>
        <v>66937.579400000002</v>
      </c>
      <c r="BT19" s="159">
        <v>19661.757129999998</v>
      </c>
      <c r="BU19" s="159">
        <f t="shared" si="21"/>
        <v>86599.33653</v>
      </c>
      <c r="BV19" s="159">
        <v>0</v>
      </c>
      <c r="BW19" s="159">
        <v>0</v>
      </c>
      <c r="BX19" s="80">
        <v>0</v>
      </c>
      <c r="BY19" s="80">
        <v>0</v>
      </c>
      <c r="BZ19" s="159">
        <v>0</v>
      </c>
      <c r="CA19" s="80">
        <v>0</v>
      </c>
      <c r="CB19" s="159">
        <v>0</v>
      </c>
      <c r="CC19" s="80">
        <v>0</v>
      </c>
      <c r="CD19" s="80">
        <v>0</v>
      </c>
      <c r="CE19" s="80">
        <v>0</v>
      </c>
      <c r="CF19" s="80">
        <v>0</v>
      </c>
      <c r="CG19" s="80">
        <v>0</v>
      </c>
      <c r="CH19" s="80">
        <v>0</v>
      </c>
      <c r="CI19" s="159">
        <v>0</v>
      </c>
      <c r="CJ19" s="80">
        <v>0</v>
      </c>
      <c r="CK19" s="80">
        <v>0</v>
      </c>
      <c r="CL19" s="80">
        <v>0</v>
      </c>
      <c r="CM19" s="80">
        <v>0</v>
      </c>
      <c r="CN19" s="80">
        <v>0</v>
      </c>
      <c r="CO19" s="80">
        <v>0</v>
      </c>
      <c r="CP19" s="80">
        <v>0</v>
      </c>
      <c r="CQ19" s="80">
        <v>0</v>
      </c>
      <c r="CR19" s="80">
        <v>0</v>
      </c>
      <c r="CS19" s="80">
        <v>0</v>
      </c>
      <c r="CT19" s="80">
        <v>0</v>
      </c>
      <c r="CU19" s="80">
        <v>0</v>
      </c>
      <c r="CV19" s="80">
        <v>0</v>
      </c>
      <c r="CW19" s="80">
        <v>0</v>
      </c>
      <c r="CX19" s="80">
        <v>0</v>
      </c>
      <c r="CY19" s="80">
        <v>0</v>
      </c>
      <c r="CZ19" s="80">
        <v>0</v>
      </c>
      <c r="DA19" s="80">
        <v>0</v>
      </c>
      <c r="DB19" s="80">
        <v>0</v>
      </c>
      <c r="DC19" s="80">
        <v>0</v>
      </c>
      <c r="DD19" s="80">
        <v>0</v>
      </c>
      <c r="DE19" s="80">
        <v>0</v>
      </c>
      <c r="DF19" s="80">
        <v>0</v>
      </c>
      <c r="DG19" s="80">
        <v>0</v>
      </c>
      <c r="DH19" s="80">
        <v>0</v>
      </c>
      <c r="DI19" s="80">
        <v>0</v>
      </c>
      <c r="DJ19" s="80">
        <v>0</v>
      </c>
      <c r="DK19" s="80">
        <v>0</v>
      </c>
      <c r="DL19" s="80">
        <v>0</v>
      </c>
      <c r="DM19" s="80">
        <v>0</v>
      </c>
      <c r="DN19" s="80">
        <v>0</v>
      </c>
      <c r="DO19" s="80">
        <v>0</v>
      </c>
      <c r="DP19" s="80">
        <v>0</v>
      </c>
      <c r="DQ19" s="80">
        <v>0</v>
      </c>
      <c r="DR19" s="80">
        <v>0</v>
      </c>
      <c r="DS19" s="80">
        <v>0</v>
      </c>
      <c r="DT19" s="80">
        <v>0</v>
      </c>
      <c r="DU19" s="80">
        <f>SUM(DS19:DT19)</f>
        <v>0</v>
      </c>
    </row>
    <row r="20" spans="1:125" ht="16.350000000000001" customHeight="1">
      <c r="A20" s="155" t="s">
        <v>338</v>
      </c>
      <c r="B20" s="158" t="s">
        <v>339</v>
      </c>
      <c r="C20" s="158" t="s">
        <v>338</v>
      </c>
      <c r="D20" s="80">
        <v>0</v>
      </c>
      <c r="E20" s="80">
        <v>0</v>
      </c>
      <c r="F20" s="80">
        <v>0</v>
      </c>
      <c r="G20" s="80">
        <v>0</v>
      </c>
      <c r="H20" s="80">
        <v>0</v>
      </c>
      <c r="I20" s="80">
        <v>0</v>
      </c>
      <c r="J20" s="80">
        <v>0</v>
      </c>
      <c r="K20" s="80">
        <v>0</v>
      </c>
      <c r="L20" s="80">
        <v>0</v>
      </c>
      <c r="M20" s="80">
        <v>0</v>
      </c>
      <c r="N20" s="80">
        <v>0</v>
      </c>
      <c r="O20" s="80">
        <v>0</v>
      </c>
      <c r="P20" s="80">
        <v>0</v>
      </c>
      <c r="Q20" s="80">
        <v>0</v>
      </c>
      <c r="R20" s="80">
        <v>0</v>
      </c>
      <c r="S20" s="80">
        <v>0</v>
      </c>
      <c r="T20" s="159">
        <v>0</v>
      </c>
      <c r="U20" s="80">
        <v>0</v>
      </c>
      <c r="V20" s="159">
        <v>0</v>
      </c>
      <c r="W20" s="159">
        <v>0</v>
      </c>
      <c r="X20" s="159">
        <v>0</v>
      </c>
      <c r="Y20" s="159">
        <v>0</v>
      </c>
      <c r="Z20" s="159">
        <v>0</v>
      </c>
      <c r="AA20" s="159">
        <v>0</v>
      </c>
      <c r="AB20" s="159">
        <v>0</v>
      </c>
      <c r="AC20" s="159">
        <v>0</v>
      </c>
      <c r="AD20" s="159">
        <v>0</v>
      </c>
      <c r="AE20" s="159">
        <v>0</v>
      </c>
      <c r="AF20" s="159">
        <v>0</v>
      </c>
      <c r="AG20" s="159">
        <v>0</v>
      </c>
      <c r="AH20" s="159">
        <v>0</v>
      </c>
      <c r="AI20" s="159">
        <v>0</v>
      </c>
      <c r="AJ20" s="159">
        <v>0</v>
      </c>
      <c r="AK20" s="159">
        <v>0</v>
      </c>
      <c r="AL20" s="159">
        <v>0</v>
      </c>
      <c r="AM20" s="159">
        <v>0</v>
      </c>
      <c r="AN20" s="159">
        <v>0</v>
      </c>
      <c r="AO20" s="159">
        <v>0</v>
      </c>
      <c r="AP20" s="159">
        <v>0</v>
      </c>
      <c r="AQ20" s="159">
        <v>0</v>
      </c>
      <c r="AR20" s="159">
        <v>0</v>
      </c>
      <c r="AS20" s="159">
        <v>0</v>
      </c>
      <c r="AT20" s="159">
        <v>0</v>
      </c>
      <c r="AU20" s="159">
        <v>0</v>
      </c>
      <c r="AV20" s="159">
        <v>0</v>
      </c>
      <c r="AW20" s="159">
        <v>0</v>
      </c>
      <c r="AX20" s="159">
        <v>0</v>
      </c>
      <c r="AY20" s="159">
        <v>0</v>
      </c>
      <c r="AZ20" s="159">
        <v>0</v>
      </c>
      <c r="BA20" s="159">
        <v>0</v>
      </c>
      <c r="BB20" s="159">
        <v>0</v>
      </c>
      <c r="BC20" s="159">
        <v>0</v>
      </c>
      <c r="BD20" s="159">
        <v>0</v>
      </c>
      <c r="BE20" s="159">
        <v>0</v>
      </c>
      <c r="BF20" s="159">
        <v>0</v>
      </c>
      <c r="BG20" s="159">
        <v>0</v>
      </c>
      <c r="BH20" s="159">
        <v>0</v>
      </c>
      <c r="BI20" s="159">
        <v>0</v>
      </c>
      <c r="BJ20" s="159">
        <v>0</v>
      </c>
      <c r="BK20" s="159">
        <v>0</v>
      </c>
      <c r="BL20" s="159">
        <v>0</v>
      </c>
      <c r="BM20" s="80">
        <v>0</v>
      </c>
      <c r="BN20" s="159">
        <v>0</v>
      </c>
      <c r="BO20" s="159">
        <v>0</v>
      </c>
      <c r="BP20" s="159">
        <v>0</v>
      </c>
      <c r="BQ20" s="159">
        <v>0</v>
      </c>
      <c r="BR20" s="159">
        <v>0</v>
      </c>
      <c r="BS20" s="159">
        <v>0</v>
      </c>
      <c r="BT20" s="159">
        <v>0</v>
      </c>
      <c r="BU20" s="159">
        <v>0</v>
      </c>
      <c r="BV20" s="159">
        <v>0</v>
      </c>
      <c r="BW20" s="159">
        <v>0</v>
      </c>
      <c r="BX20" s="80">
        <v>0</v>
      </c>
      <c r="BY20" s="80">
        <v>0</v>
      </c>
      <c r="BZ20" s="159">
        <v>0</v>
      </c>
      <c r="CA20" s="80">
        <v>0</v>
      </c>
      <c r="CB20" s="159">
        <v>0</v>
      </c>
      <c r="CC20" s="80">
        <v>0</v>
      </c>
      <c r="CD20" s="80">
        <v>0</v>
      </c>
      <c r="CE20" s="80">
        <v>0</v>
      </c>
      <c r="CF20" s="80">
        <v>0</v>
      </c>
      <c r="CG20" s="80">
        <v>0</v>
      </c>
      <c r="CH20" s="80">
        <v>0</v>
      </c>
      <c r="CI20" s="159">
        <v>0</v>
      </c>
      <c r="CJ20" s="80">
        <v>0</v>
      </c>
      <c r="CK20" s="80">
        <v>38</v>
      </c>
      <c r="CL20" s="80">
        <f>CJ20+CK20</f>
        <v>38</v>
      </c>
      <c r="CM20" s="80">
        <v>257</v>
      </c>
      <c r="CN20" s="80">
        <f>CL20+CM20</f>
        <v>295</v>
      </c>
      <c r="CO20" s="80">
        <v>1060</v>
      </c>
      <c r="CP20" s="80">
        <f>CN20+CO20</f>
        <v>1355</v>
      </c>
      <c r="CQ20" s="80">
        <v>1336</v>
      </c>
      <c r="CR20" s="80">
        <v>2904</v>
      </c>
      <c r="CS20" s="80">
        <f>CQ20+CR20</f>
        <v>4240</v>
      </c>
      <c r="CT20" s="80">
        <v>1637</v>
      </c>
      <c r="CU20" s="80">
        <f>CS20+CT20</f>
        <v>5877</v>
      </c>
      <c r="CV20" s="80">
        <v>11925</v>
      </c>
      <c r="CW20" s="80">
        <f>CU20+CV20</f>
        <v>17802</v>
      </c>
      <c r="CX20" s="80">
        <v>168</v>
      </c>
      <c r="CY20" s="80">
        <v>971</v>
      </c>
      <c r="CZ20" s="80">
        <f>CX20+CY20</f>
        <v>1139</v>
      </c>
      <c r="DA20" s="80">
        <v>1330</v>
      </c>
      <c r="DB20" s="80">
        <f t="shared" ref="DB20:DD20" si="24">CZ20+DA20</f>
        <v>2469</v>
      </c>
      <c r="DC20" s="80">
        <v>4910</v>
      </c>
      <c r="DD20" s="80">
        <f t="shared" si="24"/>
        <v>7379</v>
      </c>
      <c r="DE20" s="80">
        <v>742</v>
      </c>
      <c r="DF20" s="80">
        <v>591</v>
      </c>
      <c r="DG20" s="80">
        <f>DE20+DF20</f>
        <v>1333</v>
      </c>
      <c r="DH20" s="80">
        <f>ROUND(1179.78125,0)</f>
        <v>1180</v>
      </c>
      <c r="DI20" s="80">
        <f>DG20+DH20</f>
        <v>2513</v>
      </c>
      <c r="DJ20" s="80">
        <v>1923</v>
      </c>
      <c r="DK20" s="80">
        <f>DI20+DJ20</f>
        <v>4436</v>
      </c>
      <c r="DL20" s="80">
        <v>657</v>
      </c>
      <c r="DM20" s="80">
        <v>206</v>
      </c>
      <c r="DN20" s="80">
        <f>DL20+DM20</f>
        <v>863</v>
      </c>
      <c r="DO20" s="80">
        <v>57</v>
      </c>
      <c r="DP20" s="80">
        <f>DN20+DO20</f>
        <v>920</v>
      </c>
      <c r="DQ20" s="80">
        <v>497</v>
      </c>
      <c r="DR20" s="80">
        <f>DP20+DQ20</f>
        <v>1417</v>
      </c>
      <c r="DS20" s="80">
        <v>407</v>
      </c>
      <c r="DT20" s="80">
        <v>231</v>
      </c>
      <c r="DU20" s="80">
        <f>SUM(DS20:DT20)</f>
        <v>638</v>
      </c>
    </row>
    <row r="21" spans="1:125" ht="16.350000000000001" customHeight="1">
      <c r="A21" s="155" t="s">
        <v>534</v>
      </c>
      <c r="B21" s="162" t="s">
        <v>76</v>
      </c>
      <c r="C21" s="162" t="s">
        <v>77</v>
      </c>
      <c r="D21" s="163">
        <v>-22262</v>
      </c>
      <c r="E21" s="163">
        <v>-32035</v>
      </c>
      <c r="F21" s="163">
        <v>-54297</v>
      </c>
      <c r="G21" s="163">
        <v>-28486</v>
      </c>
      <c r="H21" s="163">
        <v>-82783</v>
      </c>
      <c r="I21" s="163">
        <v>-29635</v>
      </c>
      <c r="J21" s="163">
        <v>-112418</v>
      </c>
      <c r="K21" s="163">
        <v>-23584</v>
      </c>
      <c r="L21" s="163">
        <v>-28569</v>
      </c>
      <c r="M21" s="163">
        <v>-52153</v>
      </c>
      <c r="N21" s="163">
        <v>-18758</v>
      </c>
      <c r="O21" s="163">
        <v>-70911</v>
      </c>
      <c r="P21" s="163">
        <v>-17262</v>
      </c>
      <c r="Q21" s="163">
        <v>-88170</v>
      </c>
      <c r="R21" s="163">
        <v>-18810</v>
      </c>
      <c r="S21" s="163">
        <v>-28926</v>
      </c>
      <c r="T21" s="163">
        <v>-47736</v>
      </c>
      <c r="U21" s="163">
        <v>-24384</v>
      </c>
      <c r="V21" s="163">
        <v>-72120</v>
      </c>
      <c r="W21" s="163">
        <v>-37308</v>
      </c>
      <c r="X21" s="163">
        <v>-109428</v>
      </c>
      <c r="Y21" s="163">
        <v>-20227</v>
      </c>
      <c r="Z21" s="163">
        <v>-33398</v>
      </c>
      <c r="AA21" s="163">
        <v>-53625</v>
      </c>
      <c r="AB21" s="163">
        <v>-33398</v>
      </c>
      <c r="AC21" s="163">
        <v>-60552</v>
      </c>
      <c r="AD21" s="163">
        <v>-43440</v>
      </c>
      <c r="AE21" s="163">
        <v>-123315</v>
      </c>
      <c r="AF21" s="163">
        <v>-28825</v>
      </c>
      <c r="AG21" s="163">
        <v>-37145</v>
      </c>
      <c r="AH21" s="163">
        <v>-65970</v>
      </c>
      <c r="AI21" s="163">
        <v>-33115</v>
      </c>
      <c r="AJ21" s="163">
        <v>-99085</v>
      </c>
      <c r="AK21" s="163">
        <v>-43403.4</v>
      </c>
      <c r="AL21" s="163">
        <v>-142489.29999999999</v>
      </c>
      <c r="AM21" s="163">
        <v>-29171.200000000001</v>
      </c>
      <c r="AN21" s="163">
        <v>-54043</v>
      </c>
      <c r="AO21" s="163">
        <v>-83214.2</v>
      </c>
      <c r="AP21" s="163">
        <v>-51852.619999999995</v>
      </c>
      <c r="AQ21" s="163">
        <v>-135066.82</v>
      </c>
      <c r="AR21" s="163">
        <v>-53392.459999999992</v>
      </c>
      <c r="AS21" s="163">
        <v>-188459.28</v>
      </c>
      <c r="AT21" s="163">
        <v>-45736.72</v>
      </c>
      <c r="AU21" s="163">
        <v>-74136</v>
      </c>
      <c r="AV21" s="163">
        <v>-119872.72</v>
      </c>
      <c r="AW21" s="163">
        <v>-76307.037290000007</v>
      </c>
      <c r="AX21" s="163">
        <v>-196179.75728999998</v>
      </c>
      <c r="AY21" s="163">
        <v>-84962.580940378</v>
      </c>
      <c r="AZ21" s="163">
        <v>-281143.33235320012</v>
      </c>
      <c r="BA21" s="163">
        <v>-50177</v>
      </c>
      <c r="BB21" s="163">
        <v>-77523</v>
      </c>
      <c r="BC21" s="163">
        <v>-127700</v>
      </c>
      <c r="BD21" s="163">
        <v>-68812</v>
      </c>
      <c r="BE21" s="163">
        <v>-196512</v>
      </c>
      <c r="BF21" s="163">
        <v>-65692</v>
      </c>
      <c r="BG21" s="163">
        <v>-262204</v>
      </c>
      <c r="BH21" s="163">
        <v>-46366</v>
      </c>
      <c r="BI21" s="163">
        <v>-59277</v>
      </c>
      <c r="BJ21" s="163">
        <v>-105643</v>
      </c>
      <c r="BK21" s="163">
        <v>-71408</v>
      </c>
      <c r="BL21" s="163">
        <v>-177051</v>
      </c>
      <c r="BM21" s="163">
        <v>-78784</v>
      </c>
      <c r="BN21" s="163">
        <v>-255835</v>
      </c>
      <c r="BO21" s="163">
        <v>-57423</v>
      </c>
      <c r="BP21" s="163">
        <v>-79119</v>
      </c>
      <c r="BQ21" s="163">
        <v>-136542</v>
      </c>
      <c r="BR21" s="163">
        <v>-68260.352049999899</v>
      </c>
      <c r="BS21" s="163">
        <v>-204802.3520499999</v>
      </c>
      <c r="BT21" s="163">
        <v>-75870.733059999897</v>
      </c>
      <c r="BU21" s="163">
        <v>-280673.08510999981</v>
      </c>
      <c r="BV21" s="163">
        <v>-72515.700909999985</v>
      </c>
      <c r="BW21" s="163">
        <v>-98455.720109999995</v>
      </c>
      <c r="BX21" s="163">
        <v>-170971.42102000001</v>
      </c>
      <c r="BY21" s="163">
        <v>-101370.70172</v>
      </c>
      <c r="BZ21" s="163">
        <v>-272342.12274000002</v>
      </c>
      <c r="CA21" s="163">
        <v>-108706.75409999999</v>
      </c>
      <c r="CB21" s="163">
        <v>-381048.87684000004</v>
      </c>
      <c r="CC21" s="163">
        <v>-199324.56</v>
      </c>
      <c r="CD21" s="163">
        <v>-133865.55582000001</v>
      </c>
      <c r="CE21" s="163">
        <v>-333190.11582000001</v>
      </c>
      <c r="CF21" s="163">
        <v>-91399.251179999992</v>
      </c>
      <c r="CG21" s="163">
        <v>-424589.36699999997</v>
      </c>
      <c r="CH21" s="163">
        <v>11953.581200000001</v>
      </c>
      <c r="CI21" s="163">
        <v>11953.581200000001</v>
      </c>
      <c r="CJ21" s="163">
        <v>-52105</v>
      </c>
      <c r="CK21" s="163">
        <v>-77434</v>
      </c>
      <c r="CL21" s="163">
        <v>-129539</v>
      </c>
      <c r="CM21" s="163">
        <v>-74765</v>
      </c>
      <c r="CN21" s="163">
        <v>-204304</v>
      </c>
      <c r="CO21" s="163">
        <v>-135497</v>
      </c>
      <c r="CP21" s="163">
        <v>-339801</v>
      </c>
      <c r="CQ21" s="163">
        <v>-167454</v>
      </c>
      <c r="CR21" s="163">
        <v>-281521</v>
      </c>
      <c r="CS21" s="163">
        <v>-448975</v>
      </c>
      <c r="CT21" s="163">
        <v>-236888</v>
      </c>
      <c r="CU21" s="163">
        <v>-685863</v>
      </c>
      <c r="CV21" s="163">
        <v>-305880</v>
      </c>
      <c r="CW21" s="163">
        <v>-991743</v>
      </c>
      <c r="CX21" s="163">
        <v>-346812</v>
      </c>
      <c r="CY21" s="163">
        <v>-396108</v>
      </c>
      <c r="CZ21" s="163">
        <v>-742920</v>
      </c>
      <c r="DA21" s="163">
        <v>-329561</v>
      </c>
      <c r="DB21" s="163">
        <v>-1072481</v>
      </c>
      <c r="DC21" s="163">
        <v>-270796</v>
      </c>
      <c r="DD21" s="163">
        <v>-1343277</v>
      </c>
      <c r="DE21" s="163">
        <v>-264539</v>
      </c>
      <c r="DF21" s="163">
        <v>-253546</v>
      </c>
      <c r="DG21" s="163">
        <v>-518085</v>
      </c>
      <c r="DH21" s="163">
        <v>-224795.95858000006</v>
      </c>
      <c r="DI21" s="163">
        <v>-742880.95857999998</v>
      </c>
      <c r="DJ21" s="163">
        <v>-214399</v>
      </c>
      <c r="DK21" s="163">
        <v>-957279.95857999998</v>
      </c>
      <c r="DL21" s="163">
        <v>-177142</v>
      </c>
      <c r="DM21" s="163">
        <v>-255734</v>
      </c>
      <c r="DN21" s="163">
        <v>-432876</v>
      </c>
      <c r="DO21" s="163">
        <v>-263131</v>
      </c>
      <c r="DP21" s="163">
        <v>-696007</v>
      </c>
      <c r="DQ21" s="163">
        <v>-254536</v>
      </c>
      <c r="DR21" s="163">
        <v>-950543</v>
      </c>
      <c r="DS21" s="163">
        <f>DS23+DS25</f>
        <v>-232783</v>
      </c>
      <c r="DT21" s="163">
        <v>-298617</v>
      </c>
      <c r="DU21" s="163">
        <f>SUM(DS21:DT21)</f>
        <v>-531400</v>
      </c>
    </row>
    <row r="22" spans="1:125" ht="16.350000000000001" customHeight="1">
      <c r="A22" s="155"/>
      <c r="B22" s="160" t="s">
        <v>2374</v>
      </c>
      <c r="C22" s="160" t="s">
        <v>2375</v>
      </c>
      <c r="D22" s="38">
        <f>-D$21/AVERAGE(HLOOKUP(C$5,'Receivables BACEN'!$6:$42,30,0),HLOOKUP(D$5,'Receivables BACEN'!$6:$42,30,0))</f>
        <v>3.8245404864941941E-2</v>
      </c>
      <c r="E22" s="38">
        <f>-E$21/AVERAGE(HLOOKUP(D$5,'Receivables BACEN'!$6:$42,30,0),HLOOKUP(E$5,'Receivables BACEN'!$6:$42,30,0))</f>
        <v>5.9543115553791867E-2</v>
      </c>
      <c r="F22" s="38">
        <f>-F$21/AVERAGE(HLOOKUP(C$5,'Receivables BACEN'!$6:$42,30,0),HLOOKUP(D$5,'Receivables BACEN'!$6:$42,30,0),HLOOKUP(F$5,'Receivables BACEN'!$6:$42,30,0))</f>
        <v>9.4492669887368264E-2</v>
      </c>
      <c r="G22" s="38">
        <f>-G$21/AVERAGE(HLOOKUP(F$5,'Receivables BACEN'!$6:$42,30,0),HLOOKUP(G$5,'Receivables BACEN'!$6:$42,30,0))</f>
        <v>5.316005214111693E-2</v>
      </c>
      <c r="H22" s="38">
        <f>-H$21/AVERAGE(HLOOKUP(C$5,'Receivables BACEN'!$6:$42,30,0),HLOOKUP(D$5,'Receivables BACEN'!$6:$42,30,0),HLOOKUP(F$5,'Receivables BACEN'!$6:$42,30,0),HLOOKUP(H$5,'Receivables BACEN'!$6:$42,30,0))</f>
        <v>0.14809964608902204</v>
      </c>
      <c r="I22" s="38">
        <f>-I$21/AVERAGE(HLOOKUP(H$5,'Receivables BACEN'!$6:$42,30,0),HLOOKUP(I$5,'Receivables BACEN'!$6:$42,30,0))</f>
        <v>4.946297579009739E-2</v>
      </c>
      <c r="J22" s="38">
        <f>-J$21/AVERAGE(HLOOKUP(C$5,'Receivables BACEN'!$6:$42,30,0),HLOOKUP(D$5,'Receivables BACEN'!$6:$42,30,0),HLOOKUP(F$5,'Receivables BACEN'!$6:$42,30,0),HLOOKUP(H$5,'Receivables BACEN'!$6:$42,30,0),HLOOKUP(J$5,'Receivables BACEN'!$6:$42,30,0))</f>
        <v>0.19235705060507483</v>
      </c>
      <c r="K22" s="38">
        <f>-K$21/AVERAGE(HLOOKUP(J$5,'Receivables BACEN'!$6:$42,30,0),HLOOKUP(K$5,'Receivables BACEN'!$6:$42,30,0))</f>
        <v>3.7678063759067446E-2</v>
      </c>
      <c r="L22" s="38">
        <f>-L$21/AVERAGE(HLOOKUP(K$5,'Receivables BACEN'!$6:$42,30,0),HLOOKUP(L$5,'Receivables BACEN'!$6:$42,30,0))</f>
        <v>4.8723791072165581E-2</v>
      </c>
      <c r="M22" s="38">
        <f>-M$21/AVERAGE(HLOOKUP(J$5,'Receivables BACEN'!$6:$42,30,0),HLOOKUP(K$5,'Receivables BACEN'!$6:$42,30,0),HLOOKUP(M$5,'Receivables BACEN'!$6:$42,30,0))</f>
        <v>8.4165843167358562E-2</v>
      </c>
      <c r="N22" s="38">
        <f>-N$21/AVERAGE(HLOOKUP(M$5,'Receivables BACEN'!$6:$42,30,0),HLOOKUP(N$5,'Receivables BACEN'!$6:$42,30,0))</f>
        <v>3.2056573238110377E-2</v>
      </c>
      <c r="O22" s="38">
        <f>-O$21/AVERAGE(HLOOKUP(J$5,'Receivables BACEN'!$6:$42,30,0),HLOOKUP(K$5,'Receivables BACEN'!$6:$42,30,0),HLOOKUP(M$5,'Receivables BACEN'!$6:$42,30,0),HLOOKUP(O$5,'Receivables BACEN'!$6:$42,30,0))</f>
        <v>0.11710301691661421</v>
      </c>
      <c r="P22" s="38">
        <f>-P$21/AVERAGE(HLOOKUP(O$5,'Receivables BACEN'!$6:$42,30,0),HLOOKUP(P$5,'Receivables BACEN'!$6:$42,30,0))</f>
        <v>2.6765612498682031E-2</v>
      </c>
      <c r="Q22" s="38">
        <f>-Q$21/AVERAGE(HLOOKUP(J$5,'Receivables BACEN'!$6:$42,30,0),HLOOKUP(K$5,'Receivables BACEN'!$6:$42,30,0),HLOOKUP(M$5,'Receivables BACEN'!$6:$42,30,0),HLOOKUP(O$5,'Receivables BACEN'!$6:$42,30,0),HLOOKUP(Q$5,'Receivables BACEN'!$6:$42,30,0))</f>
        <v>0.1400056720002312</v>
      </c>
      <c r="R22" s="38">
        <f>-R$21/AVERAGE(HLOOKUP(Q$5,'Receivables BACEN'!$6:$42,30,0),HLOOKUP(R$5,'Receivables BACEN'!$6:$42,30,0))</f>
        <v>2.8090391025411277E-2</v>
      </c>
      <c r="S22" s="38">
        <f>-S$21/AVERAGE(HLOOKUP(R$5,'Receivables BACEN'!$6:$42,30,0),HLOOKUP(S$5,'Receivables BACEN'!$6:$42,30,0))</f>
        <v>4.5530385070642457E-2</v>
      </c>
      <c r="T22" s="38">
        <f>-T$21/AVERAGE(HLOOKUP(Q$5,'Receivables BACEN'!$6:$42,30,0),HLOOKUP(R$5,'Receivables BACEN'!$6:$42,30,0),HLOOKUP(T$5,'Receivables BACEN'!$6:$42,30,0))</f>
        <v>7.1702591062711221E-2</v>
      </c>
      <c r="U22" s="38">
        <f>-U$21/AVERAGE(HLOOKUP(T$5,'Receivables BACEN'!$6:$42,30,0),HLOOKUP(U$5,'Receivables BACEN'!$6:$42,30,0))</f>
        <v>3.8889735065274753E-2</v>
      </c>
      <c r="V22" s="38">
        <f>-V$21/AVERAGE(HLOOKUP(Q$5,'Receivables BACEN'!$6:$42,30,0),HLOOKUP(R$5,'Receivables BACEN'!$6:$42,30,0),HLOOKUP(T$5,'Receivables BACEN'!$6:$42,30,0),HLOOKUP(V$5,'Receivables BACEN'!$6:$42,30,0))</f>
        <v>0.11124243470079109</v>
      </c>
      <c r="W22" s="38">
        <f>-W$21/AVERAGE(HLOOKUP(V$5,'Receivables BACEN'!$6:$42,30,0),HLOOKUP(W$5,'Receivables BACEN'!$6:$42,30,0))</f>
        <v>5.006810754953734E-2</v>
      </c>
      <c r="X22" s="38">
        <f>-X$21/AVERAGE(HLOOKUP(Q$5,'Receivables BACEN'!$6:$42,30,0),HLOOKUP(R$5,'Receivables BACEN'!$6:$42,30,0),HLOOKUP(T$5,'Receivables BACEN'!$6:$42,30,0),HLOOKUP(V$5,'Receivables BACEN'!$6:$42,30,0),HLOOKUP(X$5,'Receivables BACEN'!$6:$42,30,0))</f>
        <v>0.15688422211644884</v>
      </c>
      <c r="Y22" s="38">
        <f>-Y$21/AVERAGE(HLOOKUP(X$5,'Receivables BACEN'!$6:$42,30,0),HLOOKUP(Y$5,'Receivables BACEN'!$6:$42,30,0))</f>
        <v>2.416605485898754E-2</v>
      </c>
      <c r="Z22" s="38">
        <f>-Z$21/AVERAGE(HLOOKUP(Y$5,'Receivables BACEN'!$6:$42,30,0),HLOOKUP(Z$5,'Receivables BACEN'!$6:$42,30,0))</f>
        <v>4.0012100191985721E-2</v>
      </c>
      <c r="AA22" s="38">
        <f>-AA$21/AVERAGE(HLOOKUP(X$5,'Receivables BACEN'!$6:$42,30,0),HLOOKUP(Y$5,'Receivables BACEN'!$6:$42,30,0),HLOOKUP(AA$5,'Receivables BACEN'!$6:$42,30,0))</f>
        <v>6.2751591462272979E-2</v>
      </c>
      <c r="AB22" s="38">
        <f>-AB$21/AVERAGE(HLOOKUP(AA$5,'Receivables BACEN'!$6:$42,30,0),HLOOKUP(AB$5,'Receivables BACEN'!$6:$42,30,0))</f>
        <v>3.7547907365789113E-2</v>
      </c>
      <c r="AC22" s="38">
        <f>-AC$21/AVERAGE(HLOOKUP(Z$5,'Receivables BACEN'!$6:$42,30,0),HLOOKUP(AA$5,'Receivables BACEN'!$6:$42,30,0),HLOOKUP(AC$5,'Receivables BACEN'!$6:$42,30,0))</f>
        <v>6.8070806289212485E-2</v>
      </c>
      <c r="AD22" s="38">
        <f>-AD$21/AVERAGE(HLOOKUP(AC$5,'Receivables BACEN'!$6:$42,30,0),HLOOKUP(AD$5,'Receivables BACEN'!$6:$42,30,0))</f>
        <v>4.2992767733650697E-2</v>
      </c>
      <c r="AE22" s="38">
        <f>-AE$21/AVERAGE(HLOOKUP(X$5,'Receivables BACEN'!$6:$42,30,0),HLOOKUP(Y$5,'Receivables BACEN'!$6:$42,30,0),HLOOKUP(AA$5,'Receivables BACEN'!$6:$42,30,0),HLOOKUP(AC$5,'Receivables BACEN'!$6:$42,30,0),HLOOKUP(AE$5,'Receivables BACEN'!$6:$42,30,0))</f>
        <v>0.13449166045913555</v>
      </c>
      <c r="AF22" s="38">
        <f>-AF$21/AVERAGE(HLOOKUP(AE$5,'Receivables BACEN'!$6:$42,30,0),HLOOKUP(AF$5,'Receivables BACEN'!$6:$42,30,0))</f>
        <v>2.7014248434555934E-2</v>
      </c>
      <c r="AG22" s="38">
        <f>-AG$21/AVERAGE(HLOOKUP(AF$5,'Receivables BACEN'!$6:$42,30,0),HLOOKUP(AG$5,'Receivables BACEN'!$6:$42,30,0))</f>
        <v>3.6437278735127615E-2</v>
      </c>
      <c r="AH22" s="38">
        <f>-AH$21/AVERAGE(HLOOKUP(AE$5,'Receivables BACEN'!$6:$42,30,0),HLOOKUP(AF$5,'Receivables BACEN'!$6:$42,30,0),HLOOKUP(AH$5,'Receivables BACEN'!$6:$42,30,0))</f>
        <v>6.2424772329843524E-2</v>
      </c>
      <c r="AI22" s="38">
        <f>-AI$21/AVERAGE(HLOOKUP(AH$5,'Receivables BACEN'!$6:$42,30,0),HLOOKUP(AI$5,'Receivables BACEN'!$6:$42,30,0))</f>
        <v>3.1389265278865874E-2</v>
      </c>
      <c r="AJ22" s="38">
        <f>-AJ$21/AVERAGE(HLOOKUP(AE$5,'Receivables BACEN'!$6:$42,30,0),HLOOKUP(AF$5,'Receivables BACEN'!$6:$42,30,0),HLOOKUP(AH$5,'Receivables BACEN'!$6:$42,30,0),HLOOKUP(AJ$5,'Receivables BACEN'!$6:$42,30,0))</f>
        <v>9.3387960837093928E-2</v>
      </c>
      <c r="AK22" s="38">
        <f>-AK$21/AVERAGE(HLOOKUP(AJ$5,'Receivables BACEN'!$6:$42,30,0),HLOOKUP(AK$5,'Receivables BACEN'!$6:$42,30,0))</f>
        <v>3.5011099423733406E-2</v>
      </c>
      <c r="AL22" s="38">
        <f>-AL$21/AVERAGE(HLOOKUP(AE$5,'Receivables BACEN'!$6:$42,30,0),HLOOKUP(AF$5,'Receivables BACEN'!$6:$42,30,0),HLOOKUP(AH$5,'Receivables BACEN'!$6:$42,30,0),HLOOKUP(AJ$5,'Receivables BACEN'!$6:$42,30,0),HLOOKUP(AL$5,'Receivables BACEN'!$6:$42,30,0))</f>
        <v>0.12610154653700034</v>
      </c>
      <c r="AM22" s="38">
        <f>-AM$21/AVERAGE(HLOOKUP(AL$5,'Receivables BACEN'!$6:$42,30,0),HLOOKUP(AM$5,'Receivables BACEN'!$6:$42,30,0))</f>
        <v>2.1688914795885746E-2</v>
      </c>
      <c r="AN22" s="38">
        <f>-AN$21/AVERAGE(HLOOKUP(AM$5,'Receivables BACEN'!$6:$42,30,0),HLOOKUP(AN$5,'Receivables BACEN'!$6:$42,30,0))</f>
        <v>4.1583005775054117E-2</v>
      </c>
      <c r="AO22" s="38">
        <f>-AO$21/AVERAGE(HLOOKUP(AL$5,'Receivables BACEN'!$6:$42,30,0),HLOOKUP(AM$5,'Receivables BACEN'!$6:$42,30,0),HLOOKUP(AO$5,'Receivables BACEN'!$6:$42,30,0))</f>
        <v>6.233194034233272E-2</v>
      </c>
      <c r="AP22" s="38">
        <f>-AP$21/AVERAGE(HLOOKUP(AO$5,'Receivables BACEN'!$6:$42,30,0),HLOOKUP(AP$5,'Receivables BACEN'!$6:$42,30,0))</f>
        <v>3.9325426680176433E-2</v>
      </c>
      <c r="AQ22" s="38">
        <f>-AQ$21/AVERAGE(HLOOKUP(AL$5,'Receivables BACEN'!$6:$42,30,0),HLOOKUP(AM$5,'Receivables BACEN'!$6:$42,30,0),HLOOKUP(AO$5,'Receivables BACEN'!$6:$42,30,0),HLOOKUP(AQ$5,'Receivables BACEN'!$6:$42,30,0))</f>
        <v>0.10141925727248086</v>
      </c>
      <c r="AR22" s="38">
        <f>-AR$21/AVERAGE(HLOOKUP(AQ$5,'Receivables BACEN'!$6:$42,30,0),HLOOKUP(AR$5,'Receivables BACEN'!$6:$42,30,0))</f>
        <v>3.5487705827851011E-2</v>
      </c>
      <c r="AS22" s="38">
        <f>-AS$21/AVERAGE(HLOOKUP(AL$5,'Receivables BACEN'!$6:$42,30,0),HLOOKUP(AM$5,'Receivables BACEN'!$6:$42,30,0),HLOOKUP(AO$5,'Receivables BACEN'!$6:$42,30,0),HLOOKUP(AQ$5,'Receivables BACEN'!$6:$42,30,0),HLOOKUP(AS$5,'Receivables BACEN'!$6:$42,30,0))</f>
        <v>0.13434280199694359</v>
      </c>
      <c r="AT22" s="38">
        <f>-AT$21/AVERAGE(HLOOKUP(AS$5,'Receivables BACEN'!$6:$42,30,0),HLOOKUP(AT$5,'Receivables BACEN'!$6:$42,30,0))</f>
        <v>2.844296214461239E-2</v>
      </c>
      <c r="AU22" s="38">
        <f>-AU$21/AVERAGE(HLOOKUP(AT$5,'Receivables BACEN'!$6:$42,30,0),HLOOKUP(AU$5,'Receivables BACEN'!$6:$42,30,0))</f>
        <v>4.7034133786492474E-2</v>
      </c>
      <c r="AV22" s="38">
        <f>-AV$21/AVERAGE(HLOOKUP(AS$5,'Receivables BACEN'!$6:$42,30,0),HLOOKUP(AT$5,'Receivables BACEN'!$6:$42,30,0),HLOOKUP(AV$5,'Receivables BACEN'!$6:$42,30,0))</f>
        <v>7.430918041157375E-2</v>
      </c>
      <c r="AW22" s="38">
        <f>-AW$21/AVERAGE(HLOOKUP(AV$5,'Receivables BACEN'!$6:$42,30,0),HLOOKUP(AW$5,'Receivables BACEN'!$6:$42,30,0))</f>
        <v>4.77346997256239E-2</v>
      </c>
      <c r="AX22" s="38">
        <f>-AX$21/AVERAGE(HLOOKUP(AS$5,'Receivables BACEN'!$6:$42,30,0),HLOOKUP(AT$5,'Receivables BACEN'!$6:$42,30,0),HLOOKUP(AV$5,'Receivables BACEN'!$6:$42,30,0),HLOOKUP(AX$5,'Receivables BACEN'!$6:$42,30,0))</f>
        <v>0.12236071669737331</v>
      </c>
      <c r="AY22" s="38">
        <f>-AY$21/AVERAGE(HLOOKUP(AX$5,'Receivables BACEN'!$6:$42,30,0),HLOOKUP(AY$5,'Receivables BACEN'!$6:$42,30,0))</f>
        <v>4.9177914943345509E-2</v>
      </c>
      <c r="AZ22" s="38">
        <f>-AZ$21/AVERAGE(HLOOKUP(AS$5,'Receivables BACEN'!$6:$42,30,0),HLOOKUP(AT$5,'Receivables BACEN'!$6:$42,30,0),HLOOKUP(AV$5,'Receivables BACEN'!$6:$42,30,0),HLOOKUP(AX$5,'Receivables BACEN'!$6:$42,30,0),HLOOKUP(AZ$5,'Receivables BACEN'!$6:$42,30,0))</f>
        <v>0.16946963856429154</v>
      </c>
      <c r="BA22" s="38">
        <f>-BA$21/AVERAGE(HLOOKUP(AZ$5,'Receivables BACEN'!$6:$42,30,0),HLOOKUP(BA$5,'Receivables BACEN'!$6:$42,30,0))</f>
        <v>2.8577260792495507E-2</v>
      </c>
      <c r="BB22" s="38">
        <f>-BB$21/AVERAGE(HLOOKUP(BA$5,'Receivables BACEN'!$6:$42,30,0),HLOOKUP(BB$5,'Receivables BACEN'!$6:$42,30,0))</f>
        <v>4.6532856346392371E-2</v>
      </c>
      <c r="BC22" s="38">
        <f>-BC$21/AVERAGE(HLOOKUP(AZ$5,'Receivables BACEN'!$6:$42,30,0),HLOOKUP(BA$5,'Receivables BACEN'!$6:$42,30,0),HLOOKUP(BC$5,'Receivables BACEN'!$6:$42,30,0))</f>
        <v>7.3480808008139928E-2</v>
      </c>
      <c r="BD22" s="38">
        <f>-BD$21/AVERAGE(HLOOKUP(BC$5,'Receivables BACEN'!$6:$42,30,0),HLOOKUP(BD$5,'Receivables BACEN'!$6:$42,30,0))</f>
        <v>4.1671567569171196E-2</v>
      </c>
      <c r="BE22" s="38">
        <f>-BE$21/AVERAGE(HLOOKUP(AZ$5,'Receivables BACEN'!$6:$42,30,0),HLOOKUP(BA$5,'Receivables BACEN'!$6:$42,30,0),HLOOKUP(BC$5,'Receivables BACEN'!$6:$42,30,0),HLOOKUP(BE$5,'Receivables BACEN'!$6:$42,30,0))</f>
        <v>0.11535337917929792</v>
      </c>
      <c r="BF22" s="38">
        <f>-BF$21/AVERAGE(HLOOKUP(BE$5,'Receivables BACEN'!$6:$42,30,0),HLOOKUP(BF$5,'Receivables BACEN'!$6:$42,30,0))</f>
        <v>3.7426514288921846E-2</v>
      </c>
      <c r="BG22" s="38">
        <f>-BG$21/AVERAGE(HLOOKUP(AZ$5,'Receivables BACEN'!$6:$42,30,0),HLOOKUP(BA$5,'Receivables BACEN'!$6:$42,30,0),HLOOKUP(BC$5,'Receivables BACEN'!$6:$42,30,0),HLOOKUP(BE$5,'Receivables BACEN'!$6:$42,30,0),HLOOKUP(BG$5,'Receivables BACEN'!$6:$42,30,0))</f>
        <v>0.15027638395771989</v>
      </c>
      <c r="BH22" s="38">
        <f>-BH$21/AVERAGE(HLOOKUP(BG$5,'Receivables BACEN'!$6:$42,30,0),HLOOKUP(BH$5,'Receivables BACEN'!$6:$42,30,0))</f>
        <v>2.5490643525033472E-2</v>
      </c>
      <c r="BI22" s="38">
        <f>-BI$21/AVERAGE(HLOOKUP(BH$5,'Receivables BACEN'!$6:$42,30,0),HLOOKUP(BI$5,'Receivables BACEN'!$6:$42,30,0))</f>
        <v>3.2445659025329913E-2</v>
      </c>
      <c r="BJ22" s="38">
        <f>-BJ$21/AVERAGE(HLOOKUP(BG$5,'Receivables BACEN'!$6:$42,30,0),HLOOKUP(BH$5,'Receivables BACEN'!$6:$42,30,0),HLOOKUP(BJ$5,'Receivables BACEN'!$6:$42,30,0))</f>
        <v>5.6963476981115486E-2</v>
      </c>
      <c r="BK22" s="38">
        <f>-BK$21/AVERAGE(HLOOKUP(BJ$5,'Receivables BACEN'!$6:$42,30,0),HLOOKUP(BK$5,'Receivables BACEN'!$6:$42,30,0))</f>
        <v>3.7630067879134026E-2</v>
      </c>
      <c r="BL22" s="38">
        <f>-BL$21/AVERAGE(HLOOKUP(BG$5,'Receivables BACEN'!$6:$42,30,0),HLOOKUP(BH$5,'Receivables BACEN'!$6:$42,30,0),HLOOKUP(BJ$5,'Receivables BACEN'!$6:$42,30,0),HLOOKUP(BL$5,'Receivables BACEN'!$6:$42,30,0))</f>
        <v>9.5276472632494683E-2</v>
      </c>
      <c r="BM22" s="38">
        <f>-BM$21/AVERAGE(HLOOKUP(BL$5,'Receivables BACEN'!$6:$42,30,0),HLOOKUP(BM$5,'Receivables BACEN'!$6:$42,30,0))</f>
        <v>3.7605228620339298E-2</v>
      </c>
      <c r="BN22" s="38">
        <f>-BN$21/AVERAGE(HLOOKUP(BG$5,'Receivables BACEN'!$6:$42,30,0),HLOOKUP(BH$5,'Receivables BACEN'!$6:$42,30,0),HLOOKUP(BJ$5,'Receivables BACEN'!$6:$42,30,0),HLOOKUP(BL$5,'Receivables BACEN'!$6:$42,30,0),HLOOKUP(BN$5,'Receivables BACEN'!$6:$42,30,0))</f>
        <v>0.13114661141866421</v>
      </c>
      <c r="BO22" s="38">
        <f>-BO$21/AVERAGE(HLOOKUP(BN$5,'Receivables BACEN'!$6:$42,30,0),HLOOKUP(BO$5,'Receivables BACEN'!$6:$42,30,0))</f>
        <v>2.5937845951932083E-2</v>
      </c>
      <c r="BP22" s="38">
        <f>-BP$21/AVERAGE(HLOOKUP(BO$5,'Receivables BACEN'!$6:$42,30,0),HLOOKUP(BP$5,'Receivables BACEN'!$6:$42,30,0))</f>
        <v>3.6687767032944248E-2</v>
      </c>
      <c r="BQ22" s="38">
        <f>-BQ$21/AVERAGE(HLOOKUP(BN$5,'Receivables BACEN'!$6:$42,30,0),HLOOKUP(BO$5,'Receivables BACEN'!$6:$42,30,0),HLOOKUP(BQ$5,'Receivables BACEN'!$6:$42,30,0))</f>
        <v>6.1748956159522285E-2</v>
      </c>
      <c r="BR22" s="38">
        <f>-BR$21/AVERAGE(HLOOKUP(BQ$5,'Receivables BACEN'!$6:$42,30,0),HLOOKUP(BR$5,'Receivables BACEN'!$6:$42,30,0))</f>
        <v>3.0952528682411724E-2</v>
      </c>
      <c r="BS22" s="38">
        <f>-BS$21/AVERAGE(HLOOKUP(BN$5,'Receivables BACEN'!$6:$42,30,0),HLOOKUP(BO$5,'Receivables BACEN'!$6:$42,30,0),HLOOKUP(BQ$5,'Receivables BACEN'!$6:$42,30,0),HLOOKUP(BS$5,'Receivables BACEN'!$6:$42,30,0))</f>
        <v>9.2687666345455347E-2</v>
      </c>
      <c r="BT22" s="38">
        <f>-BT$21/AVERAGE(HLOOKUP(BS$5,'Receivables BACEN'!$6:$42,30,0),HLOOKUP(BT$5,'Receivables BACEN'!$6:$42,30,0))</f>
        <v>3.0383712453181912E-2</v>
      </c>
      <c r="BU22" s="38">
        <f>-BU$21/AVERAGE(HLOOKUP(BN$5,'Receivables BACEN'!$6:$42,30,0),HLOOKUP(BO$5,'Receivables BACEN'!$6:$42,30,0),HLOOKUP(BQ$5,'Receivables BACEN'!$6:$42,30,0),HLOOKUP(BS$5,'Receivables BACEN'!$6:$42,30,0),HLOOKUP(BU$5,'Receivables BACEN'!$6:$42,30,0))</f>
        <v>0.1206894687260488</v>
      </c>
      <c r="BV22" s="38">
        <f>-BV$21/AVERAGE(HLOOKUP(BU$5,'Receivables BACEN'!$6:$42,30,0),HLOOKUP(BV$5,'Receivables BACEN'!$6:$42,30,0))</f>
        <v>2.6853915275326708E-2</v>
      </c>
      <c r="BW22" s="38">
        <f>-BW$21/AVERAGE(HLOOKUP(BV$5,'Receivables BACEN'!$6:$42,30,0),HLOOKUP(BW$5,'Receivables BACEN'!$6:$42,30,0))</f>
        <v>3.6879724792668774E-2</v>
      </c>
      <c r="BX22" s="38">
        <f>-BX$21/AVERAGE(HLOOKUP(BU$5,'Receivables BACEN'!$6:$42,30,0),HLOOKUP(BV$5,'Receivables BACEN'!$6:$42,30,0),HLOOKUP(BX$5,'Receivables BACEN'!$6:$42,30,0))</f>
        <v>6.3098370166666848E-2</v>
      </c>
      <c r="BY22" s="38">
        <f>-BY$21/AVERAGE(HLOOKUP(BX$5,'Receivables BACEN'!$6:$42,30,0),HLOOKUP(BY$5,'Receivables BACEN'!$6:$42,30,0))</f>
        <v>3.5985270014125416E-2</v>
      </c>
      <c r="BZ22" s="38">
        <f>-BZ$21/AVERAGE(HLOOKUP(BU$5,'Receivables BACEN'!$6:$42,30,0),HLOOKUP(BV$5,'Receivables BACEN'!$6:$42,30,0),HLOOKUP(BX$5,'Receivables BACEN'!$6:$42,30,0),HLOOKUP(BZ$5,'Receivables BACEN'!$6:$42,30,0))</f>
        <v>9.8721491466896738E-2</v>
      </c>
      <c r="CA22" s="38">
        <f>-CA$21/AVERAGE(HLOOKUP(BZ$5,'Receivables BACEN'!$6:$42,30,0),HLOOKUP(CA$5,'Receivables BACEN'!$6:$42,30,0))</f>
        <v>3.4081874126624938E-2</v>
      </c>
      <c r="CB22" s="38">
        <f>-CB$21/AVERAGE(HLOOKUP(BU$5,'Receivables BACEN'!$6:$42,30,0),HLOOKUP(BV$5,'Receivables BACEN'!$6:$42,30,0),HLOOKUP(BX$5,'Receivables BACEN'!$6:$42,30,0),HLOOKUP(BZ$5,'Receivables BACEN'!$6:$42,30,0),HLOOKUP(CB$5,'Receivables BACEN'!$6:$42,30,0))</f>
        <v>0.13132409722675706</v>
      </c>
      <c r="CC22" s="38">
        <f>-CC$21/AVERAGE(HLOOKUP(CB$5,'Receivables BACEN'!$6:$42,30,0),HLOOKUP(CC$5,'Receivables BACEN'!$6:$42,30,0))</f>
        <v>5.9301787912309195E-2</v>
      </c>
      <c r="CD22" s="38">
        <f>-CD$21/AVERAGE(HLOOKUP(CC$5,'Receivables BACEN'!$6:$42,30,0),HLOOKUP(CD$5,'Receivables BACEN'!$6:$42,30,0))</f>
        <v>4.5338202899978433E-2</v>
      </c>
      <c r="CE22" s="38">
        <f>-CE$21/AVERAGE(HLOOKUP(CB$5,'Receivables BACEN'!$6:$42,30,0),HLOOKUP(CC$5,'Receivables BACEN'!$6:$42,30,0),HLOOKUP(CE$5,'Receivables BACEN'!$6:$42,30,0))</f>
        <v>0.10658228646633788</v>
      </c>
      <c r="CF22" s="38">
        <f>-CF$21/AVERAGE(HLOOKUP(CE$5,'Receivables BACEN'!$6:$42,30,0),HLOOKUP(CF$5,'Receivables BACEN'!$6:$42,30,0))</f>
        <v>3.3095809377661767E-2</v>
      </c>
      <c r="CG22" s="38">
        <f>-CG$21/AVERAGE(HLOOKUP(CB$5,'Receivables BACEN'!$6:$42,30,0),HLOOKUP(CC$5,'Receivables BACEN'!$6:$42,30,0),HLOOKUP(CE$5,'Receivables BACEN'!$6:$42,30,0),HLOOKUP(CG$5,'Receivables BACEN'!$6:$42,30,0))</f>
        <v>0.13869019864990642</v>
      </c>
      <c r="CH22" s="38">
        <f>-CH$21/AVERAGE(HLOOKUP(CG$5,'Receivables BACEN'!$6:$42,30,0),HLOOKUP(CH$5,'Receivables BACEN'!$6:$42,30,0))</f>
        <v>-3.7336637005245185E-3</v>
      </c>
      <c r="CI22" s="38">
        <f>-CI$21/AVERAGE(HLOOKUP(CH$5,'Receivables BACEN'!$6:$42,30,0),HLOOKUP(CI$5,'Receivables BACEN'!$6:$42,30,0))</f>
        <v>-3.3806940598734084E-3</v>
      </c>
      <c r="CJ22" s="38">
        <f>-CJ$21/AVERAGE(HLOOKUP(CI$5,'Receivables BACEN'!$6:$42,30,0),HLOOKUP(CJ$5,'Receivables BACEN'!$6:$42,30,0))</f>
        <v>1.5831996298340867E-2</v>
      </c>
      <c r="CK22" s="38">
        <f>-CK$21/AVERAGE(HLOOKUP(CJ$5,'Receivables BACEN'!$6:$42,30,0),HLOOKUP(CK$5,'Receivables BACEN'!$6:$42,30,0))</f>
        <v>2.3956034689149665E-2</v>
      </c>
      <c r="CL22" s="38">
        <f>-CL$21/AVERAGE(HLOOKUP(CI$5,'Receivables BACEN'!$6:$42,30,0),HLOOKUP(CJ$5,'Receivables BACEN'!$6:$42,30,0),HLOOKUP(CL$5,'Receivables BACEN'!$6:$42,30,0))</f>
        <v>3.8859709137011055E-2</v>
      </c>
      <c r="CM22" s="38">
        <f>-CM$21/AVERAGE(HLOOKUP(CL$5,'Receivables BACEN'!$6:$42,30,0),HLOOKUP(CM$5,'Receivables BACEN'!$6:$42,30,0))</f>
        <v>2.0954864454630108E-2</v>
      </c>
      <c r="CN22" s="38">
        <f>-CN$21/AVERAGE(HLOOKUP(CI$5,'Receivables BACEN'!$6:$42,30,0),HLOOKUP(CJ$5,'Receivables BACEN'!$6:$42,30,0),HLOOKUP(CL$5,'Receivables BACEN'!$6:$42,30,0),HLOOKUP(CN$5,'Receivables BACEN'!$6:$42,30,0))</f>
        <v>5.9572300887051871E-2</v>
      </c>
      <c r="CO22" s="38">
        <f>-CO$21/AVERAGE(HLOOKUP(CN$5,'Receivables BACEN'!$6:$42,30,0),HLOOKUP(CO$5,'Receivables BACEN'!$6:$42,30,0))</f>
        <v>3.1772473982546921E-2</v>
      </c>
      <c r="CP22" s="38">
        <f>-CP$21/AVERAGE(HLOOKUP(CI$5,'Receivables BACEN'!$6:$42,30,0),HLOOKUP(CJ$5,'Receivables BACEN'!$6:$42,30,0),HLOOKUP(CL$5,'Receivables BACEN'!$6:$42,30,0),HLOOKUP(CN$5,'Receivables BACEN'!$6:$42,30,0),HLOOKUP(CP$5,'Receivables BACEN'!$6:$42,30,0))</f>
        <v>9.1690812593800852E-2</v>
      </c>
      <c r="CQ22" s="38">
        <f>-CQ$21/AVERAGE(HLOOKUP(CP$5,'Estimated Credit Losses IFRS'!6:16,10,0),HLOOKUP(CQ$5,'Estimated Credit Losses IFRS'!6:16,10,0))</f>
        <v>3.4359211901196798E-2</v>
      </c>
      <c r="CR22" s="38">
        <f>-CR$21/AVERAGE(HLOOKUP(CQ$5,'Estimated Credit Losses IFRS'!6:16,10,0),HLOOKUP(CR$5,'Estimated Credit Losses IFRS'!6:16,10,0))</f>
        <v>5.3954528828590816E-2</v>
      </c>
      <c r="CS22" s="38">
        <f>-CS$21/AVERAGE(HLOOKUP(CP$5,'Estimated Credit Losses IFRS'!6:16,10,0),HLOOKUP(CQ$5,'Estimated Credit Losses IFRS'!6:16,10,0),HLOOKUP(CS$5,'Estimated Credit Losses IFRS'!6:16,10,0))</f>
        <v>8.8339419604585953E-2</v>
      </c>
      <c r="CT22" s="38">
        <f>-CT$21/AVERAGE(HLOOKUP(CS$5,'Estimated Credit Losses IFRS'!6:16,10,0),HLOOKUP(CT$5,'Estimated Credit Losses IFRS'!6:16,10,0))</f>
        <v>4.2486434231918814E-2</v>
      </c>
      <c r="CU22" s="64">
        <f>-CU$21/AVERAGE(HLOOKUP(CP$5,'Estimated Credit Losses IFRS'!6:16,10,0),HLOOKUP(CQ$5,'Estimated Credit Losses IFRS'!6:16,10,0),HLOOKUP(CS$5,'Estimated Credit Losses IFRS'!6:16,10,0),HLOOKUP(CU$5,'Estimated Credit Losses IFRS'!6:16,10,0))</f>
        <v>0.13127516181196866</v>
      </c>
      <c r="CV22" s="38">
        <f>-CV$21/AVERAGE(HLOOKUP(CU$5,'Estimated Credit Losses IFRS'!6:16,10,0),HLOOKUP(CV$5,'Estimated Credit Losses IFRS'!6:16,10,0))</f>
        <v>5.0895797144940122E-2</v>
      </c>
      <c r="CW22" s="64">
        <f>-CW$21/AVERAGE(HLOOKUP(CP$5,'Estimated Credit Losses IFRS'!6:16,10,0),HLOOKUP(CQ$5,'Estimated Credit Losses IFRS'!6:16,10,0),HLOOKUP(CS$5,'Estimated Credit Losses IFRS'!6:16,10,0),HLOOKUP(CU$5,'Estimated Credit Losses IFRS'!6:16,10,0),HLOOKUP(CW$5,'Estimated Credit Losses IFRS'!6:16,10,0))</f>
        <v>0.18185767343027343</v>
      </c>
      <c r="CX22" s="38">
        <f>-CX$21/AVERAGE(HLOOKUP(CW$5,'Estimated Credit Losses IFRS'!6:16,10,0),HLOOKUP(CX$5,'Estimated Credit Losses IFRS'!6:16,10,0))</f>
        <v>5.5296360619288241E-2</v>
      </c>
      <c r="CY22" s="38">
        <f>-CY$21/AVERAGE(HLOOKUP(CX$5,'Estimated Credit Losses IFRS'!6:16,10,0),HLOOKUP(CY$5,'Estimated Credit Losses IFRS'!6:16,10,0))</f>
        <v>6.3969623359600297E-2</v>
      </c>
      <c r="CZ22" s="38">
        <f>-CZ$21/AVERAGE(HLOOKUP(CW$5,'Estimated Credit Losses IFRS'!6:16,10,0),HLOOKUP(CX$5,'Estimated Credit Losses IFRS'!6:16,10,0),HLOOKUP(CZ$5,'Estimated Credit Losses IFRS'!6:16,10,0))</f>
        <v>0.11884959124456121</v>
      </c>
      <c r="DA22" s="38">
        <f>-DA$21/AVERAGE(HLOOKUP(CZ$5,'Estimated Credit Losses IFRS'!6:16,10,0),HLOOKUP(DA$5,'Estimated Credit Losses IFRS'!6:16,10,0))</f>
        <v>5.4789553541139881E-2</v>
      </c>
      <c r="DB22" s="64">
        <f>-DB$21/AVERAGE(HLOOKUP(CW$5,'Estimated Credit Losses IFRS'!6:16,10,0),HLOOKUP(CX$5,'Estimated Credit Losses IFRS'!6:16,10,0),HLOOKUP(CZ$5,'Estimated Credit Losses IFRS'!6:16,10,0),HLOOKUP(DB$5,'Estimated Credit Losses IFRS'!6:16,10,0))</f>
        <v>0.17457292561165291</v>
      </c>
      <c r="DC22" s="38">
        <f>-DC$21/AVERAGE(HLOOKUP(DB$5,'Estimated Credit Losses IFRS'!6:16,10,0),HLOOKUP(DC$5,'Estimated Credit Losses IFRS'!6:16,10,0))</f>
        <v>4.510296636331642E-2</v>
      </c>
      <c r="DD22" s="64">
        <f>-DD$21/AVERAGE(HLOOKUP(CW$5,'Estimated Credit Losses IFRS'!6:16,10,0),HLOOKUP(CX$5,'Estimated Credit Losses IFRS'!6:16,10,0),HLOOKUP(CZ$5,'Estimated Credit Losses IFRS'!6:16,10,0),HLOOKUP(DB$5,'Estimated Credit Losses IFRS'!6:16,10,0),HLOOKUP(DD$5,'Estimated Credit Losses IFRS'!6:16,10,0))</f>
        <v>0.21834319007252115</v>
      </c>
      <c r="DE22" s="38">
        <f>-DE$21/AVERAGE(HLOOKUP(DD$5,'Estimated Credit Losses IFRS'!6:16,10,0),HLOOKUP(DE$5,'Estimated Credit Losses IFRS'!6:16,10,0))</f>
        <v>4.4323306349529482E-2</v>
      </c>
      <c r="DF22" s="38">
        <f>-DF$21/AVERAGE(HLOOKUP(DE$5,'Estimated Credit Losses IFRS'!6:16,10,0),HLOOKUP(DF$5,'Estimated Credit Losses IFRS'!6:16,10,0))</f>
        <v>4.3899827340520559E-2</v>
      </c>
      <c r="DG22" s="38">
        <f>-DG$21/AVERAGE(HLOOKUP(DD$5,'Estimated Credit Losses IFRS'!6:16,10,0),HLOOKUP(DE$5,'Estimated Credit Losses IFRS'!6:16,10,0),HLOOKUP(DG$5,'Estimated Credit Losses IFRS'!6:16,10,0))</f>
        <v>8.7623028198639513E-2</v>
      </c>
      <c r="DH22" s="38">
        <f>-DH$21/AVERAGE(HLOOKUP(DG$5,'Estimated Credit Losses IFRS'!6:16,10,0),HLOOKUP(DH$5,'Estimated Credit Losses IFRS'!6:16,10,0))</f>
        <v>3.8973861136328815E-2</v>
      </c>
      <c r="DI22" s="64">
        <f>-DI$21/AVERAGE(HLOOKUP(DD$5,'Estimated Credit Losses IFRS'!6:16,10,0),HLOOKUP(DE$5,'Estimated Credit Losses IFRS'!6:16,10,0),HLOOKUP(DG$5,'Estimated Credit Losses IFRS'!6:16,10,0),HLOOKUP(DI$5,'Estimated Credit Losses IFRS'!6:16,10,0))</f>
        <v>0.12659586212605625</v>
      </c>
      <c r="DJ22" s="38">
        <f>-DJ$21/AVERAGE(HLOOKUP(DI$5,'Estimated Credit Losses IFRS'!6:16,10,0),HLOOKUP(DJ$5,'Estimated Credit Losses IFRS'!6:16,10,0))</f>
        <v>3.5982846259904291E-2</v>
      </c>
      <c r="DK22" s="64">
        <f>-DK$21/AVERAGE(HLOOKUP(DD$5,'Estimated Credit Losses IFRS'!6:16,10,0),HLOOKUP(DE$5,'Estimated Credit Losses IFRS'!6:16,10,0),HLOOKUP(DG$5,'Estimated Credit Losses IFRS'!6:16,10,0),HLOOKUP(DI$5,'Estimated Credit Losses IFRS'!6:16,10,0),HLOOKUP(DK$5,'Estimated Credit Losses IFRS'!6:16,10,0))</f>
        <v>0.16140438202573712</v>
      </c>
      <c r="DL22" s="64">
        <f>-DL$21/AVERAGE(HLOOKUP(DK$5,'Estimated Credit Losses IFRS'!6:16,10,0),HLOOKUP(DL$5,'Estimated Credit Losses IFRS'!6:16,10,0))</f>
        <v>2.8818075957791258E-2</v>
      </c>
      <c r="DM22" s="38">
        <f>-DM$21/AVERAGE(HLOOKUP(DL$5,'Estimated Credit Losses IFRS'!6:16,10,0),HLOOKUP(DM$5,'Estimated Credit Losses IFRS'!6:16,10,0))</f>
        <v>4.0518193201963641E-2</v>
      </c>
      <c r="DN22" s="38">
        <f>-DN$21/AVERAGE(HLOOKUP(DK$5,'Estimated Credit Losses IFRS'!6:16,10,0),HLOOKUP(DL$5,'Estimated Credit Losses IFRS'!6:16,10,0),HLOOKUP(DN$5,'Estimated Credit Losses IFRS'!6:16,10,0))</f>
        <v>6.9056278634806512E-2</v>
      </c>
      <c r="DO22" s="38">
        <f>-DO$21/AVERAGE(HLOOKUP(DN$5,'Estimated Credit Losses IFRS'!6:16,10,0),HLOOKUP(DO$5,'Estimated Credit Losses IFRS'!6:16,10,0))</f>
        <v>4.0772675408394896E-2</v>
      </c>
      <c r="DP22" s="64">
        <f>-DP$21/AVERAGE(HLOOKUP(DK$5,'Estimated Credit Losses IFRS'!6:16,10,0),HLOOKUP(DL$5,'Estimated Credit Losses IFRS'!6:16,10,0),HLOOKUP(DN$5,'Estimated Credit Losses IFRS'!6:16,10,0),HLOOKUP(DP$5,'Estimated Credit Losses IFRS'!6:16,10,0))</f>
        <v>0.11047276701804994</v>
      </c>
      <c r="DQ22" s="38">
        <f>-DQ$21/AVERAGE(HLOOKUP(DP$5,'Estimated Credit Losses IFRS'!6:16,10,0),HLOOKUP(DQ$5,'Estimated Credit Losses IFRS'!6:16,10,0))</f>
        <v>3.8343181744943486E-2</v>
      </c>
      <c r="DR22" s="64">
        <f>-DR$21/AVERAGE(HLOOKUP(DM$5,'Estimated Credit Losses IFRS'!6:16,10,0),HLOOKUP(DN$5,'Estimated Credit Losses IFRS'!6:16,10,0),HLOOKUP(DP$5,'Estimated Credit Losses IFRS'!6:16,10,0),HLOOKUP(DR$5,'Estimated Credit Losses IFRS'!6:16,10,0))</f>
        <v>0.14457026986295457</v>
      </c>
      <c r="DS22" s="64">
        <f>-DS$21/AVERAGE(HLOOKUP(DR$5,'Estimated Credit Losses IFRS'!6:16,10,0),HLOOKUP(DS$5,'Estimated Credit Losses IFRS'!6:16,10,0))</f>
        <v>3.4568809776060944E-2</v>
      </c>
      <c r="DT22" s="38">
        <f>-DT$21/AVERAGE(HLOOKUP(DS$5,'Estimated Credit Losses IFRS'!6:16,10,0),HLOOKUP(DT$5,'Estimated Credit Losses IFRS'!6:16,10,0))</f>
        <v>4.511826496547279E-2</v>
      </c>
      <c r="DU22" s="38">
        <f>-DU$21/AVERAGE(HLOOKUP(DR$5,'Estimated Credit Losses IFRS'!6:16,10,0),HLOOKUP(DS$5,'Estimated Credit Losses IFRS'!6:16,10,0),HLOOKUP(DU$5,'Estimated Credit Losses IFRS'!6:16,10,0))</f>
        <v>7.9241960080860568E-2</v>
      </c>
    </row>
    <row r="23" spans="1:125" ht="16.350000000000001" customHeight="1">
      <c r="A23" s="155" t="s">
        <v>532</v>
      </c>
      <c r="B23" s="158" t="s">
        <v>377</v>
      </c>
      <c r="C23" s="158" t="s">
        <v>378</v>
      </c>
      <c r="D23" s="80">
        <v>-17008</v>
      </c>
      <c r="E23" s="80">
        <v>-25930</v>
      </c>
      <c r="F23" s="159">
        <v>-42938</v>
      </c>
      <c r="G23" s="80">
        <v>-22949</v>
      </c>
      <c r="H23" s="159">
        <v>-65887</v>
      </c>
      <c r="I23" s="80">
        <v>-24347</v>
      </c>
      <c r="J23" s="80">
        <v>-90234</v>
      </c>
      <c r="K23" s="80">
        <v>-18914</v>
      </c>
      <c r="L23" s="80">
        <v>-22990</v>
      </c>
      <c r="M23" s="159">
        <v>-41904</v>
      </c>
      <c r="N23" s="80">
        <v>-13343</v>
      </c>
      <c r="O23" s="159">
        <v>-55247</v>
      </c>
      <c r="P23" s="80">
        <v>-12569</v>
      </c>
      <c r="Q23" s="80">
        <v>-67815</v>
      </c>
      <c r="R23" s="80">
        <v>-13092</v>
      </c>
      <c r="S23" s="80">
        <v>-21849</v>
      </c>
      <c r="T23" s="80">
        <v>-34941</v>
      </c>
      <c r="U23" s="80">
        <v>-16607</v>
      </c>
      <c r="V23" s="80">
        <v>-51548</v>
      </c>
      <c r="W23" s="80">
        <v>-30773</v>
      </c>
      <c r="X23" s="80">
        <v>-82321</v>
      </c>
      <c r="Y23" s="80">
        <v>-13413</v>
      </c>
      <c r="Z23" s="80">
        <v>-26471</v>
      </c>
      <c r="AA23" s="80">
        <v>-39884</v>
      </c>
      <c r="AB23" s="80">
        <v>-26471</v>
      </c>
      <c r="AC23" s="80">
        <v>-39884</v>
      </c>
      <c r="AD23" s="80">
        <v>-32658</v>
      </c>
      <c r="AE23" s="80">
        <v>-91863</v>
      </c>
      <c r="AF23" s="80">
        <v>-15946</v>
      </c>
      <c r="AG23" s="80">
        <v>-26288</v>
      </c>
      <c r="AH23" s="80">
        <v>-42234</v>
      </c>
      <c r="AI23" s="80">
        <v>-22273</v>
      </c>
      <c r="AJ23" s="80">
        <v>-64507</v>
      </c>
      <c r="AK23" s="80">
        <v>-32078.5</v>
      </c>
      <c r="AL23" s="80">
        <v>-96586.7</v>
      </c>
      <c r="AM23" s="80">
        <v>-15014.400000000001</v>
      </c>
      <c r="AN23" s="80">
        <v>-37942</v>
      </c>
      <c r="AO23" s="80">
        <v>-52956.4</v>
      </c>
      <c r="AP23" s="80">
        <v>-29847.1</v>
      </c>
      <c r="AQ23" s="80">
        <v>-82803.5</v>
      </c>
      <c r="AR23" s="80">
        <v>-34263.949999999997</v>
      </c>
      <c r="AS23" s="80">
        <v>-117067.45</v>
      </c>
      <c r="AT23" s="80">
        <v>-24765</v>
      </c>
      <c r="AU23" s="80">
        <v>-45151</v>
      </c>
      <c r="AV23" s="159">
        <v>-69916</v>
      </c>
      <c r="AW23" s="80">
        <v>-41657.216569999997</v>
      </c>
      <c r="AX23" s="159">
        <v>-111573.21656999999</v>
      </c>
      <c r="AY23" s="80">
        <v>-53166.789307177904</v>
      </c>
      <c r="AZ23" s="159">
        <v>-164741</v>
      </c>
      <c r="BA23" s="80">
        <v>-18550</v>
      </c>
      <c r="BB23" s="80">
        <v>-41890</v>
      </c>
      <c r="BC23" s="159">
        <v>-60440</v>
      </c>
      <c r="BD23" s="80">
        <v>-31812</v>
      </c>
      <c r="BE23" s="159">
        <v>-92252</v>
      </c>
      <c r="BF23" s="80">
        <v>-33963</v>
      </c>
      <c r="BG23" s="159">
        <v>-126215</v>
      </c>
      <c r="BH23" s="80">
        <v>-18732</v>
      </c>
      <c r="BI23" s="80">
        <v>-30931</v>
      </c>
      <c r="BJ23" s="159">
        <v>-49663</v>
      </c>
      <c r="BK23" s="80">
        <v>-25959</v>
      </c>
      <c r="BL23" s="159">
        <v>-75622</v>
      </c>
      <c r="BM23" s="80">
        <v>-33717</v>
      </c>
      <c r="BN23" s="159">
        <v>-109339</v>
      </c>
      <c r="BO23" s="80">
        <v>-19981</v>
      </c>
      <c r="BP23" s="80">
        <v>-34423</v>
      </c>
      <c r="BQ23" s="80">
        <v>-54404</v>
      </c>
      <c r="BR23" s="80">
        <v>-15701.438030000005</v>
      </c>
      <c r="BS23" s="80">
        <v>-70105.438030000005</v>
      </c>
      <c r="BT23" s="80">
        <v>-28512.460059999899</v>
      </c>
      <c r="BU23" s="80">
        <v>-98617.898089999901</v>
      </c>
      <c r="BV23" s="80">
        <v>-28701.933689999998</v>
      </c>
      <c r="BW23" s="80">
        <v>-40096.70147</v>
      </c>
      <c r="BX23" s="80">
        <v>-68798.635160000005</v>
      </c>
      <c r="BY23" s="80">
        <v>-45256.975859999999</v>
      </c>
      <c r="BZ23" s="80">
        <v>-114055.61102000001</v>
      </c>
      <c r="CA23" s="80">
        <v>-54472.828580000001</v>
      </c>
      <c r="CB23" s="80">
        <v>-168528.43960000001</v>
      </c>
      <c r="CC23" s="80">
        <v>-67445.099999999991</v>
      </c>
      <c r="CD23" s="80">
        <v>-56705.672979999996</v>
      </c>
      <c r="CE23" s="80">
        <v>-124150.77297999998</v>
      </c>
      <c r="CF23" s="80">
        <v>-13810.881690000002</v>
      </c>
      <c r="CG23" s="80">
        <v>-137961.65466999999</v>
      </c>
      <c r="CH23" s="80">
        <v>30805.645140000001</v>
      </c>
      <c r="CI23" s="80">
        <v>30805.645140000001</v>
      </c>
      <c r="CJ23" s="80">
        <v>4502</v>
      </c>
      <c r="CK23" s="80">
        <v>-28686</v>
      </c>
      <c r="CL23" s="80">
        <v>-24184</v>
      </c>
      <c r="CM23" s="80">
        <v>-140</v>
      </c>
      <c r="CN23" s="80">
        <v>-24324</v>
      </c>
      <c r="CO23" s="80">
        <v>-17161</v>
      </c>
      <c r="CP23" s="80">
        <v>-41485</v>
      </c>
      <c r="CQ23" s="80">
        <v>-19043</v>
      </c>
      <c r="CR23" s="80">
        <v>-45819</v>
      </c>
      <c r="CS23" s="80">
        <v>-64862</v>
      </c>
      <c r="CT23" s="80">
        <v>-6865</v>
      </c>
      <c r="CU23" s="80">
        <v>-71727</v>
      </c>
      <c r="CV23" s="80">
        <v>429</v>
      </c>
      <c r="CW23" s="80">
        <v>-71298</v>
      </c>
      <c r="CX23" s="80">
        <v>-35817</v>
      </c>
      <c r="CY23" s="80">
        <v>-41692</v>
      </c>
      <c r="CZ23" s="80">
        <v>-77509</v>
      </c>
      <c r="DA23" s="80">
        <v>-27416</v>
      </c>
      <c r="DB23" s="80">
        <v>-104925</v>
      </c>
      <c r="DC23" s="80">
        <v>-542</v>
      </c>
      <c r="DD23" s="80">
        <v>-105467</v>
      </c>
      <c r="DE23" s="80">
        <v>-4267</v>
      </c>
      <c r="DF23" s="80">
        <v>3178</v>
      </c>
      <c r="DG23" s="80">
        <v>-1089</v>
      </c>
      <c r="DH23" s="80">
        <v>-9477.2552999999971</v>
      </c>
      <c r="DI23" s="80">
        <v>-10566.255299999997</v>
      </c>
      <c r="DJ23" s="80">
        <v>-9699</v>
      </c>
      <c r="DK23" s="80">
        <v>-20265.255299999997</v>
      </c>
      <c r="DL23" s="80">
        <v>-8610</v>
      </c>
      <c r="DM23" s="80">
        <v>-21548</v>
      </c>
      <c r="DN23" s="80">
        <v>-30158</v>
      </c>
      <c r="DO23" s="80">
        <v>-15542</v>
      </c>
      <c r="DP23" s="80">
        <v>-45700</v>
      </c>
      <c r="DQ23" s="80">
        <v>-13660</v>
      </c>
      <c r="DR23" s="80">
        <v>-59360</v>
      </c>
      <c r="DS23" s="80">
        <v>-6249</v>
      </c>
      <c r="DT23" s="80">
        <v>-16479</v>
      </c>
      <c r="DU23" s="80">
        <f>SUM(DS23:DT23)</f>
        <v>-22728</v>
      </c>
    </row>
    <row r="24" spans="1:125" ht="16.350000000000001" customHeight="1">
      <c r="A24" s="155"/>
      <c r="B24" s="160" t="s">
        <v>1485</v>
      </c>
      <c r="C24" s="160" t="s">
        <v>1483</v>
      </c>
      <c r="D24" s="38">
        <f>-D$23/AVERAGE(HLOOKUP(C$5,'Receivables BACEN'!$6:$42,9,0),HLOOKUP(D$5,'Receivables BACEN'!$6:$42,9,0))</f>
        <v>2.9219200698182218E-2</v>
      </c>
      <c r="E24" s="38">
        <f>-E$23/AVERAGE(HLOOKUP(D$5,'Receivables BACEN'!$6:$42,9,0),HLOOKUP(E$5,'Receivables BACEN'!$6:$42,9,0))</f>
        <v>4.8195816647723523E-2</v>
      </c>
      <c r="F24" s="38">
        <f>-F$23/AVERAGE(HLOOKUP(C$5,'Receivables BACEN'!$6:$42,9,0),HLOOKUP(D$5,'Receivables BACEN'!$6:$42,9,0),HLOOKUP(F$5,'Receivables BACEN'!$6:$42,9,0))</f>
        <v>7.4724685703147845E-2</v>
      </c>
      <c r="G24" s="38">
        <f>-G$23/AVERAGE(HLOOKUP(F$5,'Receivables BACEN'!$6:$42,9,0),HLOOKUP(G$5,'Receivables BACEN'!$6:$42,9,0))</f>
        <v>4.2827004022554675E-2</v>
      </c>
      <c r="H24" s="38">
        <f>-H$23/AVERAGE(HLOOKUP(C$5,'Receivables BACEN'!$6:$42,9,0),HLOOKUP(D$5,'Receivables BACEN'!$6:$42,9,0),HLOOKUP(F$5,'Receivables BACEN'!$6:$42,9,0),HLOOKUP(H$5,'Receivables BACEN'!$6:$42,9,0))</f>
        <v>0.11787252674905954</v>
      </c>
      <c r="I24" s="38">
        <f>-I$23/AVERAGE(HLOOKUP(H$5,'Receivables BACEN'!$6:$42,9,0),HLOOKUP(I$5,'Receivables BACEN'!$6:$42,9,0))</f>
        <v>4.0636918223772606E-2</v>
      </c>
      <c r="J24" s="38">
        <f>-J$23/AVERAGE(HLOOKUP(C$5,'Receivables BACEN'!$6:$42,9,0),HLOOKUP(D$5,'Receivables BACEN'!$6:$42,9,0),HLOOKUP(F$5,'Receivables BACEN'!$6:$42,9,0),HLOOKUP(H$5,'Receivables BACEN'!$6:$42,9,0),HLOOKUP(J$5,'Receivables BACEN'!$6:$42,9,0))</f>
        <v>0.15439828234178085</v>
      </c>
      <c r="K24" s="38">
        <f>-K$23/AVERAGE(HLOOKUP(J$5,'Receivables BACEN'!$6:$42,9,0),HLOOKUP(K$5,'Receivables BACEN'!$6:$42,9,0))</f>
        <v>3.021721921383148E-2</v>
      </c>
      <c r="L24" s="38">
        <f>-L$23/AVERAGE(HLOOKUP(K$5,'Receivables BACEN'!$6:$42,9,0),HLOOKUP(L$5,'Receivables BACEN'!$6:$42,9,0))</f>
        <v>3.920893124537389E-2</v>
      </c>
      <c r="M24" s="38">
        <f>-M$23/AVERAGE(HLOOKUP(J$5,'Receivables BACEN'!$6:$42,9,0),HLOOKUP(K$5,'Receivables BACEN'!$6:$42,9,0),HLOOKUP(M$5,'Receivables BACEN'!$6:$42,9,0))</f>
        <v>6.762574525118388E-2</v>
      </c>
      <c r="N24" s="38">
        <f>-N$23/AVERAGE(HLOOKUP(M$5,'Receivables BACEN'!$6:$42,9,0),HLOOKUP(N$5,'Receivables BACEN'!$6:$42,9,0))</f>
        <v>2.280258325600313E-2</v>
      </c>
      <c r="O24" s="38">
        <f>-O$23/AVERAGE(HLOOKUP(J$5,'Receivables BACEN'!$6:$42,9,0),HLOOKUP(K$5,'Receivables BACEN'!$6:$42,9,0),HLOOKUP(M$5,'Receivables BACEN'!$6:$42,9,0),HLOOKUP(O$5,'Receivables BACEN'!$6:$42,9,0))</f>
        <v>9.1235356652595287E-2</v>
      </c>
      <c r="P24" s="38">
        <f>-P$23/AVERAGE(HLOOKUP(O$5,'Receivables BACEN'!$6:$42,9,0),HLOOKUP(P$5,'Receivables BACEN'!$6:$42,9,0))</f>
        <v>1.94888763466536E-2</v>
      </c>
      <c r="Q24" s="38">
        <f>-Q$23/AVERAGE(HLOOKUP(J$5,'Receivables BACEN'!$6:$42,9,0),HLOOKUP(K$5,'Receivables BACEN'!$6:$42,9,0),HLOOKUP(M$5,'Receivables BACEN'!$6:$42,9,0),HLOOKUP(O$5,'Receivables BACEN'!$6:$42,9,0),HLOOKUP(Q$5,'Receivables BACEN'!$6:$42,9,0))</f>
        <v>0.10768384537479504</v>
      </c>
      <c r="R24" s="38">
        <f>-R$23/AVERAGE(HLOOKUP(Q$5,'Receivables BACEN'!$6:$42,9,0),HLOOKUP(R$5,'Receivables BACEN'!$6:$42,9,0))</f>
        <v>1.9551270563779075E-2</v>
      </c>
      <c r="S24" s="38">
        <f>-S$23/AVERAGE(HLOOKUP(R$5,'Receivables BACEN'!$6:$42,9,0),HLOOKUP(S$5,'Receivables BACEN'!$6:$42,9,0))</f>
        <v>3.4390976402145716E-2</v>
      </c>
      <c r="T24" s="38">
        <f>-T$23/AVERAGE(HLOOKUP(Q$5,'Receivables BACEN'!$6:$42,9,0),HLOOKUP(R$5,'Receivables BACEN'!$6:$42,9,0),HLOOKUP(T$5,'Receivables BACEN'!$6:$42,9,0))</f>
        <v>5.2483665039429216E-2</v>
      </c>
      <c r="U24" s="38">
        <f>-U$23/AVERAGE(HLOOKUP(T$5,'Receivables BACEN'!$6:$42,9,0),HLOOKUP(U$5,'Receivables BACEN'!$6:$42,9,0))</f>
        <v>2.648629553104568E-2</v>
      </c>
      <c r="V24" s="38">
        <f>-V$23/AVERAGE(HLOOKUP(Q$5,'Receivables BACEN'!$6:$42,9,0),HLOOKUP(R$5,'Receivables BACEN'!$6:$42,9,0),HLOOKUP(T$5,'Receivables BACEN'!$6:$42,9,0),HLOOKUP(V$5,'Receivables BACEN'!$6:$42,9,0))</f>
        <v>7.9510884968890444E-2</v>
      </c>
      <c r="W24" s="38">
        <f>-W$23/AVERAGE(HLOOKUP(V$5,'Receivables BACEN'!$6:$42,9,0),HLOOKUP(W$5,'Receivables BACEN'!$6:$42,9,0))</f>
        <v>4.4525180969909005E-2</v>
      </c>
      <c r="X24" s="38">
        <f>-X$23/AVERAGE(HLOOKUP(Q$5,'Receivables BACEN'!$6:$42,9,0),HLOOKUP(R$5,'Receivables BACEN'!$6:$42,9,0),HLOOKUP(T$5,'Receivables BACEN'!$6:$42,9,0),HLOOKUP(V$5,'Receivables BACEN'!$6:$42,9,0),HLOOKUP(X$5,'Receivables BACEN'!$6:$42,9,0))</f>
        <v>0.12179377924228382</v>
      </c>
      <c r="Y24" s="38">
        <f>-Y$23/AVERAGE(HLOOKUP(X$5,'Receivables BACEN'!$6:$42,9,0),HLOOKUP(Y$5,'Receivables BACEN'!$6:$42,9,0))</f>
        <v>1.8454286669519263E-2</v>
      </c>
      <c r="Z24" s="38">
        <f>-Z$23/AVERAGE(HLOOKUP(Y$5,'Receivables BACEN'!$6:$42,9,0),HLOOKUP(Z$5,'Receivables BACEN'!$6:$42,9,0))</f>
        <v>3.8442575395502811E-2</v>
      </c>
      <c r="AA24" s="38">
        <f>-AA$23/AVERAGE(HLOOKUP(X$5,'Receivables BACEN'!$6:$42,9,0),HLOOKUP(Y$5,'Receivables BACEN'!$6:$42,9,0),HLOOKUP(AA$5,'Receivables BACEN'!$6:$42,9,0))</f>
        <v>5.5306363938912105E-2</v>
      </c>
      <c r="AB24" s="38">
        <f>-AB$23/AVERAGE(HLOOKUP(AA$5,'Receivables BACEN'!$6:$42,9,0),HLOOKUP(AB$5,'Receivables BACEN'!$6:$42,9,0))</f>
        <v>3.7910137607025496E-2</v>
      </c>
      <c r="AC24" s="38">
        <f>-AC$23/AVERAGE(HLOOKUP(Z$5,'Receivables BACEN'!$6:$42,9,0),HLOOKUP(AA$5,'Receivables BACEN'!$6:$42,9,0),HLOOKUP(AC$5,'Receivables BACEN'!$6:$42,9,0))</f>
        <v>5.6806533900328866E-2</v>
      </c>
      <c r="AD24" s="38">
        <f>-AD$23/AVERAGE(HLOOKUP(AC$5,'Receivables BACEN'!$6:$42,9,0),HLOOKUP(AD$5,'Receivables BACEN'!$6:$42,9,0))</f>
        <v>4.064948562680093E-2</v>
      </c>
      <c r="AE24" s="38">
        <f>-AE$23/AVERAGE(HLOOKUP(X$5,'Receivables BACEN'!$6:$42,9,0),HLOOKUP(Y$5,'Receivables BACEN'!$6:$42,9,0),HLOOKUP(AA$5,'Receivables BACEN'!$6:$42,9,0),HLOOKUP(AC$5,'Receivables BACEN'!$6:$42,9,0),HLOOKUP(AE$5,'Receivables BACEN'!$6:$42,9,0))</f>
        <v>0.12182613885020888</v>
      </c>
      <c r="AF24" s="38">
        <f>-AF$23/AVERAGE(HLOOKUP(AE$5,'Receivables BACEN'!$6:$42,9,0),HLOOKUP(AF$5,'Receivables BACEN'!$6:$42,9,0))</f>
        <v>1.8676330041414464E-2</v>
      </c>
      <c r="AG24" s="38">
        <f>-AG$23/AVERAGE(HLOOKUP(AF$5,'Receivables BACEN'!$6:$42,9,0),HLOOKUP(AG$5,'Receivables BACEN'!$6:$42,9,0))</f>
        <v>3.2893304470776659E-2</v>
      </c>
      <c r="AH24" s="38">
        <f>-AH$23/AVERAGE(HLOOKUP(AE$5,'Receivables BACEN'!$6:$42,9,0),HLOOKUP(AF$5,'Receivables BACEN'!$6:$42,9,0),HLOOKUP(AH$5,'Receivables BACEN'!$6:$42,9,0))</f>
        <v>5.0309096273095856E-2</v>
      </c>
      <c r="AI24" s="38">
        <f>-AI$23/AVERAGE(HLOOKUP(AH$5,'Receivables BACEN'!$6:$42,9,0),HLOOKUP(AI$5,'Receivables BACEN'!$6:$42,9,0))</f>
        <v>2.7590640761136501E-2</v>
      </c>
      <c r="AJ24" s="38">
        <f>-AJ$23/AVERAGE(HLOOKUP(AE$5,'Receivables BACEN'!$6:$42,9,0),HLOOKUP(AF$5,'Receivables BACEN'!$6:$42,9,0),HLOOKUP(AH$5,'Receivables BACEN'!$6:$42,9,0),HLOOKUP(AJ$5,'Receivables BACEN'!$6:$42,9,0))</f>
        <v>7.7669002805111992E-2</v>
      </c>
      <c r="AK24" s="38">
        <f>-AK$23/AVERAGE(HLOOKUP(AJ$5,'Receivables BACEN'!$6:$42,9,0),HLOOKUP(AK$5,'Receivables BACEN'!$6:$42,9,0))</f>
        <v>3.3915158448182076E-2</v>
      </c>
      <c r="AL24" s="38">
        <f>-AL$23/AVERAGE(HLOOKUP(AE$5,'Receivables BACEN'!$6:$42,9,0),HLOOKUP(AF$5,'Receivables BACEN'!$6:$42,9,0),HLOOKUP(AH$5,'Receivables BACEN'!$6:$42,9,0),HLOOKUP(AJ$5,'Receivables BACEN'!$6:$42,9,0),HLOOKUP(AL$5,'Receivables BACEN'!$6:$42,9,0))</f>
        <v>0.10950470753682064</v>
      </c>
      <c r="AM24" s="38">
        <f>-AM$23/AVERAGE(HLOOKUP(AL$5,'Receivables BACEN'!$6:$42,9,0),HLOOKUP(AM$5,'Receivables BACEN'!$6:$42,9,0))</f>
        <v>1.4950747193822302E-2</v>
      </c>
      <c r="AN24" s="38">
        <f>-AN$23/AVERAGE(HLOOKUP(AM$5,'Receivables BACEN'!$6:$42,9,0),HLOOKUP(AN$5,'Receivables BACEN'!$6:$42,9,0))</f>
        <v>4.1534301759148781E-2</v>
      </c>
      <c r="AO24" s="38">
        <f>-AO$23/AVERAGE(HLOOKUP(AL$5,'Receivables BACEN'!$6:$42,9,0),HLOOKUP(AM$5,'Receivables BACEN'!$6:$42,9,0),HLOOKUP(AO$5,'Receivables BACEN'!$6:$42,9,0))</f>
        <v>5.4499966209644972E-2</v>
      </c>
      <c r="AP24" s="38">
        <f>-AP$23/AVERAGE(HLOOKUP(AO$5,'Receivables BACEN'!$6:$42,9,0),HLOOKUP(AP$5,'Receivables BACEN'!$6:$42,9,0))</f>
        <v>3.3859117637549722E-2</v>
      </c>
      <c r="AQ24" s="38">
        <f>-AQ$23/AVERAGE(HLOOKUP(AL$5,'Receivables BACEN'!$6:$42,9,0),HLOOKUP(AM$5,'Receivables BACEN'!$6:$42,9,0),HLOOKUP(AO$5,'Receivables BACEN'!$6:$42,9,0),HLOOKUP(AQ$5,'Receivables BACEN'!$6:$42,9,0))</f>
        <v>8.7819485556532462E-2</v>
      </c>
      <c r="AR24" s="38">
        <f>-AR$23/AVERAGE(HLOOKUP(AQ$5,'Receivables BACEN'!$6:$42,9,0),HLOOKUP(AR$5,'Receivables BACEN'!$6:$42,9,0))</f>
        <v>3.3647196881168184E-2</v>
      </c>
      <c r="AS24" s="38">
        <f>-AS$23/AVERAGE(HLOOKUP(AL$5,'Receivables BACEN'!$6:$42,9,0),HLOOKUP(AM$5,'Receivables BACEN'!$6:$42,9,0),HLOOKUP(AO$5,'Receivables BACEN'!$6:$42,9,0),HLOOKUP(AQ$5,'Receivables BACEN'!$6:$42,9,0),HLOOKUP(AS$5,'Receivables BACEN'!$6:$42,9,0))</f>
        <v>0.11820951945122607</v>
      </c>
      <c r="AT24" s="38">
        <f>-AT$23/AVERAGE(HLOOKUP(AS$5,'Receivables BACEN'!$6:$42,9,0),HLOOKUP(AT$5,'Receivables BACEN'!$6:$42,9,0))</f>
        <v>2.2729901040261249E-2</v>
      </c>
      <c r="AU24" s="38">
        <f>-AU$23/AVERAGE(HLOOKUP(AT$5,'Receivables BACEN'!$6:$42,9,0),HLOOKUP(AU$5,'Receivables BACEN'!$6:$42,9,0))</f>
        <v>4.4353710381140277E-2</v>
      </c>
      <c r="AV24" s="38">
        <f>-AV$23/AVERAGE(HLOOKUP(AS$5,'Receivables BACEN'!$6:$42,9,0),HLOOKUP(AT$5,'Receivables BACEN'!$6:$42,9,0),HLOOKUP(AV$5,'Receivables BACEN'!$6:$42,9,0))</f>
        <v>6.5217869299480535E-2</v>
      </c>
      <c r="AW24" s="38">
        <f>-AW$23/AVERAGE(HLOOKUP(AV$5,'Receivables BACEN'!$6:$42,9,0),HLOOKUP(AW$5,'Receivables BACEN'!$6:$42,9,0))</f>
        <v>4.1488102181247037E-2</v>
      </c>
      <c r="AX24" s="38">
        <f>-AX$23/AVERAGE(HLOOKUP(AS$5,'Receivables BACEN'!$6:$42,9,0),HLOOKUP(AT$5,'Receivables BACEN'!$6:$42,9,0),HLOOKUP(AV$5,'Receivables BACEN'!$6:$42,9,0),HLOOKUP(AX$5,'Receivables BACEN'!$6:$42,9,0))</f>
        <v>0.1065845168469732</v>
      </c>
      <c r="AY24" s="38">
        <f>-AY$23/AVERAGE(HLOOKUP(AX$5,'Receivables BACEN'!$6:$42,9,0),HLOOKUP(AY$5,'Receivables BACEN'!$6:$42,9,0))</f>
        <v>4.7938216023690056E-2</v>
      </c>
      <c r="AZ24" s="38">
        <f>-AZ$23/AVERAGE(HLOOKUP(AS$5,'Receivables BACEN'!$6:$42,9,0),HLOOKUP(AT$5,'Receivables BACEN'!$6:$42,9,0),HLOOKUP(AV$5,'Receivables BACEN'!$6:$42,9,0),HLOOKUP(AX$5,'Receivables BACEN'!$6:$42,9,0),HLOOKUP(AZ$5,'Receivables BACEN'!$6:$42,9,0))</f>
        <v>0.15157656255836408</v>
      </c>
      <c r="BA24" s="38">
        <f>-BA$23/AVERAGE(HLOOKUP(AZ$5,'Receivables BACEN'!$6:$42,9,0),HLOOKUP(BA$5,'Receivables BACEN'!$6:$42,9,0))</f>
        <v>1.6490647891330631E-2</v>
      </c>
      <c r="BB24" s="38">
        <f>-BB$23/AVERAGE(HLOOKUP(BA$5,'Receivables BACEN'!$6:$42,9,0),HLOOKUP(BB$5,'Receivables BACEN'!$6:$42,9,0))</f>
        <v>4.0945089692618591E-2</v>
      </c>
      <c r="BC24" s="38">
        <f>-BC$23/AVERAGE(HLOOKUP(AZ$5,'Receivables BACEN'!$6:$42,9,0),HLOOKUP(BA$5,'Receivables BACEN'!$6:$42,9,0),HLOOKUP(BC$5,'Receivables BACEN'!$6:$42,9,0))</f>
        <v>5.5059160053261509E-2</v>
      </c>
      <c r="BD24" s="38">
        <f>-BD$23/AVERAGE(HLOOKUP(BC$5,'Receivables BACEN'!$6:$42,9,0),HLOOKUP(BD$5,'Receivables BACEN'!$6:$42,9,0))</f>
        <v>3.2054718327173354E-2</v>
      </c>
      <c r="BE24" s="38">
        <f>-BE$23/AVERAGE(HLOOKUP(AZ$5,'Receivables BACEN'!$6:$42,9,0),HLOOKUP(BA$5,'Receivables BACEN'!$6:$42,9,0),HLOOKUP(BC$5,'Receivables BACEN'!$6:$42,9,0),HLOOKUP(BE$5,'Receivables BACEN'!$6:$42,9,0))</f>
        <v>8.7140841105781491E-2</v>
      </c>
      <c r="BF24" s="38">
        <f>-BF$23/AVERAGE(HLOOKUP(BE$5,'Receivables BACEN'!$6:$42,9,0),HLOOKUP(BF$5,'Receivables BACEN'!$6:$42,9,0))</f>
        <v>3.119984787283786E-2</v>
      </c>
      <c r="BG24" s="38">
        <f>-BG$23/AVERAGE(HLOOKUP(AZ$5,'Receivables BACEN'!$6:$42,9,0),HLOOKUP(BA$5,'Receivables BACEN'!$6:$42,9,0),HLOOKUP(BC$5,'Receivables BACEN'!$6:$42,9,0),HLOOKUP(BE$5,'Receivables BACEN'!$6:$42,9,0),HLOOKUP(BG$5,'Receivables BACEN'!$6:$42,9,0))</f>
        <v>0.11536364203059023</v>
      </c>
      <c r="BH24" s="38">
        <f>-BH$23/AVERAGE(HLOOKUP(BG$5,'Receivables BACEN'!$6:$42,9,0),HLOOKUP(BH$5,'Receivables BACEN'!$6:$42,9,0))</f>
        <v>1.6657181475421497E-2</v>
      </c>
      <c r="BI24" s="38">
        <f>-BI$23/AVERAGE(HLOOKUP(BH$5,'Receivables BACEN'!$6:$42,9,0),HLOOKUP(BI$5,'Receivables BACEN'!$6:$42,9,0))</f>
        <v>3.1068197158652611E-2</v>
      </c>
      <c r="BJ24" s="38">
        <f>-BJ$23/AVERAGE(HLOOKUP(BG$5,'Receivables BACEN'!$6:$42,9,0),HLOOKUP(BH$5,'Receivables BACEN'!$6:$42,9,0),HLOOKUP(BJ$5,'Receivables BACEN'!$6:$42,9,0))</f>
        <v>4.6171467459263066E-2</v>
      </c>
      <c r="BK24" s="38">
        <f>-BK$23/AVERAGE(HLOOKUP(BJ$5,'Receivables BACEN'!$6:$42,9,0),HLOOKUP(BK$5,'Receivables BACEN'!$6:$42,9,0))</f>
        <v>2.7763387565527677E-2</v>
      </c>
      <c r="BL24" s="38">
        <f>-BL$23/AVERAGE(HLOOKUP(BG$5,'Receivables BACEN'!$6:$42,9,0),HLOOKUP(BH$5,'Receivables BACEN'!$6:$42,9,0),HLOOKUP(BJ$5,'Receivables BACEN'!$6:$42,9,0),HLOOKUP(BL$5,'Receivables BACEN'!$6:$42,9,0))</f>
        <v>7.3434803889288594E-2</v>
      </c>
      <c r="BM24" s="38">
        <f>-BM$23/AVERAGE(HLOOKUP(BL$5,'Receivables BACEN'!$6:$42,9,0),HLOOKUP(BM$5,'Receivables BACEN'!$6:$42,9,0))</f>
        <v>3.2758378750335618E-2</v>
      </c>
      <c r="BN24" s="38">
        <f>-BN$23/AVERAGE(HLOOKUP(BG$5,'Receivables BACEN'!$6:$42,9,0),HLOOKUP(BH$5,'Receivables BACEN'!$6:$42,9,0),HLOOKUP(BJ$5,'Receivables BACEN'!$6:$42,9,0),HLOOKUP(BL$5,'Receivables BACEN'!$6:$42,9,0),HLOOKUP(BN$5,'Receivables BACEN'!$6:$42,9,0))</f>
        <v>0.1034351339305272</v>
      </c>
      <c r="BO24" s="38">
        <f>-BO$23/AVERAGE(HLOOKUP(BN$5,'Receivables BACEN'!$6:$42,9,0),HLOOKUP(BO$5,'Receivables BACEN'!$6:$42,9,0))</f>
        <v>1.8683025437067426E-2</v>
      </c>
      <c r="BP24" s="38">
        <f>-BP$23/AVERAGE(HLOOKUP(BO$5,'Receivables BACEN'!$6:$42,9,0),HLOOKUP(BP$5,'Receivables BACEN'!$6:$42,9,0))</f>
        <v>3.5034870584847423E-2</v>
      </c>
      <c r="BQ24" s="38">
        <f>-BQ$23/AVERAGE(HLOOKUP(BN$5,'Receivables BACEN'!$6:$42,9,0),HLOOKUP(BO$5,'Receivables BACEN'!$6:$42,9,0),HLOOKUP(BQ$5,'Receivables BACEN'!$6:$42,9,0))</f>
        <v>5.212236449735623E-2</v>
      </c>
      <c r="BR24" s="38">
        <f>-BR$23/AVERAGE(HLOOKUP(BQ$5,'Receivables BACEN'!$6:$42,9,0),HLOOKUP(BR$5,'Receivables BACEN'!$6:$42,9,0))</f>
        <v>1.6256137649323835E-2</v>
      </c>
      <c r="BS24" s="38">
        <f>-BS$23/AVERAGE(HLOOKUP(BN$5,'Receivables BACEN'!$6:$42,9,0),HLOOKUP(BO$5,'Receivables BACEN'!$6:$42,9,0),HLOOKUP(BQ$5,'Receivables BACEN'!$6:$42,9,0),HLOOKUP(BS$5,'Receivables BACEN'!$6:$42,9,0))</f>
        <v>6.8887811701980925E-2</v>
      </c>
      <c r="BT24" s="38">
        <f>-BT$23/AVERAGE(HLOOKUP(BS$5,'Receivables BACEN'!$6:$42,9,0),HLOOKUP(BT$5,'Receivables BACEN'!$6:$42,9,0))</f>
        <v>2.5679717831801792E-2</v>
      </c>
      <c r="BU24" s="38">
        <f>-BU$23/AVERAGE(HLOOKUP(BN$5,'Receivables BACEN'!$6:$42,9,0),HLOOKUP(BO$5,'Receivables BACEN'!$6:$42,9,0),HLOOKUP(BQ$5,'Receivables BACEN'!$6:$42,9,0),HLOOKUP(BS$5,'Receivables BACEN'!$6:$42,9,0),HLOOKUP(BU$5,'Receivables BACEN'!$6:$42,9,0))</f>
        <v>9.2132768880219498E-2</v>
      </c>
      <c r="BV24" s="38">
        <f>-BV$23/AVERAGE(HLOOKUP(BU$5,'Receivables BACEN'!$6:$42,9,0),HLOOKUP(BV$5,'Receivables BACEN'!$6:$42,9,0))</f>
        <v>2.4086016268579674E-2</v>
      </c>
      <c r="BW24" s="38">
        <f>-BW$23/AVERAGE(HLOOKUP(BV$5,'Receivables BACEN'!$6:$42,9,0),HLOOKUP(BW$5,'Receivables BACEN'!$6:$42,9,0))</f>
        <v>3.681850940425168E-2</v>
      </c>
      <c r="BX24" s="38">
        <f>-BX$23/AVERAGE(HLOOKUP(BU$5,'Receivables BACEN'!$6:$42,9,0),HLOOKUP(BV$5,'Receivables BACEN'!$6:$42,9,0),HLOOKUP(BX$5,'Receivables BACEN'!$6:$42,9,0))</f>
        <v>5.9663793609673006E-2</v>
      </c>
      <c r="BY24" s="38">
        <f>-BY$23/AVERAGE(HLOOKUP(BX$5,'Receivables BACEN'!$6:$42,9,0),HLOOKUP(BY$5,'Receivables BACEN'!$6:$42,9,0))</f>
        <v>4.2094104972198877E-2</v>
      </c>
      <c r="BZ24" s="38">
        <f>-BZ$23/AVERAGE(HLOOKUP(BU$5,'Receivables BACEN'!$6:$42,9,0),HLOOKUP(BV$5,'Receivables BACEN'!$6:$42,9,0),HLOOKUP(BX$5,'Receivables BACEN'!$6:$42,9,0),HLOOKUP(BZ$5,'Receivables BACEN'!$6:$42,9,0))</f>
        <v>0.10063222173109077</v>
      </c>
      <c r="CA24" s="38">
        <f>-CA$23/AVERAGE(HLOOKUP(BZ$5,'Receivables BACEN'!$6:$42,9,0),HLOOKUP(CA$5,'Receivables BACEN'!$6:$42,9,0))</f>
        <v>4.4124332840556668E-2</v>
      </c>
      <c r="CB24" s="38">
        <f>-CB$23/AVERAGE(HLOOKUP(BU$5,'Receivables BACEN'!$6:$42,9,0),HLOOKUP(BV$5,'Receivables BACEN'!$6:$42,9,0),HLOOKUP(BX$5,'Receivables BACEN'!$6:$42,9,0),HLOOKUP(BZ$5,'Receivables BACEN'!$6:$42,9,0),HLOOKUP(CB$5,'Receivables BACEN'!$6:$42,9,0))</f>
        <v>0.14213709115324502</v>
      </c>
      <c r="CC24" s="38">
        <f>-CC$23/AVERAGE(HLOOKUP(CB$5,'Receivables BACEN'!$6:$42,9,0),HLOOKUP(CC$5,'Receivables BACEN'!$6:$42,9,0))</f>
        <v>5.2614809126575214E-2</v>
      </c>
      <c r="CD24" s="38">
        <f>-CD$23/AVERAGE(HLOOKUP(CC$5,'Receivables BACEN'!$6:$42,9,0),HLOOKUP(CD$5,'Receivables BACEN'!$6:$42,9,0))</f>
        <v>5.7906744234280806E-2</v>
      </c>
      <c r="CE24" s="38">
        <f>-CE$23/AVERAGE(HLOOKUP(CB$5,'Receivables BACEN'!$6:$42,9,0),HLOOKUP(CC$5,'Receivables BACEN'!$6:$42,9,0),HLOOKUP(CE$5,'Receivables BACEN'!$6:$42,9,0))</f>
        <v>0.1110693464987991</v>
      </c>
      <c r="CF24" s="38">
        <f>-CF$23/AVERAGE(HLOOKUP(CE$5,'Receivables BACEN'!$6:$42,9,0),HLOOKUP(CF$5,'Receivables BACEN'!$6:$42,9,0))</f>
        <v>1.6757657853220236E-2</v>
      </c>
      <c r="CG24" s="38">
        <f>-CG$23/AVERAGE(HLOOKUP(CB$5,'Receivables BACEN'!$6:$42,9,0),HLOOKUP(CC$5,'Receivables BACEN'!$6:$42,9,0),HLOOKUP(CE$5,'Receivables BACEN'!$6:$42,9,0),HLOOKUP(CG$5,'Receivables BACEN'!$6:$42,9,0))</f>
        <v>0.13101654643400235</v>
      </c>
      <c r="CH24" s="38">
        <f>-CH$23/AVERAGE(HLOOKUP(CG$5,'Receivables BACEN'!$6:$42,9,0),HLOOKUP(CH$5,'Receivables BACEN'!$6:$42,9,0))</f>
        <v>-3.0221964327501672E-2</v>
      </c>
      <c r="CI24" s="38">
        <f>-CI$23/AVERAGE(HLOOKUP(CH$5,'Receivables BACEN'!$6:$42,9,0),HLOOKUP(CI$5,'Receivables BACEN'!$6:$42,9,0))</f>
        <v>-2.6108248982981898E-2</v>
      </c>
      <c r="CJ24" s="38">
        <f>-CJ$23/AVERAGE(HLOOKUP(CI$5,'Receivables BACEN'!$6:$42,9,0),HLOOKUP(CJ$5,'Receivables BACEN'!$6:$42,9,0))</f>
        <v>-4.4449973539331614E-3</v>
      </c>
      <c r="CK24" s="38">
        <f>-CK$23/AVERAGE(HLOOKUP(CJ$5,'Receivables BACEN'!$6:$42,9,0),HLOOKUP(CK$5,'Receivables BACEN'!$6:$42,9,0))</f>
        <v>3.3026828659149715E-2</v>
      </c>
      <c r="CL24" s="38">
        <f>-CL$23/AVERAGE(HLOOKUP(CI$5,'Receivables BACEN'!$6:$42,9,0),HLOOKUP(CJ$5,'Receivables BACEN'!$6:$42,9,0),HLOOKUP(CL$5,'Receivables BACEN'!$6:$42,9,0))</f>
        <v>2.4871675435194474E-2</v>
      </c>
      <c r="CM24" s="38">
        <f>-CM$23/AVERAGE(HLOOKUP(CL$5,'Receivables BACEN'!$6:$42,9,0),HLOOKUP(CM$5,'Receivables BACEN'!$6:$42,9,0))</f>
        <v>1.5766714048301515E-4</v>
      </c>
      <c r="CN24" s="38">
        <f>-CN$23/AVERAGE(HLOOKUP(CI$5,'Receivables BACEN'!$6:$42,9,0),HLOOKUP(CJ$5,'Receivables BACEN'!$6:$42,9,0),HLOOKUP(CL$5,'Receivables BACEN'!$6:$42,9,0),HLOOKUP(CN$5,'Receivables BACEN'!$6:$42,9,0))</f>
        <v>2.5593830320639537E-2</v>
      </c>
      <c r="CO24" s="38">
        <f>-CO$23/AVERAGE(HLOOKUP(CN$5,'Receivables BACEN'!$6:$42,9,0),HLOOKUP(CO$5,'Receivables BACEN'!$6:$42,9,0))</f>
        <v>1.7140349536559036E-2</v>
      </c>
      <c r="CP24" s="38">
        <f>-CP$23/AVERAGE(HLOOKUP(CI$5,'Receivables BACEN'!$6:$42,9,0),HLOOKUP(CJ$5,'Receivables BACEN'!$6:$42,9,0),HLOOKUP(CL$5,'Receivables BACEN'!$6:$42,9,0),HLOOKUP(CN$5,'Receivables BACEN'!$6:$42,9,0),HLOOKUP(CP$5,'Receivables BACEN'!$6:$42,9,0))</f>
        <v>4.2164156996559787E-2</v>
      </c>
      <c r="CQ24" s="38">
        <f>-CQ$23/AVERAGE(HLOOKUP(CP$5,'Estimated Credit Losses IFRS'!6:89,39,0),HLOOKUP(CQ$5,'Estimated Credit Losses IFRS'!6:89,39,0))</f>
        <v>1.8362362316031656E-2</v>
      </c>
      <c r="CR24" s="38">
        <f>-CR$23/AVERAGE(HLOOKUP(CQ$5,'Estimated Credit Losses IFRS'!6:89,39,0),HLOOKUP(CR$5,'Estimated Credit Losses IFRS'!6:89,39,0))</f>
        <v>4.6656958983340803E-2</v>
      </c>
      <c r="CS24" s="38">
        <f>-CS$23/AVERAGE(HLOOKUP(CP$5,'Estimated Credit Losses IFRS'!6:89,39,0),HLOOKUP(CQ$5,'Estimated Credit Losses IFRS'!6:89,39,0),HLOOKUP(CS$5,'Estimated Credit Losses IFRS'!6:89,39,0))</f>
        <v>6.3136234175058939E-2</v>
      </c>
      <c r="CT24" s="64">
        <f>-CT$23/AVERAGE(HLOOKUP(CS$5,'Estimated Credit Losses IFRS'!6:89,39,0),HLOOKUP(CT$5,'Estimated Credit Losses IFRS'!6:89,39,0))</f>
        <v>7.2257149142334479E-3</v>
      </c>
      <c r="CU24" s="64">
        <f>-CU$23/AVERAGE(HLOOKUP(CP$5,'Estimated Credit Losses IFRS'!6:89,39,0),HLOOKUP(CQ$5,'Estimated Credit Losses IFRS'!6:89,39,0),HLOOKUP(CS$5,'Estimated Credit Losses IFRS'!6:89,39,0),HLOOKUP(CU$5,'Estimated Credit Losses IFRS'!6:89,39,0))</f>
        <v>7.2190971373014362E-2</v>
      </c>
      <c r="CV24" s="64">
        <f>-CV$23/AVERAGE(HLOOKUP(CU$5,'Estimated Credit Losses IFRS'!6:89,39,0),HLOOKUP(CV$5,'Estimated Credit Losses IFRS'!6:89,39,0))</f>
        <v>-4.5762855602189575E-4</v>
      </c>
      <c r="CW24" s="64">
        <f>-CW$23/AVERAGE(HLOOKUP(CP$5,'Estimated Credit Losses IFRS'!6:89,39,0),HLOOKUP(CQ$5,'Estimated Credit Losses IFRS'!6:89,39,0),HLOOKUP(CS$5,'Estimated Credit Losses IFRS'!6:89,39,0),HLOOKUP(CU$5,'Estimated Credit Losses IFRS'!6:89,39,0),HLOOKUP(CW$5,'Estimated Credit Losses IFRS'!6:89,39,0))</f>
        <v>7.1918150209254406E-2</v>
      </c>
      <c r="CX24" s="38">
        <f>-CX$23/AVERAGE(HLOOKUP(CW$5,'Estimated Credit Losses IFRS'!6:89,39,0),HLOOKUP(CX$5,'Estimated Credit Losses IFRS'!6:89,39,0))</f>
        <v>3.9670382615341164E-2</v>
      </c>
      <c r="CY24" s="38">
        <f>-CY$23/AVERAGE(HLOOKUP(CX$5,'Estimated Credit Losses IFRS'!6:89,39,0),HLOOKUP(CY$5,'Estimated Credit Losses IFRS'!6:89,39,0))</f>
        <v>5.1673578456039287E-2</v>
      </c>
      <c r="CZ24" s="38">
        <f>-CZ$23/AVERAGE(HLOOKUP(CW$5,'Estimated Credit Losses IFRS'!6:89,39,0),HLOOKUP(CX$5,'Estimated Credit Losses IFRS'!6:89,39,0),HLOOKUP(CZ$5,'Estimated Credit Losses IFRS'!6:89,39,0))</f>
        <v>8.9562258956245144E-2</v>
      </c>
      <c r="DA24" s="64">
        <f>-DA$23/AVERAGE(HLOOKUP(CZ$5,'Estimated Credit Losses IFRS'!6:89,39,0),HLOOKUP(DA$5,'Estimated Credit Losses IFRS'!6:89,39,0))</f>
        <v>3.6731590494213796E-2</v>
      </c>
      <c r="DB24" s="64">
        <f>-DB$23/AVERAGE(HLOOKUP(CW$5,'Estimated Credit Losses IFRS'!6:89,39,0),HLOOKUP(CX$5,'Estimated Credit Losses IFRS'!6:89,39,0),HLOOKUP(CZ$5,'Estimated Credit Losses IFRS'!6:89,39,0),HLOOKUP(DB$5,'Estimated Credit Losses IFRS'!6:89,39,0))</f>
        <v>0.12723946151362511</v>
      </c>
      <c r="DC24" s="64">
        <f>-DC$23/AVERAGE(HLOOKUP(DB$5,'Estimated Credit Losses IFRS'!6:89,39,0),HLOOKUP(DC$5,'Estimated Credit Losses IFRS'!6:89,39,0))</f>
        <v>7.2206254100735717E-4</v>
      </c>
      <c r="DD24" s="64">
        <f>-DD$23/AVERAGE(HLOOKUP(CW$5,'Estimated Credit Losses IFRS'!6:89,39,0),HLOOKUP(CX$5,'Estimated Credit Losses IFRS'!6:89,39,0),HLOOKUP(CZ$5,'Estimated Credit Losses IFRS'!6:89,39,0),HLOOKUP(DB$5,'Estimated Credit Losses IFRS'!6:89,39,0),HLOOKUP(DD$5,'Estimated Credit Losses IFRS'!6:89,39,0))</f>
        <v>0.12869626378518106</v>
      </c>
      <c r="DE24" s="38">
        <f>-DE$23/AVERAGE(HLOOKUP(DD$5,'Estimated Credit Losses IFRS'!6:89,39,0),HLOOKUP(DE$5,'Estimated Credit Losses IFRS'!6:89,39,0))</f>
        <v>5.8165886600376367E-3</v>
      </c>
      <c r="DF24" s="38">
        <f>-DF$23/AVERAGE(HLOOKUP(DE$5,'Estimated Credit Losses IFRS'!6:89,39,0),HLOOKUP(DF$5,'Estimated Credit Losses IFRS'!6:89,39,0))</f>
        <v>-4.8015261870464889E-3</v>
      </c>
      <c r="DG24" s="38">
        <f>-DG$23/AVERAGE(HLOOKUP(DD$5,'Estimated Credit Losses IFRS'!6:89,39,0),HLOOKUP(DE$5,'Estimated Credit Losses IFRS'!6:89,39,0),HLOOKUP(DG$5,'Estimated Credit Losses IFRS'!6:89,39,0))</f>
        <v>1.5390364264278123E-3</v>
      </c>
      <c r="DH24" s="64">
        <f>-DH$23/AVERAGE(HLOOKUP(DG$5,'Estimated Credit Losses IFRS'!6:89,39,0),HLOOKUP(DH$5,'Estimated Credit Losses IFRS'!6:89,39,0))</f>
        <v>1.461861131831068E-2</v>
      </c>
      <c r="DI24" s="64">
        <f>-DI$23/AVERAGE(HLOOKUP(DD$5,'Estimated Credit Losses IFRS'!6:89,39,0),HLOOKUP(DE$5,'Estimated Credit Losses IFRS'!6:89,39,0),HLOOKUP(DG$5,'Estimated Credit Losses IFRS'!6:89,39,0),HLOOKUP(DI$5,'Estimated Credit Losses IFRS'!6:89,39,0))</f>
        <v>1.5292445590677595E-2</v>
      </c>
      <c r="DJ24" s="64">
        <f>-DJ$23/AVERAGE(HLOOKUP(DI$5,'Estimated Credit Losses IFRS'!6:89,39,0),HLOOKUP(DJ$5,'Estimated Credit Losses IFRS'!6:89,39,0))</f>
        <v>1.3729273558862351E-2</v>
      </c>
      <c r="DK24" s="64">
        <f>-DK$23/AVERAGE(HLOOKUP(DD$5,'Estimated Credit Losses IFRS'!6:89,39,0),HLOOKUP(DE$5,'Estimated Credit Losses IFRS'!6:89,39,0),HLOOKUP(DG$5,'Estimated Credit Losses IFRS'!6:89,39,0),HLOOKUP(DI$5,'Estimated Credit Losses IFRS'!6:89,39,0),HLOOKUP(DK$5,'Estimated Credit Losses IFRS'!6:89,39,0))</f>
        <v>2.8658456437328488E-2</v>
      </c>
      <c r="DL24" s="64">
        <f>-DL$23/AVERAGE(HLOOKUP(DK$5,'Estimated Credit Losses IFRS'!6:89,39,0),HLOOKUP(DL$5,'Estimated Credit Losses IFRS'!6:89,39,0))</f>
        <v>1.1760638160212193E-2</v>
      </c>
      <c r="DM24" s="38">
        <f>-DM$23/AVERAGE(HLOOKUP(DL$5,'Estimated Credit Losses IFRS'!6:89,39,0),HLOOKUP(DM$5,'Estimated Credit Losses IFRS'!6:89,39,0))</f>
        <v>2.9852128468916505E-2</v>
      </c>
      <c r="DN24" s="38">
        <f>-DN$23/AVERAGE(HLOOKUP(DK$5,'Estimated Credit Losses IFRS'!6:89,39,0),HLOOKUP(DL$5,'Estimated Credit Losses IFRS'!6:89,39,0),HLOOKUP(DN$5,'Estimated Credit Losses IFRS'!6:89,39,0))</f>
        <v>4.0836554616946297E-2</v>
      </c>
      <c r="DO24" s="64">
        <f>-DO$23/AVERAGE(HLOOKUP(DN$5,'Estimated Credit Losses IFRS'!6:89,39,0),HLOOKUP(DO$5,'Estimated Credit Losses IFRS'!6:89,39,0))</f>
        <v>2.1584651310113282E-2</v>
      </c>
      <c r="DP24" s="64">
        <f>-DP$23/AVERAGE(HLOOKUP(DK$5,'Estimated Credit Losses IFRS'!6:89,39,0),HLOOKUP(DL$5,'Estimated Credit Losses IFRS'!6:89,39,0),HLOOKUP(DN$5,'Estimated Credit Losses IFRS'!6:89,39,0),HLOOKUP(DP$5,'Estimated Credit Losses IFRS'!6:89,39,0))</f>
        <v>6.294107715988255E-2</v>
      </c>
      <c r="DQ24" s="64">
        <f>-DQ$23/AVERAGE(HLOOKUP(DP$5,'Estimated Credit Losses IFRS'!6:89,39,0),HLOOKUP(DQ$5,'Estimated Credit Losses IFRS'!6:89,39,0))</f>
        <v>1.8263373780753229E-2</v>
      </c>
      <c r="DR24" s="64">
        <f>-DR$23/AVERAGE(HLOOKUP(DM$5,'Estimated Credit Losses IFRS'!6:89,39,0),HLOOKUP(DN$5,'Estimated Credit Losses IFRS'!6:89,39,0),HLOOKUP(DP$5,'Estimated Credit Losses IFRS'!6:89,39,0),HLOOKUP(DR$5,'Estimated Credit Losses IFRS'!6:89,39,0))</f>
        <v>7.9186058691433789E-2</v>
      </c>
      <c r="DS24" s="64">
        <f>-DS$23/AVERAGE(HLOOKUP(DR$5,'Estimated Credit Losses IFRS'!6:89,39,0),HLOOKUP(DS$5,'Estimated Credit Losses IFRS'!6:89,39,0))</f>
        <v>8.253343148876699E-3</v>
      </c>
      <c r="DT24" s="38">
        <f>-DT$23/AVERAGE(HLOOKUP(DS$5,'Estimated Credit Losses IFRS'!6:89,39,0),HLOOKUP(DT$5,'Estimated Credit Losses IFRS'!6:89,39,0))</f>
        <v>2.3115557686650662E-2</v>
      </c>
      <c r="DU24" s="38">
        <f>-DU$23/AVERAGE(HLOOKUP(DR$5,'Estimated Credit Losses IFRS'!6:89,39,0),HLOOKUP(DS$5,'Estimated Credit Losses IFRS'!6:89,39,0),HLOOKUP(DU$5,'Estimated Credit Losses IFRS'!6:89,39,0))</f>
        <v>3.0536150025920004E-2</v>
      </c>
    </row>
    <row r="25" spans="1:125" ht="16.350000000000001" customHeight="1">
      <c r="A25" s="155" t="s">
        <v>533</v>
      </c>
      <c r="B25" s="158" t="s">
        <v>97</v>
      </c>
      <c r="C25" s="158" t="s">
        <v>379</v>
      </c>
      <c r="D25" s="80">
        <v>0</v>
      </c>
      <c r="E25" s="80">
        <v>0</v>
      </c>
      <c r="F25" s="80">
        <v>0</v>
      </c>
      <c r="G25" s="80">
        <v>0</v>
      </c>
      <c r="H25" s="80">
        <v>0</v>
      </c>
      <c r="I25" s="80">
        <v>0</v>
      </c>
      <c r="J25" s="80">
        <v>0</v>
      </c>
      <c r="K25" s="80">
        <v>0</v>
      </c>
      <c r="L25" s="80">
        <v>0</v>
      </c>
      <c r="M25" s="80">
        <v>0</v>
      </c>
      <c r="N25" s="80">
        <v>0</v>
      </c>
      <c r="O25" s="80">
        <v>0</v>
      </c>
      <c r="P25" s="80">
        <v>0</v>
      </c>
      <c r="Q25" s="80">
        <v>0</v>
      </c>
      <c r="R25" s="80">
        <v>0</v>
      </c>
      <c r="S25" s="80">
        <v>0</v>
      </c>
      <c r="T25" s="80">
        <v>0</v>
      </c>
      <c r="U25" s="80">
        <v>-1237</v>
      </c>
      <c r="V25" s="159">
        <v>-1611</v>
      </c>
      <c r="W25" s="159">
        <v>-1113</v>
      </c>
      <c r="X25" s="159">
        <v>-2724</v>
      </c>
      <c r="Y25" s="159">
        <v>-2069</v>
      </c>
      <c r="Z25" s="159">
        <v>-2659</v>
      </c>
      <c r="AA25" s="159">
        <v>-4728</v>
      </c>
      <c r="AB25" s="159">
        <v>-2659</v>
      </c>
      <c r="AC25" s="159">
        <v>-7387</v>
      </c>
      <c r="AD25" s="159">
        <v>-6470</v>
      </c>
      <c r="AE25" s="159">
        <v>-13859</v>
      </c>
      <c r="AF25" s="159">
        <v>-7454</v>
      </c>
      <c r="AG25" s="159">
        <v>-5850</v>
      </c>
      <c r="AH25" s="159">
        <v>-13304</v>
      </c>
      <c r="AI25" s="159">
        <v>-4923</v>
      </c>
      <c r="AJ25" s="159">
        <v>-18227</v>
      </c>
      <c r="AK25" s="159">
        <v>-5626.9</v>
      </c>
      <c r="AL25" s="159">
        <v>-23854.799999999999</v>
      </c>
      <c r="AM25" s="159">
        <v>-8323.7999999999993</v>
      </c>
      <c r="AN25" s="159">
        <v>-11616</v>
      </c>
      <c r="AO25" s="159">
        <v>-19939.8</v>
      </c>
      <c r="AP25" s="159">
        <v>-14356.1</v>
      </c>
      <c r="AQ25" s="159">
        <v>-34295.9</v>
      </c>
      <c r="AR25" s="159">
        <v>-12773.78</v>
      </c>
      <c r="AS25" s="159">
        <v>-47069.68</v>
      </c>
      <c r="AT25" s="159">
        <v>-13812.7</v>
      </c>
      <c r="AU25" s="159">
        <v>-18701</v>
      </c>
      <c r="AV25" s="159">
        <v>-32513.7</v>
      </c>
      <c r="AW25" s="159">
        <v>-22791.742820000003</v>
      </c>
      <c r="AX25" s="159">
        <v>-55305.442820000004</v>
      </c>
      <c r="AY25" s="159">
        <v>-21412.88219</v>
      </c>
      <c r="AZ25" s="159">
        <v>-76718.32501</v>
      </c>
      <c r="BA25" s="159">
        <v>-22381</v>
      </c>
      <c r="BB25" s="159">
        <v>-24636</v>
      </c>
      <c r="BC25" s="159">
        <v>-47017</v>
      </c>
      <c r="BD25" s="159">
        <v>-30270</v>
      </c>
      <c r="BE25" s="159">
        <v>-77287</v>
      </c>
      <c r="BF25" s="159">
        <v>-26282</v>
      </c>
      <c r="BG25" s="159">
        <v>-103569</v>
      </c>
      <c r="BH25" s="159">
        <v>-23570</v>
      </c>
      <c r="BI25" s="159">
        <v>-23752</v>
      </c>
      <c r="BJ25" s="159">
        <v>-47322</v>
      </c>
      <c r="BK25" s="159">
        <v>-46583</v>
      </c>
      <c r="BL25" s="159">
        <v>-93905</v>
      </c>
      <c r="BM25" s="159">
        <v>-45207</v>
      </c>
      <c r="BN25" s="159">
        <v>-139112</v>
      </c>
      <c r="BO25" s="159">
        <v>-37875</v>
      </c>
      <c r="BP25" s="159">
        <v>-43772</v>
      </c>
      <c r="BQ25" s="159">
        <v>-81647</v>
      </c>
      <c r="BR25" s="159">
        <v>-52105.681199999999</v>
      </c>
      <c r="BS25" s="159">
        <v>-133752.68119999999</v>
      </c>
      <c r="BT25" s="159">
        <v>-47572.139629999998</v>
      </c>
      <c r="BU25" s="159">
        <v>-181324.82082999998</v>
      </c>
      <c r="BV25" s="159">
        <v>-43813.767219999994</v>
      </c>
      <c r="BW25" s="159">
        <v>-58359.018640000002</v>
      </c>
      <c r="BX25" s="80">
        <v>-102172.78586</v>
      </c>
      <c r="BY25" s="80">
        <v>-56113.725859999999</v>
      </c>
      <c r="BZ25" s="159">
        <v>-158286.51172000001</v>
      </c>
      <c r="CA25" s="80">
        <v>-54233.925519999997</v>
      </c>
      <c r="CB25" s="159">
        <v>-212520.43724</v>
      </c>
      <c r="CC25" s="80">
        <v>-131879.46000000002</v>
      </c>
      <c r="CD25" s="80">
        <v>-77159.882840000006</v>
      </c>
      <c r="CE25" s="80">
        <v>-209039.34284000003</v>
      </c>
      <c r="CF25" s="80">
        <v>-77588.369489999997</v>
      </c>
      <c r="CG25" s="80">
        <v>-286627.71233000001</v>
      </c>
      <c r="CH25" s="80">
        <v>-18852.06394</v>
      </c>
      <c r="CI25" s="159">
        <v>-18852.06394</v>
      </c>
      <c r="CJ25" s="80">
        <v>-56607</v>
      </c>
      <c r="CK25" s="80">
        <v>-48748</v>
      </c>
      <c r="CL25" s="80">
        <v>-105355</v>
      </c>
      <c r="CM25" s="80">
        <v>-74625</v>
      </c>
      <c r="CN25" s="80">
        <v>-179980</v>
      </c>
      <c r="CO25" s="80">
        <v>-118336</v>
      </c>
      <c r="CP25" s="80">
        <v>-298316</v>
      </c>
      <c r="CQ25" s="80">
        <v>-148411</v>
      </c>
      <c r="CR25" s="80">
        <v>-235702</v>
      </c>
      <c r="CS25" s="80">
        <v>-384113</v>
      </c>
      <c r="CT25" s="80">
        <v>-230023</v>
      </c>
      <c r="CU25" s="80">
        <v>-614136</v>
      </c>
      <c r="CV25" s="80">
        <v>-306309</v>
      </c>
      <c r="CW25" s="80">
        <v>-920445</v>
      </c>
      <c r="CX25" s="80">
        <v>-310995</v>
      </c>
      <c r="CY25" s="80">
        <v>-354416</v>
      </c>
      <c r="CZ25" s="80">
        <v>-665411</v>
      </c>
      <c r="DA25" s="80">
        <v>-302145</v>
      </c>
      <c r="DB25" s="80">
        <v>-967556</v>
      </c>
      <c r="DC25" s="80">
        <v>-270254</v>
      </c>
      <c r="DD25" s="80">
        <v>-1237810</v>
      </c>
      <c r="DE25" s="80">
        <v>-260272</v>
      </c>
      <c r="DF25" s="80">
        <v>-256724</v>
      </c>
      <c r="DG25" s="80">
        <v>-516996</v>
      </c>
      <c r="DH25" s="80">
        <v>-215318.70328000007</v>
      </c>
      <c r="DI25" s="80">
        <v>-732314.70328000002</v>
      </c>
      <c r="DJ25" s="80">
        <v>-204700</v>
      </c>
      <c r="DK25" s="80">
        <v>-937014.70328000002</v>
      </c>
      <c r="DL25" s="80">
        <v>-168532</v>
      </c>
      <c r="DM25" s="80">
        <v>-234186</v>
      </c>
      <c r="DN25" s="80">
        <v>-402718</v>
      </c>
      <c r="DO25" s="80">
        <v>-247589</v>
      </c>
      <c r="DP25" s="80">
        <v>-650307</v>
      </c>
      <c r="DQ25" s="80">
        <v>-240877</v>
      </c>
      <c r="DR25" s="80">
        <v>-891184</v>
      </c>
      <c r="DS25" s="80">
        <v>-226534</v>
      </c>
      <c r="DT25" s="80">
        <v>-282138</v>
      </c>
      <c r="DU25" s="80">
        <f>SUM(DS25:DT25)</f>
        <v>-508672</v>
      </c>
    </row>
    <row r="26" spans="1:125" ht="16.350000000000001" customHeight="1">
      <c r="A26" s="155"/>
      <c r="B26" s="160" t="s">
        <v>1486</v>
      </c>
      <c r="C26" s="160" t="s">
        <v>1484</v>
      </c>
      <c r="D26" s="164" t="s">
        <v>624</v>
      </c>
      <c r="E26" s="164" t="s">
        <v>624</v>
      </c>
      <c r="F26" s="164" t="s">
        <v>624</v>
      </c>
      <c r="G26" s="164" t="s">
        <v>624</v>
      </c>
      <c r="H26" s="164" t="s">
        <v>624</v>
      </c>
      <c r="I26" s="164" t="s">
        <v>624</v>
      </c>
      <c r="J26" s="164" t="s">
        <v>624</v>
      </c>
      <c r="K26" s="164" t="s">
        <v>624</v>
      </c>
      <c r="L26" s="164" t="s">
        <v>624</v>
      </c>
      <c r="M26" s="164" t="s">
        <v>624</v>
      </c>
      <c r="N26" s="164" t="s">
        <v>624</v>
      </c>
      <c r="O26" s="164" t="s">
        <v>624</v>
      </c>
      <c r="P26" s="164" t="s">
        <v>624</v>
      </c>
      <c r="Q26" s="164" t="s">
        <v>624</v>
      </c>
      <c r="R26" s="164" t="s">
        <v>624</v>
      </c>
      <c r="S26" s="164" t="s">
        <v>624</v>
      </c>
      <c r="T26" s="164" t="s">
        <v>624</v>
      </c>
      <c r="U26" s="164" t="s">
        <v>624</v>
      </c>
      <c r="V26" s="164" t="s">
        <v>624</v>
      </c>
      <c r="W26" s="164" t="s">
        <v>624</v>
      </c>
      <c r="X26" s="164" t="s">
        <v>624</v>
      </c>
      <c r="Y26" s="164" t="s">
        <v>624</v>
      </c>
      <c r="Z26" s="165">
        <f>-Z$25/AVERAGE(HLOOKUP(Y$5,'Receivables BACEN'!$6:$42,20,0),HLOOKUP(Z$5,'Receivables BACEN'!$6:$42,20,0))</f>
        <v>8.4960219829376613E-2</v>
      </c>
      <c r="AA26" s="165">
        <f>-AA$25/AVERAGE(HLOOKUP(X$5,'Receivables BACEN'!$6:$42,20,0),HLOOKUP(Y$5,'Receivables BACEN'!$6:$42,20,0),HLOOKUP(AA$5,'Receivables BACEN'!$6:$42,20,0))</f>
        <v>0.22660318880403871</v>
      </c>
      <c r="AB26" s="165">
        <f>-AB$25/AVERAGE(HLOOKUP(AA$5,'Receivables BACEN'!$6:$42,20,0),HLOOKUP(AB$5,'Receivables BACEN'!$6:$42,20,0))</f>
        <v>3.7186990846601917E-2</v>
      </c>
      <c r="AC26" s="165">
        <f>-AC$25/AVERAGE(HLOOKUP(Z$5,'Receivables BACEN'!$6:$42,20,0),HLOOKUP(AA$5,'Receivables BACEN'!$6:$42,20,0),HLOOKUP(AC$5,'Receivables BACEN'!$6:$42,20,0))</f>
        <v>0.10778644072742836</v>
      </c>
      <c r="AD26" s="165">
        <f>-AD$25/AVERAGE(HLOOKUP(AC$5,'Receivables BACEN'!$6:$42,20,0),HLOOKUP(AD$5,'Receivables BACEN'!$6:$42,20,0))</f>
        <v>7.5616796980003037E-2</v>
      </c>
      <c r="AE26" s="165">
        <f>-AE$25/AVERAGE(HLOOKUP(X$5,'Receivables BACEN'!$6:$42,20,0),HLOOKUP(Y$5,'Receivables BACEN'!$6:$42,20,0),HLOOKUP(AA$5,'Receivables BACEN'!$6:$42,20,0),HLOOKUP(AC$5,'Receivables BACEN'!$6:$42,20,0),HLOOKUP(AE$5,'Receivables BACEN'!$6:$42,20,0))</f>
        <v>0.29648724970049634</v>
      </c>
      <c r="AF26" s="165">
        <f>-AF$25/AVERAGE(HLOOKUP(AE$5,'Receivables BACEN'!$6:$42,20,0),HLOOKUP(AF$5,'Receivables BACEN'!$6:$42,20,0))</f>
        <v>8.5252876455383486E-2</v>
      </c>
      <c r="AG26" s="165">
        <f>-AG$25/AVERAGE(HLOOKUP(AF$5,'Receivables BACEN'!$6:$42,20,0),HLOOKUP(AG$5,'Receivables BACEN'!$6:$42,20,0))</f>
        <v>6.5732552782678061E-2</v>
      </c>
      <c r="AH26" s="165">
        <f>-AH$25/AVERAGE(HLOOKUP(AE$5,'Receivables BACEN'!$6:$42,20,0),HLOOKUP(AF$5,'Receivables BACEN'!$6:$42,20,0),HLOOKUP(AH$5,'Receivables BACEN'!$6:$42,20,0))</f>
        <v>0.1485335328071096</v>
      </c>
      <c r="AI26" s="165">
        <f>-AI$25/AVERAGE(HLOOKUP(AH$5,'Receivables BACEN'!$6:$42,20,0),HLOOKUP(AI$5,'Receivables BACEN'!$6:$42,20,0))</f>
        <v>4.4250492121560764E-2</v>
      </c>
      <c r="AJ26" s="165">
        <f>-AJ$25/AVERAGE(HLOOKUP(AE$5,'Receivables BACEN'!$6:$42,20,0),HLOOKUP(AF$5,'Receivables BACEN'!$6:$42,20,0),HLOOKUP(AH$5,'Receivables BACEN'!$6:$42,20,0),HLOOKUP(AJ$5,'Receivables BACEN'!$6:$42,20,0))</f>
        <v>0.18347451015919511</v>
      </c>
      <c r="AK26" s="165">
        <f>-AK$25/AVERAGE(HLOOKUP(AJ$5,'Receivables BACEN'!$6:$42,20,0),HLOOKUP(AK$5,'Receivables BACEN'!$6:$42,20,0))</f>
        <v>3.7022245323613201E-2</v>
      </c>
      <c r="AL26" s="165">
        <f>-AL$25/AVERAGE(HLOOKUP(AE$5,'Receivables BACEN'!$6:$42,20,0),HLOOKUP(AF$5,'Receivables BACEN'!$6:$42,20,0),HLOOKUP(AH$5,'Receivables BACEN'!$6:$42,20,0),HLOOKUP(AJ$5,'Receivables BACEN'!$6:$42,20,0),HLOOKUP(AL$5,'Receivables BACEN'!$6:$42,20,0))</f>
        <v>0.20827301761364528</v>
      </c>
      <c r="AM26" s="165">
        <f>-AM$25/AVERAGE(HLOOKUP(AL$5,'Receivables BACEN'!$6:$42,20,0),HLOOKUP(AM$5,'Receivables BACEN'!$6:$42,20,0))</f>
        <v>4.3438078116316017E-2</v>
      </c>
      <c r="AN26" s="165">
        <f>-AN$25/AVERAGE(HLOOKUP(AM$5,'Receivables BACEN'!$6:$42,20,0),HLOOKUP(AN$5,'Receivables BACEN'!$6:$42,20,0))</f>
        <v>5.0988181329353538E-2</v>
      </c>
      <c r="AO26" s="165">
        <f>-AO$25/AVERAGE(HLOOKUP(AL$5,'Receivables BACEN'!$6:$42,20,0),HLOOKUP(AM$5,'Receivables BACEN'!$6:$42,20,0),HLOOKUP(AO$5,'Receivables BACEN'!$6:$42,20,0))</f>
        <v>9.4809665547704855E-2</v>
      </c>
      <c r="AP26" s="165">
        <f>-AP$25/AVERAGE(HLOOKUP(AO$5,'Receivables BACEN'!$6:$42,20,0),HLOOKUP(AP$5,'Receivables BACEN'!$6:$42,20,0))</f>
        <v>5.3905148476559347E-2</v>
      </c>
      <c r="AQ26" s="165">
        <f>-AQ$25/AVERAGE(HLOOKUP(AL$5,'Receivables BACEN'!$6:$42,20,0),HLOOKUP(AM$5,'Receivables BACEN'!$6:$42,20,0),HLOOKUP(AO$5,'Receivables BACEN'!$6:$42,20,0),HLOOKUP(AQ$5,'Receivables BACEN'!$6:$42,20,0))</f>
        <v>0.14978141527603692</v>
      </c>
      <c r="AR26" s="165">
        <f>-AR$25/AVERAGE(HLOOKUP(AQ$5,'Receivables BACEN'!$6:$42,20,0),HLOOKUP(AR$5,'Receivables BACEN'!$6:$42,20,0))</f>
        <v>4.1010281641531095E-2</v>
      </c>
      <c r="AS26" s="165">
        <f>-AS$25/AVERAGE(HLOOKUP(AL$5,'Receivables BACEN'!$6:$42,20,0),HLOOKUP(AM$5,'Receivables BACEN'!$6:$42,20,0),HLOOKUP(AO$5,'Receivables BACEN'!$6:$42,20,0),HLOOKUP(AQ$5,'Receivables BACEN'!$6:$42,20,0),HLOOKUP(AS$5,'Receivables BACEN'!$6:$42,20,0))</f>
        <v>0.18769356653696437</v>
      </c>
      <c r="AT26" s="165">
        <f>-AT$25/AVERAGE(HLOOKUP(AS$5,'Receivables BACEN'!$6:$42,20,0),HLOOKUP(AT$5,'Receivables BACEN'!$6:$42,20,0))</f>
        <v>4.0258600358802944E-2</v>
      </c>
      <c r="AU26" s="165">
        <f>-AU$25/AVERAGE(HLOOKUP(AT$5,'Receivables BACEN'!$6:$42,20,0),HLOOKUP(AU$5,'Receivables BACEN'!$6:$42,20,0))</f>
        <v>5.0694125513506355E-2</v>
      </c>
      <c r="AV26" s="165">
        <f>-AV$25/AVERAGE(HLOOKUP(AS$5,'Receivables BACEN'!$6:$42,20,0),HLOOKUP(AT$5,'Receivables BACEN'!$6:$42,20,0),HLOOKUP(AV$5,'Receivables BACEN'!$6:$42,20,0))</f>
        <v>9.066822054612364E-2</v>
      </c>
      <c r="AW26" s="165">
        <f>-AW$25/AVERAGE(HLOOKUP(AV$5,'Receivables BACEN'!$6:$42,20,0),HLOOKUP(AW$5,'Receivables BACEN'!$6:$42,20,0))</f>
        <v>5.7130804746212162E-2</v>
      </c>
      <c r="AX26" s="165">
        <f>-AX$25/AVERAGE(HLOOKUP(AS$5,'Receivables BACEN'!$6:$42,20,0),HLOOKUP(AT$5,'Receivables BACEN'!$6:$42,20,0),HLOOKUP(AV$5,'Receivables BACEN'!$6:$42,20,0),HLOOKUP(AX$5,'Receivables BACEN'!$6:$42,20,0))</f>
        <v>0.14906343916643183</v>
      </c>
      <c r="AY26" s="165">
        <f>-AY$25/AVERAGE(HLOOKUP(AX$5,'Receivables BACEN'!$6:$42,20,0),HLOOKUP(AY$5,'Receivables BACEN'!$6:$42,20,0))</f>
        <v>4.9595530157446499E-2</v>
      </c>
      <c r="AZ26" s="165">
        <f>-AZ$25/AVERAGE(HLOOKUP(AS$5,'Receivables BACEN'!$6:$42,20,0),HLOOKUP(AT$5,'Receivables BACEN'!$6:$42,20,0),HLOOKUP(AV$5,'Receivables BACEN'!$6:$42,20,0),HLOOKUP(AX$5,'Receivables BACEN'!$6:$42,20,0),HLOOKUP(AZ$5,'Receivables BACEN'!$6:$42,20,0))</f>
        <v>0.19779870615484527</v>
      </c>
      <c r="BA26" s="165">
        <f>-BA$25/AVERAGE(HLOOKUP(AZ$5,'Receivables BACEN'!$6:$42,20,0),HLOOKUP(BA$5,'Receivables BACEN'!$6:$42,20,0))</f>
        <v>4.9585797076585968E-2</v>
      </c>
      <c r="BB26" s="165">
        <f>-BB$25/AVERAGE(HLOOKUP(BA$5,'Receivables BACEN'!$6:$42,20,0),HLOOKUP(BB$5,'Receivables BACEN'!$6:$42,20,0))</f>
        <v>5.3197309707010622E-2</v>
      </c>
      <c r="BC26" s="165">
        <f>-BC$25/AVERAGE(HLOOKUP(AZ$5,'Receivables BACEN'!$6:$42,20,0),HLOOKUP(BA$5,'Receivables BACEN'!$6:$42,20,0),HLOOKUP(BC$5,'Receivables BACEN'!$6:$42,20,0))</f>
        <v>0.10210452906347589</v>
      </c>
      <c r="BD26" s="165">
        <f>-BD$25/AVERAGE(HLOOKUP(BC$5,'Receivables BACEN'!$6:$42,20,0),HLOOKUP(BD$5,'Receivables BACEN'!$6:$42,20,0))</f>
        <v>6.2360776002842566E-2</v>
      </c>
      <c r="BE26" s="165">
        <f>-BE$25/AVERAGE(HLOOKUP(AZ$5,'Receivables BACEN'!$6:$42,20,0),HLOOKUP(BA$5,'Receivables BACEN'!$6:$42,20,0),HLOOKUP(BC$5,'Receivables BACEN'!$6:$42,20,0),HLOOKUP(BE$5,'Receivables BACEN'!$6:$42,20,0))</f>
        <v>0.16500911767081428</v>
      </c>
      <c r="BF26" s="165">
        <f>-BF$25/AVERAGE(HLOOKUP(BE$5,'Receivables BACEN'!$6:$42,20,0),HLOOKUP(BF$5,'Receivables BACEN'!$6:$42,20,0))</f>
        <v>5.1455268498195525E-2</v>
      </c>
      <c r="BG26" s="165">
        <f>-BG$25/AVERAGE(HLOOKUP(AZ$5,'Receivables BACEN'!$6:$42,20,0),HLOOKUP(BA$5,'Receivables BACEN'!$6:$42,20,0),HLOOKUP(BC$5,'Receivables BACEN'!$6:$42,20,0),HLOOKUP(BE$5,'Receivables BACEN'!$6:$42,20,0),HLOOKUP(BG$5,'Receivables BACEN'!$6:$42,20,0))</f>
        <v>0.21550074482151341</v>
      </c>
      <c r="BH26" s="165">
        <f>-BH$25/AVERAGE(HLOOKUP(BG$5,'Receivables BACEN'!$6:$42,20,0),HLOOKUP(BH$5,'Receivables BACEN'!$6:$42,20,0))</f>
        <v>4.2726953678588753E-2</v>
      </c>
      <c r="BI26" s="165">
        <f>-BI$25/AVERAGE(HLOOKUP(BH$5,'Receivables BACEN'!$6:$42,20,0),HLOOKUP(BI$5,'Receivables BACEN'!$6:$42,20,0))</f>
        <v>3.3777022785199444E-2</v>
      </c>
      <c r="BJ26" s="165">
        <f>-BJ$25/AVERAGE(HLOOKUP(BG$5,'Receivables BACEN'!$6:$42,20,0),HLOOKUP(BH$5,'Receivables BACEN'!$6:$42,20,0),HLOOKUP(BJ$5,'Receivables BACEN'!$6:$42,20,0))</f>
        <v>7.3334701747143627E-2</v>
      </c>
      <c r="BK26" s="165">
        <f>-BK$25/AVERAGE(HLOOKUP(BJ$5,'Receivables BACEN'!$6:$42,20,0),HLOOKUP(BK$5,'Receivables BACEN'!$6:$42,20,0))</f>
        <v>5.4143956406891028E-2</v>
      </c>
      <c r="BL26" s="165">
        <f>-BL$25/AVERAGE(HLOOKUP(BG$5,'Receivables BACEN'!$6:$42,20,0),HLOOKUP(BH$5,'Receivables BACEN'!$6:$42,20,0),HLOOKUP(BJ$5,'Receivables BACEN'!$6:$42,20,0),HLOOKUP(BL$5,'Receivables BACEN'!$6:$42,20,0))</f>
        <v>0.13301019941316736</v>
      </c>
      <c r="BM26" s="165">
        <f>-BM$25/AVERAGE(HLOOKUP(BL$5,'Receivables BACEN'!$6:$42,20,0),HLOOKUP(BM$5,'Receivables BACEN'!$6:$42,20,0))</f>
        <v>4.5880999906794347E-2</v>
      </c>
      <c r="BN26" s="165">
        <f>-BN$25/AVERAGE(HLOOKUP(BG$5,'Receivables BACEN'!$6:$42,20,0),HLOOKUP(BH$5,'Receivables BACEN'!$6:$42,20,0),HLOOKUP(BJ$5,'Receivables BACEN'!$6:$42,20,0),HLOOKUP(BL$5,'Receivables BACEN'!$6:$42,20,0),HLOOKUP(BN$5,'Receivables BACEN'!$6:$42,20,0))</f>
        <v>0.17805271549494145</v>
      </c>
      <c r="BO26" s="165">
        <f>-BO$25/AVERAGE(HLOOKUP(BN$5,'Receivables BACEN'!$6:$42,20,0),HLOOKUP(BO$5,'Receivables BACEN'!$6:$42,20,0))</f>
        <v>3.5169671522378543E-2</v>
      </c>
      <c r="BP26" s="165">
        <f>-BP$25/AVERAGE(HLOOKUP(BO$5,'Receivables BACEN'!$6:$42,20,0),HLOOKUP(BP$5,'Receivables BACEN'!$6:$42,20,0))</f>
        <v>3.9315614146226377E-2</v>
      </c>
      <c r="BQ26" s="165">
        <f>-BQ$25/AVERAGE(HLOOKUP(BN$5,'Receivables BACEN'!$6:$42,20,0),HLOOKUP(BO$5,'Receivables BACEN'!$6:$42,20,0),HLOOKUP(BQ$5,'Receivables BACEN'!$6:$42,20,0))</f>
        <v>7.4018469497279596E-2</v>
      </c>
      <c r="BR26" s="165">
        <f>-BR$25/AVERAGE(HLOOKUP(BQ$5,'Receivables BACEN'!$6:$42,20,0),HLOOKUP(BR$5,'Receivables BACEN'!$6:$42,20,0))</f>
        <v>4.4059235600664846E-2</v>
      </c>
      <c r="BS26" s="165">
        <f>-BS$25/AVERAGE(HLOOKUP(BN$5,'Receivables BACEN'!$6:$42,20,0),HLOOKUP(BO$5,'Receivables BACEN'!$6:$42,20,0),HLOOKUP(BQ$5,'Receivables BACEN'!$6:$42,20,0),HLOOKUP(BS$5,'Receivables BACEN'!$6:$42,20,0))</f>
        <v>0.11838877248043439</v>
      </c>
      <c r="BT26" s="165">
        <f>-BT$25/AVERAGE(HLOOKUP(BS$5,'Receivables BACEN'!$6:$42,20,0),HLOOKUP(BT$5,'Receivables BACEN'!$6:$42,20,0))</f>
        <v>3.567013321640522E-2</v>
      </c>
      <c r="BU26" s="165">
        <f>-BU$25/AVERAGE(HLOOKUP(BN$5,'Receivables BACEN'!$6:$42,20,0),HLOOKUP(BO$5,'Receivables BACEN'!$6:$42,20,0),HLOOKUP(BQ$5,'Receivables BACEN'!$6:$42,20,0),HLOOKUP(BS$5,'Receivables BACEN'!$6:$42,20,0),HLOOKUP(BU$5,'Receivables BACEN'!$6:$42,20,0))</f>
        <v>0.15169753525566604</v>
      </c>
      <c r="BV26" s="165">
        <f>-BV$25/AVERAGE(HLOOKUP(BU$5,'Receivables BACEN'!$6:$42,20,0),HLOOKUP(BV$5,'Receivables BACEN'!$6:$42,20,0))</f>
        <v>3.0076177434101348E-2</v>
      </c>
      <c r="BW26" s="165">
        <f>-BW$25/AVERAGE(HLOOKUP(BV$5,'Receivables BACEN'!$6:$42,20,0),HLOOKUP(BW$5,'Receivables BACEN'!$6:$42,20,0))</f>
        <v>3.8226104915380373E-2</v>
      </c>
      <c r="BX26" s="165">
        <f>-BX$25/AVERAGE(HLOOKUP(BU$5,'Receivables BACEN'!$6:$42,20,0),HLOOKUP(BV$5,'Receivables BACEN'!$6:$42,20,0),HLOOKUP(BX$5,'Receivables BACEN'!$6:$42,20,0))</f>
        <v>6.7952344029015968E-2</v>
      </c>
      <c r="BY26" s="165">
        <f>-BY$25/AVERAGE(HLOOKUP(BX$5,'Receivables BACEN'!$6:$42,20,0),HLOOKUP(BY$5,'Receivables BACEN'!$6:$42,20,0))</f>
        <v>3.3249830771726711E-2</v>
      </c>
      <c r="BZ26" s="165">
        <f>-BZ$25/AVERAGE(HLOOKUP(BU$5,'Receivables BACEN'!$6:$42,20,0),HLOOKUP(BV$5,'Receivables BACEN'!$6:$42,20,0),HLOOKUP(BX$5,'Receivables BACEN'!$6:$42,20,0),HLOOKUP(BZ$5,'Receivables BACEN'!$6:$42,20,0))</f>
        <v>0.10067837946487002</v>
      </c>
      <c r="CA26" s="165">
        <f>-CA$25/AVERAGE(HLOOKUP(BZ$5,'Receivables BACEN'!$6:$42,20,0),HLOOKUP(CA$5,'Receivables BACEN'!$6:$42,20,0))</f>
        <v>2.8126770054182959E-2</v>
      </c>
      <c r="CB26" s="165">
        <f>-CB$25/AVERAGE(HLOOKUP(BU$5,'Receivables BACEN'!$6:$42,20,0),HLOOKUP(BV$5,'Receivables BACEN'!$6:$42,20,0),HLOOKUP(BX$5,'Receivables BACEN'!$6:$42,20,0),HLOOKUP(BZ$5,'Receivables BACEN'!$6:$42,20,0),HLOOKUP(CB$5,'Receivables BACEN'!$6:$42,20,0))</f>
        <v>0.12699651171078383</v>
      </c>
      <c r="CC26" s="165">
        <f>-CC$25/AVERAGE(HLOOKUP(CB$5,'Receivables BACEN'!$6:$42,20,0),HLOOKUP(CC$5,'Receivables BACEN'!$6:$42,20,0))</f>
        <v>6.3424187655121811E-2</v>
      </c>
      <c r="CD26" s="165">
        <f>-CD$25/AVERAGE(HLOOKUP(CC$5,'Receivables BACEN'!$6:$42,20,0),HLOOKUP(CD$5,'Receivables BACEN'!$6:$42,20,0))</f>
        <v>3.9101140308255858E-2</v>
      </c>
      <c r="CE26" s="165">
        <f>-CE$25/AVERAGE(HLOOKUP(CB$5,'Receivables BACEN'!$6:$42,20,0),HLOOKUP(CC$5,'Receivables BACEN'!$6:$42,20,0),HLOOKUP(CE$5,'Receivables BACEN'!$6:$42,20,0))</f>
        <v>0.10408495034282934</v>
      </c>
      <c r="CF26" s="165">
        <f>-CF$25/AVERAGE(HLOOKUP(CE$5,'Receivables BACEN'!$6:$42,20,0),HLOOKUP(CF$5,'Receivables BACEN'!$6:$42,20,0))</f>
        <v>4.0045550903963695E-2</v>
      </c>
      <c r="CG26" s="165">
        <f>-CG$25/AVERAGE(HLOOKUP(CB$5,'Receivables BACEN'!$6:$42,20,0),HLOOKUP(CC$5,'Receivables BACEN'!$6:$42,20,0),HLOOKUP(CE$5,'Receivables BACEN'!$6:$42,20,0),HLOOKUP(CG$5,'Receivables BACEN'!$6:$42,20,0))</f>
        <v>0.14271348738098485</v>
      </c>
      <c r="CH26" s="165">
        <f>-CH$25/AVERAGE(HLOOKUP(CG$5,'Receivables BACEN'!$6:$42,20,0),HLOOKUP(CH$5,'Receivables BACEN'!$6:$42,20,0))</f>
        <v>8.6387971192689213E-3</v>
      </c>
      <c r="CI26" s="165">
        <f>-CI$25/AVERAGE(HLOOKUP(CH$5,'Receivables BACEN'!$6:$42,20,0),HLOOKUP(CI$5,'Receivables BACEN'!$6:$42,20,0))</f>
        <v>8.0020087881000328E-3</v>
      </c>
      <c r="CJ26" s="165">
        <f>-CJ$25/AVERAGE(HLOOKUP(CI$5,'Receivables BACEN'!$6:$42,20,0),HLOOKUP(CJ$5,'Receivables BACEN'!$6:$42,20,0))</f>
        <v>2.4846200608844595E-2</v>
      </c>
      <c r="CK26" s="165">
        <f>-CK$25/AVERAGE(HLOOKUP(CJ$5,'Receivables BACEN'!$6:$42,20,0),HLOOKUP(CK$5,'Receivables BACEN'!$6:$42,20,0))</f>
        <v>2.06229760235308E-2</v>
      </c>
      <c r="CL26" s="165">
        <f>-CL$25/AVERAGE(HLOOKUP(CI$5,'Receivables BACEN'!$6:$42,20,0),HLOOKUP(CJ$5,'Receivables BACEN'!$6:$42,20,0),HLOOKUP(CL$5,'Receivables BACEN'!$6:$42,20,0))</f>
        <v>4.4620148697012516E-2</v>
      </c>
      <c r="CM26" s="165">
        <f>-CM$25/AVERAGE(HLOOKUP(CL$5,'Receivables BACEN'!$6:$42,20,0),HLOOKUP(CM$5,'Receivables BACEN'!$6:$42,20,0))</f>
        <v>2.7845564370209908E-2</v>
      </c>
      <c r="CN26" s="165">
        <f>-CN$25/AVERAGE(HLOOKUP(CI$5,'Receivables BACEN'!$6:$42,20,0),HLOOKUP(CJ$5,'Receivables BACEN'!$6:$42,20,0),HLOOKUP(CL$5,'Receivables BACEN'!$6:$42,20,0),HLOOKUP(CN$5,'Receivables BACEN'!$6:$42,20,0))</f>
        <v>7.2598106070463089E-2</v>
      </c>
      <c r="CO26" s="165">
        <f>-CO$25/AVERAGE(HLOOKUP(CN$5,'Receivables BACEN'!$6:$42,20,0),HLOOKUP(CO$5,'Receivables BACEN'!$6:$42,20,0))</f>
        <v>3.6261583297653922E-2</v>
      </c>
      <c r="CP26" s="165">
        <f>-CP$25/AVERAGE(HLOOKUP(CI$5,'Receivables BACEN'!$6:$42,20,0),HLOOKUP(CJ$5,'Receivables BACEN'!$6:$42,20,0),HLOOKUP(CL$5,'Receivables BACEN'!$6:$42,20,0),HLOOKUP(CN$5,'Receivables BACEN'!$6:$42,20,0),HLOOKUP(CP$5,'Receivables BACEN'!$6:$42,20,0))</f>
        <v>0.10959235182902348</v>
      </c>
      <c r="CQ26" s="165">
        <f>-CQ$25/AVERAGE(HLOOKUP(CP$5,'Estimated Credit Losses IFRS'!6:89,67,0),HLOOKUP(CQ$5,'Estimated Credit Losses IFRS'!6:89,67,0))</f>
        <v>3.8683346711201348E-2</v>
      </c>
      <c r="CR26" s="165">
        <f>-CR$25/AVERAGE(HLOOKUP(CQ$5,'Estimated Credit Losses IFRS'!6:89,67,0),HLOOKUP(CR$5,'Estimated Credit Losses IFRS'!6:89,67,0))</f>
        <v>5.5646456062632306E-2</v>
      </c>
      <c r="CS26" s="165">
        <f>-CS$25/AVERAGE(HLOOKUP(CP$5,'Estimated Credit Losses IFRS'!6:89,67,0),HLOOKUP(CQ$5,'Estimated Credit Losses IFRS'!6:89,67,0),HLOOKUP(CS$5,'Estimated Credit Losses IFRS'!6:89,67,0))</f>
        <v>9.4724563723191366E-2</v>
      </c>
      <c r="CT26" s="166">
        <f>-CT$25/AVERAGE(HLOOKUP(CS$5,'Estimated Credit Losses IFRS'!6:89,67,0),HLOOKUP(CT$5,'Estimated Credit Losses IFRS'!6:89,67,0))</f>
        <v>4.972893952181974E-2</v>
      </c>
      <c r="CU26" s="166">
        <f>-CU$25/AVERAGE(HLOOKUP(CP$5,'Estimated Credit Losses IFRS'!6:89,67,0),HLOOKUP(CQ$5,'Estimated Credit Losses IFRS'!6:89,67,0),HLOOKUP(CS$5,'Estimated Credit Losses IFRS'!6:89,67,0),HLOOKUP(CU$5,'Estimated Credit Losses IFRS'!6:89,67,0))</f>
        <v>0.14514984554950419</v>
      </c>
      <c r="CV26" s="166">
        <f>-CV$25/AVERAGE(HLOOKUP(CU$5,'Estimated Credit Losses IFRS'!6:89,67,0),HLOOKUP(CV$5,'Estimated Credit Losses IFRS'!6:89,67,0))</f>
        <v>6.0386378668443576E-2</v>
      </c>
      <c r="CW26" s="166">
        <f>-CW$25/AVERAGE(HLOOKUP(CP$5,'Estimated Credit Losses IFRS'!6:89,67,0),HLOOKUP(CQ$5,'Estimated Credit Losses IFRS'!6:89,67,0),HLOOKUP(CS$5,'Estimated Credit Losses IFRS'!6:89,67,0),HLOOKUP(CU$5,'Estimated Credit Losses IFRS'!6:89,67,0),HLOOKUP(CW$5,'Estimated Credit Losses IFRS'!6:89,67,0))</f>
        <v>0.20628414228965547</v>
      </c>
      <c r="CX26" s="165">
        <f>-CX$25/AVERAGE(HLOOKUP(CW$5,'Estimated Credit Losses IFRS'!6:89,67,0),HLOOKUP(CX$5,'Estimated Credit Losses IFRS'!6:89,67,0))</f>
        <v>5.7924059591964075E-2</v>
      </c>
      <c r="CY26" s="165">
        <f>-CY$25/AVERAGE(HLOOKUP(CX$5,'Estimated Credit Losses IFRS'!6:89,67,0),HLOOKUP(CY$5,'Estimated Credit Losses IFRS'!6:89,67,0))</f>
        <v>6.5811838447029578E-2</v>
      </c>
      <c r="CZ26" s="165">
        <f>-CZ$25/AVERAGE(HLOOKUP(CW$5,'Estimated Credit Losses IFRS'!6:89,67,0),HLOOKUP(CX$5,'Estimated Credit Losses IFRS'!6:89,67,0),HLOOKUP(CZ$5,'Estimated Credit Losses IFRS'!6:89,67,0))</f>
        <v>0.12355590007425486</v>
      </c>
      <c r="DA26" s="166">
        <f>-DA$25/AVERAGE(HLOOKUP(CZ$5,'Estimated Credit Losses IFRS'!6:89,67,0),HLOOKUP(DA$5,'Estimated Credit Losses IFRS'!6:89,67,0))</f>
        <v>5.734775120590755E-2</v>
      </c>
      <c r="DB26" s="166">
        <f>-DB$25/AVERAGE(HLOOKUP(CW$5,'Estimated Credit Losses IFRS'!6:89,67,0),HLOOKUP(CX$5,'Estimated Credit Losses IFRS'!6:89,67,0),HLOOKUP(CZ$5,'Estimated Credit Losses IFRS'!6:89,67,0),HLOOKUP(DB$5,'Estimated Credit Losses IFRS'!6:89,67,0))</f>
        <v>0.1819114610607212</v>
      </c>
      <c r="DC26" s="166">
        <f>-DC$25/AVERAGE(HLOOKUP(DB$5,'Estimated Credit Losses IFRS'!6:89,67,0),HLOOKUP(DC$5,'Estimated Credit Losses IFRS'!6:89,67,0))</f>
        <v>5.1444385635112708E-2</v>
      </c>
      <c r="DD26" s="166">
        <f>-DD$25/AVERAGE(HLOOKUP(CW$5,'Estimated Credit Losses IFRS'!6:89,67,0),HLOOKUP(CX$5,'Estimated Credit Losses IFRS'!6:89,67,0),HLOOKUP(CZ$5,'Estimated Credit Losses IFRS'!6:89,67,0),HLOOKUP(DB$5,'Estimated Credit Losses IFRS'!6:89,67,0),HLOOKUP(DD$5,'Estimated Credit Losses IFRS'!6:89,67,0))</f>
        <v>0.23211986394412906</v>
      </c>
      <c r="DE26" s="165">
        <f>-DE$25/AVERAGE(HLOOKUP(DD$5,'Estimated Credit Losses IFRS'!6:89,67,0),HLOOKUP(DE$5,'Estimated Credit Losses IFRS'!6:89,67,0))</f>
        <v>4.9719535795374172E-2</v>
      </c>
      <c r="DF26" s="165">
        <f>-DF$25/AVERAGE(HLOOKUP(DE$5,'Estimated Credit Losses IFRS'!6:89,67,0),HLOOKUP(DF$5,'Estimated Credit Losses IFRS'!6:89,67,0))</f>
        <v>5.020332562210994E-2</v>
      </c>
      <c r="DG26" s="165">
        <f>-DG$25/AVERAGE(HLOOKUP(DD$5,'Estimated Credit Losses IFRS'!6:89,67,0),HLOOKUP(DE$5,'Estimated Credit Losses IFRS'!6:89,67,0),HLOOKUP(DG$5,'Estimated Credit Losses IFRS'!6:89,67,0))</f>
        <v>9.9325419110678673E-2</v>
      </c>
      <c r="DH26" s="166">
        <f>-DH$25/AVERAGE(HLOOKUP(DG$5,'Estimated Credit Losses IFRS'!6:89,67,0),HLOOKUP(DH$5,'Estimated Credit Losses IFRS'!6:89,67,0))</f>
        <v>4.205801522215135E-2</v>
      </c>
      <c r="DI26" s="166">
        <f>-DI$25/AVERAGE(HLOOKUP(DD$5,'Estimated Credit Losses IFRS'!6:89,67,0),HLOOKUP(DE$5,'Estimated Credit Losses IFRS'!6:89,67,0),HLOOKUP(DG$5,'Estimated Credit Losses IFRS'!6:89,67,0),HLOOKUP(DI$5,'Estimated Credit Losses IFRS'!6:89,67,0))</f>
        <v>0.14145039739901444</v>
      </c>
      <c r="DJ26" s="166">
        <f>-DJ$25/AVERAGE(HLOOKUP(DI$5,'Estimated Credit Losses IFRS'!6:89,67,0),HLOOKUP(DJ$5,'Estimated Credit Losses IFRS'!6:89,67,0))</f>
        <v>3.8976220570849394E-2</v>
      </c>
      <c r="DK26" s="166">
        <f>-DK$25/AVERAGE(HLOOKUP(DD$5,'Estimated Credit Losses IFRS'!6:89,67,0),HLOOKUP(DE$5,'Estimated Credit Losses IFRS'!6:89,67,0),HLOOKUP(DG$5,'Estimated Credit Losses IFRS'!6:89,67,0),HLOOKUP(DI$5,'Estimated Credit Losses IFRS'!6:89,67,0),HLOOKUP(DK$5,'Estimated Credit Losses IFRS'!6:89,67,0))</f>
        <v>0.17937375752855073</v>
      </c>
      <c r="DL26" s="166">
        <f>-DL$25/AVERAGE(HLOOKUP(DK$5,'Estimated Credit Losses IFRS'!6:89,67,0),HLOOKUP(DL$5,'Estimated Credit Losses IFRS'!6:89,67,0))</f>
        <v>3.1124310221418507E-2</v>
      </c>
      <c r="DM26" s="165">
        <f>-DM$25/AVERAGE(HLOOKUP(DL$5,'Estimated Credit Losses IFRS'!6:89,67,0),HLOOKUP(DM$5,'Estimated Credit Losses IFRS'!6:89,67,0))</f>
        <v>4.18955381639202E-2</v>
      </c>
      <c r="DN26" s="165">
        <f>-DN$25/AVERAGE(HLOOKUP(DK$5,'Estimated Credit Losses IFRS'!6:89,67,0),HLOOKUP(DL$5,'Estimated Credit Losses IFRS'!6:89,67,0),HLOOKUP(DN$5,'Estimated Credit Losses IFRS'!6:89,67,0))</f>
        <v>7.2824923382640808E-2</v>
      </c>
      <c r="DO26" s="166">
        <f>-DO$25/AVERAGE(HLOOKUP(DN$5,'Estimated Credit Losses IFRS'!6:89,67,0),HLOOKUP(DO$5,'Estimated Credit Losses IFRS'!6:89,67,0))</f>
        <v>4.318240084116555E-2</v>
      </c>
      <c r="DP26" s="166">
        <f>-DP$25/AVERAGE(HLOOKUP(DK$5,'Estimated Credit Losses IFRS'!6:89,67,0),HLOOKUP(DL$5,'Estimated Credit Losses IFRS'!6:89,67,0),HLOOKUP(DN$5,'Estimated Credit Losses IFRS'!6:89,67,0),HLOOKUP(DP$5,'Estimated Credit Losses IFRS'!6:89,67,0))</f>
        <v>0.11666409891723906</v>
      </c>
      <c r="DQ26" s="166">
        <f>-DQ$25/AVERAGE(HLOOKUP(DP$5,'Estimated Credit Losses IFRS'!6:89,67,0),HLOOKUP(DQ$5,'Estimated Credit Losses IFRS'!6:89,67,0))</f>
        <v>4.0893016129066741E-2</v>
      </c>
      <c r="DR26" s="166">
        <f>-DR$25/AVERAGE(HLOOKUP(DM$5,'Estimated Credit Losses IFRS'!6:89,67,0),HLOOKUP(DN$5,'Estimated Credit Losses IFRS'!6:89,67,0),HLOOKUP(DP$5,'Estimated Credit Losses IFRS'!6:89,67,0),HLOOKUP(DR$5,'Estimated Credit Losses IFRS'!6:89,67,0))</f>
        <v>0.15298434784365242</v>
      </c>
      <c r="DS26" s="166">
        <f>-DS$25/AVERAGE(HLOOKUP(DR$5,'Estimated Credit Losses IFRS'!6:89,67,0),HLOOKUP(DS$5,'Estimated Credit Losses IFRS'!6:89,67,0))</f>
        <v>3.790250773690871E-2</v>
      </c>
      <c r="DT26" s="165">
        <f>-DT$25/AVERAGE(HLOOKUP(DS$5,'Estimated Credit Losses IFRS'!6:89,67,0),HLOOKUP(DT$5,'Estimated Credit Losses IFRS'!6:89,67,0))</f>
        <v>4.7774310029027357E-2</v>
      </c>
      <c r="DU26" s="165">
        <f>-DU$25/AVERAGE(HLOOKUP(DR$5,'Estimated Credit Losses IFRS'!6:89,67,0),HLOOKUP(DS$5,'Estimated Credit Losses IFRS'!6:89,67,0),HLOOKUP(DU$5,'Estimated Credit Losses IFRS'!6:89,67,0))</f>
        <v>8.532267045061559E-2</v>
      </c>
    </row>
    <row r="27" spans="1:125" ht="16.350000000000001" customHeight="1">
      <c r="A27" s="155"/>
      <c r="B27" s="158" t="s">
        <v>381</v>
      </c>
      <c r="C27" s="158" t="s">
        <v>380</v>
      </c>
      <c r="D27" s="80">
        <v>-5254</v>
      </c>
      <c r="E27" s="80">
        <v>-6105</v>
      </c>
      <c r="F27" s="159">
        <f>SUM(D27+E27)</f>
        <v>-11359</v>
      </c>
      <c r="G27" s="80">
        <v>-5537</v>
      </c>
      <c r="H27" s="159">
        <f>SUM(F27+G27)</f>
        <v>-16896</v>
      </c>
      <c r="I27" s="80">
        <v>-5288</v>
      </c>
      <c r="J27" s="80">
        <f>SUM(H27,I27)</f>
        <v>-22184</v>
      </c>
      <c r="K27" s="80">
        <v>-4670</v>
      </c>
      <c r="L27" s="80">
        <v>-5579</v>
      </c>
      <c r="M27" s="159">
        <v>-10249</v>
      </c>
      <c r="N27" s="80">
        <v>-5415</v>
      </c>
      <c r="O27" s="159">
        <f>SUM(M27+N27)</f>
        <v>-15664</v>
      </c>
      <c r="P27" s="80">
        <v>-4693</v>
      </c>
      <c r="Q27" s="80">
        <v>-20355</v>
      </c>
      <c r="R27" s="80">
        <v>-5718</v>
      </c>
      <c r="S27" s="80">
        <v>-7077</v>
      </c>
      <c r="T27" s="159">
        <v>-12795</v>
      </c>
      <c r="U27" s="80">
        <v>-6540</v>
      </c>
      <c r="V27" s="159">
        <v>-18961</v>
      </c>
      <c r="W27" s="159">
        <v>-5422</v>
      </c>
      <c r="X27" s="159">
        <f>W27+V27</f>
        <v>-24383</v>
      </c>
      <c r="Y27" s="159">
        <v>-4745</v>
      </c>
      <c r="Z27" s="159">
        <v>-4268</v>
      </c>
      <c r="AA27" s="159">
        <f>Z27+Y27</f>
        <v>-9013</v>
      </c>
      <c r="AB27" s="159">
        <v>-4268</v>
      </c>
      <c r="AC27" s="159">
        <f>AB27+AA27</f>
        <v>-13281</v>
      </c>
      <c r="AD27" s="159">
        <v>-4312</v>
      </c>
      <c r="AE27" s="159">
        <f>AD27+AC27</f>
        <v>-17593</v>
      </c>
      <c r="AF27" s="159">
        <v>-5425</v>
      </c>
      <c r="AG27" s="159">
        <v>-5007</v>
      </c>
      <c r="AH27" s="159">
        <f>AF27+AG27</f>
        <v>-10432</v>
      </c>
      <c r="AI27" s="159">
        <v>-5919</v>
      </c>
      <c r="AJ27" s="159">
        <f>AH27+AI27</f>
        <v>-16351</v>
      </c>
      <c r="AK27" s="159">
        <v>-5698</v>
      </c>
      <c r="AL27" s="159">
        <v>-22047.8</v>
      </c>
      <c r="AM27" s="159">
        <v>-5833</v>
      </c>
      <c r="AN27" s="159">
        <v>-4485</v>
      </c>
      <c r="AO27" s="159">
        <f>AM27+AN27</f>
        <v>-10318</v>
      </c>
      <c r="AP27" s="159">
        <v>-7649.42</v>
      </c>
      <c r="AQ27" s="159">
        <f>AO27+AP27</f>
        <v>-17967.419999999998</v>
      </c>
      <c r="AR27" s="159">
        <v>-6354.73</v>
      </c>
      <c r="AS27" s="159">
        <f>SUM(AR27,AQ27)</f>
        <v>-24322.149999999998</v>
      </c>
      <c r="AT27" s="159">
        <v>-7159.02</v>
      </c>
      <c r="AU27" s="159">
        <v>-10284</v>
      </c>
      <c r="AV27" s="159">
        <f>AT27+AU27</f>
        <v>-17443.02</v>
      </c>
      <c r="AW27" s="159">
        <v>-11858.077899999998</v>
      </c>
      <c r="AX27" s="159">
        <f>AV27+AW27</f>
        <v>-29301.097900000001</v>
      </c>
      <c r="AY27" s="159">
        <v>-10382.9094432001</v>
      </c>
      <c r="AZ27" s="159">
        <f>AX27+AY27</f>
        <v>-39684.007343200101</v>
      </c>
      <c r="BA27" s="159">
        <v>-9246</v>
      </c>
      <c r="BB27" s="159">
        <v>-10997</v>
      </c>
      <c r="BC27" s="159">
        <f>BA27+BB27</f>
        <v>-20243</v>
      </c>
      <c r="BD27" s="159">
        <v>-6730</v>
      </c>
      <c r="BE27" s="159">
        <f>BC27+BD27</f>
        <v>-26973</v>
      </c>
      <c r="BF27" s="159">
        <v>-5447</v>
      </c>
      <c r="BG27" s="159">
        <f>BE27+BF27</f>
        <v>-32420</v>
      </c>
      <c r="BH27" s="159">
        <v>-4064</v>
      </c>
      <c r="BI27" s="159">
        <v>-4594</v>
      </c>
      <c r="BJ27" s="159">
        <f>BH27+BI27</f>
        <v>-8658</v>
      </c>
      <c r="BK27" s="159">
        <v>1134</v>
      </c>
      <c r="BL27" s="159">
        <f>BJ27+BK27</f>
        <v>-7524</v>
      </c>
      <c r="BM27" s="159">
        <v>140</v>
      </c>
      <c r="BN27" s="159">
        <f>BL27+BM27</f>
        <v>-7384</v>
      </c>
      <c r="BO27" s="159">
        <v>433</v>
      </c>
      <c r="BP27" s="159">
        <v>-924</v>
      </c>
      <c r="BQ27" s="159">
        <v>-491</v>
      </c>
      <c r="BR27" s="159">
        <v>-453.23281999988967</v>
      </c>
      <c r="BS27" s="159">
        <f t="shared" si="20"/>
        <v>-944.23281999988967</v>
      </c>
      <c r="BT27" s="159">
        <v>213.86663000000044</v>
      </c>
      <c r="BU27" s="159">
        <f t="shared" si="21"/>
        <v>-730.36618999988923</v>
      </c>
      <c r="BV27" s="159">
        <v>0</v>
      </c>
      <c r="BW27" s="159">
        <v>0</v>
      </c>
      <c r="BX27" s="80">
        <v>0</v>
      </c>
      <c r="BY27" s="80">
        <v>0</v>
      </c>
      <c r="BZ27" s="159">
        <v>0</v>
      </c>
      <c r="CA27" s="80">
        <v>0</v>
      </c>
      <c r="CB27" s="159">
        <v>0</v>
      </c>
      <c r="CC27" s="80">
        <v>0</v>
      </c>
      <c r="CD27" s="80">
        <v>0</v>
      </c>
      <c r="CE27" s="80">
        <v>0</v>
      </c>
      <c r="CF27" s="80">
        <v>0</v>
      </c>
      <c r="CG27" s="80">
        <v>0</v>
      </c>
      <c r="CH27" s="80">
        <v>0</v>
      </c>
      <c r="CI27" s="159">
        <v>0</v>
      </c>
      <c r="CJ27" s="80">
        <v>0</v>
      </c>
      <c r="CK27" s="159">
        <v>0</v>
      </c>
      <c r="CL27" s="80">
        <v>0</v>
      </c>
      <c r="CM27" s="80">
        <v>0</v>
      </c>
      <c r="CN27" s="80">
        <v>0</v>
      </c>
      <c r="CO27" s="80">
        <v>0</v>
      </c>
      <c r="CP27" s="80">
        <v>0</v>
      </c>
      <c r="CQ27" s="80">
        <v>0</v>
      </c>
      <c r="CR27" s="80">
        <v>0</v>
      </c>
      <c r="CS27" s="80">
        <v>0</v>
      </c>
      <c r="CT27" s="80">
        <v>0</v>
      </c>
      <c r="CU27" s="80">
        <v>0</v>
      </c>
      <c r="CV27" s="80">
        <v>0</v>
      </c>
      <c r="CW27" s="80">
        <v>0</v>
      </c>
      <c r="CX27" s="80">
        <v>0</v>
      </c>
      <c r="CY27" s="80">
        <v>0</v>
      </c>
      <c r="CZ27" s="80">
        <v>0</v>
      </c>
      <c r="DA27" s="80">
        <v>0</v>
      </c>
      <c r="DB27" s="80">
        <v>0</v>
      </c>
      <c r="DC27" s="80">
        <v>0</v>
      </c>
      <c r="DD27" s="80">
        <v>0</v>
      </c>
      <c r="DE27" s="80">
        <v>0</v>
      </c>
      <c r="DF27" s="80">
        <v>0</v>
      </c>
      <c r="DG27" s="80">
        <v>0</v>
      </c>
      <c r="DH27" s="80">
        <v>0</v>
      </c>
      <c r="DI27" s="80">
        <v>0</v>
      </c>
      <c r="DJ27" s="80">
        <v>0</v>
      </c>
      <c r="DK27" s="80">
        <v>0</v>
      </c>
      <c r="DL27" s="80">
        <v>0</v>
      </c>
      <c r="DM27" s="80">
        <v>0</v>
      </c>
      <c r="DN27" s="80">
        <v>0</v>
      </c>
      <c r="DO27" s="80">
        <v>0</v>
      </c>
      <c r="DP27" s="80">
        <v>0</v>
      </c>
      <c r="DQ27" s="80">
        <v>0</v>
      </c>
      <c r="DR27" s="80">
        <v>0</v>
      </c>
      <c r="DS27" s="80">
        <v>0</v>
      </c>
      <c r="DT27" s="80">
        <v>0</v>
      </c>
      <c r="DU27" s="80">
        <f>SUM(DS27:DT27)</f>
        <v>0</v>
      </c>
    </row>
    <row r="28" spans="1:125" ht="16.350000000000001" customHeight="1">
      <c r="A28" s="155"/>
      <c r="B28" s="167" t="s">
        <v>382</v>
      </c>
      <c r="C28" s="167" t="s">
        <v>383</v>
      </c>
      <c r="D28" s="168">
        <v>-7767</v>
      </c>
      <c r="E28" s="168">
        <v>-9637</v>
      </c>
      <c r="F28" s="168">
        <v>-17404</v>
      </c>
      <c r="G28" s="168">
        <v>-9668</v>
      </c>
      <c r="H28" s="168">
        <v>-27072</v>
      </c>
      <c r="I28" s="168">
        <v>-11429</v>
      </c>
      <c r="J28" s="168">
        <v>-38501</v>
      </c>
      <c r="K28" s="168">
        <v>-9570</v>
      </c>
      <c r="L28" s="168">
        <v>-11871</v>
      </c>
      <c r="M28" s="168">
        <v>-21442</v>
      </c>
      <c r="N28" s="168">
        <v>-12365</v>
      </c>
      <c r="O28" s="168">
        <v>-33807</v>
      </c>
      <c r="P28" s="168">
        <v>-18540</v>
      </c>
      <c r="Q28" s="168">
        <v>-52347</v>
      </c>
      <c r="R28" s="168">
        <v>-17629</v>
      </c>
      <c r="S28" s="168">
        <v>-20167</v>
      </c>
      <c r="T28" s="168">
        <v>-37796</v>
      </c>
      <c r="U28" s="168">
        <v>-21205.325000000001</v>
      </c>
      <c r="V28" s="168">
        <v>-59001.324999999997</v>
      </c>
      <c r="W28" s="168">
        <v>-27541</v>
      </c>
      <c r="X28" s="168">
        <v>-86542.324999999997</v>
      </c>
      <c r="Y28" s="168">
        <v>-24735</v>
      </c>
      <c r="Z28" s="168">
        <v>-29247</v>
      </c>
      <c r="AA28" s="168">
        <v>-53982</v>
      </c>
      <c r="AB28" s="168">
        <v>-29247</v>
      </c>
      <c r="AC28" s="168">
        <v>-53982</v>
      </c>
      <c r="AD28" s="168">
        <v>-28405</v>
      </c>
      <c r="AE28" s="168">
        <v>-107775</v>
      </c>
      <c r="AF28" s="168">
        <v>-27545</v>
      </c>
      <c r="AG28" s="168">
        <v>-30667</v>
      </c>
      <c r="AH28" s="168">
        <v>-58212</v>
      </c>
      <c r="AI28" s="168">
        <v>-31322</v>
      </c>
      <c r="AJ28" s="168">
        <v>-89534</v>
      </c>
      <c r="AK28" s="168">
        <v>-33864.199999999997</v>
      </c>
      <c r="AL28" s="168">
        <v>-123398.5</v>
      </c>
      <c r="AM28" s="168">
        <v>-29477.5</v>
      </c>
      <c r="AN28" s="168">
        <v>-34028</v>
      </c>
      <c r="AO28" s="168">
        <v>-63505.5</v>
      </c>
      <c r="AP28" s="168">
        <v>-37434.800000000003</v>
      </c>
      <c r="AQ28" s="168">
        <v>-100940.3</v>
      </c>
      <c r="AR28" s="168">
        <v>-44477.5</v>
      </c>
      <c r="AS28" s="168">
        <v>-145417.79999999999</v>
      </c>
      <c r="AT28" s="168">
        <v>-37620.699999999997</v>
      </c>
      <c r="AU28" s="168">
        <v>-40433</v>
      </c>
      <c r="AV28" s="168">
        <v>-78053.7</v>
      </c>
      <c r="AW28" s="168">
        <v>-37366</v>
      </c>
      <c r="AX28" s="168">
        <v>-115419.7</v>
      </c>
      <c r="AY28" s="168">
        <v>-44221</v>
      </c>
      <c r="AZ28" s="168">
        <v>-159640.70000000001</v>
      </c>
      <c r="BA28" s="168">
        <v>-41367</v>
      </c>
      <c r="BB28" s="168">
        <v>-40828</v>
      </c>
      <c r="BC28" s="168">
        <v>-82195</v>
      </c>
      <c r="BD28" s="168">
        <v>-40858</v>
      </c>
      <c r="BE28" s="168">
        <v>-123053</v>
      </c>
      <c r="BF28" s="168">
        <v>-54845</v>
      </c>
      <c r="BG28" s="168">
        <v>-177898</v>
      </c>
      <c r="BH28" s="168">
        <v>-48785</v>
      </c>
      <c r="BI28" s="168">
        <v>-57083</v>
      </c>
      <c r="BJ28" s="168">
        <v>-105868</v>
      </c>
      <c r="BK28" s="168">
        <v>-58835</v>
      </c>
      <c r="BL28" s="168">
        <v>-164703</v>
      </c>
      <c r="BM28" s="168">
        <v>-70069</v>
      </c>
      <c r="BN28" s="168">
        <v>-234772</v>
      </c>
      <c r="BO28" s="168">
        <v>-62474</v>
      </c>
      <c r="BP28" s="168">
        <v>-72410</v>
      </c>
      <c r="BQ28" s="168">
        <v>-134884</v>
      </c>
      <c r="BR28" s="168">
        <v>-70086.577829999995</v>
      </c>
      <c r="BS28" s="168">
        <v>-204970.57782999999</v>
      </c>
      <c r="BT28" s="168">
        <v>-78915.414560000005</v>
      </c>
      <c r="BU28" s="168">
        <v>-283885.99239000003</v>
      </c>
      <c r="BV28" s="168">
        <v>-65827.757279999991</v>
      </c>
      <c r="BW28" s="168">
        <v>-77003.518039999995</v>
      </c>
      <c r="BX28" s="168">
        <v>-142831.27531999999</v>
      </c>
      <c r="BY28" s="168">
        <v>-81792.95299999998</v>
      </c>
      <c r="BZ28" s="168">
        <v>-224624.22831999997</v>
      </c>
      <c r="CA28" s="168">
        <v>-92425.946989999968</v>
      </c>
      <c r="CB28" s="168">
        <v>-317050.17530999996</v>
      </c>
      <c r="CC28" s="168">
        <v>-87909.371989999985</v>
      </c>
      <c r="CD28" s="168">
        <v>-75149.747759999998</v>
      </c>
      <c r="CE28" s="168">
        <v>-163059.11974999995</v>
      </c>
      <c r="CF28" s="168">
        <v>-91901.933210000017</v>
      </c>
      <c r="CG28" s="168">
        <v>-254961.05296000006</v>
      </c>
      <c r="CH28" s="168">
        <v>-103768.77976999999</v>
      </c>
      <c r="CI28" s="168">
        <v>-103768.77976999999</v>
      </c>
      <c r="CJ28" s="168">
        <v>-91351</v>
      </c>
      <c r="CK28" s="168">
        <v>-98696</v>
      </c>
      <c r="CL28" s="168">
        <f>CJ28+CK28</f>
        <v>-190047</v>
      </c>
      <c r="CM28" s="168">
        <v>-101643</v>
      </c>
      <c r="CN28" s="168">
        <f>CL28+CM28</f>
        <v>-291690</v>
      </c>
      <c r="CO28" s="168">
        <v>-114566</v>
      </c>
      <c r="CP28" s="168">
        <f>CN28+CO28</f>
        <v>-406256</v>
      </c>
      <c r="CQ28" s="168">
        <v>-114078</v>
      </c>
      <c r="CR28" s="168">
        <v>-129734</v>
      </c>
      <c r="CS28" s="168">
        <f>CQ28+CR28</f>
        <v>-243812</v>
      </c>
      <c r="CT28" s="168">
        <v>-111975</v>
      </c>
      <c r="CU28" s="168">
        <f>CS28+CT28</f>
        <v>-355787</v>
      </c>
      <c r="CV28" s="168">
        <v>-156244</v>
      </c>
      <c r="CW28" s="168">
        <f>CU28+CV28</f>
        <v>-512031</v>
      </c>
      <c r="CX28" s="168">
        <v>-132446.06774000006</v>
      </c>
      <c r="CY28" s="168">
        <v>-145974.13139999998</v>
      </c>
      <c r="CZ28" s="168">
        <f>CX28+CY28</f>
        <v>-278420.19914000004</v>
      </c>
      <c r="DA28" s="168">
        <v>-140118.71333999999</v>
      </c>
      <c r="DB28" s="168">
        <f t="shared" ref="DB28:DD28" si="25">CZ28+DA28</f>
        <v>-418538.91248000006</v>
      </c>
      <c r="DC28" s="168">
        <v>-169878.56538000004</v>
      </c>
      <c r="DD28" s="168">
        <f t="shared" si="25"/>
        <v>-588417.4778600001</v>
      </c>
      <c r="DE28" s="168">
        <v>-151353</v>
      </c>
      <c r="DF28" s="168">
        <v>-137714</v>
      </c>
      <c r="DG28" s="168">
        <f>DE28+DF28</f>
        <v>-289067</v>
      </c>
      <c r="DH28" s="168">
        <v>-143702.74618000002</v>
      </c>
      <c r="DI28" s="168">
        <f>DG28+DH28</f>
        <v>-432769.74618000002</v>
      </c>
      <c r="DJ28" s="168">
        <v>-168289</v>
      </c>
      <c r="DK28" s="168">
        <f>DI28+DJ28</f>
        <v>-601058.74618000002</v>
      </c>
      <c r="DL28" s="168">
        <v>-135938.86928000007</v>
      </c>
      <c r="DM28" s="168">
        <v>-145325.38815000001</v>
      </c>
      <c r="DN28" s="168">
        <f>DL28+DM28</f>
        <v>-281264.25743000011</v>
      </c>
      <c r="DO28" s="168">
        <v>-147358</v>
      </c>
      <c r="DP28" s="168">
        <f>DN28+DO28</f>
        <v>-428622.25743000011</v>
      </c>
      <c r="DQ28" s="168">
        <v>-177242</v>
      </c>
      <c r="DR28" s="168">
        <f>DP28+DQ28</f>
        <v>-605864.25743000011</v>
      </c>
      <c r="DS28" s="168">
        <v>-141778</v>
      </c>
      <c r="DT28" s="168">
        <v>-157145</v>
      </c>
      <c r="DU28" s="168">
        <f>DS28+DT28</f>
        <v>-298923</v>
      </c>
    </row>
    <row r="29" spans="1:125" ht="16.350000000000001" customHeight="1">
      <c r="A29" s="155"/>
      <c r="B29" s="169" t="s">
        <v>1487</v>
      </c>
      <c r="C29" s="169" t="s">
        <v>1482</v>
      </c>
      <c r="D29" s="38">
        <f>-D$28/AVERAGE(HLOOKUP(C$5,'Receivables BACEN'!$6:$42,30,0),HLOOKUP(D$5,'Receivables BACEN'!$6:$42,30,0))</f>
        <v>1.3343457891743961E-2</v>
      </c>
      <c r="E29" s="38">
        <f>-E$28/AVERAGE(HLOOKUP(D$5,'Receivables BACEN'!$6:$42,30,0),HLOOKUP(E$5,'Receivables BACEN'!$6:$42,30,0))</f>
        <v>1.79121899357544E-2</v>
      </c>
      <c r="F29" s="38">
        <f>-F$28/AVERAGE(HLOOKUP(C$5,'Receivables BACEN'!$6:$42,30,0),HLOOKUP(D$5,'Receivables BACEN'!$6:$42,30,0),HLOOKUP(F$5,'Receivables BACEN'!$6:$42,30,0))</f>
        <v>3.0288053239032674E-2</v>
      </c>
      <c r="G29" s="38">
        <f>-G$28/AVERAGE(HLOOKUP(F$5,'Receivables BACEN'!$6:$42,30,0),HLOOKUP(G$5,'Receivables BACEN'!$6:$42,30,0))</f>
        <v>1.8042244755329583E-2</v>
      </c>
      <c r="H29" s="38">
        <f>-H$28/AVERAGE(HLOOKUP(C$5,'Receivables BACEN'!$6:$42,30,0),HLOOKUP(D$5,'Receivables BACEN'!$6:$42,30,0),HLOOKUP(F$5,'Receivables BACEN'!$6:$42,30,0),HLOOKUP(H$5,'Receivables BACEN'!$6:$42,30,0))</f>
        <v>4.843208894243993E-2</v>
      </c>
      <c r="I29" s="38">
        <f>-I$28/AVERAGE(HLOOKUP(H$5,'Receivables BACEN'!$6:$42,30,0),HLOOKUP(I$5,'Receivables BACEN'!$6:$42,30,0))</f>
        <v>1.9075834327822613E-2</v>
      </c>
      <c r="J29" s="38">
        <f>-J$28/AVERAGE(HLOOKUP(C$5,'Receivables BACEN'!$6:$42,30,0),HLOOKUP(D$5,'Receivables BACEN'!$6:$42,30,0),HLOOKUP(F$5,'Receivables BACEN'!$6:$42,30,0),HLOOKUP(H$5,'Receivables BACEN'!$6:$42,30,0),HLOOKUP(J$5,'Receivables BACEN'!$6:$42,30,0))</f>
        <v>6.5878585327491912E-2</v>
      </c>
      <c r="K29" s="38">
        <f>-K$28/AVERAGE(HLOOKUP(J$5,'Receivables BACEN'!$6:$42,30,0),HLOOKUP(K$5,'Receivables BACEN'!$6:$42,30,0))</f>
        <v>1.5289139678352926E-2</v>
      </c>
      <c r="L29" s="38">
        <f>-L$28/AVERAGE(HLOOKUP(K$5,'Receivables BACEN'!$6:$42,30,0),HLOOKUP(L$5,'Receivables BACEN'!$6:$42,30,0))</f>
        <v>2.0245725220262439E-2</v>
      </c>
      <c r="M29" s="38">
        <f>-M$28/AVERAGE(HLOOKUP(J$5,'Receivables BACEN'!$6:$42,30,0),HLOOKUP(K$5,'Receivables BACEN'!$6:$42,30,0),HLOOKUP(M$5,'Receivables BACEN'!$6:$42,30,0))</f>
        <v>3.4603647138122487E-2</v>
      </c>
      <c r="N29" s="38">
        <f>-N$28/AVERAGE(HLOOKUP(M$5,'Receivables BACEN'!$6:$42,30,0),HLOOKUP(N$5,'Receivables BACEN'!$6:$42,30,0))</f>
        <v>2.1131225508542212E-2</v>
      </c>
      <c r="O29" s="38">
        <f>-O$28/AVERAGE(HLOOKUP(J$5,'Receivables BACEN'!$6:$42,30,0),HLOOKUP(K$5,'Receivables BACEN'!$6:$42,30,0),HLOOKUP(M$5,'Receivables BACEN'!$6:$42,30,0),HLOOKUP(O$5,'Receivables BACEN'!$6:$42,30,0))</f>
        <v>5.5829161807053579E-2</v>
      </c>
      <c r="P29" s="38">
        <f>-P$28/AVERAGE(HLOOKUP(O$5,'Receivables BACEN'!$6:$42,30,0),HLOOKUP(P$5,'Receivables BACEN'!$6:$42,30,0))</f>
        <v>2.8747216760836802E-2</v>
      </c>
      <c r="Q29" s="38">
        <f>-Q$28/AVERAGE(HLOOKUP(J$5,'Receivables BACEN'!$6:$42,30,0),HLOOKUP(K$5,'Receivables BACEN'!$6:$42,30,0),HLOOKUP(M$5,'Receivables BACEN'!$6:$42,30,0),HLOOKUP(O$5,'Receivables BACEN'!$6:$42,30,0),HLOOKUP(Q$5,'Receivables BACEN'!$6:$42,30,0))</f>
        <v>8.3122115370263164E-2</v>
      </c>
      <c r="R29" s="38">
        <f>-R$28/AVERAGE(HLOOKUP(Q$5,'Receivables BACEN'!$6:$42,30,0),HLOOKUP(R$5,'Receivables BACEN'!$6:$42,30,0))</f>
        <v>2.6326714693619104E-2</v>
      </c>
      <c r="S29" s="38">
        <f>-S$28/AVERAGE(HLOOKUP(R$5,'Receivables BACEN'!$6:$42,30,0),HLOOKUP(S$5,'Receivables BACEN'!$6:$42,30,0))</f>
        <v>3.174345833228398E-2</v>
      </c>
      <c r="T29" s="38">
        <f>-T$28/AVERAGE(HLOOKUP(Q$5,'Receivables BACEN'!$6:$42,30,0),HLOOKUP(R$5,'Receivables BACEN'!$6:$42,30,0),HLOOKUP(T$5,'Receivables BACEN'!$6:$42,30,0))</f>
        <v>5.6772061584678936E-2</v>
      </c>
      <c r="U29" s="38">
        <f>-U$28/AVERAGE(HLOOKUP(T$5,'Receivables BACEN'!$6:$42,30,0),HLOOKUP(U$5,'Receivables BACEN'!$6:$42,30,0))</f>
        <v>3.3820106267349388E-2</v>
      </c>
      <c r="V29" s="38">
        <f>-V$28/AVERAGE(HLOOKUP(Q$5,'Receivables BACEN'!$6:$42,30,0),HLOOKUP(R$5,'Receivables BACEN'!$6:$42,30,0),HLOOKUP(T$5,'Receivables BACEN'!$6:$42,30,0),HLOOKUP(V$5,'Receivables BACEN'!$6:$42,30,0))</f>
        <v>9.1007363332954144E-2</v>
      </c>
      <c r="W29" s="38">
        <f>-W$28/AVERAGE(HLOOKUP(V$5,'Receivables BACEN'!$6:$42,30,0),HLOOKUP(W$5,'Receivables BACEN'!$6:$42,30,0))</f>
        <v>3.6960591562715979E-2</v>
      </c>
      <c r="X29" s="38">
        <f>-X$28/AVERAGE(HLOOKUP(Q$5,'Receivables BACEN'!$6:$42,30,0),HLOOKUP(R$5,'Receivables BACEN'!$6:$42,30,0),HLOOKUP(T$5,'Receivables BACEN'!$6:$42,30,0),HLOOKUP(V$5,'Receivables BACEN'!$6:$42,30,0),HLOOKUP(X$5,'Receivables BACEN'!$6:$42,30,0))</f>
        <v>0.12407359485482604</v>
      </c>
      <c r="Y29" s="38">
        <f>-Y$28/AVERAGE(HLOOKUP(X$5,'Receivables BACEN'!$6:$42,30,0),HLOOKUP(Y$5,'Receivables BACEN'!$6:$42,30,0))</f>
        <v>2.9551953672668056E-2</v>
      </c>
      <c r="Z29" s="38">
        <f>-Z$28/AVERAGE(HLOOKUP(Y$5,'Receivables BACEN'!$6:$42,30,0),HLOOKUP(Z$5,'Receivables BACEN'!$6:$42,30,0))</f>
        <v>3.50390410897361E-2</v>
      </c>
      <c r="AA29" s="38">
        <f>-AA$28/AVERAGE(HLOOKUP(X$5,'Receivables BACEN'!$6:$42,30,0),HLOOKUP(Y$5,'Receivables BACEN'!$6:$42,30,0),HLOOKUP(AA$5,'Receivables BACEN'!$6:$42,30,0))</f>
        <v>6.3169350308930908E-2</v>
      </c>
      <c r="AB29" s="38">
        <f>-AB$28/AVERAGE(HLOOKUP(AA$5,'Receivables BACEN'!$6:$42,30,0),HLOOKUP(AB$5,'Receivables BACEN'!$6:$42,30,0))</f>
        <v>3.288112002896084E-2</v>
      </c>
      <c r="AC29" s="38">
        <f>-AC$28/AVERAGE(HLOOKUP(Z$5,'Receivables BACEN'!$6:$42,30,0),HLOOKUP(AA$5,'Receivables BACEN'!$6:$42,30,0),HLOOKUP(AC$5,'Receivables BACEN'!$6:$42,30,0))</f>
        <v>6.0685002396357983E-2</v>
      </c>
      <c r="AD29" s="38">
        <f>-AD$28/AVERAGE(HLOOKUP(AC$5,'Receivables BACEN'!$6:$42,30,0),HLOOKUP(AD$5,'Receivables BACEN'!$6:$42,30,0))</f>
        <v>2.8112559103921457E-2</v>
      </c>
      <c r="AE29" s="38">
        <f>-AE$28/AVERAGE(HLOOKUP(X$5,'Receivables BACEN'!$6:$42,30,0),HLOOKUP(Y$5,'Receivables BACEN'!$6:$42,30,0),HLOOKUP(AA$5,'Receivables BACEN'!$6:$42,30,0),HLOOKUP(AC$5,'Receivables BACEN'!$6:$42,30,0),HLOOKUP(AE$5,'Receivables BACEN'!$6:$42,30,0))</f>
        <v>0.11754319187433267</v>
      </c>
      <c r="AF29" s="38">
        <f>-AF$28/AVERAGE(HLOOKUP(AE$5,'Receivables BACEN'!$6:$42,30,0),HLOOKUP(AF$5,'Receivables BACEN'!$6:$42,30,0))</f>
        <v>2.5814656483255618E-2</v>
      </c>
      <c r="AG29" s="38">
        <f>-AG$28/AVERAGE(HLOOKUP(AF$5,'Receivables BACEN'!$6:$42,30,0),HLOOKUP(AG$5,'Receivables BACEN'!$6:$42,30,0))</f>
        <v>3.0082703647063093E-2</v>
      </c>
      <c r="AH29" s="38">
        <f>-AH$28/AVERAGE(HLOOKUP(AE$5,'Receivables BACEN'!$6:$42,30,0),HLOOKUP(AF$5,'Receivables BACEN'!$6:$42,30,0),HLOOKUP(AH$5,'Receivables BACEN'!$6:$42,30,0))</f>
        <v>5.5083687234574068E-2</v>
      </c>
      <c r="AI29" s="38">
        <f>-AI$28/AVERAGE(HLOOKUP(AH$5,'Receivables BACEN'!$6:$42,30,0),HLOOKUP(AI$5,'Receivables BACEN'!$6:$42,30,0))</f>
        <v>2.9689704576917917E-2</v>
      </c>
      <c r="AJ29" s="38">
        <f>-AJ$28/AVERAGE(HLOOKUP(AE$5,'Receivables BACEN'!$6:$42,30,0),HLOOKUP(AF$5,'Receivables BACEN'!$6:$42,30,0),HLOOKUP(AH$5,'Receivables BACEN'!$6:$42,30,0),HLOOKUP(AJ$5,'Receivables BACEN'!$6:$42,30,0))</f>
        <v>8.4386109760189412E-2</v>
      </c>
      <c r="AK29" s="38">
        <f>-AK$28/AVERAGE(HLOOKUP(AJ$5,'Receivables BACEN'!$6:$42,30,0),HLOOKUP(AK$5,'Receivables BACEN'!$6:$42,30,0))</f>
        <v>2.731635938901544E-2</v>
      </c>
      <c r="AL29" s="38">
        <f>-AL$28/AVERAGE(HLOOKUP(AE$5,'Receivables BACEN'!$6:$42,30,0),HLOOKUP(AF$5,'Receivables BACEN'!$6:$42,30,0),HLOOKUP(AH$5,'Receivables BACEN'!$6:$42,30,0),HLOOKUP(AJ$5,'Receivables BACEN'!$6:$42,30,0),HLOOKUP(AL$5,'Receivables BACEN'!$6:$42,30,0))</f>
        <v>0.10920638735923355</v>
      </c>
      <c r="AM29" s="38">
        <f>-AM$28/AVERAGE(HLOOKUP(AL$5,'Receivables BACEN'!$6:$42,30,0),HLOOKUP(AM$5,'Receivables BACEN'!$6:$42,30,0))</f>
        <v>2.1916650185653041E-2</v>
      </c>
      <c r="AN29" s="38">
        <f>-AN$28/AVERAGE(HLOOKUP(AM$5,'Receivables BACEN'!$6:$42,30,0),HLOOKUP(AN$5,'Receivables BACEN'!$6:$42,30,0))</f>
        <v>2.618260497221734E-2</v>
      </c>
      <c r="AO29" s="38">
        <f>-AO$28/AVERAGE(HLOOKUP(AL$5,'Receivables BACEN'!$6:$42,30,0),HLOOKUP(AM$5,'Receivables BACEN'!$6:$42,30,0),HLOOKUP(AO$5,'Receivables BACEN'!$6:$42,30,0))</f>
        <v>4.7569057173054728E-2</v>
      </c>
      <c r="AP29" s="38">
        <f>-AP$28/AVERAGE(HLOOKUP(AO$5,'Receivables BACEN'!$6:$42,30,0),HLOOKUP(AP$5,'Receivables BACEN'!$6:$42,30,0))</f>
        <v>2.8390840861793849E-2</v>
      </c>
      <c r="AQ29" s="38">
        <f>-AQ$28/AVERAGE(HLOOKUP(AL$5,'Receivables BACEN'!$6:$42,30,0),HLOOKUP(AM$5,'Receivables BACEN'!$6:$42,30,0),HLOOKUP(AO$5,'Receivables BACEN'!$6:$42,30,0),HLOOKUP(AQ$5,'Receivables BACEN'!$6:$42,30,0))</f>
        <v>7.5794264312000523E-2</v>
      </c>
      <c r="AR29" s="38">
        <f>-AR$28/AVERAGE(HLOOKUP(AQ$5,'Receivables BACEN'!$6:$42,30,0),HLOOKUP(AR$5,'Receivables BACEN'!$6:$42,30,0))</f>
        <v>2.9562309658671723E-2</v>
      </c>
      <c r="AS29" s="38">
        <f>-AS$28/AVERAGE(HLOOKUP(AL$5,'Receivables BACEN'!$6:$42,30,0),HLOOKUP(AM$5,'Receivables BACEN'!$6:$42,30,0),HLOOKUP(AO$5,'Receivables BACEN'!$6:$42,30,0),HLOOKUP(AQ$5,'Receivables BACEN'!$6:$42,30,0),HLOOKUP(AS$5,'Receivables BACEN'!$6:$42,30,0))</f>
        <v>0.10366077336298399</v>
      </c>
      <c r="AT29" s="38">
        <f>-AT$28/AVERAGE(HLOOKUP(AS$5,'Receivables BACEN'!$6:$42,30,0),HLOOKUP(AT$5,'Receivables BACEN'!$6:$42,30,0))</f>
        <v>2.3395734236163399E-2</v>
      </c>
      <c r="AU29" s="38">
        <f>-AU$28/AVERAGE(HLOOKUP(AT$5,'Receivables BACEN'!$6:$42,30,0),HLOOKUP(AU$5,'Receivables BACEN'!$6:$42,30,0))</f>
        <v>2.5651925264233977E-2</v>
      </c>
      <c r="AV29" s="38">
        <f>-AV$28/AVERAGE(HLOOKUP(AS$5,'Receivables BACEN'!$6:$42,30,0),HLOOKUP(AT$5,'Receivables BACEN'!$6:$42,30,0),HLOOKUP(AV$5,'Receivables BACEN'!$6:$42,30,0))</f>
        <v>4.8385541556835061E-2</v>
      </c>
      <c r="AW29" s="38">
        <f>-AW$28/AVERAGE(HLOOKUP(AV$5,'Receivables BACEN'!$6:$42,30,0),HLOOKUP(AW$5,'Receivables BACEN'!$6:$42,30,0))</f>
        <v>2.3374708982200381E-2</v>
      </c>
      <c r="AX29" s="38">
        <f>-AX$28/AVERAGE(HLOOKUP(AS$5,'Receivables BACEN'!$6:$42,30,0),HLOOKUP(AT$5,'Receivables BACEN'!$6:$42,30,0),HLOOKUP(AV$5,'Receivables BACEN'!$6:$42,30,0),HLOOKUP(AX$5,'Receivables BACEN'!$6:$42,30,0))</f>
        <v>7.1989268455047231E-2</v>
      </c>
      <c r="AY29" s="38">
        <f>-AY$28/AVERAGE(HLOOKUP(AX$5,'Receivables BACEN'!$6:$42,30,0),HLOOKUP(AY$5,'Receivables BACEN'!$6:$42,30,0))</f>
        <v>2.5595933558512807E-2</v>
      </c>
      <c r="AZ29" s="38">
        <f>-AZ$28/AVERAGE(HLOOKUP(AS$5,'Receivables BACEN'!$6:$42,30,0),HLOOKUP(AT$5,'Receivables BACEN'!$6:$42,30,0),HLOOKUP(AV$5,'Receivables BACEN'!$6:$42,30,0),HLOOKUP(AX$5,'Receivables BACEN'!$6:$42,30,0),HLOOKUP(AZ$5,'Receivables BACEN'!$6:$42,30,0))</f>
        <v>9.6229391259979327E-2</v>
      </c>
      <c r="BA29" s="38">
        <f>-BA$28/AVERAGE(HLOOKUP(AZ$5,'Receivables BACEN'!$6:$42,30,0),HLOOKUP(BA$5,'Receivables BACEN'!$6:$42,30,0))</f>
        <v>2.3559709572177723E-2</v>
      </c>
      <c r="BB29" s="38">
        <f>-BB$28/AVERAGE(HLOOKUP(BA$5,'Receivables BACEN'!$6:$42,30,0),HLOOKUP(BB$5,'Receivables BACEN'!$6:$42,30,0))</f>
        <v>2.4506836150697313E-2</v>
      </c>
      <c r="BC29" s="38">
        <f>-BC$28/AVERAGE(HLOOKUP(AZ$5,'Receivables BACEN'!$6:$42,30,0),HLOOKUP(BA$5,'Receivables BACEN'!$6:$42,30,0),HLOOKUP(BC$5,'Receivables BACEN'!$6:$42,30,0))</f>
        <v>4.7296437073054517E-2</v>
      </c>
      <c r="BD29" s="38">
        <f>-BD$28/AVERAGE(HLOOKUP(BC$5,'Receivables BACEN'!$6:$42,30,0),HLOOKUP(BD$5,'Receivables BACEN'!$6:$42,30,0))</f>
        <v>2.4743023131738606E-2</v>
      </c>
      <c r="BE29" s="38">
        <f>-BE$28/AVERAGE(HLOOKUP(AZ$5,'Receivables BACEN'!$6:$42,30,0),HLOOKUP(BA$5,'Receivables BACEN'!$6:$42,30,0),HLOOKUP(BC$5,'Receivables BACEN'!$6:$42,30,0),HLOOKUP(BE$5,'Receivables BACEN'!$6:$42,30,0))</f>
        <v>7.2232633977315108E-2</v>
      </c>
      <c r="BF29" s="38">
        <f>-BF$28/AVERAGE(HLOOKUP(BE$5,'Receivables BACEN'!$6:$42,30,0),HLOOKUP(BF$5,'Receivables BACEN'!$6:$42,30,0))</f>
        <v>3.1246684165133022E-2</v>
      </c>
      <c r="BG29" s="38">
        <f>-BG$28/AVERAGE(HLOOKUP(AZ$5,'Receivables BACEN'!$6:$42,30,0),HLOOKUP(BA$5,'Receivables BACEN'!$6:$42,30,0),HLOOKUP(BC$5,'Receivables BACEN'!$6:$42,30,0),HLOOKUP(BE$5,'Receivables BACEN'!$6:$42,30,0),HLOOKUP(BG$5,'Receivables BACEN'!$6:$42,30,0))</f>
        <v>0.10195827734630461</v>
      </c>
      <c r="BH29" s="38">
        <f>-BH$28/AVERAGE(HLOOKUP(BG$5,'Receivables BACEN'!$6:$42,30,0),HLOOKUP(BH$5,'Receivables BACEN'!$6:$42,30,0))</f>
        <v>2.6820537557019321E-2</v>
      </c>
      <c r="BI29" s="38">
        <f>-BI$28/AVERAGE(HLOOKUP(BH$5,'Receivables BACEN'!$6:$42,30,0),HLOOKUP(BI$5,'Receivables BACEN'!$6:$42,30,0))</f>
        <v>3.1244758576562705E-2</v>
      </c>
      <c r="BJ29" s="38">
        <f>-BJ$28/AVERAGE(HLOOKUP(BG$5,'Receivables BACEN'!$6:$42,30,0),HLOOKUP(BH$5,'Receivables BACEN'!$6:$42,30,0),HLOOKUP(BJ$5,'Receivables BACEN'!$6:$42,30,0))</f>
        <v>5.7084798624014221E-2</v>
      </c>
      <c r="BK29" s="38">
        <f>-BK$28/AVERAGE(HLOOKUP(BJ$5,'Receivables BACEN'!$6:$42,30,0),HLOOKUP(BK$5,'Receivables BACEN'!$6:$42,30,0))</f>
        <v>3.1004439890052238E-2</v>
      </c>
      <c r="BL29" s="38">
        <f>-BL$28/AVERAGE(HLOOKUP(BG$5,'Receivables BACEN'!$6:$42,30,0),HLOOKUP(BH$5,'Receivables BACEN'!$6:$42,30,0),HLOOKUP(BJ$5,'Receivables BACEN'!$6:$42,30,0),HLOOKUP(BL$5,'Receivables BACEN'!$6:$42,30,0))</f>
        <v>8.8631642136953598E-2</v>
      </c>
      <c r="BM29" s="38">
        <f>-BM$28/AVERAGE(HLOOKUP(BL$5,'Receivables BACEN'!$6:$42,30,0),HLOOKUP(BM$5,'Receivables BACEN'!$6:$42,30,0))</f>
        <v>3.3445379318117315E-2</v>
      </c>
      <c r="BN29" s="38">
        <f>-BN$28/AVERAGE(HLOOKUP(BG$5,'Receivables BACEN'!$6:$42,30,0),HLOOKUP(BH$5,'Receivables BACEN'!$6:$42,30,0),HLOOKUP(BJ$5,'Receivables BACEN'!$6:$42,30,0),HLOOKUP(BL$5,'Receivables BACEN'!$6:$42,30,0),HLOOKUP(BN$5,'Receivables BACEN'!$6:$42,30,0))</f>
        <v>0.12034925735721318</v>
      </c>
      <c r="BO29" s="38">
        <f>-BO$28/AVERAGE(HLOOKUP(BN$5,'Receivables BACEN'!$6:$42,30,0),HLOOKUP(BO$5,'Receivables BACEN'!$6:$42,30,0))</f>
        <v>2.8219371819671647E-2</v>
      </c>
      <c r="BP29" s="38">
        <f>-BP$28/AVERAGE(HLOOKUP(BO$5,'Receivables BACEN'!$6:$42,30,0),HLOOKUP(BP$5,'Receivables BACEN'!$6:$42,30,0))</f>
        <v>3.357677941904591E-2</v>
      </c>
      <c r="BQ29" s="38">
        <f>-BQ$28/AVERAGE(HLOOKUP(BN$5,'Receivables BACEN'!$6:$42,30,0),HLOOKUP(BO$5,'Receivables BACEN'!$6:$42,30,0),HLOOKUP(BQ$5,'Receivables BACEN'!$6:$42,30,0))</f>
        <v>6.0999151928498217E-2</v>
      </c>
      <c r="BR29" s="38">
        <f>-BR$28/AVERAGE(HLOOKUP(BQ$5,'Receivables BACEN'!$6:$42,30,0),HLOOKUP(BR$5,'Receivables BACEN'!$6:$42,30,0))</f>
        <v>3.1780627339075662E-2</v>
      </c>
      <c r="BS29" s="38">
        <f>-BS$28/AVERAGE(HLOOKUP(BN$5,'Receivables BACEN'!$6:$42,30,0),HLOOKUP(BO$5,'Receivables BACEN'!$6:$42,30,0),HLOOKUP(BQ$5,'Receivables BACEN'!$6:$42,30,0),HLOOKUP(BS$5,'Receivables BACEN'!$6:$42,30,0))</f>
        <v>9.2763800505103799E-2</v>
      </c>
      <c r="BT29" s="38">
        <f>-BT$28/AVERAGE(HLOOKUP(BS$5,'Receivables BACEN'!$6:$42,30,0),HLOOKUP(BT$5,'Receivables BACEN'!$6:$42,30,0))</f>
        <v>3.1603006421705562E-2</v>
      </c>
      <c r="BU29" s="38">
        <f>-BU$28/AVERAGE(HLOOKUP(BN$5,'Receivables BACEN'!$6:$42,30,0),HLOOKUP(BO$5,'Receivables BACEN'!$6:$42,30,0),HLOOKUP(BQ$5,'Receivables BACEN'!$6:$42,30,0),HLOOKUP(BS$5,'Receivables BACEN'!$6:$42,30,0),HLOOKUP(BU$5,'Receivables BACEN'!$6:$42,30,0))</f>
        <v>0.12207101933870305</v>
      </c>
      <c r="BV29" s="38">
        <f>-BV$28/AVERAGE(HLOOKUP(BU$5,'Receivables BACEN'!$6:$42,30,0),HLOOKUP(BV$5,'Receivables BACEN'!$6:$42,30,0))</f>
        <v>2.4377245128690724E-2</v>
      </c>
      <c r="BW29" s="38">
        <f>-BW$28/AVERAGE(HLOOKUP(BV$5,'Receivables BACEN'!$6:$42,30,0),HLOOKUP(BW$5,'Receivables BACEN'!$6:$42,30,0))</f>
        <v>2.8844119470251721E-2</v>
      </c>
      <c r="BX29" s="38">
        <f>-BX$28/AVERAGE(HLOOKUP(BU$5,'Receivables BACEN'!$6:$42,30,0),HLOOKUP(BV$5,'Receivables BACEN'!$6:$42,30,0),HLOOKUP(BX$5,'Receivables BACEN'!$6:$42,30,0))</f>
        <v>5.2713024362499777E-2</v>
      </c>
      <c r="BY29" s="38">
        <f>-BY$28/AVERAGE(HLOOKUP(BX$5,'Receivables BACEN'!$6:$42,30,0),HLOOKUP(BY$5,'Receivables BACEN'!$6:$42,30,0))</f>
        <v>2.9035425907256596E-2</v>
      </c>
      <c r="BZ29" s="38">
        <f>-BZ$28/AVERAGE(HLOOKUP(BU$5,'Receivables BACEN'!$6:$42,30,0),HLOOKUP(BV$5,'Receivables BACEN'!$6:$42,30,0),HLOOKUP(BX$5,'Receivables BACEN'!$6:$42,30,0),HLOOKUP(BZ$5,'Receivables BACEN'!$6:$42,30,0))</f>
        <v>8.1424197682858745E-2</v>
      </c>
      <c r="CA29" s="38">
        <f>-CA$28/AVERAGE(HLOOKUP(BZ$5,'Receivables BACEN'!$6:$42,30,0),HLOOKUP(CA$5,'Receivables BACEN'!$6:$42,30,0))</f>
        <v>2.8977495625060599E-2</v>
      </c>
      <c r="CB29" s="38">
        <f>-CB$28/AVERAGE(HLOOKUP(BU$5,'Receivables BACEN'!$6:$42,30,0),HLOOKUP(BV$5,'Receivables BACEN'!$6:$42,30,0),HLOOKUP(BX$5,'Receivables BACEN'!$6:$42,30,0),HLOOKUP(BZ$5,'Receivables BACEN'!$6:$42,30,0),HLOOKUP(CB$5,'Receivables BACEN'!$6:$42,30,0))</f>
        <v>0.10926768343593261</v>
      </c>
      <c r="CC29" s="38">
        <f>-CC$28/AVERAGE(HLOOKUP(CB$5,'Receivables BACEN'!$6:$42,30,0),HLOOKUP(CC$5,'Receivables BACEN'!$6:$42,30,0))</f>
        <v>2.6154242774976015E-2</v>
      </c>
      <c r="CD29" s="38">
        <f>-CD$28/AVERAGE(HLOOKUP(CC$5,'Receivables BACEN'!$6:$42,30,0),HLOOKUP(CD$5,'Receivables BACEN'!$6:$42,30,0))</f>
        <v>2.5452062638177449E-2</v>
      </c>
      <c r="CE29" s="38">
        <f>-CE$28/AVERAGE(HLOOKUP(CB$5,'Receivables BACEN'!$6:$42,30,0),HLOOKUP(CC$5,'Receivables BACEN'!$6:$42,30,0),HLOOKUP(CE$5,'Receivables BACEN'!$6:$42,30,0))</f>
        <v>5.2160052135316631E-2</v>
      </c>
      <c r="CF29" s="38">
        <f>-CF$28/AVERAGE(HLOOKUP(CE$5,'Receivables BACEN'!$6:$42,30,0),HLOOKUP(CF$5,'Receivables BACEN'!$6:$42,30,0))</f>
        <v>3.327783131359309E-2</v>
      </c>
      <c r="CG29" s="38">
        <f>-CG$28/AVERAGE(HLOOKUP(CB$5,'Receivables BACEN'!$6:$42,30,0),HLOOKUP(CC$5,'Receivables BACEN'!$6:$42,30,0),HLOOKUP(CE$5,'Receivables BACEN'!$6:$42,30,0),HLOOKUP(CG$5,'Receivables BACEN'!$6:$42,30,0))</f>
        <v>8.3281876163921284E-2</v>
      </c>
      <c r="CH29" s="38">
        <f>-CH$28/AVERAGE(HLOOKUP(CG$5,'Receivables BACEN'!$6:$42,30,0),HLOOKUP(CH$5,'Receivables BACEN'!$6:$42,30,0))</f>
        <v>3.2411853802856334E-2</v>
      </c>
      <c r="CI29" s="38">
        <f>-CI$28/AVERAGE(HLOOKUP(CH$5,'Receivables BACEN'!$6:$42,30,0),HLOOKUP(CI$5,'Receivables BACEN'!$6:$42,30,0))</f>
        <v>2.9347731989200931E-2</v>
      </c>
      <c r="CJ29" s="38">
        <f>-CJ$28/AVERAGE(HLOOKUP(CI$5,'Receivables BACEN'!$6:$42,30,0),HLOOKUP(CJ$5,'Receivables BACEN'!$6:$42,30,0))</f>
        <v>2.7756812088086297E-2</v>
      </c>
      <c r="CK29" s="38">
        <f>-CK$28/AVERAGE(HLOOKUP(CJ$5,'Receivables BACEN'!$6:$42,30,0),HLOOKUP(CK$5,'Receivables BACEN'!$6:$42,30,0))</f>
        <v>3.0533935992978736E-2</v>
      </c>
      <c r="CL29" s="38">
        <f>-CL$28/AVERAGE(HLOOKUP(CI$5,'Receivables BACEN'!$6:$42,30,0),HLOOKUP(CJ$5,'Receivables BACEN'!$6:$42,30,0),HLOOKUP(CL$5,'Receivables BACEN'!$6:$42,30,0))</f>
        <v>5.7011179199789555E-2</v>
      </c>
      <c r="CM29" s="38">
        <f>-CM$28/AVERAGE(HLOOKUP(CL$5,'Receivables BACEN'!$6:$42,30,0),HLOOKUP(CM$5,'Receivables BACEN'!$6:$42,30,0))</f>
        <v>2.8488133321232772E-2</v>
      </c>
      <c r="CN29" s="38">
        <f>-CN$28/AVERAGE(HLOOKUP(CI$5,'Receivables BACEN'!$6:$42,30,0),HLOOKUP(CJ$5,'Receivables BACEN'!$6:$42,30,0),HLOOKUP(CL$5,'Receivables BACEN'!$6:$42,30,0),HLOOKUP(CN$5,'Receivables BACEN'!$6:$42,30,0))</f>
        <v>8.5052884161563952E-2</v>
      </c>
      <c r="CO29" s="38">
        <f>-CO$28/AVERAGE(HLOOKUP(CN$5,'Receivables BACEN'!$6:$42,30,0),HLOOKUP(CO$5,'Receivables BACEN'!$6:$42,30,0))</f>
        <v>2.6864397398351777E-2</v>
      </c>
      <c r="CP29" s="38">
        <f>-CP$28/AVERAGE(HLOOKUP(CI$5,'Receivables BACEN'!$6:$42,30,0),HLOOKUP(CJ$5,'Receivables BACEN'!$6:$42,30,0),HLOOKUP(CL$5,'Receivables BACEN'!$6:$42,30,0),HLOOKUP(CN$5,'Receivables BACEN'!$6:$42,30,0),HLOOKUP(CP$5,'Receivables BACEN'!$6:$42,30,0))</f>
        <v>0.10962281676954205</v>
      </c>
      <c r="CQ29" s="38">
        <f>-CQ$28/AVERAGE(HLOOKUP(CP$5,'Estimated Credit Losses IFRS'!6:16,10,0),HLOOKUP(CQ$5,'Estimated Credit Losses IFRS'!6:16,10,0))</f>
        <v>2.3407205413216337E-2</v>
      </c>
      <c r="CR29" s="64">
        <f>-CR$28/AVERAGE(HLOOKUP(CQ$5,'Estimated Credit Losses IFRS'!6:16,10,0),HLOOKUP(CR$5,'Estimated Credit Losses IFRS'!6:16,10,0))</f>
        <v>2.4863995378847051E-2</v>
      </c>
      <c r="CS29" s="64">
        <f>-CS$28/AVERAGE(HLOOKUP(CP$5,'Estimated Credit Losses IFRS'!6:16,10,0),HLOOKUP(CQ$5,'Estimated Credit Losses IFRS'!6:16,10,0),HLOOKUP(CS$5,'Estimated Credit Losses IFRS'!6:16,10,0))</f>
        <v>4.7971959624997625E-2</v>
      </c>
      <c r="CT29" s="64">
        <f>-CT$28/AVERAGE(HLOOKUP(CS$5,'Estimated Credit Losses IFRS'!6:16,10,0),HLOOKUP(CT$5,'Estimated Credit Losses IFRS'!6:16,10,0))</f>
        <v>2.0082986361145812E-2</v>
      </c>
      <c r="CU29" s="64">
        <f>-CU$28/AVERAGE(HLOOKUP(CP$5,'Estimated Credit Losses IFRS'!6:16,10,0),HLOOKUP(CQ$5,'Estimated Credit Losses IFRS'!6:16,10,0),HLOOKUP(CS$5,'Estimated Credit Losses IFRS'!6:16,10,0),HLOOKUP(CU$5,'Estimated Credit Losses IFRS'!6:16,10,0))</f>
        <v>6.8098142042353788E-2</v>
      </c>
      <c r="CV29" s="64">
        <f>-CV$28/AVERAGE(HLOOKUP(CU$5,'Estimated Credit Losses IFRS'!6:16,10,0),HLOOKUP(CV$5,'Estimated Credit Losses IFRS'!6:16,10,0))</f>
        <v>2.5997655711762865E-2</v>
      </c>
      <c r="CW29" s="64">
        <f>-CW$28/AVERAGE(HLOOKUP(CP$5,'Estimated Credit Losses IFRS'!6:16,10,0),HLOOKUP(CQ$5,'Estimated Credit Losses IFRS'!6:16,10,0),HLOOKUP(CS$5,'Estimated Credit Losses IFRS'!6:16,10,0),HLOOKUP(CU$5,'Estimated Credit Losses IFRS'!6:16,10,0),HLOOKUP(CW$5,'Estimated Credit Losses IFRS'!6:16,10,0))</f>
        <v>9.3892032899830238E-2</v>
      </c>
      <c r="CX29" s="38">
        <f>-CX$28/AVERAGE(HLOOKUP(CW$5,'Estimated Credit Losses IFRS'!6:16,10,0),HLOOKUP(CX$5,'Estimated Credit Losses IFRS'!6:16,10,0))</f>
        <v>2.1117451311828087E-2</v>
      </c>
      <c r="CY29" s="64">
        <f>-CY$28/AVERAGE(HLOOKUP(CX$5,'Estimated Credit Losses IFRS'!6:16,10,0),HLOOKUP(CY$5,'Estimated Credit Losses IFRS'!6:16,10,0))</f>
        <v>2.3574152013851782E-2</v>
      </c>
      <c r="CZ29" s="64">
        <f>-CZ$28/AVERAGE(HLOOKUP(CW$5,'Estimated Credit Losses IFRS'!6:16,10,0),HLOOKUP(CX$5,'Estimated Credit Losses IFRS'!6:16,10,0),HLOOKUP(CZ$5,'Estimated Credit Losses IFRS'!6:16,10,0))</f>
        <v>4.4540632722255877E-2</v>
      </c>
      <c r="DA29" s="64">
        <f>-DA$28/AVERAGE(HLOOKUP(CZ$5,'Estimated Credit Losses IFRS'!6:16,10,0),HLOOKUP(DA$5,'Estimated Credit Losses IFRS'!6:16,10,0))</f>
        <v>2.3294751947765542E-2</v>
      </c>
      <c r="DB29" s="64">
        <f>-DB$28/AVERAGE(HLOOKUP(CW$5,'Estimated Credit Losses IFRS'!6:16,10,0),HLOOKUP(CX$5,'Estimated Credit Losses IFRS'!6:16,10,0),HLOOKUP(CZ$5,'Estimated Credit Losses IFRS'!6:16,10,0),HLOOKUP(DB$5,'Estimated Credit Losses IFRS'!6:16,10,0))</f>
        <v>6.8127605462430726E-2</v>
      </c>
      <c r="DC29" s="64">
        <f>-DC$28/AVERAGE(HLOOKUP(DB$5,'Estimated Credit Losses IFRS'!6:16,10,0),HLOOKUP(DC$5,'Estimated Credit Losses IFRS'!6:16,10,0))</f>
        <v>2.8294462326557968E-2</v>
      </c>
      <c r="DD29" s="64">
        <f>-DD$28/AVERAGE(HLOOKUP(CW$5,'Estimated Credit Losses IFRS'!6:16,10,0),HLOOKUP(CX$5,'Estimated Credit Losses IFRS'!6:16,10,0),HLOOKUP(CZ$5,'Estimated Credit Losses IFRS'!6:16,10,0),HLOOKUP(DB$5,'Estimated Credit Losses IFRS'!6:16,10,0),HLOOKUP(DD$5,'Estimated Credit Losses IFRS'!6:16,10,0))</f>
        <v>9.564441973649479E-2</v>
      </c>
      <c r="DE29" s="38">
        <f>-DE$28/AVERAGE(HLOOKUP(DD$5,'Estimated Credit Losses IFRS'!6:16,10,0),HLOOKUP(DE$5,'Estimated Credit Losses IFRS'!6:16,10,0))</f>
        <v>2.5359078948360488E-2</v>
      </c>
      <c r="DF29" s="64">
        <f>-DF$28/AVERAGE(HLOOKUP(DE$5,'Estimated Credit Losses IFRS'!6:16,10,0),HLOOKUP(DF$5,'Estimated Credit Losses IFRS'!6:16,10,0))</f>
        <v>2.3844276077605045E-2</v>
      </c>
      <c r="DG29" s="64">
        <f>-DG$28/AVERAGE(HLOOKUP(DD$5,'Estimated Credit Losses IFRS'!6:16,10,0),HLOOKUP(DE$5,'Estimated Credit Losses IFRS'!6:16,10,0),HLOOKUP(DG$5,'Estimated Credit Losses IFRS'!6:16,10,0))</f>
        <v>4.8889517921376087E-2</v>
      </c>
      <c r="DH29" s="64">
        <f>-DH$28/AVERAGE(HLOOKUP(DG$5,'Estimated Credit Losses IFRS'!6:16,10,0),HLOOKUP(DH$5,'Estimated Credit Losses IFRS'!6:16,10,0))</f>
        <v>2.4914375284621832E-2</v>
      </c>
      <c r="DI29" s="64">
        <f>-DI$28/AVERAGE(HLOOKUP(DD$5,'Estimated Credit Losses IFRS'!6:16,10,0),HLOOKUP(DE$5,'Estimated Credit Losses IFRS'!6:16,10,0),HLOOKUP(DG$5,'Estimated Credit Losses IFRS'!6:16,10,0),HLOOKUP(DI$5,'Estimated Credit Losses IFRS'!6:16,10,0))</f>
        <v>7.3749176751623124E-2</v>
      </c>
      <c r="DJ29" s="64">
        <f>-DJ$28/AVERAGE(HLOOKUP(DI$5,'Estimated Credit Losses IFRS'!6:16,10,0),HLOOKUP(DJ$5,'Estimated Credit Losses IFRS'!6:16,10,0))</f>
        <v>2.8244148593197883E-2</v>
      </c>
      <c r="DK29" s="64">
        <f>-DK$28/AVERAGE(HLOOKUP(DD$5,'Estimated Credit Losses IFRS'!6:16,10,0),HLOOKUP(DE$5,'Estimated Credit Losses IFRS'!6:16,10,0),HLOOKUP(DG$5,'Estimated Credit Losses IFRS'!6:16,10,0),HLOOKUP(DI$5,'Estimated Credit Losses IFRS'!6:16,10,0),HLOOKUP(DK$5,'Estimated Credit Losses IFRS'!6:16,10,0))</f>
        <v>0.10134288785514134</v>
      </c>
      <c r="DL29" s="64">
        <f>-DL$28/AVERAGE(HLOOKUP(DK$5,'Estimated Credit Losses IFRS'!6:16,10,0),HLOOKUP(DL$5,'Estimated Credit Losses IFRS'!6:16,10,0))</f>
        <v>2.2115007511077547E-2</v>
      </c>
      <c r="DM29" s="64">
        <f>-DM$28/AVERAGE(HLOOKUP(DL$5,'Estimated Credit Losses IFRS'!6:16,10,0),HLOOKUP(DM$5,'Estimated Credit Losses IFRS'!6:16,10,0))</f>
        <v>2.3025183019121657E-2</v>
      </c>
      <c r="DN29" s="64">
        <f>-DN$28/AVERAGE(HLOOKUP(DK$5,'Estimated Credit Losses IFRS'!6:16,10,0),HLOOKUP(DL$5,'Estimated Credit Losses IFRS'!6:16,10,0),HLOOKUP(DN$5,'Estimated Credit Losses IFRS'!6:16,10,0))</f>
        <v>4.486980782278998E-2</v>
      </c>
      <c r="DO29" s="64">
        <f>-DO$28/AVERAGE(HLOOKUP(DN$5,'Estimated Credit Losses IFRS'!6:16,10,0),HLOOKUP(DO$5,'Estimated Credit Losses IFRS'!6:16,10,0))</f>
        <v>2.2833417205993422E-2</v>
      </c>
      <c r="DP29" s="38">
        <f>-DP$28/AVERAGE(HLOOKUP(DM$5,'Estimated Credit Losses IFRS'!6:16,10,0),HLOOKUP(DN$5,'Estimated Credit Losses IFRS'!6:16,10,0),HLOOKUP(DP$5,'Estimated Credit Losses IFRS'!6:16,10,0))</f>
        <v>6.6217730712838763E-2</v>
      </c>
      <c r="DQ29" s="64">
        <f>-DQ$28/AVERAGE(HLOOKUP(DP$5,'Estimated Credit Losses IFRS'!6:16,10,0),HLOOKUP(DQ$5,'Estimated Credit Losses IFRS'!6:16,10,0))</f>
        <v>2.6699650418161962E-2</v>
      </c>
      <c r="DR29" s="38">
        <f>-DR$28/AVERAGE(HLOOKUP(DO$5,'Estimated Credit Losses IFRS'!6:16,10,0),HLOOKUP(DP$5,'Estimated Credit Losses IFRS'!6:16,10,0),HLOOKUP(DR$5,'Estimated Credit Losses IFRS'!6:16,10,0))</f>
        <v>9.2393012469082089E-2</v>
      </c>
      <c r="DS29" s="64">
        <f>-DS$28/AVERAGE(HLOOKUP(DR$5,'Estimated Credit Losses IFRS'!6:16,10,0),HLOOKUP(DS$5,'Estimated Credit Losses IFRS'!6:16,10,0))</f>
        <v>2.1054358404309456E-2</v>
      </c>
      <c r="DT29" s="64">
        <f>-DT$28/AVERAGE(HLOOKUP(DS$5,'Estimated Credit Losses IFRS'!6:16,10,0),HLOOKUP(DT$5,'Estimated Credit Losses IFRS'!6:16,10,0))</f>
        <v>2.37431551050316E-2</v>
      </c>
      <c r="DU29" s="64">
        <f>-DU$28/AVERAGE(HLOOKUP(DR$5,'Estimated Credit Losses IFRS'!6:16,10,0),HLOOKUP(DS$5,'Estimated Credit Losses IFRS'!6:16,10,0),HLOOKUP(DU$5,'Estimated Credit Losses IFRS'!6:16,10,0))</f>
        <v>4.4575168297423938E-2</v>
      </c>
    </row>
    <row r="30" spans="1:125" ht="16.350000000000001" customHeight="1">
      <c r="A30" s="155"/>
      <c r="B30" s="170" t="s">
        <v>386</v>
      </c>
      <c r="C30" s="170" t="s">
        <v>384</v>
      </c>
      <c r="D30" s="163">
        <f t="shared" ref="D30:AI30" si="26">D13+D21+D20+D28</f>
        <v>20088</v>
      </c>
      <c r="E30" s="163">
        <f t="shared" si="26"/>
        <v>9072</v>
      </c>
      <c r="F30" s="163">
        <f t="shared" si="26"/>
        <v>29160</v>
      </c>
      <c r="G30" s="163">
        <f t="shared" si="26"/>
        <v>19152</v>
      </c>
      <c r="H30" s="163">
        <f t="shared" si="26"/>
        <v>48312</v>
      </c>
      <c r="I30" s="163">
        <f t="shared" si="26"/>
        <v>19264.771999999997</v>
      </c>
      <c r="J30" s="163">
        <f t="shared" si="26"/>
        <v>67576.771999999997</v>
      </c>
      <c r="K30" s="163">
        <f t="shared" si="26"/>
        <v>26322</v>
      </c>
      <c r="L30" s="163">
        <f t="shared" si="26"/>
        <v>24738</v>
      </c>
      <c r="M30" s="163">
        <f t="shared" si="26"/>
        <v>51060</v>
      </c>
      <c r="N30" s="163">
        <f t="shared" si="26"/>
        <v>36489</v>
      </c>
      <c r="O30" s="163">
        <f t="shared" si="26"/>
        <v>87549</v>
      </c>
      <c r="P30" s="163">
        <f t="shared" si="26"/>
        <v>33493</v>
      </c>
      <c r="Q30" s="163">
        <f t="shared" si="26"/>
        <v>121044</v>
      </c>
      <c r="R30" s="163">
        <f t="shared" si="26"/>
        <v>38467</v>
      </c>
      <c r="S30" s="163">
        <f t="shared" si="26"/>
        <v>32149</v>
      </c>
      <c r="T30" s="163">
        <f t="shared" si="26"/>
        <v>70616</v>
      </c>
      <c r="U30" s="163">
        <f t="shared" si="26"/>
        <v>33968.675000000003</v>
      </c>
      <c r="V30" s="163">
        <f t="shared" si="26"/>
        <v>-51563.324999999997</v>
      </c>
      <c r="W30" s="163">
        <f t="shared" si="26"/>
        <v>20488</v>
      </c>
      <c r="X30" s="163">
        <f t="shared" si="26"/>
        <v>81918.675000000003</v>
      </c>
      <c r="Y30" s="163">
        <f t="shared" si="26"/>
        <v>40904</v>
      </c>
      <c r="Z30" s="163">
        <f t="shared" si="26"/>
        <v>32256</v>
      </c>
      <c r="AA30" s="163">
        <f t="shared" si="26"/>
        <v>73160</v>
      </c>
      <c r="AB30" s="163">
        <f t="shared" si="26"/>
        <v>32256</v>
      </c>
      <c r="AC30" s="163">
        <f t="shared" si="26"/>
        <v>93975</v>
      </c>
      <c r="AD30" s="163">
        <f t="shared" si="26"/>
        <v>32713</v>
      </c>
      <c r="AE30" s="163">
        <f t="shared" si="26"/>
        <v>148477</v>
      </c>
      <c r="AF30" s="163">
        <f t="shared" si="26"/>
        <v>47566</v>
      </c>
      <c r="AG30" s="163">
        <f t="shared" si="26"/>
        <v>41144</v>
      </c>
      <c r="AH30" s="163">
        <f t="shared" si="26"/>
        <v>88710</v>
      </c>
      <c r="AI30" s="163">
        <f t="shared" si="26"/>
        <v>45018.3</v>
      </c>
      <c r="AJ30" s="163">
        <f t="shared" ref="AJ30:BO30" si="27">AJ13+AJ21+AJ20+AJ28</f>
        <v>133728.29999999999</v>
      </c>
      <c r="AK30" s="163">
        <f t="shared" si="27"/>
        <v>40125.39999999998</v>
      </c>
      <c r="AL30" s="163">
        <f t="shared" si="27"/>
        <v>173853.10000000003</v>
      </c>
      <c r="AM30" s="163">
        <f t="shared" si="27"/>
        <v>61416.800000000003</v>
      </c>
      <c r="AN30" s="163">
        <f t="shared" si="27"/>
        <v>52392</v>
      </c>
      <c r="AO30" s="163">
        <f t="shared" si="27"/>
        <v>113808.80000000005</v>
      </c>
      <c r="AP30" s="163">
        <f t="shared" si="27"/>
        <v>61682.58</v>
      </c>
      <c r="AQ30" s="163">
        <f t="shared" si="27"/>
        <v>175491.38</v>
      </c>
      <c r="AR30" s="163">
        <f t="shared" si="27"/>
        <v>42066.41</v>
      </c>
      <c r="AS30" s="163">
        <f t="shared" si="27"/>
        <v>217557.78999999998</v>
      </c>
      <c r="AT30" s="163">
        <f t="shared" si="27"/>
        <v>68102.680000000008</v>
      </c>
      <c r="AU30" s="163">
        <f t="shared" si="27"/>
        <v>53972</v>
      </c>
      <c r="AV30" s="163">
        <f t="shared" si="27"/>
        <v>122074.67999999998</v>
      </c>
      <c r="AW30" s="163">
        <f t="shared" si="27"/>
        <v>47874.338489999995</v>
      </c>
      <c r="AX30" s="163">
        <f t="shared" si="27"/>
        <v>169949.01848999999</v>
      </c>
      <c r="AY30" s="163">
        <f t="shared" si="27"/>
        <v>38442.419059622</v>
      </c>
      <c r="AZ30" s="163">
        <f t="shared" si="27"/>
        <v>208389.35554679984</v>
      </c>
      <c r="BA30" s="163">
        <f t="shared" si="27"/>
        <v>68835</v>
      </c>
      <c r="BB30" s="163">
        <f t="shared" si="27"/>
        <v>54243</v>
      </c>
      <c r="BC30" s="163">
        <f t="shared" si="27"/>
        <v>123078</v>
      </c>
      <c r="BD30" s="163">
        <f t="shared" si="27"/>
        <v>65335</v>
      </c>
      <c r="BE30" s="163">
        <f t="shared" si="27"/>
        <v>188413</v>
      </c>
      <c r="BF30" s="163">
        <f t="shared" si="27"/>
        <v>62855</v>
      </c>
      <c r="BG30" s="163">
        <f t="shared" si="27"/>
        <v>251265</v>
      </c>
      <c r="BH30" s="163">
        <f t="shared" si="27"/>
        <v>79058</v>
      </c>
      <c r="BI30" s="163">
        <f t="shared" si="27"/>
        <v>78988</v>
      </c>
      <c r="BJ30" s="163">
        <f t="shared" si="27"/>
        <v>158046</v>
      </c>
      <c r="BK30" s="163">
        <f t="shared" si="27"/>
        <v>97820.465830000001</v>
      </c>
      <c r="BL30" s="163">
        <f t="shared" si="27"/>
        <v>255866.46583</v>
      </c>
      <c r="BM30" s="163">
        <f t="shared" si="27"/>
        <v>75725.829060000018</v>
      </c>
      <c r="BN30" s="163">
        <f t="shared" si="27"/>
        <v>331592.29489000002</v>
      </c>
      <c r="BO30" s="163">
        <f t="shared" si="27"/>
        <v>102786</v>
      </c>
      <c r="BP30" s="163">
        <f t="shared" ref="BP30:CI30" si="28">BP13+BP21+BP20+BP28</f>
        <v>81311</v>
      </c>
      <c r="BQ30" s="163">
        <f t="shared" si="28"/>
        <v>184097</v>
      </c>
      <c r="BR30" s="163">
        <f t="shared" si="28"/>
        <v>86619.356740000105</v>
      </c>
      <c r="BS30" s="163">
        <f t="shared" si="28"/>
        <v>270716.35674000019</v>
      </c>
      <c r="BT30" s="163">
        <f t="shared" si="28"/>
        <v>78713.781470000511</v>
      </c>
      <c r="BU30" s="163">
        <f t="shared" si="28"/>
        <v>349430.13821000047</v>
      </c>
      <c r="BV30" s="163">
        <f t="shared" si="28"/>
        <v>97835.150000000023</v>
      </c>
      <c r="BW30" s="163">
        <f t="shared" si="28"/>
        <v>91415.538280000037</v>
      </c>
      <c r="BX30" s="163">
        <f t="shared" si="28"/>
        <v>189250.68828000003</v>
      </c>
      <c r="BY30" s="163">
        <f t="shared" si="28"/>
        <v>103502.75317000004</v>
      </c>
      <c r="BZ30" s="163">
        <f t="shared" si="28"/>
        <v>292753.44145000004</v>
      </c>
      <c r="CA30" s="163">
        <f t="shared" si="28"/>
        <v>99675.346877429896</v>
      </c>
      <c r="CB30" s="163">
        <f t="shared" si="28"/>
        <v>392428.78832742979</v>
      </c>
      <c r="CC30" s="163">
        <f t="shared" si="28"/>
        <v>20913.298009999999</v>
      </c>
      <c r="CD30" s="163">
        <f t="shared" si="28"/>
        <v>53052.874290000007</v>
      </c>
      <c r="CE30" s="163">
        <f t="shared" si="28"/>
        <v>73966.172300000035</v>
      </c>
      <c r="CF30" s="163">
        <f t="shared" si="28"/>
        <v>-50827.555519999994</v>
      </c>
      <c r="CG30" s="163">
        <f t="shared" si="28"/>
        <v>23138.616779999982</v>
      </c>
      <c r="CH30" s="163">
        <f t="shared" si="28"/>
        <v>59843.070099999983</v>
      </c>
      <c r="CI30" s="163">
        <f t="shared" si="28"/>
        <v>59843.070099999983</v>
      </c>
      <c r="CJ30" s="163">
        <f t="shared" ref="CJ30:DS30" si="29">CJ13+CJ21+CJ28</f>
        <v>69623</v>
      </c>
      <c r="CK30" s="163">
        <f t="shared" si="29"/>
        <v>51883</v>
      </c>
      <c r="CL30" s="163">
        <f t="shared" si="29"/>
        <v>121506</v>
      </c>
      <c r="CM30" s="163">
        <f t="shared" si="29"/>
        <v>74517</v>
      </c>
      <c r="CN30" s="163">
        <f t="shared" si="29"/>
        <v>196023</v>
      </c>
      <c r="CO30" s="163">
        <f t="shared" si="29"/>
        <v>51552</v>
      </c>
      <c r="CP30" s="163">
        <f t="shared" si="29"/>
        <v>247575</v>
      </c>
      <c r="CQ30" s="163">
        <f t="shared" si="29"/>
        <v>85211</v>
      </c>
      <c r="CR30" s="163">
        <f t="shared" si="29"/>
        <v>11934</v>
      </c>
      <c r="CS30" s="163">
        <f t="shared" si="29"/>
        <v>97145</v>
      </c>
      <c r="CT30" s="163">
        <f t="shared" si="29"/>
        <v>19024</v>
      </c>
      <c r="CU30" s="163">
        <f t="shared" si="29"/>
        <v>116169</v>
      </c>
      <c r="CV30" s="163">
        <f t="shared" si="29"/>
        <v>-34649</v>
      </c>
      <c r="CW30" s="163">
        <f t="shared" si="29"/>
        <v>81520</v>
      </c>
      <c r="CX30" s="163">
        <f t="shared" si="29"/>
        <v>-10321.067740000057</v>
      </c>
      <c r="CY30" s="163">
        <f t="shared" si="29"/>
        <v>-53690.131399999984</v>
      </c>
      <c r="CZ30" s="163">
        <f t="shared" si="29"/>
        <v>-64011.199140000041</v>
      </c>
      <c r="DA30" s="163">
        <f t="shared" si="29"/>
        <v>-35052.713339999988</v>
      </c>
      <c r="DB30" s="163">
        <f t="shared" si="29"/>
        <v>-99063.912480000057</v>
      </c>
      <c r="DC30" s="163">
        <f t="shared" si="29"/>
        <v>3192.4346199999563</v>
      </c>
      <c r="DD30" s="163">
        <f t="shared" si="29"/>
        <v>-95871.477860000101</v>
      </c>
      <c r="DE30" s="163">
        <f t="shared" si="29"/>
        <v>13402</v>
      </c>
      <c r="DF30" s="163">
        <f t="shared" si="29"/>
        <v>34761</v>
      </c>
      <c r="DG30" s="163">
        <f t="shared" si="29"/>
        <v>48163</v>
      </c>
      <c r="DH30" s="163">
        <f t="shared" si="29"/>
        <v>58310.295239999919</v>
      </c>
      <c r="DI30" s="163">
        <f t="shared" si="29"/>
        <v>106473.29524000001</v>
      </c>
      <c r="DJ30" s="163">
        <f t="shared" si="29"/>
        <v>61382</v>
      </c>
      <c r="DK30" s="163">
        <f t="shared" si="29"/>
        <v>167855.29524000001</v>
      </c>
      <c r="DL30" s="163">
        <f t="shared" si="29"/>
        <v>190464.13071999993</v>
      </c>
      <c r="DM30" s="163">
        <f t="shared" si="29"/>
        <v>118452.61184999999</v>
      </c>
      <c r="DN30" s="163">
        <f t="shared" si="29"/>
        <v>308916.74256999989</v>
      </c>
      <c r="DO30" s="163">
        <f t="shared" si="29"/>
        <v>79811.877669999958</v>
      </c>
      <c r="DP30" s="163">
        <f t="shared" si="29"/>
        <v>388728.62023999973</v>
      </c>
      <c r="DQ30" s="163">
        <f t="shared" si="29"/>
        <v>63644</v>
      </c>
      <c r="DR30" s="163">
        <f t="shared" si="29"/>
        <v>452372.62023999973</v>
      </c>
      <c r="DS30" s="163">
        <f t="shared" si="29"/>
        <v>122945</v>
      </c>
      <c r="DT30" s="163">
        <f t="shared" ref="DT30:DU30" si="30">DT13+DT21+DT28</f>
        <v>53480</v>
      </c>
      <c r="DU30" s="163">
        <f t="shared" si="30"/>
        <v>176425</v>
      </c>
    </row>
    <row r="31" spans="1:125" ht="16.350000000000001" customHeight="1">
      <c r="A31" s="155"/>
      <c r="B31" s="171" t="s">
        <v>1487</v>
      </c>
      <c r="C31" s="171" t="s">
        <v>1482</v>
      </c>
      <c r="D31" s="29">
        <f>D$30/AVERAGE(HLOOKUP(C$5,'Receivables BACEN'!$6:$42,30,0),HLOOKUP(D$5,'Receivables BACEN'!$6:$42,30,0))</f>
        <v>3.4510542310976271E-2</v>
      </c>
      <c r="E31" s="29">
        <f>E$30/AVERAGE(HLOOKUP(D$5,'Receivables BACEN'!$6:$42,30,0),HLOOKUP(E$5,'Receivables BACEN'!$6:$42,30,0))</f>
        <v>1.686203041373497E-2</v>
      </c>
      <c r="F31" s="29">
        <f>F$30/AVERAGE(HLOOKUP(C$5,'Receivables BACEN'!$6:$42,30,0),HLOOKUP(D$5,'Receivables BACEN'!$6:$42,30,0),HLOOKUP(F$5,'Receivables BACEN'!$6:$42,30,0))</f>
        <v>5.0746933604354907E-2</v>
      </c>
      <c r="G31" s="29">
        <f>G$30/AVERAGE(HLOOKUP(F$5,'Receivables BACEN'!$6:$42,30,0),HLOOKUP(G$5,'Receivables BACEN'!$6:$42,30,0))</f>
        <v>3.5741112076341765E-2</v>
      </c>
      <c r="H31" s="29">
        <f>H$30/AVERAGE(HLOOKUP(C$5,'Receivables BACEN'!$6:$42,30,0),HLOOKUP(D$5,'Receivables BACEN'!$6:$42,30,0),HLOOKUP(F$5,'Receivables BACEN'!$6:$42,30,0),HLOOKUP(H$5,'Receivables BACEN'!$6:$42,30,0))</f>
        <v>8.6430669362705312E-2</v>
      </c>
      <c r="I31" s="29">
        <f>I$30/AVERAGE(HLOOKUP(H$5,'Receivables BACEN'!$6:$42,30,0),HLOOKUP(I$5,'Receivables BACEN'!$6:$42,30,0))</f>
        <v>3.2154309128994293E-2</v>
      </c>
      <c r="J31" s="29">
        <f>J$30/AVERAGE(HLOOKUP(C$5,'Receivables BACEN'!$6:$42,30,0),HLOOKUP(D$5,'Receivables BACEN'!$6:$42,30,0),HLOOKUP(F$5,'Receivables BACEN'!$6:$42,30,0),HLOOKUP(H$5,'Receivables BACEN'!$6:$42,30,0),HLOOKUP(J$5,'Receivables BACEN'!$6:$42,30,0))</f>
        <v>0.11562977949555768</v>
      </c>
      <c r="K31" s="29">
        <f>K$30/AVERAGE(HLOOKUP(J$5,'Receivables BACEN'!$6:$42,30,0),HLOOKUP(K$5,'Receivables BACEN'!$6:$42,30,0))</f>
        <v>4.2052323366103005E-2</v>
      </c>
      <c r="L31" s="29">
        <f>L$30/AVERAGE(HLOOKUP(K$5,'Receivables BACEN'!$6:$42,30,0),HLOOKUP(L$5,'Receivables BACEN'!$6:$42,30,0))</f>
        <v>4.2190106183038686E-2</v>
      </c>
      <c r="M31" s="29">
        <f>M$30/AVERAGE(HLOOKUP(J$5,'Receivables BACEN'!$6:$42,30,0),HLOOKUP(K$5,'Receivables BACEN'!$6:$42,30,0),HLOOKUP(M$5,'Receivables BACEN'!$6:$42,30,0))</f>
        <v>8.2401931856754693E-2</v>
      </c>
      <c r="N31" s="29">
        <f>N$30/AVERAGE(HLOOKUP(M$5,'Receivables BACEN'!$6:$42,30,0),HLOOKUP(N$5,'Receivables BACEN'!$6:$42,30,0))</f>
        <v>6.2358049945911584E-2</v>
      </c>
      <c r="O31" s="29">
        <f>O$30/AVERAGE(HLOOKUP(J$5,'Receivables BACEN'!$6:$42,30,0),HLOOKUP(K$5,'Receivables BACEN'!$6:$42,30,0),HLOOKUP(M$5,'Receivables BACEN'!$6:$42,30,0),HLOOKUP(O$5,'Receivables BACEN'!$6:$42,30,0))</f>
        <v>0.14457914890542592</v>
      </c>
      <c r="P31" s="29">
        <f>P$30/AVERAGE(HLOOKUP(O$5,'Receivables BACEN'!$6:$42,30,0),HLOOKUP(P$5,'Receivables BACEN'!$6:$42,30,0))</f>
        <v>5.193260684847395E-2</v>
      </c>
      <c r="Q31" s="29">
        <f>Q$30/AVERAGE(HLOOKUP(J$5,'Receivables BACEN'!$6:$42,30,0),HLOOKUP(K$5,'Receivables BACEN'!$6:$42,30,0),HLOOKUP(M$5,'Receivables BACEN'!$6:$42,30,0),HLOOKUP(O$5,'Receivables BACEN'!$6:$42,30,0),HLOOKUP(Q$5,'Receivables BACEN'!$6:$42,30,0))</f>
        <v>0.19220649383686045</v>
      </c>
      <c r="R31" s="29">
        <f>R$30/AVERAGE(HLOOKUP(Q$5,'Receivables BACEN'!$6:$42,30,0),HLOOKUP(R$5,'Receivables BACEN'!$6:$42,30,0))</f>
        <v>5.7445671003428789E-2</v>
      </c>
      <c r="S31" s="29">
        <f>S$30/AVERAGE(HLOOKUP(R$5,'Receivables BACEN'!$6:$42,30,0),HLOOKUP(S$5,'Receivables BACEN'!$6:$42,30,0))</f>
        <v>5.0603483013070744E-2</v>
      </c>
      <c r="T31" s="29">
        <f>T$30/AVERAGE(HLOOKUP(Q$5,'Receivables BACEN'!$6:$42,30,0),HLOOKUP(R$5,'Receivables BACEN'!$6:$42,30,0),HLOOKUP(T$5,'Receivables BACEN'!$6:$42,30,0))</f>
        <v>0.10606984603830266</v>
      </c>
      <c r="U31" s="29">
        <f>U$30/AVERAGE(HLOOKUP(T$5,'Receivables BACEN'!$6:$42,30,0),HLOOKUP(U$5,'Receivables BACEN'!$6:$42,30,0))</f>
        <v>5.4176212732464812E-2</v>
      </c>
      <c r="V31" s="29">
        <f>V$30/AVERAGE(HLOOKUP(Q$5,'Receivables BACEN'!$6:$42,30,0),HLOOKUP(R$5,'Receivables BACEN'!$6:$42,30,0),HLOOKUP(T$5,'Receivables BACEN'!$6:$42,30,0),HLOOKUP(V$5,'Receivables BACEN'!$6:$42,30,0))</f>
        <v>-7.9534523215032835E-2</v>
      </c>
      <c r="W31" s="29">
        <f>W$30/AVERAGE(HLOOKUP(V$5,'Receivables BACEN'!$6:$42,30,0),HLOOKUP(W$5,'Receivables BACEN'!$6:$42,30,0))</f>
        <v>2.7495319702876622E-2</v>
      </c>
      <c r="X31" s="29">
        <f>X$30/AVERAGE(HLOOKUP(Q$5,'Receivables BACEN'!$6:$42,30,0),HLOOKUP(R$5,'Receivables BACEN'!$6:$42,30,0),HLOOKUP(T$5,'Receivables BACEN'!$6:$42,30,0),HLOOKUP(V$5,'Receivables BACEN'!$6:$42,30,0),HLOOKUP(X$5,'Receivables BACEN'!$6:$42,30,0))</f>
        <v>0.11744478199533195</v>
      </c>
      <c r="Y31" s="29">
        <f>Y$30/AVERAGE(HLOOKUP(X$5,'Receivables BACEN'!$6:$42,30,0),HLOOKUP(Y$5,'Receivables BACEN'!$6:$42,30,0))</f>
        <v>4.8869743805409913E-2</v>
      </c>
      <c r="Z31" s="29">
        <f>Z$30/AVERAGE(HLOOKUP(Y$5,'Receivables BACEN'!$6:$42,30,0),HLOOKUP(Z$5,'Receivables BACEN'!$6:$42,30,0))</f>
        <v>3.8643939870432104E-2</v>
      </c>
      <c r="AA31" s="29">
        <f>AA$30/AVERAGE(HLOOKUP(X$5,'Receivables BACEN'!$6:$42,30,0),HLOOKUP(Y$5,'Receivables BACEN'!$6:$42,30,0),HLOOKUP(AA$5,'Receivables BACEN'!$6:$42,30,0))</f>
        <v>8.5611308743680961E-2</v>
      </c>
      <c r="AB31" s="29">
        <f>AB$30/AVERAGE(HLOOKUP(AA$5,'Receivables BACEN'!$6:$42,30,0),HLOOKUP(AB$5,'Receivables BACEN'!$6:$42,30,0))</f>
        <v>3.6264006826483425E-2</v>
      </c>
      <c r="AC31" s="29">
        <f>AC$30/AVERAGE(HLOOKUP(Z$5,'Receivables BACEN'!$6:$42,30,0),HLOOKUP(AA$5,'Receivables BACEN'!$6:$42,30,0),HLOOKUP(AC$5,'Receivables BACEN'!$6:$42,30,0))</f>
        <v>0.10564397577336411</v>
      </c>
      <c r="AD31" s="29">
        <f>AD$30/AVERAGE(HLOOKUP(AC$5,'Receivables BACEN'!$6:$42,30,0),HLOOKUP(AD$5,'Receivables BACEN'!$6:$42,30,0))</f>
        <v>3.2376206511761402E-2</v>
      </c>
      <c r="AE31" s="29">
        <f>AE$30/AVERAGE(HLOOKUP(X$5,'Receivables BACEN'!$6:$42,30,0),HLOOKUP(Y$5,'Receivables BACEN'!$6:$42,30,0),HLOOKUP(AA$5,'Receivables BACEN'!$6:$42,30,0),HLOOKUP(AC$5,'Receivables BACEN'!$6:$42,30,0),HLOOKUP(AE$5,'Receivables BACEN'!$6:$42,30,0))</f>
        <v>0.16193421943795214</v>
      </c>
      <c r="AF31" s="29">
        <f>AF$30/AVERAGE(HLOOKUP(AE$5,'Receivables BACEN'!$6:$42,30,0),HLOOKUP(AF$5,'Receivables BACEN'!$6:$42,30,0))</f>
        <v>4.4577961527774067E-2</v>
      </c>
      <c r="AG31" s="29">
        <f>AG$30/AVERAGE(HLOOKUP(AF$5,'Receivables BACEN'!$6:$42,30,0),HLOOKUP(AG$5,'Receivables BACEN'!$6:$42,30,0))</f>
        <v>4.0360086048676552E-2</v>
      </c>
      <c r="AH31" s="29">
        <f>AH$30/AVERAGE(HLOOKUP(AE$5,'Receivables BACEN'!$6:$42,30,0),HLOOKUP(AF$5,'Receivables BACEN'!$6:$42,30,0),HLOOKUP(AH$5,'Receivables BACEN'!$6:$42,30,0))</f>
        <v>8.3942724774600866E-2</v>
      </c>
      <c r="AI31" s="29">
        <f>AI$30/AVERAGE(HLOOKUP(AH$5,'Receivables BACEN'!$6:$42,30,0),HLOOKUP(AI$5,'Receivables BACEN'!$6:$42,30,0))</f>
        <v>4.2672244031513443E-2</v>
      </c>
      <c r="AJ31" s="29">
        <f>AJ$30/AVERAGE(HLOOKUP(AE$5,'Receivables BACEN'!$6:$42,30,0),HLOOKUP(AF$5,'Receivables BACEN'!$6:$42,30,0),HLOOKUP(AH$5,'Receivables BACEN'!$6:$42,30,0),HLOOKUP(AJ$5,'Receivables BACEN'!$6:$42,30,0))</f>
        <v>0.12603939287693541</v>
      </c>
      <c r="AK31" s="29">
        <f>AK$30/AVERAGE(HLOOKUP(AJ$5,'Receivables BACEN'!$6:$42,30,0),HLOOKUP(AK$5,'Receivables BACEN'!$6:$42,30,0))</f>
        <v>3.2366919845382432E-2</v>
      </c>
      <c r="AL31" s="29">
        <f>AL$30/AVERAGE(HLOOKUP(AE$5,'Receivables BACEN'!$6:$42,30,0),HLOOKUP(AF$5,'Receivables BACEN'!$6:$42,30,0),HLOOKUP(AH$5,'Receivables BACEN'!$6:$42,30,0),HLOOKUP(AJ$5,'Receivables BACEN'!$6:$42,30,0),HLOOKUP(AL$5,'Receivables BACEN'!$6:$42,30,0))</f>
        <v>0.1538581828969037</v>
      </c>
      <c r="AM31" s="29">
        <f>AM$30/AVERAGE(HLOOKUP(AL$5,'Receivables BACEN'!$6:$42,30,0),HLOOKUP(AM$5,'Receivables BACEN'!$6:$42,30,0))</f>
        <v>4.5663659439308481E-2</v>
      </c>
      <c r="AN31" s="29">
        <f>AN$30/AVERAGE(HLOOKUP(AM$5,'Receivables BACEN'!$6:$42,30,0),HLOOKUP(AN$5,'Receivables BACEN'!$6:$42,30,0))</f>
        <v>4.0312655451522593E-2</v>
      </c>
      <c r="AO31" s="29">
        <f>AO$30/AVERAGE(HLOOKUP(AL$5,'Receivables BACEN'!$6:$42,30,0),HLOOKUP(AM$5,'Receivables BACEN'!$6:$42,30,0),HLOOKUP(AO$5,'Receivables BACEN'!$6:$42,30,0))</f>
        <v>8.524895188600598E-2</v>
      </c>
      <c r="AP31" s="29">
        <f>AP$30/AVERAGE(HLOOKUP(AO$5,'Receivables BACEN'!$6:$42,30,0),HLOOKUP(AP$5,'Receivables BACEN'!$6:$42,30,0))</f>
        <v>4.6780544112025924E-2</v>
      </c>
      <c r="AQ31" s="29">
        <f>AQ$30/AVERAGE(HLOOKUP(AL$5,'Receivables BACEN'!$6:$42,30,0),HLOOKUP(AM$5,'Receivables BACEN'!$6:$42,30,0),HLOOKUP(AO$5,'Receivables BACEN'!$6:$42,30,0),HLOOKUP(AQ$5,'Receivables BACEN'!$6:$42,30,0))</f>
        <v>0.1317733357261443</v>
      </c>
      <c r="AR31" s="29">
        <f>AR$30/AVERAGE(HLOOKUP(AQ$5,'Receivables BACEN'!$6:$42,30,0),HLOOKUP(AR$5,'Receivables BACEN'!$6:$42,30,0))</f>
        <v>2.7959760297872966E-2</v>
      </c>
      <c r="AS31" s="29">
        <f>AS$30/AVERAGE(HLOOKUP(AL$5,'Receivables BACEN'!$6:$42,30,0),HLOOKUP(AM$5,'Receivables BACEN'!$6:$42,30,0),HLOOKUP(AO$5,'Receivables BACEN'!$6:$42,30,0),HLOOKUP(AQ$5,'Receivables BACEN'!$6:$42,30,0),HLOOKUP(AS$5,'Receivables BACEN'!$6:$42,30,0))</f>
        <v>0.15508561374564644</v>
      </c>
      <c r="AT31" s="29">
        <f>AT$30/AVERAGE(HLOOKUP(AS$5,'Receivables BACEN'!$6:$42,30,0),HLOOKUP(AT$5,'Receivables BACEN'!$6:$42,30,0))</f>
        <v>4.2352008390340444E-2</v>
      </c>
      <c r="AU31" s="29">
        <f>AU$30/AVERAGE(HLOOKUP(AT$5,'Receivables BACEN'!$6:$42,30,0),HLOOKUP(AU$5,'Receivables BACEN'!$6:$42,30,0))</f>
        <v>3.4241478751545429E-2</v>
      </c>
      <c r="AV31" s="29">
        <f>AV$30/AVERAGE(HLOOKUP(AS$5,'Receivables BACEN'!$6:$42,30,0),HLOOKUP(AT$5,'Receivables BACEN'!$6:$42,30,0),HLOOKUP(AV$5,'Receivables BACEN'!$6:$42,30,0))</f>
        <v>7.5674176908683916E-2</v>
      </c>
      <c r="AW31" s="29">
        <f>AW$30/AVERAGE(HLOOKUP(AV$5,'Receivables BACEN'!$6:$42,30,0),HLOOKUP(AW$5,'Receivables BACEN'!$6:$42,30,0))</f>
        <v>2.9948314775975603E-2</v>
      </c>
      <c r="AX31" s="29">
        <f>AX$30/AVERAGE(HLOOKUP(AS$5,'Receivables BACEN'!$6:$42,30,0),HLOOKUP(AT$5,'Receivables BACEN'!$6:$42,30,0),HLOOKUP(AV$5,'Receivables BACEN'!$6:$42,30,0),HLOOKUP(AX$5,'Receivables BACEN'!$6:$42,30,0))</f>
        <v>0.10600015002420207</v>
      </c>
      <c r="AY31" s="29">
        <f>AY$30/AVERAGE(HLOOKUP(AX$5,'Receivables BACEN'!$6:$42,30,0),HLOOKUP(AY$5,'Receivables BACEN'!$6:$42,30,0))</f>
        <v>2.2251183918920673E-2</v>
      </c>
      <c r="AZ31" s="29">
        <f>AZ$30/AVERAGE(HLOOKUP(AS$5,'Receivables BACEN'!$6:$42,30,0),HLOOKUP(AT$5,'Receivables BACEN'!$6:$42,30,0),HLOOKUP(AV$5,'Receivables BACEN'!$6:$42,30,0),HLOOKUP(AX$5,'Receivables BACEN'!$6:$42,30,0),HLOOKUP(AZ$5,'Receivables BACEN'!$6:$42,30,0))</f>
        <v>0.12561446316213812</v>
      </c>
      <c r="BA31" s="29">
        <f>BA$30/AVERAGE(HLOOKUP(AZ$5,'Receivables BACEN'!$6:$42,30,0),HLOOKUP(BA$5,'Receivables BACEN'!$6:$42,30,0))</f>
        <v>3.9203534421177591E-2</v>
      </c>
      <c r="BB31" s="29">
        <f>BB$30/AVERAGE(HLOOKUP(BA$5,'Receivables BACEN'!$6:$42,30,0),HLOOKUP(BB$5,'Receivables BACEN'!$6:$42,30,0))</f>
        <v>3.255913376413918E-2</v>
      </c>
      <c r="BC31" s="29">
        <f>BC$30/AVERAGE(HLOOKUP(AZ$5,'Receivables BACEN'!$6:$42,30,0),HLOOKUP(BA$5,'Receivables BACEN'!$6:$42,30,0),HLOOKUP(BC$5,'Receivables BACEN'!$6:$42,30,0))</f>
        <v>7.0821228567156197E-2</v>
      </c>
      <c r="BD31" s="29">
        <f>BD$30/AVERAGE(HLOOKUP(BC$5,'Receivables BACEN'!$6:$42,30,0),HLOOKUP(BD$5,'Receivables BACEN'!$6:$42,30,0))</f>
        <v>3.9565945868915313E-2</v>
      </c>
      <c r="BE31" s="29">
        <f>BE$30/AVERAGE(HLOOKUP(AZ$5,'Receivables BACEN'!$6:$42,30,0),HLOOKUP(BA$5,'Receivables BACEN'!$6:$42,30,0),HLOOKUP(BC$5,'Receivables BACEN'!$6:$42,30,0),HLOOKUP(BE$5,'Receivables BACEN'!$6:$42,30,0))</f>
        <v>0.11059923175841201</v>
      </c>
      <c r="BF31" s="29">
        <f>BF$30/AVERAGE(HLOOKUP(BE$5,'Receivables BACEN'!$6:$42,30,0),HLOOKUP(BF$5,'Receivables BACEN'!$6:$42,30,0))</f>
        <v>3.5810198435580934E-2</v>
      </c>
      <c r="BG31" s="29">
        <f>BG$30/AVERAGE(HLOOKUP(AZ$5,'Receivables BACEN'!$6:$42,30,0),HLOOKUP(BA$5,'Receivables BACEN'!$6:$42,30,0),HLOOKUP(BC$5,'Receivables BACEN'!$6:$42,30,0),HLOOKUP(BE$5,'Receivables BACEN'!$6:$42,30,0),HLOOKUP(BG$5,'Receivables BACEN'!$6:$42,30,0))</f>
        <v>0.14400693969251607</v>
      </c>
      <c r="BH31" s="29">
        <f>BH$30/AVERAGE(HLOOKUP(BG$5,'Receivables BACEN'!$6:$42,30,0),HLOOKUP(BH$5,'Receivables BACEN'!$6:$42,30,0))</f>
        <v>4.3463729797741796E-2</v>
      </c>
      <c r="BI31" s="29">
        <f>BI$30/AVERAGE(HLOOKUP(BH$5,'Receivables BACEN'!$6:$42,30,0),HLOOKUP(BI$5,'Receivables BACEN'!$6:$42,30,0))</f>
        <v>4.3234605582144162E-2</v>
      </c>
      <c r="BJ31" s="29">
        <f>BJ$30/AVERAGE(HLOOKUP(BG$5,'Receivables BACEN'!$6:$42,30,0),HLOOKUP(BH$5,'Receivables BACEN'!$6:$42,30,0),HLOOKUP(BJ$5,'Receivables BACEN'!$6:$42,30,0))</f>
        <v>8.5219557215881578E-2</v>
      </c>
      <c r="BK31" s="29">
        <f>BK$30/AVERAGE(HLOOKUP(BJ$5,'Receivables BACEN'!$6:$42,30,0),HLOOKUP(BK$5,'Receivables BACEN'!$6:$42,30,0))</f>
        <v>5.1548716798557728E-2</v>
      </c>
      <c r="BL31" s="29">
        <f>BL$30/AVERAGE(HLOOKUP(BG$5,'Receivables BACEN'!$6:$42,30,0),HLOOKUP(BH$5,'Receivables BACEN'!$6:$42,30,0),HLOOKUP(BJ$5,'Receivables BACEN'!$6:$42,30,0),HLOOKUP(BL$5,'Receivables BACEN'!$6:$42,30,0))</f>
        <v>0.13768944727352644</v>
      </c>
      <c r="BM31" s="29">
        <f>BM$30/AVERAGE(HLOOKUP(BL$5,'Receivables BACEN'!$6:$42,30,0),HLOOKUP(BM$5,'Receivables BACEN'!$6:$42,30,0))</f>
        <v>3.614550053647992E-2</v>
      </c>
      <c r="BN31" s="29">
        <f>BN$30/AVERAGE(HLOOKUP(BG$5,'Receivables BACEN'!$6:$42,30,0),HLOOKUP(BH$5,'Receivables BACEN'!$6:$42,30,0),HLOOKUP(BJ$5,'Receivables BACEN'!$6:$42,30,0),HLOOKUP(BL$5,'Receivables BACEN'!$6:$42,30,0),HLOOKUP(BN$5,'Receivables BACEN'!$6:$42,30,0))</f>
        <v>0.1699814562017001</v>
      </c>
      <c r="BO31" s="29">
        <f>BO$30/AVERAGE(HLOOKUP(BN$5,'Receivables BACEN'!$6:$42,30,0),HLOOKUP(BO$5,'Receivables BACEN'!$6:$42,30,0))</f>
        <v>4.6428215767467584E-2</v>
      </c>
      <c r="BP31" s="29">
        <f>BP$30/AVERAGE(HLOOKUP(BO$5,'Receivables BACEN'!$6:$42,30,0),HLOOKUP(BP$5,'Receivables BACEN'!$6:$42,30,0))</f>
        <v>3.7704205376909841E-2</v>
      </c>
      <c r="BQ31" s="29">
        <f>BQ$30/AVERAGE(HLOOKUP(BN$5,'Receivables BACEN'!$6:$42,30,0),HLOOKUP(BO$5,'Receivables BACEN'!$6:$42,30,0),HLOOKUP(BQ$5,'Receivables BACEN'!$6:$42,30,0))</f>
        <v>8.3254951458888657E-2</v>
      </c>
      <c r="BR31" s="29">
        <f>BR$30/AVERAGE(HLOOKUP(BQ$5,'Receivables BACEN'!$6:$42,30,0),HLOOKUP(BR$5,'Receivables BACEN'!$6:$42,30,0))</f>
        <v>3.9277384944968366E-2</v>
      </c>
      <c r="BS31" s="29">
        <f>BS$30/AVERAGE(HLOOKUP(BN$5,'Receivables BACEN'!$6:$42,30,0),HLOOKUP(BO$5,'Receivables BACEN'!$6:$42,30,0),HLOOKUP(BQ$5,'Receivables BACEN'!$6:$42,30,0),HLOOKUP(BS$5,'Receivables BACEN'!$6:$42,30,0))</f>
        <v>0.12251845301878413</v>
      </c>
      <c r="BT31" s="29">
        <f>BT$30/AVERAGE(HLOOKUP(BS$5,'Receivables BACEN'!$6:$42,30,0),HLOOKUP(BT$5,'Receivables BACEN'!$6:$42,30,0))</f>
        <v>3.152225905601521E-2</v>
      </c>
      <c r="BU31" s="29">
        <f>BU$30/AVERAGE(HLOOKUP(BN$5,'Receivables BACEN'!$6:$42,30,0),HLOOKUP(BO$5,'Receivables BACEN'!$6:$42,30,0),HLOOKUP(BQ$5,'Receivables BACEN'!$6:$42,30,0),HLOOKUP(BS$5,'Receivables BACEN'!$6:$42,30,0),HLOOKUP(BU$5,'Receivables BACEN'!$6:$42,30,0))</f>
        <v>0.15025501187941387</v>
      </c>
      <c r="BV31" s="29">
        <f>BV$30/AVERAGE(HLOOKUP(BU$5,'Receivables BACEN'!$6:$42,30,0),HLOOKUP(BV$5,'Receivables BACEN'!$6:$42,30,0))</f>
        <v>3.6230179065766699E-2</v>
      </c>
      <c r="BW31" s="29">
        <f>BW$30/AVERAGE(HLOOKUP(BV$5,'Receivables BACEN'!$6:$42,30,0),HLOOKUP(BW$5,'Receivables BACEN'!$6:$42,30,0))</f>
        <v>3.424260052918604E-2</v>
      </c>
      <c r="BX31" s="29">
        <f>BX$30/AVERAGE(HLOOKUP(BU$5,'Receivables BACEN'!$6:$42,30,0),HLOOKUP(BV$5,'Receivables BACEN'!$6:$42,30,0),HLOOKUP(BX$5,'Receivables BACEN'!$6:$42,30,0))</f>
        <v>6.9844479926215453E-2</v>
      </c>
      <c r="BY31" s="29">
        <f>BY$30/AVERAGE(HLOOKUP(BX$5,'Receivables BACEN'!$6:$42,30,0),HLOOKUP(BY$5,'Receivables BACEN'!$6:$42,30,0))</f>
        <v>3.6742120325018772E-2</v>
      </c>
      <c r="BZ31" s="29">
        <f>BZ$30/AVERAGE(HLOOKUP(BU$5,'Receivables BACEN'!$6:$42,30,0),HLOOKUP(BV$5,'Receivables BACEN'!$6:$42,30,0),HLOOKUP(BX$5,'Receivables BACEN'!$6:$42,30,0),HLOOKUP(BZ$5,'Receivables BACEN'!$6:$42,30,0))</f>
        <v>0.10612040503041145</v>
      </c>
      <c r="CA31" s="29">
        <f>CA$30/AVERAGE(HLOOKUP(BZ$5,'Receivables BACEN'!$6:$42,30,0),HLOOKUP(CA$5,'Receivables BACEN'!$6:$42,30,0))</f>
        <v>3.1250336319298161E-2</v>
      </c>
      <c r="CB31" s="29">
        <f>CB$30/AVERAGE(HLOOKUP(BU$5,'Receivables BACEN'!$6:$42,30,0),HLOOKUP(BV$5,'Receivables BACEN'!$6:$42,30,0),HLOOKUP(BX$5,'Receivables BACEN'!$6:$42,30,0),HLOOKUP(BZ$5,'Receivables BACEN'!$6:$42,30,0),HLOOKUP(CB$5,'Receivables BACEN'!$6:$42,30,0))</f>
        <v>0.13524605237067583</v>
      </c>
      <c r="CC31" s="29">
        <f>CC$30/AVERAGE(HLOOKUP(CB$5,'Receivables BACEN'!$6:$42,30,0),HLOOKUP(CC$5,'Receivables BACEN'!$6:$42,30,0))</f>
        <v>6.2219927295258434E-3</v>
      </c>
      <c r="CD31" s="29">
        <f>CD$30/AVERAGE(HLOOKUP(CC$5,'Receivables BACEN'!$6:$42,30,0),HLOOKUP(CD$5,'Receivables BACEN'!$6:$42,30,0))</f>
        <v>1.7968191774599167E-2</v>
      </c>
      <c r="CE31" s="29">
        <f>CE$30/AVERAGE(HLOOKUP(CB$5,'Receivables BACEN'!$6:$42,30,0),HLOOKUP(CC$5,'Receivables BACEN'!$6:$42,30,0),HLOOKUP(CE$5,'Receivables BACEN'!$6:$42,30,0))</f>
        <v>2.3660617138943043E-2</v>
      </c>
      <c r="CF31" s="29">
        <f>CF$30/AVERAGE(HLOOKUP(CE$5,'Receivables BACEN'!$6:$42,30,0),HLOOKUP(CF$5,'Receivables BACEN'!$6:$42,30,0))</f>
        <v>-1.8404736000622014E-2</v>
      </c>
      <c r="CG31" s="29">
        <f>CG$30/AVERAGE(HLOOKUP(CB$5,'Receivables BACEN'!$6:$42,30,0),HLOOKUP(CC$5,'Receivables BACEN'!$6:$42,30,0),HLOOKUP(CE$5,'Receivables BACEN'!$6:$42,30,0),HLOOKUP(CG$5,'Receivables BACEN'!$6:$42,30,0))</f>
        <v>7.5581246425849759E-3</v>
      </c>
      <c r="CH31" s="29">
        <f>CH$30/AVERAGE(HLOOKUP(CG$5,'Receivables BACEN'!$6:$42,30,0),HLOOKUP(CH$5,'Receivables BACEN'!$6:$42,30,0))</f>
        <v>1.8691795774166332E-2</v>
      </c>
      <c r="CI31" s="29">
        <f>CI33+CI61</f>
        <v>0</v>
      </c>
      <c r="CJ31" s="29">
        <f>CJ$30/AVERAGE(HLOOKUP(CI$5,'Receivables BACEN'!$6:$42,30,0),HLOOKUP(CJ$5,'Receivables BACEN'!$6:$42,30,0))</f>
        <v>2.1154804304373595E-2</v>
      </c>
      <c r="CK31" s="29">
        <f>CK$30/AVERAGE(HLOOKUP(CJ$5,'Receivables BACEN'!$6:$42,30,0),HLOOKUP(CK$5,'Receivables BACEN'!$6:$42,30,0))</f>
        <v>1.6051230051103548E-2</v>
      </c>
      <c r="CL31" s="29">
        <f>CL$30/AVERAGE(HLOOKUP(CI$5,'Receivables BACEN'!$6:$42,30,0),HLOOKUP(CJ$5,'Receivables BACEN'!$6:$42,30,0),HLOOKUP(CL$5,'Receivables BACEN'!$6:$42,30,0))</f>
        <v>3.6449932594829856E-2</v>
      </c>
      <c r="CM31" s="29">
        <f>CM$30/AVERAGE(HLOOKUP(CL$5,'Receivables BACEN'!$6:$42,30,0),HLOOKUP(CM$5,'Receivables BACEN'!$6:$42,30,0))</f>
        <v>2.0885355909391719E-2</v>
      </c>
      <c r="CN31" s="29">
        <f>CN$30/AVERAGE(HLOOKUP(CI$5,'Receivables BACEN'!$6:$42,30,0),HLOOKUP(CJ$5,'Receivables BACEN'!$6:$42,30,0),HLOOKUP(CL$5,'Receivables BACEN'!$6:$42,30,0),HLOOKUP(CN$5,'Receivables BACEN'!$6:$42,30,0))</f>
        <v>5.71576725702021E-2</v>
      </c>
      <c r="CO31" s="29">
        <f>CO$30/AVERAGE(HLOOKUP(CN$5,'Receivables BACEN'!$6:$42,30,0),HLOOKUP(CO$5,'Receivables BACEN'!$6:$42,30,0))</f>
        <v>1.2088345710593289E-2</v>
      </c>
      <c r="CP31" s="29">
        <f>CP$30/AVERAGE(HLOOKUP(CO$5,'Estimated Credit Losses IFRS'!6:16,10,0),HLOOKUP(CP$5,'Estimated Credit Losses IFRS'!6:16,10,0))</f>
        <v>5.1453072594814353E-2</v>
      </c>
      <c r="CQ31" s="29">
        <f>CQ$30/AVERAGE(HLOOKUP(CP$5,'Estimated Credit Losses IFRS'!6:16,10,0),HLOOKUP(CQ$5,'Estimated Credit Losses IFRS'!6:16,10,0))</f>
        <v>1.7484101934339462E-2</v>
      </c>
      <c r="CR31" s="29">
        <f>CR$30/AVERAGE(HLOOKUP(CO$5,'Estimated Credit Losses IFRS'!6:16,10,0),HLOOKUP(CP$5,'Estimated Credit Losses IFRS'!6:16,10,0),HLOOKUP(CR$5,'Estimated Credit Losses IFRS'!6:16,10,0))</f>
        <v>2.3673507928264549E-3</v>
      </c>
      <c r="CS31" s="30">
        <f>CS$30/AVERAGE(HLOOKUP(CR$5,'Estimated Credit Losses IFRS'!6:16,10,0),HLOOKUP(CS$5,'Estimated Credit Losses IFRS'!6:16,10,0))</f>
        <v>1.766304199602102E-2</v>
      </c>
      <c r="CT31" s="30">
        <f>CT$30/AVERAGE(HLOOKUP(CO$5,'Estimated Credit Losses IFRS'!6:16,10,0),HLOOKUP(CP$5,'Estimated Credit Losses IFRS'!6:16,10,0),HLOOKUP(CR$5,'Estimated Credit Losses IFRS'!6:16,10,0),HLOOKUP(CT$5,'Estimated Credit Losses IFRS'!6:16,10,0))</f>
        <v>3.6629412451631952E-3</v>
      </c>
      <c r="CU31" s="30">
        <f>CU$30/AVERAGE(HLOOKUP(CT$5,'Estimated Credit Losses IFRS'!6:16,10,0),HLOOKUP(CU$5,'Estimated Credit Losses IFRS'!6:16,10,0))</f>
        <v>2.0556053373649522E-2</v>
      </c>
      <c r="CV31" s="30">
        <f>CV$30/AVERAGE(HLOOKUP(CO$5,'Estimated Credit Losses IFRS'!6:16,10,0),HLOOKUP(CP$5,'Estimated Credit Losses IFRS'!6:16,10,0),HLOOKUP(CR$5,'Estimated Credit Losses IFRS'!6:16,10,0),HLOOKUP(CT$5,'Estimated Credit Losses IFRS'!6:16,10,0),HLOOKUP(CV$5,'Estimated Credit Losses IFRS'!6:16,10,0))</f>
        <v>-6.3826564752933216E-3</v>
      </c>
      <c r="CW31" s="29">
        <f>CW$30/AVERAGE(HLOOKUP(CP$5,'Receivables BACEN'!$6:$42,30,0),HLOOKUP(CQ$5,'Receivables BACEN'!$6:$42,30,0),HLOOKUP(CS$5,'Receivables BACEN'!$6:$42,30,0),HLOOKUP(CU$5,'Receivables BACEN'!$6:$42,30,0),HLOOKUP(CW$5,'Receivables BACEN'!$6:$42,30,0))</f>
        <v>1.4948469657176852E-2</v>
      </c>
      <c r="CX31" s="29">
        <f>CX$30/AVERAGE(HLOOKUP(CW$5,'Estimated Credit Losses IFRS'!6:16,10,0),HLOOKUP(CX$5,'Estimated Credit Losses IFRS'!6:16,10,0))</f>
        <v>-1.6456105432544014E-3</v>
      </c>
      <c r="CY31" s="29">
        <f>CY$30/AVERAGE(HLOOKUP(CX$5,'Estimated Credit Losses IFRS'!6:16,10,0),HLOOKUP(CY$5,'Estimated Credit Losses IFRS'!6:16,10,0))</f>
        <v>-8.6707097149904769E-3</v>
      </c>
      <c r="CZ31" s="29">
        <f>CZ$30/AVERAGE(HLOOKUP(CW$5,'Estimated Credit Losses IFRS'!6:16,10,0),HLOOKUP(CX$5,'Estimated Credit Losses IFRS'!6:16,10,0),HLOOKUP(CZ$5,'Estimated Credit Losses IFRS'!6:16,10,0))</f>
        <v>-1.0240274663305892E-2</v>
      </c>
      <c r="DA31" s="30">
        <f>DA$30/AVERAGE(HLOOKUP(CZ$5,'Estimated Credit Losses IFRS'!6:16,10,0),HLOOKUP(DA$5,'Estimated Credit Losses IFRS'!6:16,10,0))</f>
        <v>-5.827517559129137E-3</v>
      </c>
      <c r="DB31" s="30">
        <f>DB$30/AVERAGE(HLOOKUP(CW$5,'Estimated Credit Losses IFRS'!6:16,10,0),HLOOKUP(CX$5,'Estimated Credit Losses IFRS'!6:16,10,0),HLOOKUP(CZ$5,'Estimated Credit Losses IFRS'!6:16,10,0),HLOOKUP(DB$5,'Estimated Credit Losses IFRS'!6:16,10,0))</f>
        <v>-1.6125112728496212E-2</v>
      </c>
      <c r="DC31" s="30">
        <f>DC$30/AVERAGE(HLOOKUP(DB$5,'Estimated Credit Losses IFRS'!6:16,10,0),HLOOKUP(DC$5,'Estimated Credit Losses IFRS'!6:16,10,0))</f>
        <v>5.3172229753373343E-4</v>
      </c>
      <c r="DD31" s="30">
        <f>DD$30/AVERAGE(HLOOKUP(CW$5,'Estimated Credit Losses IFRS'!6:16,10,0),HLOOKUP(CX$5,'Estimated Credit Losses IFRS'!6:16,10,0),HLOOKUP(CZ$5,'Estimated Credit Losses IFRS'!6:16,10,0),HLOOKUP(DB$5,'Estimated Credit Losses IFRS'!6:16,10,0),HLOOKUP(DD$5,'Estimated Credit Losses IFRS'!6:16,10,0))</f>
        <v>-1.5583445791835567E-2</v>
      </c>
      <c r="DE31" s="29">
        <f>DE$30/AVERAGE(HLOOKUP(DD$5,'Estimated Credit Losses IFRS'!6:16,10,0),HLOOKUP(DE$5,'Estimated Credit Losses IFRS'!6:16,10,0))</f>
        <v>2.2454948105814043E-3</v>
      </c>
      <c r="DF31" s="29">
        <f>DF$30/AVERAGE(HLOOKUP(DE$5,'Estimated Credit Losses IFRS'!6:16,10,0),HLOOKUP(DF$5,'Estimated Credit Losses IFRS'!6:16,10,0))</f>
        <v>6.0186392141222313E-3</v>
      </c>
      <c r="DG31" s="29">
        <f>DG$30/AVERAGE(HLOOKUP(DD$5,'Estimated Credit Losses IFRS'!6:16,10,0),HLOOKUP(DE$5,'Estimated Credit Losses IFRS'!6:16,10,0),HLOOKUP(DG$5,'Estimated Credit Losses IFRS'!6:16,10,0))</f>
        <v>8.145744244923276E-3</v>
      </c>
      <c r="DH31" s="30">
        <f>DH$30/AVERAGE(HLOOKUP(DG$5,'Estimated Credit Losses IFRS'!6:16,10,0),HLOOKUP(DH$5,'Estimated Credit Losses IFRS'!6:16,10,0))</f>
        <v>1.0109511593791977E-2</v>
      </c>
      <c r="DI31" s="30">
        <f>DI$30/AVERAGE(HLOOKUP(DD$5,'Estimated Credit Losses IFRS'!6:16,10,0),HLOOKUP(DE$5,'Estimated Credit Losses IFRS'!6:16,10,0),HLOOKUP(DG$5,'Estimated Credit Losses IFRS'!6:16,10,0),HLOOKUP(DI$5,'Estimated Credit Losses IFRS'!6:16,10,0))</f>
        <v>1.8144331805293373E-2</v>
      </c>
      <c r="DJ31" s="30">
        <f>DJ$30/AVERAGE(HLOOKUP(DI$5,'Estimated Credit Losses IFRS'!6:16,10,0),HLOOKUP(DJ$5,'Estimated Credit Losses IFRS'!6:16,10,0))</f>
        <v>1.0301816095809425E-2</v>
      </c>
      <c r="DK31" s="30">
        <f>DK$30/AVERAGE(HLOOKUP(DD$5,'Estimated Credit Losses IFRS'!6:16,10,0),HLOOKUP(DE$5,'Estimated Credit Losses IFRS'!6:16,10,0),HLOOKUP(DG$5,'Estimated Credit Losses IFRS'!6:16,10,0),HLOOKUP(DI$5,'Estimated Credit Losses IFRS'!6:16,10,0),HLOOKUP(DK$5,'Estimated Credit Losses IFRS'!6:16,10,0))</f>
        <v>2.8301626870104086E-2</v>
      </c>
      <c r="DL31" s="30">
        <f>DL$30/AVERAGE(HLOOKUP(DK$5,'Estimated Credit Losses IFRS'!6:16,10,0),HLOOKUP(DL$5,'Estimated Credit Losses IFRS'!6:16,10,0))</f>
        <v>3.0985366464890546E-2</v>
      </c>
      <c r="DM31" s="29">
        <f>DM$30/AVERAGE(HLOOKUP(DL$5,'Estimated Credit Losses IFRS'!6:16,10,0),HLOOKUP(DM$5,'Estimated Credit Losses IFRS'!6:16,10,0))</f>
        <v>1.8767492051176251E-2</v>
      </c>
      <c r="DN31" s="29">
        <f>DN$30/AVERAGE(HLOOKUP(DK$5,'Estimated Credit Losses IFRS'!6:16,10,0),HLOOKUP(DL$5,'Estimated Credit Losses IFRS'!6:16,10,0),HLOOKUP(DN$5,'Estimated Credit Losses IFRS'!6:16,10,0))</f>
        <v>4.928118133107566E-2</v>
      </c>
      <c r="DO31" s="30">
        <f>DO$30/AVERAGE(HLOOKUP(DN$5,'Estimated Credit Losses IFRS'!6:16,10,0),HLOOKUP(DO$5,'Estimated Credit Losses IFRS'!6:16,10,0))</f>
        <v>1.2367010279949641E-2</v>
      </c>
      <c r="DP31" s="30">
        <f>DP$30/AVERAGE(HLOOKUP(DM$5,'Estimated Credit Losses IFRS'!6:16,10,0),HLOOKUP(DN$5,'Estimated Credit Losses IFRS'!6:16,10,0),HLOOKUP(DP$5,'Estimated Credit Losses IFRS'!6:16,10,0))</f>
        <v>6.0054574043275105E-2</v>
      </c>
      <c r="DQ31" s="30">
        <f>DQ$30/AVERAGE(HLOOKUP(DP$5,'Estimated Credit Losses IFRS'!6:16,10,0),HLOOKUP(DQ$5,'Estimated Credit Losses IFRS'!6:16,10,0))</f>
        <v>9.5873018314705308E-3</v>
      </c>
      <c r="DR31" s="30">
        <f>DR$30/AVERAGE(HLOOKUP(DO$5,'Estimated Credit Losses IFRS'!6:16,10,0),HLOOKUP(DP$5,'Estimated Credit Losses IFRS'!6:16,10,0),HLOOKUP(DR$5,'Estimated Credit Losses IFRS'!6:16,10,0))</f>
        <v>6.8985863796948987E-2</v>
      </c>
      <c r="DS31" s="30">
        <f>DS$30/AVERAGE(HLOOKUP(DR$5,'Estimated Credit Losses IFRS'!6:16,10,0),HLOOKUP(DS$5,'Estimated Credit Losses IFRS'!6:16,10,0))</f>
        <v>1.8257614679413069E-2</v>
      </c>
      <c r="DT31" s="29">
        <f>DT$30/AVERAGE(HLOOKUP(DS$5,'Estimated Credit Losses IFRS'!6:16,10,0),HLOOKUP(DT$5,'Estimated Credit Losses IFRS'!6:16,10,0))</f>
        <v>8.0803330364764385E-3</v>
      </c>
      <c r="DU31" s="29">
        <f>DU$30/AVERAGE(HLOOKUP(DR$5,'Estimated Credit Losses IFRS'!6:16,10,0),HLOOKUP(DS$5,'Estimated Credit Losses IFRS'!6:16,10,0),HLOOKUP(DU$5,'Estimated Credit Losses IFRS'!6:16,10,0))</f>
        <v>2.630836057069218E-2</v>
      </c>
    </row>
    <row r="32" spans="1:125" ht="16.350000000000001" customHeight="1">
      <c r="A32" s="172"/>
      <c r="B32" s="173"/>
      <c r="C32" s="172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  <c r="BL32" s="15"/>
      <c r="BM32" s="15"/>
      <c r="BN32" s="15"/>
      <c r="BO32" s="15"/>
      <c r="BP32" s="15"/>
      <c r="BQ32" s="15"/>
      <c r="BR32" s="15"/>
      <c r="BS32" s="15"/>
      <c r="BT32" s="15"/>
      <c r="BU32" s="15"/>
      <c r="BV32" s="15"/>
      <c r="BW32" s="15"/>
      <c r="BX32" s="15"/>
      <c r="BY32" s="15"/>
      <c r="BZ32" s="15"/>
      <c r="CA32" s="15"/>
      <c r="CB32" s="15"/>
      <c r="CC32" s="15"/>
      <c r="CD32" s="15"/>
      <c r="CE32" s="15"/>
      <c r="CF32" s="15"/>
      <c r="CG32" s="15"/>
      <c r="CH32" s="15"/>
      <c r="CI32" s="15"/>
      <c r="CJ32" s="15"/>
      <c r="CK32" s="15"/>
      <c r="CL32" s="15"/>
      <c r="CM32" s="15"/>
      <c r="CN32" s="15"/>
      <c r="CO32" s="15"/>
      <c r="CP32" s="15"/>
      <c r="CQ32" s="15"/>
      <c r="CR32" s="15"/>
      <c r="CS32" s="15"/>
      <c r="CT32" s="15"/>
      <c r="CU32" s="15"/>
      <c r="CV32" s="15"/>
      <c r="CX32" s="15"/>
      <c r="CY32" s="15"/>
      <c r="CZ32" s="15"/>
      <c r="DA32" s="15"/>
      <c r="DB32" s="15"/>
      <c r="DC32" s="15"/>
      <c r="DD32" s="15"/>
      <c r="DE32" s="15"/>
      <c r="DF32" s="15"/>
      <c r="DG32" s="15"/>
      <c r="DH32" s="15"/>
      <c r="DI32" s="15"/>
      <c r="DJ32" s="15"/>
      <c r="DK32" s="15"/>
      <c r="DL32" s="15"/>
      <c r="DM32" s="15"/>
      <c r="DN32" s="15"/>
      <c r="DO32" s="15"/>
      <c r="DP32" s="15"/>
      <c r="DQ32" s="15"/>
      <c r="DR32" s="15"/>
      <c r="DS32" s="15"/>
      <c r="DT32" s="15"/>
      <c r="DU32" s="15"/>
    </row>
    <row r="33" spans="126:127" ht="16.350000000000001" customHeight="1">
      <c r="DV33" s="7"/>
      <c r="DW33" s="7"/>
    </row>
    <row r="34" spans="126:127" ht="16.350000000000001" customHeight="1">
      <c r="DV34" s="7"/>
      <c r="DW34" s="7"/>
    </row>
    <row r="35" spans="126:127" ht="16.350000000000001" customHeight="1">
      <c r="DV35" s="7"/>
      <c r="DW35" s="7"/>
    </row>
    <row r="36" spans="126:127" ht="16.350000000000001" customHeight="1">
      <c r="DV36" s="7"/>
      <c r="DW36" s="7"/>
    </row>
    <row r="37" spans="126:127" ht="16.350000000000001" customHeight="1">
      <c r="DV37" s="7"/>
      <c r="DW37" s="7"/>
    </row>
  </sheetData>
  <customSheetViews>
    <customSheetView guid="{E88E1926-5DA8-417A-8DB1-2CA24C2C419E}" scale="115" showGridLines="0" fitToPage="1" hiddenColumns="1">
      <pane xSplit="3" ySplit="3" topLeftCell="KR7" activePane="bottomRight" state="frozen"/>
      <selection pane="bottomRight" activeCell="KS12" sqref="KS12"/>
      <pageMargins left="0.25" right="0.25" top="0.75" bottom="0.75" header="0.3" footer="0.3"/>
      <printOptions horizontalCentered="1"/>
      <pageSetup paperSize="9" scale="70" orientation="landscape" r:id="rId1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A3D29705-44C4-4B42-97EB-2B18742850C7}" scale="90" showGridLines="0" fitToPage="1" hiddenColumns="1">
      <pane xSplit="14" ySplit="3" topLeftCell="KL4" activePane="bottomRight" state="frozen"/>
      <selection pane="bottomRight" activeCell="KY14" sqref="KY14"/>
      <pageMargins left="0.25" right="0.25" top="0.75" bottom="0.75" header="0.3" footer="0.3"/>
      <printOptions horizontalCentered="1"/>
      <pageSetup paperSize="9" scale="70" orientation="landscape" r:id="rId2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  <customSheetView guid="{EAB4FDA2-937E-4CE5-8DA8-79E156FA8C1F}" scale="110" showPageBreaks="1" showGridLines="0" fitToPage="1" hiddenColumns="1">
      <pane xSplit="14" ySplit="3" topLeftCell="IV4" activePane="bottomRight" state="frozen"/>
      <selection pane="bottomRight" activeCell="GH10" sqref="GH10"/>
      <pageMargins left="0.25" right="0.25" top="0.75" bottom="0.75" header="0.3" footer="0.3"/>
      <printOptions horizontalCentered="1"/>
      <pageSetup paperSize="9" scale="21" orientation="landscape" r:id="rId3"/>
      <headerFooter alignWithMargins="0">
        <oddHeader>&amp;L&amp;G</oddHeader>
        <oddFooter>&amp;L&amp;"Calibri"&amp;11&amp;K000000&amp;"Calibri"&amp;11&amp;K000000&amp;"Calibri"&amp;11 Investor Relations Lojas Renner  S.A._x000D_&amp;1#&amp;"Calibri"&amp;10&amp;K317100Classificação: Público</oddFooter>
      </headerFooter>
    </customSheetView>
  </customSheetViews>
  <phoneticPr fontId="29" type="noConversion"/>
  <conditionalFormatting sqref="D32:CV32">
    <cfRule type="cellIs" dxfId="21" priority="39" operator="notEqual">
      <formula>0</formula>
    </cfRule>
    <cfRule type="cellIs" dxfId="20" priority="40" operator="equal">
      <formula>0</formula>
    </cfRule>
  </conditionalFormatting>
  <conditionalFormatting sqref="CX32:DU32">
    <cfRule type="cellIs" dxfId="19" priority="1" operator="notEqual">
      <formula>0</formula>
    </cfRule>
    <cfRule type="cellIs" dxfId="18" priority="2" operator="equal">
      <formula>0</formula>
    </cfRule>
  </conditionalFormatting>
  <printOptions horizontalCentered="1"/>
  <pageMargins left="0.25" right="0.25" top="0.75" bottom="0.75" header="0.3" footer="0.3"/>
  <pageSetup paperSize="9" scale="45" orientation="landscape" r:id="rId4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ustomProperties>
    <customPr name="SheetOptions" r:id="rId5"/>
  </customProperties>
  <ignoredErrors>
    <ignoredError sqref="CU17 CT19:CV19 CU28 CU20 DA19 CU15 DH19:DH20 DG5:DK5 BG6:DK6 BG5:DF5 DN5:DO5 DR5 DN17 DN15 DK15 DK17 DH17:DI17 DH15:DI15 CW14:DR14 CW16:DR16 CW15:DG15 DJ15 CW18:DR18 CW17:DG17 DJ17 DL17:DM17 DL15:DM15 DO15:DR15 DO17:DR17 CW22:DR26 CW27:DK27 DO27:DR27 DO30 DN30 DK30 CW29:DR29 CW31:DR31 CW30:DJ30 DL30:DM30 DP30:DR30 DU16 DU14:DU15 DU17:DU18" formula="1"/>
    <ignoredError sqref="DL27:DN27 DU26 DU22:DU24" formula="1" formulaRange="1"/>
    <ignoredError sqref="DL28 DN28 DU19:DU21 DU27 DU25" formulaRange="1"/>
  </ignoredErrors>
  <drawing r:id="rId6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F4643-9C06-4DBB-895F-054C7F0EDECE}">
  <sheetPr codeName="Planilha7">
    <outlinePr summaryBelow="0"/>
    <pageSetUpPr fitToPage="1"/>
  </sheetPr>
  <dimension ref="A4:EW58"/>
  <sheetViews>
    <sheetView showGridLines="0" zoomScaleNormal="100" zoomScaleSheetLayoutView="100" workbookViewId="0">
      <pane xSplit="3" ySplit="6" topLeftCell="CB7" activePane="bottomRight" state="frozen"/>
      <selection pane="topRight"/>
      <selection pane="bottomLeft"/>
      <selection pane="bottomRight" activeCell="EW6" sqref="EW6"/>
    </sheetView>
  </sheetViews>
  <sheetFormatPr defaultColWidth="9.42578125" defaultRowHeight="16.350000000000001" customHeight="1" outlineLevelRow="1" outlineLevelCol="1"/>
  <cols>
    <col min="1" max="1" width="3.5703125" style="7" customWidth="1"/>
    <col min="2" max="2" width="43.42578125" style="7" bestFit="1" customWidth="1"/>
    <col min="3" max="3" width="41.5703125" style="7" bestFit="1" customWidth="1"/>
    <col min="4" max="9" width="12.5703125" style="7" hidden="1" customWidth="1" outlineLevel="1"/>
    <col min="10" max="10" width="12.5703125" style="7" customWidth="1" collapsed="1"/>
    <col min="11" max="16" width="12.5703125" style="7" hidden="1" customWidth="1" outlineLevel="1"/>
    <col min="17" max="17" width="12.5703125" style="7" customWidth="1" collapsed="1"/>
    <col min="18" max="21" width="12.5703125" style="7" hidden="1" customWidth="1" outlineLevel="1"/>
    <col min="22" max="22" width="12.42578125" style="7" hidden="1" customWidth="1" outlineLevel="1"/>
    <col min="23" max="23" width="12.5703125" style="7" hidden="1" customWidth="1" outlineLevel="1"/>
    <col min="24" max="24" width="12.5703125" style="7" customWidth="1" collapsed="1"/>
    <col min="25" max="27" width="12.5703125" style="7" hidden="1" customWidth="1" outlineLevel="1"/>
    <col min="28" max="28" width="10.5703125" style="7" hidden="1" customWidth="1" outlineLevel="1"/>
    <col min="29" max="29" width="11" style="7" hidden="1" customWidth="1" outlineLevel="1"/>
    <col min="30" max="30" width="12.5703125" style="7" hidden="1" customWidth="1" outlineLevel="1"/>
    <col min="31" max="31" width="12.5703125" style="7" customWidth="1" collapsed="1"/>
    <col min="32" max="37" width="12.5703125" style="7" hidden="1" customWidth="1" outlineLevel="1"/>
    <col min="38" max="38" width="12.5703125" style="7" customWidth="1" collapsed="1"/>
    <col min="39" max="44" width="12.5703125" style="7" hidden="1" customWidth="1" outlineLevel="1"/>
    <col min="45" max="45" width="12.5703125" style="7" customWidth="1" collapsed="1"/>
    <col min="46" max="47" width="12.5703125" style="7" hidden="1" customWidth="1" outlineLevel="1" collapsed="1"/>
    <col min="48" max="48" width="12.5703125" style="7" hidden="1" customWidth="1" outlineLevel="1"/>
    <col min="49" max="49" width="12.5703125" style="7" hidden="1" customWidth="1" outlineLevel="1" collapsed="1"/>
    <col min="50" max="51" width="12.5703125" style="7" hidden="1" customWidth="1" outlineLevel="1"/>
    <col min="52" max="52" width="12.5703125" style="7" customWidth="1" collapsed="1"/>
    <col min="53" max="53" width="12.5703125" style="7" hidden="1" customWidth="1" outlineLevel="1"/>
    <col min="54" max="54" width="12.5703125" style="7" hidden="1" customWidth="1" outlineLevel="1" collapsed="1"/>
    <col min="55" max="55" width="12.5703125" style="7" hidden="1" customWidth="1" outlineLevel="1"/>
    <col min="56" max="56" width="12.5703125" style="7" hidden="1" customWidth="1" outlineLevel="1" collapsed="1"/>
    <col min="57" max="57" width="12.5703125" style="7" hidden="1" customWidth="1" outlineLevel="1"/>
    <col min="58" max="58" width="12.5703125" style="7" hidden="1" customWidth="1" outlineLevel="1" collapsed="1"/>
    <col min="59" max="59" width="12.5703125" style="7" customWidth="1" collapsed="1"/>
    <col min="60" max="65" width="12.5703125" style="7" hidden="1" customWidth="1" outlineLevel="1"/>
    <col min="66" max="66" width="12.5703125" style="7" customWidth="1" collapsed="1"/>
    <col min="67" max="72" width="12.5703125" style="7" hidden="1" customWidth="1" outlineLevel="1"/>
    <col min="73" max="73" width="12.5703125" style="7" customWidth="1" collapsed="1"/>
    <col min="74" max="79" width="12.5703125" style="7" hidden="1" customWidth="1" outlineLevel="1"/>
    <col min="80" max="80" width="12.5703125" style="7" customWidth="1" collapsed="1"/>
    <col min="81" max="86" width="12.5703125" style="7" hidden="1" customWidth="1" outlineLevel="1"/>
    <col min="87" max="87" width="13.42578125" style="7" customWidth="1" collapsed="1"/>
    <col min="88" max="93" width="12.5703125" style="7" hidden="1" customWidth="1" outlineLevel="1"/>
    <col min="94" max="94" width="12.5703125" style="7" customWidth="1" collapsed="1"/>
    <col min="95" max="100" width="12.5703125" style="7" hidden="1" customWidth="1" outlineLevel="1"/>
    <col min="101" max="101" width="12.5703125" style="7" customWidth="1" collapsed="1"/>
    <col min="102" max="107" width="12.5703125" style="7" hidden="1" customWidth="1" outlineLevel="1"/>
    <col min="108" max="108" width="12.5703125" style="7" customWidth="1" collapsed="1"/>
    <col min="109" max="114" width="12.5703125" style="7" hidden="1" customWidth="1" outlineLevel="1"/>
    <col min="115" max="115" width="12.5703125" style="7" customWidth="1" collapsed="1"/>
    <col min="116" max="118" width="12.5703125" style="7" hidden="1" customWidth="1" outlineLevel="1"/>
    <col min="119" max="119" width="11.42578125" style="7" hidden="1" customWidth="1" outlineLevel="1"/>
    <col min="120" max="121" width="12.5703125" style="7" hidden="1" customWidth="1" outlineLevel="1"/>
    <col min="122" max="122" width="12.5703125" customWidth="1" collapsed="1"/>
    <col min="123" max="128" width="12.5703125" hidden="1" customWidth="1" outlineLevel="1"/>
    <col min="129" max="129" width="12.5703125" customWidth="1" collapsed="1"/>
    <col min="130" max="135" width="12.5703125" hidden="1" customWidth="1" outlineLevel="1"/>
    <col min="136" max="136" width="12.5703125" customWidth="1" collapsed="1"/>
    <col min="137" max="142" width="12.5703125" hidden="1" customWidth="1" outlineLevel="1"/>
    <col min="143" max="143" width="12.5703125" customWidth="1" collapsed="1"/>
    <col min="144" max="144" width="12.5703125" hidden="1" customWidth="1" outlineLevel="1"/>
    <col min="145" max="145" width="9.42578125" hidden="1" customWidth="1" outlineLevel="1"/>
    <col min="146" max="146" width="10.5703125" hidden="1" customWidth="1" outlineLevel="1"/>
    <col min="147" max="147" width="9.42578125" hidden="1" customWidth="1" outlineLevel="1"/>
    <col min="148" max="149" width="10.5703125" hidden="1" customWidth="1" outlineLevel="1"/>
    <col min="150" max="150" width="10.5703125" bestFit="1" customWidth="1" collapsed="1"/>
    <col min="151" max="153" width="10.5703125" customWidth="1"/>
  </cols>
  <sheetData>
    <row r="4" spans="1:153" ht="16.350000000000001" customHeight="1">
      <c r="B4" s="8"/>
    </row>
    <row r="5" spans="1:153" ht="16.350000000000001" customHeight="1">
      <c r="A5" s="9"/>
      <c r="B5" s="10"/>
      <c r="C5" s="10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9"/>
      <c r="V5" s="11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12"/>
      <c r="AV5" s="12"/>
      <c r="AW5" s="12"/>
      <c r="AX5" s="12"/>
      <c r="AY5" s="12"/>
      <c r="AZ5" s="12"/>
      <c r="BA5" s="9"/>
      <c r="BB5" s="12"/>
      <c r="BC5" s="12"/>
      <c r="BD5" s="12"/>
      <c r="BE5" s="12"/>
      <c r="BF5" s="12"/>
      <c r="BG5" s="12"/>
      <c r="BH5" s="12"/>
      <c r="BI5" s="9"/>
      <c r="BJ5" s="9"/>
      <c r="BK5" s="9"/>
      <c r="BL5" s="9"/>
      <c r="BM5" s="9"/>
      <c r="BN5" s="9"/>
      <c r="BO5" s="9"/>
      <c r="BP5" s="9"/>
      <c r="BQ5" s="9"/>
      <c r="BR5" s="9"/>
      <c r="BS5" s="9"/>
      <c r="BT5" s="9"/>
      <c r="BU5" s="9"/>
      <c r="BV5" s="9"/>
      <c r="BW5" s="9"/>
      <c r="BX5" s="9"/>
      <c r="BY5" s="9"/>
      <c r="BZ5" s="9"/>
      <c r="CA5" s="9"/>
      <c r="CB5" s="9"/>
      <c r="CC5" s="13"/>
      <c r="CD5" s="9"/>
      <c r="CE5" s="9"/>
      <c r="CF5" s="9"/>
      <c r="CG5" s="9"/>
      <c r="CH5" s="9"/>
      <c r="CI5" s="9"/>
      <c r="CJ5" s="13"/>
      <c r="CK5" s="9"/>
      <c r="CL5" s="9"/>
      <c r="CM5" s="9"/>
      <c r="CN5" s="9"/>
      <c r="CO5" s="9"/>
      <c r="CP5" s="9"/>
      <c r="CQ5" s="9"/>
      <c r="CR5" s="9"/>
      <c r="CS5" s="9"/>
      <c r="CT5" s="9"/>
      <c r="CU5" s="9"/>
      <c r="CV5" s="9"/>
      <c r="CW5" s="9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5"/>
      <c r="DM5" s="15"/>
      <c r="DN5" s="15"/>
      <c r="DO5" s="15"/>
      <c r="DP5" s="15"/>
      <c r="DQ5" s="15"/>
    </row>
    <row r="6" spans="1:153" ht="16.350000000000001" customHeight="1">
      <c r="A6" s="16"/>
      <c r="B6" s="437" t="s">
        <v>389</v>
      </c>
      <c r="C6" s="437" t="s">
        <v>390</v>
      </c>
      <c r="D6" s="447" t="s">
        <v>228</v>
      </c>
      <c r="E6" s="447" t="s">
        <v>229</v>
      </c>
      <c r="F6" s="447" t="s">
        <v>321</v>
      </c>
      <c r="G6" s="447" t="s">
        <v>230</v>
      </c>
      <c r="H6" s="447" t="s">
        <v>31</v>
      </c>
      <c r="I6" s="447" t="s">
        <v>231</v>
      </c>
      <c r="J6" s="447">
        <v>2005</v>
      </c>
      <c r="K6" s="447" t="s">
        <v>232</v>
      </c>
      <c r="L6" s="447" t="s">
        <v>233</v>
      </c>
      <c r="M6" s="447" t="s">
        <v>322</v>
      </c>
      <c r="N6" s="447" t="s">
        <v>234</v>
      </c>
      <c r="O6" s="447" t="s">
        <v>32</v>
      </c>
      <c r="P6" s="447" t="s">
        <v>235</v>
      </c>
      <c r="Q6" s="447">
        <v>2006</v>
      </c>
      <c r="R6" s="447" t="s">
        <v>236</v>
      </c>
      <c r="S6" s="447" t="s">
        <v>237</v>
      </c>
      <c r="T6" s="447" t="s">
        <v>323</v>
      </c>
      <c r="U6" s="447" t="s">
        <v>238</v>
      </c>
      <c r="V6" s="447" t="s">
        <v>242</v>
      </c>
      <c r="W6" s="447" t="s">
        <v>239</v>
      </c>
      <c r="X6" s="447">
        <v>2007</v>
      </c>
      <c r="Y6" s="447" t="s">
        <v>240</v>
      </c>
      <c r="Z6" s="447" t="s">
        <v>241</v>
      </c>
      <c r="AA6" s="447" t="s">
        <v>324</v>
      </c>
      <c r="AB6" s="447" t="s">
        <v>241</v>
      </c>
      <c r="AC6" s="447" t="s">
        <v>324</v>
      </c>
      <c r="AD6" s="447" t="s">
        <v>243</v>
      </c>
      <c r="AE6" s="447">
        <v>2008</v>
      </c>
      <c r="AF6" s="447" t="s">
        <v>244</v>
      </c>
      <c r="AG6" s="447" t="s">
        <v>245</v>
      </c>
      <c r="AH6" s="447" t="s">
        <v>325</v>
      </c>
      <c r="AI6" s="447" t="s">
        <v>246</v>
      </c>
      <c r="AJ6" s="447" t="s">
        <v>35</v>
      </c>
      <c r="AK6" s="447" t="s">
        <v>247</v>
      </c>
      <c r="AL6" s="447">
        <v>2009</v>
      </c>
      <c r="AM6" s="447" t="s">
        <v>248</v>
      </c>
      <c r="AN6" s="447" t="s">
        <v>249</v>
      </c>
      <c r="AO6" s="447" t="s">
        <v>326</v>
      </c>
      <c r="AP6" s="447" t="s">
        <v>250</v>
      </c>
      <c r="AQ6" s="447" t="s">
        <v>36</v>
      </c>
      <c r="AR6" s="447" t="s">
        <v>251</v>
      </c>
      <c r="AS6" s="447">
        <v>2010</v>
      </c>
      <c r="AT6" s="447" t="s">
        <v>252</v>
      </c>
      <c r="AU6" s="447" t="s">
        <v>253</v>
      </c>
      <c r="AV6" s="447" t="s">
        <v>327</v>
      </c>
      <c r="AW6" s="447" t="s">
        <v>254</v>
      </c>
      <c r="AX6" s="447" t="s">
        <v>82</v>
      </c>
      <c r="AY6" s="447" t="s">
        <v>83</v>
      </c>
      <c r="AZ6" s="447">
        <v>2011</v>
      </c>
      <c r="BA6" s="447" t="s">
        <v>255</v>
      </c>
      <c r="BB6" s="447" t="s">
        <v>256</v>
      </c>
      <c r="BC6" s="447" t="s">
        <v>328</v>
      </c>
      <c r="BD6" s="447" t="s">
        <v>257</v>
      </c>
      <c r="BE6" s="447" t="s">
        <v>87</v>
      </c>
      <c r="BF6" s="447" t="s">
        <v>258</v>
      </c>
      <c r="BG6" s="447">
        <v>2012</v>
      </c>
      <c r="BH6" s="447" t="s">
        <v>259</v>
      </c>
      <c r="BI6" s="447" t="s">
        <v>260</v>
      </c>
      <c r="BJ6" s="447" t="s">
        <v>329</v>
      </c>
      <c r="BK6" s="447" t="s">
        <v>261</v>
      </c>
      <c r="BL6" s="447" t="s">
        <v>89</v>
      </c>
      <c r="BM6" s="447" t="s">
        <v>262</v>
      </c>
      <c r="BN6" s="447">
        <v>2013</v>
      </c>
      <c r="BO6" s="447" t="s">
        <v>263</v>
      </c>
      <c r="BP6" s="447" t="s">
        <v>264</v>
      </c>
      <c r="BQ6" s="447" t="s">
        <v>330</v>
      </c>
      <c r="BR6" s="447" t="s">
        <v>265</v>
      </c>
      <c r="BS6" s="447" t="s">
        <v>93</v>
      </c>
      <c r="BT6" s="447" t="s">
        <v>266</v>
      </c>
      <c r="BU6" s="447">
        <v>2014</v>
      </c>
      <c r="BV6" s="447" t="s">
        <v>267</v>
      </c>
      <c r="BW6" s="447" t="s">
        <v>268</v>
      </c>
      <c r="BX6" s="447" t="s">
        <v>331</v>
      </c>
      <c r="BY6" s="447" t="s">
        <v>269</v>
      </c>
      <c r="BZ6" s="447" t="s">
        <v>103</v>
      </c>
      <c r="CA6" s="447" t="s">
        <v>270</v>
      </c>
      <c r="CB6" s="447">
        <v>2015</v>
      </c>
      <c r="CC6" s="447" t="s">
        <v>271</v>
      </c>
      <c r="CD6" s="447" t="s">
        <v>272</v>
      </c>
      <c r="CE6" s="447" t="s">
        <v>332</v>
      </c>
      <c r="CF6" s="447" t="s">
        <v>273</v>
      </c>
      <c r="CG6" s="447" t="s">
        <v>189</v>
      </c>
      <c r="CH6" s="447" t="s">
        <v>274</v>
      </c>
      <c r="CI6" s="447">
        <v>2016</v>
      </c>
      <c r="CJ6" s="447" t="s">
        <v>275</v>
      </c>
      <c r="CK6" s="447" t="s">
        <v>276</v>
      </c>
      <c r="CL6" s="447" t="s">
        <v>333</v>
      </c>
      <c r="CM6" s="447" t="s">
        <v>227</v>
      </c>
      <c r="CN6" s="447" t="s">
        <v>203</v>
      </c>
      <c r="CO6" s="447" t="s">
        <v>277</v>
      </c>
      <c r="CP6" s="447">
        <v>2017</v>
      </c>
      <c r="CQ6" s="447" t="s">
        <v>278</v>
      </c>
      <c r="CR6" s="447" t="s">
        <v>279</v>
      </c>
      <c r="CS6" s="447" t="s">
        <v>334</v>
      </c>
      <c r="CT6" s="447" t="s">
        <v>207</v>
      </c>
      <c r="CU6" s="447" t="s">
        <v>213</v>
      </c>
      <c r="CV6" s="447" t="s">
        <v>212</v>
      </c>
      <c r="CW6" s="447">
        <v>2018</v>
      </c>
      <c r="CX6" s="447" t="s">
        <v>215</v>
      </c>
      <c r="CY6" s="447" t="s">
        <v>217</v>
      </c>
      <c r="CZ6" s="447" t="s">
        <v>335</v>
      </c>
      <c r="DA6" s="447" t="s">
        <v>220</v>
      </c>
      <c r="DB6" s="447" t="s">
        <v>219</v>
      </c>
      <c r="DC6" s="447" t="s">
        <v>221</v>
      </c>
      <c r="DD6" s="447">
        <v>2019</v>
      </c>
      <c r="DE6" s="447" t="s">
        <v>223</v>
      </c>
      <c r="DF6" s="447" t="s">
        <v>225</v>
      </c>
      <c r="DG6" s="447" t="s">
        <v>336</v>
      </c>
      <c r="DH6" s="447" t="s">
        <v>224</v>
      </c>
      <c r="DI6" s="447" t="s">
        <v>226</v>
      </c>
      <c r="DJ6" s="447" t="s">
        <v>280</v>
      </c>
      <c r="DK6" s="447">
        <v>2020</v>
      </c>
      <c r="DL6" s="447" t="s">
        <v>282</v>
      </c>
      <c r="DM6" s="447" t="s">
        <v>320</v>
      </c>
      <c r="DN6" s="447" t="s">
        <v>337</v>
      </c>
      <c r="DO6" s="447" t="s">
        <v>341</v>
      </c>
      <c r="DP6" s="447" t="s">
        <v>342</v>
      </c>
      <c r="DQ6" s="447" t="s">
        <v>345</v>
      </c>
      <c r="DR6" s="447">
        <v>2021</v>
      </c>
      <c r="DS6" s="447" t="str">
        <f>'Income Statement'!DS6</f>
        <v>1Q22</v>
      </c>
      <c r="DT6" s="447" t="str">
        <f>'Income Statement'!DT6</f>
        <v>2Q22</v>
      </c>
      <c r="DU6" s="447" t="str">
        <f>'Income Statement'!DU6</f>
        <v>1H22</v>
      </c>
      <c r="DV6" s="447" t="str">
        <f>'Income Statement'!DV6</f>
        <v>3Q22</v>
      </c>
      <c r="DW6" s="447" t="str">
        <f>'Income Statement'!DW6</f>
        <v>9M22</v>
      </c>
      <c r="DX6" s="447" t="str">
        <f>'Income Statement'!DX6</f>
        <v>4Q22</v>
      </c>
      <c r="DY6" s="447">
        <f>'Income Statement'!DY6</f>
        <v>2022</v>
      </c>
      <c r="DZ6" s="447" t="str">
        <f>'Income Statement'!DZ6</f>
        <v>1Q23</v>
      </c>
      <c r="EA6" s="447" t="str">
        <f>'Income Statement'!EA6</f>
        <v>2Q23</v>
      </c>
      <c r="EB6" s="447" t="str">
        <f>'Income Statement'!EB6</f>
        <v>1H23</v>
      </c>
      <c r="EC6" s="447" t="s">
        <v>616</v>
      </c>
      <c r="ED6" s="447" t="s">
        <v>617</v>
      </c>
      <c r="EE6" s="447" t="s">
        <v>642</v>
      </c>
      <c r="EF6" s="447">
        <v>2023</v>
      </c>
      <c r="EG6" s="447" t="str">
        <f>'Income Statement'!EG6</f>
        <v>1Q24</v>
      </c>
      <c r="EH6" s="447" t="str">
        <f>'Income Statement'!EH6</f>
        <v>2Q24</v>
      </c>
      <c r="EI6" s="447" t="str">
        <f>'Income Statement'!EI6</f>
        <v>1H24</v>
      </c>
      <c r="EJ6" s="447" t="str">
        <f>'Income Statement'!EJ6</f>
        <v>3Q24</v>
      </c>
      <c r="EK6" s="447" t="str">
        <f>'Income Statement'!EK6</f>
        <v>9M24</v>
      </c>
      <c r="EL6" s="447" t="str">
        <f>'Income Statement'!EL6</f>
        <v>4Q24</v>
      </c>
      <c r="EM6" s="447">
        <f>'Income Statement'!EM6</f>
        <v>2024</v>
      </c>
      <c r="EN6" s="447" t="str">
        <f>'Income Statement'!EN6</f>
        <v>1Q25</v>
      </c>
      <c r="EO6" s="447" t="str">
        <f>'Income Statement'!EO6</f>
        <v>2Q25</v>
      </c>
      <c r="EP6" s="447" t="str">
        <f>'Income Statement'!EP6</f>
        <v>1H25</v>
      </c>
      <c r="EQ6" s="447" t="str">
        <f>'Income Statement'!EQ6</f>
        <v>3Q25</v>
      </c>
      <c r="ER6" s="447" t="str">
        <f>'Income Statement'!ER6</f>
        <v>9M25</v>
      </c>
      <c r="ES6" s="447" t="str">
        <f>'Income Statement'!ES6</f>
        <v>4Q25</v>
      </c>
      <c r="ET6" s="447">
        <f>'Income Statement'!ET6</f>
        <v>2025</v>
      </c>
      <c r="EU6" s="447" t="str">
        <f>'Income Statement'!EU6</f>
        <v>1Q26</v>
      </c>
      <c r="EV6" s="447" t="str">
        <f>'Income Statement'!EV6</f>
        <v>2Q26</v>
      </c>
      <c r="EW6" s="447" t="str">
        <f>'Income Statement'!EW6</f>
        <v>1H26</v>
      </c>
    </row>
    <row r="7" spans="1:153" ht="16.350000000000001" customHeight="1">
      <c r="A7" s="18"/>
      <c r="B7" s="19" t="s">
        <v>387</v>
      </c>
      <c r="C7" s="19" t="s">
        <v>343</v>
      </c>
      <c r="D7" s="20">
        <f>'Income Statement'!D60</f>
        <v>2505</v>
      </c>
      <c r="E7" s="20">
        <f>'Income Statement'!E60</f>
        <v>32701</v>
      </c>
      <c r="F7" s="20">
        <f>SUM(D7:E7)</f>
        <v>35206</v>
      </c>
      <c r="G7" s="20">
        <f>'Income Statement'!G60</f>
        <v>-627</v>
      </c>
      <c r="H7" s="20">
        <f>SUM(F7:G7)</f>
        <v>34579</v>
      </c>
      <c r="I7" s="20">
        <f>'Income Statement'!I60</f>
        <v>45712</v>
      </c>
      <c r="J7" s="20">
        <f>SUM(H7:I7)</f>
        <v>80291</v>
      </c>
      <c r="K7" s="20">
        <f>'Income Statement'!K60</f>
        <v>13469</v>
      </c>
      <c r="L7" s="20">
        <f>'Income Statement'!L60</f>
        <v>22873</v>
      </c>
      <c r="M7" s="20">
        <f>SUM(K7:L7)</f>
        <v>36342</v>
      </c>
      <c r="N7" s="20">
        <f>'Income Statement'!N60</f>
        <v>22396</v>
      </c>
      <c r="O7" s="20">
        <f>SUM(M7:N7)</f>
        <v>58738</v>
      </c>
      <c r="P7" s="20">
        <f>'Income Statement'!P60</f>
        <v>40085</v>
      </c>
      <c r="Q7" s="20">
        <f>SUM(O7:P7)</f>
        <v>98823</v>
      </c>
      <c r="R7" s="20">
        <f>'Income Statement'!R60</f>
        <v>16777</v>
      </c>
      <c r="S7" s="20">
        <f>'Income Statement'!S60</f>
        <v>40446</v>
      </c>
      <c r="T7" s="20">
        <f>SUM(R7:S7)</f>
        <v>57223</v>
      </c>
      <c r="U7" s="20">
        <f>'Income Statement'!U60</f>
        <v>35831</v>
      </c>
      <c r="V7" s="20">
        <f>'Income Statement'!V60</f>
        <v>93054</v>
      </c>
      <c r="W7" s="20">
        <f>'Income Statement'!W60</f>
        <v>57618</v>
      </c>
      <c r="X7" s="20">
        <f>SUM(V7:W7)</f>
        <v>150672</v>
      </c>
      <c r="Y7" s="20">
        <f>'Income Statement'!Y60</f>
        <v>25095</v>
      </c>
      <c r="Z7" s="20">
        <f>'Income Statement'!Z60</f>
        <v>43538</v>
      </c>
      <c r="AA7" s="20">
        <f>SUM(Y7:Z7)</f>
        <v>68633</v>
      </c>
      <c r="AB7" s="20">
        <f>'Income Statement'!AB60</f>
        <v>28411</v>
      </c>
      <c r="AC7" s="20">
        <f>SUM(AA7:AB7)</f>
        <v>97044</v>
      </c>
      <c r="AD7" s="20">
        <f>'Income Statement'!AD60</f>
        <v>65406</v>
      </c>
      <c r="AE7" s="20">
        <f>SUM(AC7:AD7)</f>
        <v>162450</v>
      </c>
      <c r="AF7" s="20">
        <f>'Income Statement'!AF60</f>
        <v>10858.279695342848</v>
      </c>
      <c r="AG7" s="20">
        <f>'Income Statement'!AG60</f>
        <v>47823.940966587921</v>
      </c>
      <c r="AH7" s="20">
        <f>SUM(AF7:AG7)</f>
        <v>58682.220661930769</v>
      </c>
      <c r="AI7" s="20">
        <f>'Income Statement'!AI60</f>
        <v>30596.640550408512</v>
      </c>
      <c r="AJ7" s="20">
        <f>SUM(AH7:AI7)</f>
        <v>89278.861212339281</v>
      </c>
      <c r="AK7" s="20">
        <f>'Income Statement'!AK60</f>
        <v>100310.23646145535</v>
      </c>
      <c r="AL7" s="20">
        <f>SUM(AJ7:AK7)</f>
        <v>189589.09767379463</v>
      </c>
      <c r="AM7" s="20">
        <f>'Income Statement'!AM60</f>
        <v>36902</v>
      </c>
      <c r="AN7" s="20">
        <f>'Income Statement'!AN60</f>
        <v>90958</v>
      </c>
      <c r="AO7" s="20">
        <f>SUM(AM7:AN7)</f>
        <v>127860</v>
      </c>
      <c r="AP7" s="20">
        <f>'Income Statement'!AP60</f>
        <v>56998</v>
      </c>
      <c r="AQ7" s="20">
        <f>SUM(AO7:AP7)</f>
        <v>184858</v>
      </c>
      <c r="AR7" s="20">
        <f>'Income Statement'!AR60</f>
        <v>123169</v>
      </c>
      <c r="AS7" s="20">
        <f>SUM(AQ7:AR7)</f>
        <v>308027</v>
      </c>
      <c r="AT7" s="20">
        <f>'Income Statement'!AT60</f>
        <v>47587</v>
      </c>
      <c r="AU7" s="20">
        <f>'Income Statement'!AU60</f>
        <v>113544</v>
      </c>
      <c r="AV7" s="20">
        <f>SUM(AT7:AU7)</f>
        <v>161131</v>
      </c>
      <c r="AW7" s="20">
        <f>'Income Statement'!AW60</f>
        <v>56695.558239999984</v>
      </c>
      <c r="AX7" s="20">
        <f>SUM(AV7:AW7)</f>
        <v>217826.55823999998</v>
      </c>
      <c r="AY7" s="20">
        <f>'Income Statement'!AY60</f>
        <v>119080</v>
      </c>
      <c r="AZ7" s="20">
        <f>SUM(AX7:AY7)</f>
        <v>336906.55823999998</v>
      </c>
      <c r="BA7" s="20">
        <f>'Income Statement'!BA60</f>
        <v>35731</v>
      </c>
      <c r="BB7" s="20">
        <f>'Income Statement'!BB60</f>
        <v>103472</v>
      </c>
      <c r="BC7" s="20">
        <f>SUM(BA7:BB7)</f>
        <v>139203</v>
      </c>
      <c r="BD7" s="20">
        <f>'Income Statement'!BD60</f>
        <v>68523</v>
      </c>
      <c r="BE7" s="20">
        <f>SUM(BC7:BD7)</f>
        <v>207726</v>
      </c>
      <c r="BF7" s="20">
        <f>'Income Statement'!BF60</f>
        <v>147675</v>
      </c>
      <c r="BG7" s="20">
        <f>SUM(BE7:BF7)</f>
        <v>355401</v>
      </c>
      <c r="BH7" s="20">
        <f>'Income Statement'!BH60</f>
        <v>21606</v>
      </c>
      <c r="BI7" s="20">
        <f>'Income Statement'!BI60</f>
        <v>98000</v>
      </c>
      <c r="BJ7" s="20">
        <f>SUM(BH7:BI7)</f>
        <v>119606</v>
      </c>
      <c r="BK7" s="20">
        <f>'Income Statement'!BK60</f>
        <v>71642</v>
      </c>
      <c r="BL7" s="20">
        <f>SUM(BJ7:BK7)</f>
        <v>191248</v>
      </c>
      <c r="BM7" s="20">
        <f>'Income Statement'!BM60</f>
        <v>216154</v>
      </c>
      <c r="BN7" s="20">
        <f>SUM(BL7:BM7)</f>
        <v>407402</v>
      </c>
      <c r="BO7" s="20">
        <f>'Income Statement'!BO60</f>
        <v>50907.450000000012</v>
      </c>
      <c r="BP7" s="20">
        <f>'Income Statement'!BP60</f>
        <v>118478</v>
      </c>
      <c r="BQ7" s="20">
        <f>SUM(BO7:BP7)</f>
        <v>169385.45</v>
      </c>
      <c r="BR7" s="20">
        <f>'Income Statement'!BR60</f>
        <v>83390</v>
      </c>
      <c r="BS7" s="20">
        <f>SUM(BQ7:BR7)</f>
        <v>252775.45</v>
      </c>
      <c r="BT7" s="20">
        <f>'Income Statement'!BT60</f>
        <v>218646.91899999999</v>
      </c>
      <c r="BU7" s="20">
        <f>SUM(BS7:BT7)</f>
        <v>471422.36900000001</v>
      </c>
      <c r="BV7" s="20">
        <f>'Income Statement'!BV60</f>
        <v>73188.497310000137</v>
      </c>
      <c r="BW7" s="20">
        <f>'Income Statement'!BW60</f>
        <v>158168.64064000011</v>
      </c>
      <c r="BX7" s="20">
        <f>SUM(BV7:BW7)</f>
        <v>231357.13795000024</v>
      </c>
      <c r="BY7" s="20">
        <f>'Income Statement'!BY60</f>
        <v>95966</v>
      </c>
      <c r="BZ7" s="20">
        <f>SUM(BX7:BY7)</f>
        <v>327323.13795000024</v>
      </c>
      <c r="CA7" s="20">
        <f>'Income Statement'!CA60</f>
        <v>251514.30340999993</v>
      </c>
      <c r="CB7" s="20">
        <f>SUM(BZ7:CA7)</f>
        <v>578837.44136000017</v>
      </c>
      <c r="CC7" s="20">
        <f>'Income Statement'!CC60</f>
        <v>65515</v>
      </c>
      <c r="CD7" s="20">
        <f>'Income Statement'!CD60</f>
        <v>174808</v>
      </c>
      <c r="CE7" s="20">
        <f>SUM(CC7:CD7)</f>
        <v>240323</v>
      </c>
      <c r="CF7" s="20">
        <f>'Income Statement'!CF60</f>
        <v>84904</v>
      </c>
      <c r="CG7" s="20">
        <f>SUM(CE7:CF7)</f>
        <v>325227</v>
      </c>
      <c r="CH7" s="20">
        <f>'Income Statement'!CH60</f>
        <v>299831</v>
      </c>
      <c r="CI7" s="20">
        <f>'Income Statement'!CI60</f>
        <v>625058</v>
      </c>
      <c r="CJ7" s="20">
        <f>'Income Statement'!CJ60</f>
        <v>66976</v>
      </c>
      <c r="CK7" s="20">
        <f>'Income Statement'!CK60</f>
        <v>193583</v>
      </c>
      <c r="CL7" s="20">
        <f>SUM(CJ7:CK7)</f>
        <v>260559</v>
      </c>
      <c r="CM7" s="20">
        <f>'Income Statement'!CM60</f>
        <v>140319</v>
      </c>
      <c r="CN7" s="20">
        <f>SUM(CL7:CM7)</f>
        <v>400878</v>
      </c>
      <c r="CO7" s="20">
        <f>'Income Statement'!CO60</f>
        <v>331802</v>
      </c>
      <c r="CP7" s="20">
        <f>SUM(CN7:CO7)</f>
        <v>732680</v>
      </c>
      <c r="CQ7" s="20">
        <f>'Income Statement'!CQ60</f>
        <v>111442</v>
      </c>
      <c r="CR7" s="20">
        <f>'Income Statement'!CR60</f>
        <v>274709.43760999991</v>
      </c>
      <c r="CS7" s="20">
        <f>SUM(CQ7:CR7)</f>
        <v>386151.43760999991</v>
      </c>
      <c r="CT7" s="20">
        <f>'Income Statement'!CT60</f>
        <v>194210.95679</v>
      </c>
      <c r="CU7" s="20">
        <f>SUM(CS7:CT7)</f>
        <v>580362.39439999987</v>
      </c>
      <c r="CV7" s="20">
        <f>'Income Statement'!CV60</f>
        <v>439773.25080000004</v>
      </c>
      <c r="CW7" s="20">
        <f>SUM(CU7:CV7)</f>
        <v>1020135.6451999999</v>
      </c>
      <c r="CX7" s="20">
        <f>'Income Statement'!CX60</f>
        <v>155979</v>
      </c>
      <c r="CY7" s="20">
        <f>'Income Statement'!CY60</f>
        <v>230737</v>
      </c>
      <c r="CZ7" s="20">
        <f>SUM(CX7:CY7)</f>
        <v>386716</v>
      </c>
      <c r="DA7" s="20">
        <f>'Income Statement'!DA60</f>
        <v>186732</v>
      </c>
      <c r="DB7" s="20">
        <f>SUM(CZ7:DA7)</f>
        <v>573448</v>
      </c>
      <c r="DC7" s="20">
        <f>'Income Statement'!DC60</f>
        <v>512754</v>
      </c>
      <c r="DD7" s="20">
        <f>SUM(DB7:DC7)</f>
        <v>1086202</v>
      </c>
      <c r="DE7" s="20">
        <f>'Income Statement'!DE60</f>
        <v>7137</v>
      </c>
      <c r="DF7" s="20">
        <f>'Income Statement'!DF60</f>
        <v>818051</v>
      </c>
      <c r="DG7" s="20">
        <f>SUM(DE7:DF7)</f>
        <v>825188</v>
      </c>
      <c r="DH7" s="20">
        <f>'Income Statement'!DH60</f>
        <v>-82873</v>
      </c>
      <c r="DI7" s="20">
        <f>SUM(DG7:DH7)</f>
        <v>742315</v>
      </c>
      <c r="DJ7" s="20">
        <f>'Income Statement'!DJ60</f>
        <v>353954</v>
      </c>
      <c r="DK7" s="20">
        <f>SUM(DI7:DJ7)</f>
        <v>1096269</v>
      </c>
      <c r="DL7" s="20">
        <f>'Income Statement'!DL60</f>
        <v>-147703</v>
      </c>
      <c r="DM7" s="20">
        <f>'Income Statement'!DM60</f>
        <v>193073</v>
      </c>
      <c r="DN7" s="20">
        <f>SUM(DL7:DM7)</f>
        <v>45370</v>
      </c>
      <c r="DO7" s="20">
        <f>'Income Statement'!DO60</f>
        <v>171956</v>
      </c>
      <c r="DP7" s="20">
        <f>SUM(DN7:DO7)</f>
        <v>217326</v>
      </c>
      <c r="DQ7" s="20">
        <f>'Income Statement'!DQ60</f>
        <v>415796</v>
      </c>
      <c r="DR7" s="20">
        <f>SUM(DP7:DQ7)</f>
        <v>633122</v>
      </c>
      <c r="DS7" s="20">
        <v>191630.09</v>
      </c>
      <c r="DT7" s="20">
        <f>'Income Statement'!DT60</f>
        <v>360389</v>
      </c>
      <c r="DU7" s="20">
        <f>SUM(DS7:DT7)</f>
        <v>552019.09</v>
      </c>
      <c r="DV7" s="20">
        <f>'Income Statement'!DV60</f>
        <v>257862</v>
      </c>
      <c r="DW7" s="20">
        <f>SUM(DU7:DV7)</f>
        <v>809881.09</v>
      </c>
      <c r="DX7" s="20">
        <f>'Income Statement'!DX60</f>
        <v>481823</v>
      </c>
      <c r="DY7" s="20">
        <f>SUM(DW7:DX7)</f>
        <v>1291704.0899999999</v>
      </c>
      <c r="DZ7" s="20">
        <f>'Income Statement'!DZ60</f>
        <v>46766</v>
      </c>
      <c r="EA7" s="20">
        <f>'Income Statement'!EA60</f>
        <v>229700</v>
      </c>
      <c r="EB7" s="20">
        <f>SUM(DZ7:EA7)</f>
        <v>276466</v>
      </c>
      <c r="EC7" s="20">
        <f>'Income Statement'!EC60</f>
        <v>172902</v>
      </c>
      <c r="ED7" s="20">
        <f t="shared" ref="ED7:EF10" si="0">SUM(EB7:EC7)</f>
        <v>449368</v>
      </c>
      <c r="EE7" s="20">
        <f>'Income Statement'!EE60</f>
        <v>526891</v>
      </c>
      <c r="EF7" s="20">
        <f t="shared" si="0"/>
        <v>976259</v>
      </c>
      <c r="EG7" s="20">
        <f>'Income Statement'!EG60</f>
        <v>139250</v>
      </c>
      <c r="EH7" s="20">
        <f>'Income Statement'!EH60</f>
        <v>314984</v>
      </c>
      <c r="EI7" s="20">
        <f>SUM(EG7:EH7)</f>
        <v>454234</v>
      </c>
      <c r="EJ7" s="20">
        <f>'Income Statement'!EJ60</f>
        <v>255266</v>
      </c>
      <c r="EK7" s="20">
        <f>SUM(EI7:EJ7)</f>
        <v>709500</v>
      </c>
      <c r="EL7" s="20">
        <f>'Income Statement'!EL60</f>
        <v>487168</v>
      </c>
      <c r="EM7" s="20">
        <f>SUM(EK7:EL7)</f>
        <v>1196668</v>
      </c>
      <c r="EN7" s="20">
        <f>'Income Statement'!EN60</f>
        <v>221033</v>
      </c>
      <c r="EO7" s="20">
        <f>'Income Statement'!EO60</f>
        <v>404496</v>
      </c>
      <c r="EP7" s="20">
        <f>SUM(EN7:EO7)</f>
        <v>625529</v>
      </c>
      <c r="EQ7" s="20">
        <f>'Income Statement'!EQ60</f>
        <v>279395</v>
      </c>
      <c r="ER7" s="20">
        <f>SUM(EP7:EQ7)</f>
        <v>904924</v>
      </c>
      <c r="ES7" s="20">
        <f>'Income Statement'!ES60</f>
        <v>552642</v>
      </c>
      <c r="ET7" s="20">
        <f>SUM(ER7:ES7)</f>
        <v>1457566</v>
      </c>
      <c r="EU7" s="20">
        <f>'Income Statement'!EU60</f>
        <v>257251</v>
      </c>
      <c r="EV7" s="20">
        <f>'Income Statement'!EV60</f>
        <v>404645</v>
      </c>
      <c r="EW7" s="20">
        <f>SUM(EU7:EV7)</f>
        <v>661896</v>
      </c>
    </row>
    <row r="8" spans="1:153" ht="16.350000000000001" customHeight="1">
      <c r="A8" s="18"/>
      <c r="B8" s="21" t="s">
        <v>57</v>
      </c>
      <c r="C8" s="21" t="s">
        <v>58</v>
      </c>
      <c r="D8" s="22">
        <f>-'Income Statement'!D58</f>
        <v>1401</v>
      </c>
      <c r="E8" s="22">
        <f>-'Income Statement'!E58</f>
        <v>16676</v>
      </c>
      <c r="F8" s="22">
        <f t="shared" ref="F8:J10" si="1">SUM(D8:E8)</f>
        <v>18077</v>
      </c>
      <c r="G8" s="22">
        <f>-'Income Statement'!G58</f>
        <v>302</v>
      </c>
      <c r="H8" s="22">
        <f t="shared" si="1"/>
        <v>18379</v>
      </c>
      <c r="I8" s="22">
        <f>-'Income Statement'!I58</f>
        <v>7672</v>
      </c>
      <c r="J8" s="22">
        <f t="shared" si="1"/>
        <v>26051</v>
      </c>
      <c r="K8" s="22">
        <f>-'Income Statement'!K58</f>
        <v>6937</v>
      </c>
      <c r="L8" s="22">
        <f>-'Income Statement'!L58</f>
        <v>11336</v>
      </c>
      <c r="M8" s="22">
        <f t="shared" ref="M8:M10" si="2">SUM(K8:L8)</f>
        <v>18273</v>
      </c>
      <c r="N8" s="22">
        <f>-'Income Statement'!N58</f>
        <v>32</v>
      </c>
      <c r="O8" s="22">
        <f t="shared" ref="O8:O10" si="3">SUM(M8:N8)</f>
        <v>18305</v>
      </c>
      <c r="P8" s="22">
        <f>-'Income Statement'!P58</f>
        <v>12214</v>
      </c>
      <c r="Q8" s="22">
        <f t="shared" ref="Q8:Q10" si="4">SUM(O8:P8)</f>
        <v>30519</v>
      </c>
      <c r="R8" s="22">
        <f>-'Income Statement'!R58</f>
        <v>7342</v>
      </c>
      <c r="S8" s="22">
        <f>-'Income Statement'!S58</f>
        <v>18414</v>
      </c>
      <c r="T8" s="22">
        <f t="shared" ref="T8:T10" si="5">SUM(R8:S8)</f>
        <v>25756</v>
      </c>
      <c r="U8" s="22">
        <f>-'Income Statement'!U58</f>
        <v>16454</v>
      </c>
      <c r="V8" s="369">
        <f>-'Income Statement'!V58</f>
        <v>42210</v>
      </c>
      <c r="W8" s="22">
        <f>-'Income Statement'!W58</f>
        <v>14845</v>
      </c>
      <c r="X8" s="22">
        <f t="shared" ref="X8:X10" si="6">SUM(V8:W8)</f>
        <v>57055</v>
      </c>
      <c r="Y8" s="22">
        <f>-'Income Statement'!Y58</f>
        <v>12117</v>
      </c>
      <c r="Z8" s="22">
        <f>-'Income Statement'!Z58</f>
        <v>21387</v>
      </c>
      <c r="AA8" s="22">
        <f t="shared" ref="AA8:AA10" si="7">SUM(Y8:Z8)</f>
        <v>33504</v>
      </c>
      <c r="AB8" s="22">
        <f>-'Income Statement'!AB58</f>
        <v>14213</v>
      </c>
      <c r="AC8" s="22">
        <f t="shared" ref="AC8:AC10" si="8">SUM(AA8:AB8)</f>
        <v>47717</v>
      </c>
      <c r="AD8" s="22">
        <f>-'Income Statement'!AD58</f>
        <v>15033</v>
      </c>
      <c r="AE8" s="22">
        <f t="shared" ref="AE8:AE10" si="9">SUM(AC8:AD8)</f>
        <v>62750</v>
      </c>
      <c r="AF8" s="22">
        <f>-'Income Statement'!AF58</f>
        <v>5568</v>
      </c>
      <c r="AG8" s="22">
        <f>-'Income Statement'!AG58</f>
        <v>24651</v>
      </c>
      <c r="AH8" s="22">
        <f t="shared" ref="AH8:AH10" si="10">SUM(AF8:AG8)</f>
        <v>30219</v>
      </c>
      <c r="AI8" s="22">
        <f>-'Income Statement'!AI58</f>
        <v>15866</v>
      </c>
      <c r="AJ8" s="22">
        <f t="shared" ref="AJ8:AJ10" si="11">SUM(AH8:AI8)</f>
        <v>46085</v>
      </c>
      <c r="AK8" s="22">
        <f>-'Income Statement'!AK58</f>
        <v>30187</v>
      </c>
      <c r="AL8" s="22">
        <f t="shared" ref="AL8:AL10" si="12">SUM(AJ8:AK8)</f>
        <v>76272</v>
      </c>
      <c r="AM8" s="22">
        <f>-'Income Statement'!AM58</f>
        <v>18660</v>
      </c>
      <c r="AN8" s="22">
        <f>-'Income Statement'!AN58</f>
        <v>45663</v>
      </c>
      <c r="AO8" s="22">
        <f t="shared" ref="AO8:AO10" si="13">SUM(AM8:AN8)</f>
        <v>64323</v>
      </c>
      <c r="AP8" s="22">
        <f>-'Income Statement'!AP58</f>
        <v>29740</v>
      </c>
      <c r="AQ8" s="22">
        <f t="shared" ref="AQ8:AQ10" si="14">SUM(AO8:AP8)</f>
        <v>94063</v>
      </c>
      <c r="AR8" s="22">
        <f>-'Income Statement'!AR58</f>
        <v>29680</v>
      </c>
      <c r="AS8" s="22">
        <f t="shared" ref="AS8:AS10" si="15">SUM(AQ8:AR8)</f>
        <v>123743</v>
      </c>
      <c r="AT8" s="22">
        <f>-'Income Statement'!AT58</f>
        <v>17242</v>
      </c>
      <c r="AU8" s="22">
        <f>-'Income Statement'!AU58</f>
        <v>39328</v>
      </c>
      <c r="AV8" s="22">
        <f t="shared" ref="AV8:AV10" si="16">SUM(AT8:AU8)</f>
        <v>56570</v>
      </c>
      <c r="AW8" s="22">
        <f>-'Income Statement'!AW58</f>
        <v>21601</v>
      </c>
      <c r="AX8" s="22">
        <f t="shared" ref="AX8:AX10" si="17">SUM(AV8:AW8)</f>
        <v>78171</v>
      </c>
      <c r="AY8" s="22">
        <f>-'Income Statement'!AY58</f>
        <v>60315</v>
      </c>
      <c r="AZ8" s="22">
        <f t="shared" ref="AZ8:AZ10" si="18">SUM(AX8:AY8)</f>
        <v>138486</v>
      </c>
      <c r="BA8" s="22">
        <f>-'Income Statement'!BA58</f>
        <v>9490</v>
      </c>
      <c r="BB8" s="22">
        <f>-'Income Statement'!BB58</f>
        <v>44485</v>
      </c>
      <c r="BC8" s="22">
        <f t="shared" ref="BC8:BC10" si="19">SUM(BA8:BB8)</f>
        <v>53975</v>
      </c>
      <c r="BD8" s="22">
        <f>-'Income Statement'!BD58</f>
        <v>26927</v>
      </c>
      <c r="BE8" s="22">
        <f t="shared" ref="BE8:BE10" si="20">SUM(BC8:BD8)</f>
        <v>80902</v>
      </c>
      <c r="BF8" s="22">
        <f>-'Income Statement'!BF58</f>
        <v>72518</v>
      </c>
      <c r="BG8" s="22">
        <f t="shared" ref="BG8:BG10" si="21">SUM(BE8:BF8)</f>
        <v>153420</v>
      </c>
      <c r="BH8" s="22">
        <f>-'Income Statement'!BH58</f>
        <v>6841</v>
      </c>
      <c r="BI8" s="22">
        <f>-'Income Statement'!BI58</f>
        <v>39995</v>
      </c>
      <c r="BJ8" s="22">
        <f t="shared" ref="BJ8:BJ10" si="22">SUM(BH8:BI8)</f>
        <v>46836</v>
      </c>
      <c r="BK8" s="22">
        <f>-'Income Statement'!BK58</f>
        <v>29114</v>
      </c>
      <c r="BL8" s="22">
        <f t="shared" ref="BL8:BL10" si="23">SUM(BJ8:BK8)</f>
        <v>75950</v>
      </c>
      <c r="BM8" s="22">
        <f>-'Income Statement'!BM58</f>
        <v>99360</v>
      </c>
      <c r="BN8" s="22">
        <f t="shared" ref="BN8:BN10" si="24">SUM(BL8:BM8)</f>
        <v>175310</v>
      </c>
      <c r="BO8" s="22">
        <f>-'Income Statement'!BO58</f>
        <v>17583</v>
      </c>
      <c r="BP8" s="22">
        <f>-'Income Statement'!BP58</f>
        <v>49639</v>
      </c>
      <c r="BQ8" s="22">
        <f t="shared" ref="BQ8:BQ10" si="25">SUM(BO8:BP8)</f>
        <v>67222</v>
      </c>
      <c r="BR8" s="22">
        <f>-'Income Statement'!BR58</f>
        <v>36137</v>
      </c>
      <c r="BS8" s="22">
        <f t="shared" ref="BS8:BS10" si="26">SUM(BQ8:BR8)</f>
        <v>103359</v>
      </c>
      <c r="BT8" s="22">
        <f>-'Income Statement'!BT58</f>
        <v>133396</v>
      </c>
      <c r="BU8" s="22">
        <f t="shared" ref="BU8:BU10" si="27">SUM(BS8:BT8)</f>
        <v>236755</v>
      </c>
      <c r="BV8" s="22">
        <f>-'Income Statement'!BV58</f>
        <v>29399.782200000001</v>
      </c>
      <c r="BW8" s="22">
        <f>-'Income Statement'!BW58</f>
        <v>69920</v>
      </c>
      <c r="BX8" s="22">
        <f t="shared" ref="BX8:BX10" si="28">SUM(BV8:BW8)</f>
        <v>99319.782200000001</v>
      </c>
      <c r="BY8" s="22">
        <f>-'Income Statement'!BY58</f>
        <v>33767</v>
      </c>
      <c r="BZ8" s="22">
        <f t="shared" ref="BZ8:BZ10" si="29">SUM(BX8:BY8)</f>
        <v>133086.78220000002</v>
      </c>
      <c r="CA8" s="22">
        <f>-'Income Statement'!CA58</f>
        <v>116742</v>
      </c>
      <c r="CB8" s="22">
        <f t="shared" ref="CB8:CB10" si="30">SUM(BZ8:CA8)</f>
        <v>249828.78220000002</v>
      </c>
      <c r="CC8" s="22">
        <f>-'Income Statement'!CC58</f>
        <v>15948</v>
      </c>
      <c r="CD8" s="22">
        <f>-'Income Statement'!CD58</f>
        <v>70542</v>
      </c>
      <c r="CE8" s="22">
        <f t="shared" ref="CE8:CE10" si="31">SUM(CC8:CD8)</f>
        <v>86490</v>
      </c>
      <c r="CF8" s="22">
        <f>-'Income Statement'!CF58</f>
        <v>21752</v>
      </c>
      <c r="CG8" s="22">
        <f t="shared" ref="CG8:CG10" si="32">SUM(CE8:CF8)</f>
        <v>108242</v>
      </c>
      <c r="CH8" s="22">
        <f>-'Income Statement'!CH58</f>
        <v>139079</v>
      </c>
      <c r="CI8" s="22">
        <f t="shared" ref="CI8" si="33">SUM(CG8:CH8)</f>
        <v>247321</v>
      </c>
      <c r="CJ8" s="22">
        <f>-'Income Statement'!CJ58</f>
        <v>12126</v>
      </c>
      <c r="CK8" s="22">
        <f>-'Income Statement'!CK58</f>
        <v>78682</v>
      </c>
      <c r="CL8" s="22">
        <f t="shared" ref="CL8:CL10" si="34">SUM(CJ8:CK8)</f>
        <v>90808</v>
      </c>
      <c r="CM8" s="22">
        <f>-'Income Statement'!CM58</f>
        <v>44304</v>
      </c>
      <c r="CN8" s="22">
        <f t="shared" ref="CN8:CN10" si="35">SUM(CL8:CM8)</f>
        <v>135112</v>
      </c>
      <c r="CO8" s="22">
        <f>-'Income Statement'!CO58</f>
        <v>136346</v>
      </c>
      <c r="CP8" s="22">
        <f t="shared" ref="CP8:CP10" si="36">SUM(CN8:CO8)</f>
        <v>271458</v>
      </c>
      <c r="CQ8" s="22">
        <f>-'Income Statement'!CQ58</f>
        <v>44732</v>
      </c>
      <c r="CR8" s="22">
        <f>-'Income Statement'!CR58</f>
        <v>63946.505109999998</v>
      </c>
      <c r="CS8" s="22">
        <f t="shared" ref="CS8:CS10" si="37">SUM(CQ8:CR8)</f>
        <v>108678.50511</v>
      </c>
      <c r="CT8" s="22">
        <f>-'Income Statement'!CT58</f>
        <v>46815.47496</v>
      </c>
      <c r="CU8" s="22">
        <f t="shared" ref="CU8:CU10" si="38">SUM(CS8:CT8)</f>
        <v>155493.98006999999</v>
      </c>
      <c r="CV8" s="22">
        <f>-'Income Statement'!CV58</f>
        <v>194563</v>
      </c>
      <c r="CW8" s="22">
        <f t="shared" ref="CW8:CW10" si="39">SUM(CU8:CV8)</f>
        <v>350056.98006999999</v>
      </c>
      <c r="CX8" s="22">
        <f>-'Income Statement'!CX58</f>
        <v>46776</v>
      </c>
      <c r="CY8" s="22">
        <f>-'Income Statement'!CY58</f>
        <v>89547</v>
      </c>
      <c r="CZ8" s="22">
        <f t="shared" ref="CZ8:CZ10" si="40">SUM(CX8:CY8)</f>
        <v>136323</v>
      </c>
      <c r="DA8" s="22">
        <f>-'Income Statement'!DA58</f>
        <v>62674</v>
      </c>
      <c r="DB8" s="22">
        <f t="shared" ref="DB8:DB10" si="41">SUM(CZ8:DA8)</f>
        <v>198997</v>
      </c>
      <c r="DC8" s="22">
        <f>-'Income Statement'!DC58</f>
        <v>206784</v>
      </c>
      <c r="DD8" s="22">
        <f t="shared" ref="DD8:DD10" si="42">SUM(DB8:DC8)</f>
        <v>405781</v>
      </c>
      <c r="DE8" s="22">
        <f>-'Income Statement'!DE58</f>
        <v>-24569</v>
      </c>
      <c r="DF8" s="22">
        <f>-'Income Statement'!DF58</f>
        <v>95810</v>
      </c>
      <c r="DG8" s="22">
        <f t="shared" ref="DG8:DG10" si="43">SUM(DE8:DF8)</f>
        <v>71241</v>
      </c>
      <c r="DH8" s="22">
        <f>-'Income Statement'!DH58</f>
        <v>-101126</v>
      </c>
      <c r="DI8" s="22">
        <f t="shared" ref="DI8:DI10" si="44">SUM(DG8:DH8)</f>
        <v>-29885</v>
      </c>
      <c r="DJ8" s="22">
        <f>-'Income Statement'!DJ58</f>
        <v>134377</v>
      </c>
      <c r="DK8" s="22">
        <f t="shared" ref="DK8:DK10" si="45">SUM(DI8:DJ8)</f>
        <v>104492</v>
      </c>
      <c r="DL8" s="22">
        <f>-'Income Statement'!DL58</f>
        <v>-103876</v>
      </c>
      <c r="DM8" s="22">
        <f>-'Income Statement'!DM58</f>
        <v>16271</v>
      </c>
      <c r="DN8" s="22">
        <f t="shared" ref="DN8:DN10" si="46">SUM(DL8:DM8)</f>
        <v>-87605</v>
      </c>
      <c r="DO8" s="22">
        <f>-'Income Statement'!DO58</f>
        <v>17327</v>
      </c>
      <c r="DP8" s="22">
        <f>-'Income Statement'!DP58</f>
        <v>-70278</v>
      </c>
      <c r="DQ8" s="22">
        <f>-'Income Statement'!DQ58</f>
        <v>77019</v>
      </c>
      <c r="DR8" s="22">
        <f>-'Income Statement'!DR58</f>
        <v>6741</v>
      </c>
      <c r="DS8" s="22">
        <f>-'Income Statement'!DS58</f>
        <v>-30803</v>
      </c>
      <c r="DT8" s="22">
        <f>-'Income Statement'!DT58</f>
        <v>70778</v>
      </c>
      <c r="DU8" s="22">
        <f t="shared" ref="DU8:DU10" si="47">SUM(DS8:DT8)</f>
        <v>39975</v>
      </c>
      <c r="DV8" s="22">
        <f>-'Income Statement'!DV58</f>
        <v>-56997</v>
      </c>
      <c r="DW8" s="22">
        <f t="shared" ref="DW8:DW10" si="48">SUM(DU8:DV8)</f>
        <v>-17022</v>
      </c>
      <c r="DX8" s="22">
        <f>-'Income Statement'!DX58</f>
        <v>109603</v>
      </c>
      <c r="DY8" s="22">
        <f t="shared" ref="DY8:DY10" si="49">SUM(DW8:DX8)</f>
        <v>92581</v>
      </c>
      <c r="DZ8" s="22">
        <f>-'Income Statement'!DZ58</f>
        <v>-88461</v>
      </c>
      <c r="EA8" s="22">
        <f>-'Income Statement'!EA58</f>
        <v>-33932</v>
      </c>
      <c r="EB8" s="22">
        <f t="shared" ref="EB8:EB10" si="50">SUM(DZ8:EA8)</f>
        <v>-122393</v>
      </c>
      <c r="EC8" s="22">
        <f>-'Income Statement'!EC58</f>
        <v>-96526</v>
      </c>
      <c r="ED8" s="22">
        <f t="shared" si="0"/>
        <v>-218919</v>
      </c>
      <c r="EE8" s="22">
        <f>-'Income Statement'!EE58</f>
        <v>83327</v>
      </c>
      <c r="EF8" s="22">
        <f t="shared" si="0"/>
        <v>-135592</v>
      </c>
      <c r="EG8" s="22">
        <f>-'Income Statement'!EG58</f>
        <v>-27414</v>
      </c>
      <c r="EH8" s="22">
        <f>-'Income Statement'!EH58</f>
        <v>69318</v>
      </c>
      <c r="EI8" s="22">
        <f t="shared" ref="EI8:EI10" si="51">SUM(EG8:EH8)</f>
        <v>41904</v>
      </c>
      <c r="EJ8" s="22">
        <f>-'Income Statement'!EJ58</f>
        <v>24334</v>
      </c>
      <c r="EK8" s="22">
        <f t="shared" ref="EK8:EK10" si="52">SUM(EI8:EJ8)</f>
        <v>66238</v>
      </c>
      <c r="EL8" s="22">
        <f>-'Income Statement'!EL58</f>
        <v>58091</v>
      </c>
      <c r="EM8" s="22">
        <f t="shared" ref="EM8:EM10" si="53">SUM(EK8:EL8)</f>
        <v>124329</v>
      </c>
      <c r="EN8" s="22">
        <f>-'Income Statement'!EN58</f>
        <v>33489</v>
      </c>
      <c r="EO8" s="22">
        <f>-'Income Statement'!EO58</f>
        <v>107555</v>
      </c>
      <c r="EP8" s="22">
        <f t="shared" ref="EP8:EP10" si="54">SUM(EN8:EO8)</f>
        <v>141044</v>
      </c>
      <c r="EQ8" s="22">
        <f>-'Income Statement'!EQ58</f>
        <v>-19796</v>
      </c>
      <c r="ER8" s="22">
        <f t="shared" ref="ER8:ER10" si="55">SUM(EP8:EQ8)</f>
        <v>121248</v>
      </c>
      <c r="ES8" s="22">
        <f>-'Income Statement'!ES58</f>
        <v>135862</v>
      </c>
      <c r="ET8" s="22">
        <f t="shared" ref="ET8:ET10" si="56">SUM(ER8:ES8)</f>
        <v>257110</v>
      </c>
      <c r="EU8" s="22">
        <f>-'Income Statement'!EU58</f>
        <v>10071</v>
      </c>
      <c r="EV8" s="22">
        <f>-'Income Statement'!EV58</f>
        <v>88555</v>
      </c>
      <c r="EW8" s="22">
        <f t="shared" ref="EW8:EW10" si="57">SUM(EU8:EV8)</f>
        <v>98626</v>
      </c>
    </row>
    <row r="9" spans="1:153" ht="16.350000000000001" customHeight="1">
      <c r="A9" s="18"/>
      <c r="B9" s="23" t="s">
        <v>369</v>
      </c>
      <c r="C9" s="23" t="s">
        <v>65</v>
      </c>
      <c r="D9" s="24">
        <f>-'Income Statement'!D55</f>
        <v>7665</v>
      </c>
      <c r="E9" s="24">
        <f>-'Income Statement'!E55</f>
        <v>-19938</v>
      </c>
      <c r="F9" s="24">
        <f t="shared" si="1"/>
        <v>-12273</v>
      </c>
      <c r="G9" s="24">
        <f>-'Income Statement'!G55</f>
        <v>-1234</v>
      </c>
      <c r="H9" s="24">
        <f t="shared" si="1"/>
        <v>-13507</v>
      </c>
      <c r="I9" s="24">
        <f>-'Income Statement'!I55</f>
        <v>-3820</v>
      </c>
      <c r="J9" s="24">
        <f t="shared" si="1"/>
        <v>-17327</v>
      </c>
      <c r="K9" s="24">
        <f>-'Income Statement'!K55</f>
        <v>388</v>
      </c>
      <c r="L9" s="24">
        <f>-'Income Statement'!L55</f>
        <v>1397</v>
      </c>
      <c r="M9" s="24">
        <f t="shared" si="2"/>
        <v>1785</v>
      </c>
      <c r="N9" s="24">
        <f>-'Income Statement'!N55</f>
        <v>452</v>
      </c>
      <c r="O9" s="24">
        <f t="shared" si="3"/>
        <v>2237</v>
      </c>
      <c r="P9" s="24">
        <f>-'Income Statement'!P55</f>
        <v>1097</v>
      </c>
      <c r="Q9" s="24">
        <f t="shared" si="4"/>
        <v>3334</v>
      </c>
      <c r="R9" s="24">
        <f>-'Income Statement'!R55</f>
        <v>3098</v>
      </c>
      <c r="S9" s="24">
        <f>-'Income Statement'!S55</f>
        <v>3754</v>
      </c>
      <c r="T9" s="24">
        <f t="shared" si="5"/>
        <v>6852</v>
      </c>
      <c r="U9" s="24">
        <f>-'Income Statement'!U55</f>
        <v>2734</v>
      </c>
      <c r="V9" s="362">
        <f>-'Income Statement'!V55</f>
        <v>9586</v>
      </c>
      <c r="W9" s="24">
        <f>-'Income Statement'!W55</f>
        <v>3671</v>
      </c>
      <c r="X9" s="24">
        <f t="shared" si="6"/>
        <v>13257</v>
      </c>
      <c r="Y9" s="24">
        <f>-'Income Statement'!Y55</f>
        <v>579</v>
      </c>
      <c r="Z9" s="24">
        <f>-'Income Statement'!Z55</f>
        <v>2342</v>
      </c>
      <c r="AA9" s="24">
        <f t="shared" si="7"/>
        <v>2921</v>
      </c>
      <c r="AB9" s="374">
        <f>-'Income Statement'!AB55</f>
        <v>-167</v>
      </c>
      <c r="AC9" s="24">
        <f t="shared" si="8"/>
        <v>2754</v>
      </c>
      <c r="AD9" s="24">
        <f>-'Income Statement'!AD55</f>
        <v>-6924</v>
      </c>
      <c r="AE9" s="24">
        <f t="shared" si="9"/>
        <v>-4170</v>
      </c>
      <c r="AF9" s="24">
        <f>-'Income Statement'!AF55</f>
        <v>33</v>
      </c>
      <c r="AG9" s="24">
        <f>-'Income Statement'!AG55</f>
        <v>-2305</v>
      </c>
      <c r="AH9" s="24">
        <f t="shared" si="10"/>
        <v>-2272</v>
      </c>
      <c r="AI9" s="24">
        <f>-'Income Statement'!AI55</f>
        <v>-1571</v>
      </c>
      <c r="AJ9" s="24">
        <f t="shared" si="11"/>
        <v>-3843</v>
      </c>
      <c r="AK9" s="24">
        <f>-'Income Statement'!AK55</f>
        <v>-3775</v>
      </c>
      <c r="AL9" s="24">
        <f t="shared" si="12"/>
        <v>-7618</v>
      </c>
      <c r="AM9" s="24">
        <f>-'Income Statement'!AM55</f>
        <v>-5452</v>
      </c>
      <c r="AN9" s="24">
        <f>-'Income Statement'!AN55</f>
        <v>-7078</v>
      </c>
      <c r="AO9" s="24">
        <f t="shared" si="13"/>
        <v>-12530</v>
      </c>
      <c r="AP9" s="24">
        <f>-'Income Statement'!AP55</f>
        <v>-8586</v>
      </c>
      <c r="AQ9" s="24">
        <f t="shared" si="14"/>
        <v>-21116</v>
      </c>
      <c r="AR9" s="24">
        <f>-'Income Statement'!AR55</f>
        <v>-6181</v>
      </c>
      <c r="AS9" s="24">
        <f t="shared" si="15"/>
        <v>-27297</v>
      </c>
      <c r="AT9" s="24">
        <f>-'Income Statement'!AT55</f>
        <v>-5770</v>
      </c>
      <c r="AU9" s="24">
        <f>-'Income Statement'!AU55</f>
        <v>-1380</v>
      </c>
      <c r="AV9" s="24">
        <f t="shared" si="16"/>
        <v>-7150</v>
      </c>
      <c r="AW9" s="24">
        <f>-'Income Statement'!AW55</f>
        <v>-1667</v>
      </c>
      <c r="AX9" s="24">
        <f t="shared" si="17"/>
        <v>-8817</v>
      </c>
      <c r="AY9" s="24">
        <f>-'Income Statement'!AY55</f>
        <v>6057</v>
      </c>
      <c r="AZ9" s="24">
        <f t="shared" si="18"/>
        <v>-2760</v>
      </c>
      <c r="BA9" s="24">
        <f>-'Income Statement'!BA55</f>
        <v>4007</v>
      </c>
      <c r="BB9" s="24">
        <f>-'Income Statement'!BB55</f>
        <v>6518</v>
      </c>
      <c r="BC9" s="24">
        <f t="shared" si="19"/>
        <v>10525</v>
      </c>
      <c r="BD9" s="24">
        <f>-'Income Statement'!BD55</f>
        <v>14867</v>
      </c>
      <c r="BE9" s="24">
        <f t="shared" si="20"/>
        <v>25392</v>
      </c>
      <c r="BF9" s="24">
        <f>-'Income Statement'!BF55</f>
        <v>25038</v>
      </c>
      <c r="BG9" s="24">
        <f t="shared" si="21"/>
        <v>50430</v>
      </c>
      <c r="BH9" s="24">
        <f>-'Income Statement'!BH55</f>
        <v>17730</v>
      </c>
      <c r="BI9" s="24">
        <f>-'Income Statement'!BI55</f>
        <v>19426</v>
      </c>
      <c r="BJ9" s="24">
        <f t="shared" si="22"/>
        <v>37156</v>
      </c>
      <c r="BK9" s="24">
        <f>-'Income Statement'!BK55</f>
        <v>9933</v>
      </c>
      <c r="BL9" s="24">
        <f t="shared" si="23"/>
        <v>47089</v>
      </c>
      <c r="BM9" s="24">
        <f>-'Income Statement'!BM55</f>
        <v>20635</v>
      </c>
      <c r="BN9" s="24">
        <f t="shared" si="24"/>
        <v>67724</v>
      </c>
      <c r="BO9" s="24">
        <f>-'Income Statement'!BO55</f>
        <v>15246</v>
      </c>
      <c r="BP9" s="24">
        <f>-'Income Statement'!BP55</f>
        <v>21291</v>
      </c>
      <c r="BQ9" s="24">
        <f t="shared" si="25"/>
        <v>36537</v>
      </c>
      <c r="BR9" s="24">
        <f>-'Income Statement'!BR55</f>
        <v>22374</v>
      </c>
      <c r="BS9" s="24">
        <f t="shared" si="26"/>
        <v>58911</v>
      </c>
      <c r="BT9" s="24">
        <f>-'Income Statement'!BT55</f>
        <v>34963</v>
      </c>
      <c r="BU9" s="24">
        <f t="shared" si="27"/>
        <v>93874</v>
      </c>
      <c r="BV9" s="24">
        <f>-'Income Statement'!BV55</f>
        <v>27985</v>
      </c>
      <c r="BW9" s="24">
        <f>-'Income Statement'!BW55</f>
        <v>25785</v>
      </c>
      <c r="BX9" s="24">
        <f t="shared" si="28"/>
        <v>53770</v>
      </c>
      <c r="BY9" s="24">
        <f>-'Income Statement'!BY55</f>
        <v>26923</v>
      </c>
      <c r="BZ9" s="24">
        <f t="shared" si="29"/>
        <v>80693</v>
      </c>
      <c r="CA9" s="24">
        <f>-'Income Statement'!CA55</f>
        <v>23893</v>
      </c>
      <c r="CB9" s="24">
        <f t="shared" si="30"/>
        <v>104586</v>
      </c>
      <c r="CC9" s="24">
        <f>-'Income Statement'!CC55</f>
        <v>24080</v>
      </c>
      <c r="CD9" s="24">
        <f>-'Income Statement'!CD55</f>
        <v>27109</v>
      </c>
      <c r="CE9" s="24">
        <f t="shared" si="31"/>
        <v>51189</v>
      </c>
      <c r="CF9" s="24">
        <f>-'Income Statement'!CF55</f>
        <v>26239</v>
      </c>
      <c r="CG9" s="24">
        <f t="shared" si="32"/>
        <v>77428</v>
      </c>
      <c r="CH9" s="24">
        <f>-'Income Statement'!CH55</f>
        <v>25885</v>
      </c>
      <c r="CI9" s="24">
        <f>-'Income Statement'!CI55</f>
        <v>103313</v>
      </c>
      <c r="CJ9" s="24">
        <f>-'Income Statement'!CJ55</f>
        <v>24934</v>
      </c>
      <c r="CK9" s="24">
        <f>-'Income Statement'!CK55</f>
        <v>22443</v>
      </c>
      <c r="CL9" s="24">
        <f t="shared" si="34"/>
        <v>47377</v>
      </c>
      <c r="CM9" s="24">
        <f>-'Income Statement'!CM55</f>
        <v>21305</v>
      </c>
      <c r="CN9" s="24">
        <f t="shared" si="35"/>
        <v>68682</v>
      </c>
      <c r="CO9" s="24">
        <f>-'Income Statement'!CO55</f>
        <v>14419</v>
      </c>
      <c r="CP9" s="24">
        <f t="shared" si="36"/>
        <v>83101</v>
      </c>
      <c r="CQ9" s="24">
        <f>-'Income Statement'!CQ55</f>
        <v>13881</v>
      </c>
      <c r="CR9" s="24">
        <f>-'Income Statement'!CR55</f>
        <v>13318.022140000099</v>
      </c>
      <c r="CS9" s="24">
        <f t="shared" si="37"/>
        <v>27199.022140000099</v>
      </c>
      <c r="CT9" s="24">
        <f>-'Income Statement'!CT55</f>
        <v>17462</v>
      </c>
      <c r="CU9" s="24">
        <f t="shared" si="38"/>
        <v>44661.022140000103</v>
      </c>
      <c r="CV9" s="24">
        <f>-'Income Statement'!CV55</f>
        <v>8967</v>
      </c>
      <c r="CW9" s="24">
        <f t="shared" si="39"/>
        <v>53628.022140000103</v>
      </c>
      <c r="CX9" s="24">
        <f>-'Income Statement'!CX55</f>
        <v>45121</v>
      </c>
      <c r="CY9" s="24">
        <f>-'Income Statement'!CY55</f>
        <v>53581</v>
      </c>
      <c r="CZ9" s="24">
        <f t="shared" si="40"/>
        <v>98702</v>
      </c>
      <c r="DA9" s="24">
        <f>-'Income Statement'!DA55</f>
        <v>40636</v>
      </c>
      <c r="DB9" s="24">
        <f t="shared" si="41"/>
        <v>139338</v>
      </c>
      <c r="DC9" s="24">
        <f>-'Income Statement'!DC55</f>
        <v>45057</v>
      </c>
      <c r="DD9" s="24">
        <f t="shared" si="42"/>
        <v>184395</v>
      </c>
      <c r="DE9" s="24">
        <f>-'Income Statement'!DE55</f>
        <v>49767</v>
      </c>
      <c r="DF9" s="24">
        <f>-'Income Statement'!DF55</f>
        <v>-493605</v>
      </c>
      <c r="DG9" s="24">
        <f t="shared" si="43"/>
        <v>-443838</v>
      </c>
      <c r="DH9" s="24">
        <f>-'Income Statement'!DH55</f>
        <v>57386</v>
      </c>
      <c r="DI9" s="24">
        <f t="shared" si="44"/>
        <v>-386452</v>
      </c>
      <c r="DJ9" s="24">
        <f>-'Income Statement'!DJ55</f>
        <v>42570</v>
      </c>
      <c r="DK9" s="24">
        <f t="shared" si="45"/>
        <v>-343882</v>
      </c>
      <c r="DL9" s="24">
        <f>-'Income Statement'!DL55</f>
        <v>78216</v>
      </c>
      <c r="DM9" s="24">
        <f>-'Income Statement'!DM55</f>
        <v>51250</v>
      </c>
      <c r="DN9" s="24">
        <f t="shared" si="46"/>
        <v>129466</v>
      </c>
      <c r="DO9" s="24">
        <f>-'Income Statement'!DO55</f>
        <v>18470</v>
      </c>
      <c r="DP9" s="24">
        <f t="shared" ref="DP9:DP10" si="58">SUM(DN9:DO9)</f>
        <v>147936</v>
      </c>
      <c r="DQ9" s="24">
        <f>-'Income Statement'!DQ55</f>
        <v>26155</v>
      </c>
      <c r="DR9" s="24">
        <f t="shared" ref="DR9:DR10" si="59">SUM(DP9:DQ9)</f>
        <v>174091</v>
      </c>
      <c r="DS9" s="24">
        <f>-'Income Statement'!DS55</f>
        <v>-16985</v>
      </c>
      <c r="DT9" s="24">
        <f>-'Income Statement'!DT55</f>
        <v>3473</v>
      </c>
      <c r="DU9" s="24">
        <f t="shared" si="47"/>
        <v>-13512</v>
      </c>
      <c r="DV9" s="24">
        <f>-'Income Statement'!DV55</f>
        <v>130</v>
      </c>
      <c r="DW9" s="24">
        <f t="shared" si="48"/>
        <v>-13382</v>
      </c>
      <c r="DX9" s="24">
        <f>-'Income Statement'!DX55</f>
        <v>36498</v>
      </c>
      <c r="DY9" s="24">
        <f t="shared" si="49"/>
        <v>23116</v>
      </c>
      <c r="DZ9" s="24">
        <f>-'Income Statement'!DZ55</f>
        <v>15034</v>
      </c>
      <c r="EA9" s="24">
        <f>-'Income Statement'!EA55</f>
        <v>28662</v>
      </c>
      <c r="EB9" s="24">
        <f t="shared" si="50"/>
        <v>43696</v>
      </c>
      <c r="EC9" s="24">
        <f>-'Income Statement'!EC55</f>
        <v>15452</v>
      </c>
      <c r="ED9" s="24">
        <f t="shared" si="0"/>
        <v>59148</v>
      </c>
      <c r="EE9" s="24">
        <f>-'Income Statement'!EE55</f>
        <v>-10738</v>
      </c>
      <c r="EF9" s="24">
        <f t="shared" si="0"/>
        <v>48410</v>
      </c>
      <c r="EG9" s="24">
        <f>-'Income Statement'!EG55</f>
        <v>-35626</v>
      </c>
      <c r="EH9" s="24">
        <f>-'Income Statement'!EH55</f>
        <v>-29584</v>
      </c>
      <c r="EI9" s="24">
        <f t="shared" si="51"/>
        <v>-65210</v>
      </c>
      <c r="EJ9" s="24">
        <f>-'Income Statement'!EJ55</f>
        <v>-6647</v>
      </c>
      <c r="EK9" s="24">
        <f t="shared" si="52"/>
        <v>-71857</v>
      </c>
      <c r="EL9" s="24">
        <f>-'Income Statement'!EL55</f>
        <v>10203</v>
      </c>
      <c r="EM9" s="24">
        <f t="shared" si="53"/>
        <v>-61654</v>
      </c>
      <c r="EN9" s="24">
        <f>-'Income Statement'!EN55</f>
        <v>18484</v>
      </c>
      <c r="EO9" s="24">
        <f>-'Income Statement'!EO55</f>
        <v>45850</v>
      </c>
      <c r="EP9" s="24">
        <f t="shared" si="54"/>
        <v>64334</v>
      </c>
      <c r="EQ9" s="24">
        <f>-'Income Statement'!EQ55</f>
        <v>19104</v>
      </c>
      <c r="ER9" s="24">
        <f t="shared" si="55"/>
        <v>83438</v>
      </c>
      <c r="ES9" s="24">
        <f>-'Income Statement'!ES55</f>
        <v>-954</v>
      </c>
      <c r="ET9" s="24">
        <f t="shared" si="56"/>
        <v>82484</v>
      </c>
      <c r="EU9" s="24">
        <f>-'Income Statement'!EU55</f>
        <v>22129</v>
      </c>
      <c r="EV9" s="24">
        <f>-'Income Statement'!EV55</f>
        <v>33419</v>
      </c>
      <c r="EW9" s="24">
        <f t="shared" si="57"/>
        <v>55548</v>
      </c>
    </row>
    <row r="10" spans="1:153" ht="16.350000000000001" customHeight="1">
      <c r="B10" s="23" t="s">
        <v>366</v>
      </c>
      <c r="C10" s="23" t="s">
        <v>55</v>
      </c>
      <c r="D10" s="25">
        <f>-'Income Statement'!D40</f>
        <v>9771</v>
      </c>
      <c r="E10" s="25">
        <f>-'Income Statement'!E40</f>
        <v>8075</v>
      </c>
      <c r="F10" s="25">
        <f t="shared" si="1"/>
        <v>17846</v>
      </c>
      <c r="G10" s="25">
        <f>-'Income Statement'!G40</f>
        <v>8020</v>
      </c>
      <c r="H10" s="25">
        <f t="shared" si="1"/>
        <v>25866</v>
      </c>
      <c r="I10" s="25">
        <f>-'Income Statement'!I40</f>
        <v>8159</v>
      </c>
      <c r="J10" s="25">
        <f t="shared" si="1"/>
        <v>34025</v>
      </c>
      <c r="K10" s="25">
        <f>-'Income Statement'!K40</f>
        <v>8642</v>
      </c>
      <c r="L10" s="25">
        <f>-'Income Statement'!L40</f>
        <v>9384</v>
      </c>
      <c r="M10" s="25">
        <f t="shared" si="2"/>
        <v>18026</v>
      </c>
      <c r="N10" s="25">
        <f>-'Income Statement'!N40</f>
        <v>10072</v>
      </c>
      <c r="O10" s="25">
        <f t="shared" si="3"/>
        <v>28098</v>
      </c>
      <c r="P10" s="25">
        <f>-'Income Statement'!P40</f>
        <v>10721</v>
      </c>
      <c r="Q10" s="25">
        <f t="shared" si="4"/>
        <v>38819</v>
      </c>
      <c r="R10" s="25">
        <f>-'Income Statement'!R40</f>
        <v>11703</v>
      </c>
      <c r="S10" s="25">
        <f>-'Income Statement'!S40</f>
        <v>12100</v>
      </c>
      <c r="T10" s="25">
        <f t="shared" si="5"/>
        <v>23803</v>
      </c>
      <c r="U10" s="25">
        <f>-'Income Statement'!U40</f>
        <v>12625</v>
      </c>
      <c r="V10" s="363">
        <f>-'Income Statement'!V40</f>
        <v>36428</v>
      </c>
      <c r="W10" s="25">
        <f>-'Income Statement'!W40</f>
        <v>13279</v>
      </c>
      <c r="X10" s="25">
        <f t="shared" si="6"/>
        <v>49707</v>
      </c>
      <c r="Y10" s="25">
        <f>-'Income Statement'!Y40</f>
        <v>14580</v>
      </c>
      <c r="Z10" s="25">
        <f>-'Income Statement'!Z40</f>
        <v>15314</v>
      </c>
      <c r="AA10" s="25">
        <f t="shared" si="7"/>
        <v>29894</v>
      </c>
      <c r="AB10" s="375">
        <f>-'Income Statement'!AB40</f>
        <v>15975</v>
      </c>
      <c r="AC10" s="25">
        <f t="shared" si="8"/>
        <v>45869</v>
      </c>
      <c r="AD10" s="25">
        <f>-'Income Statement'!AD40</f>
        <v>16157</v>
      </c>
      <c r="AE10" s="25">
        <f t="shared" si="9"/>
        <v>62026</v>
      </c>
      <c r="AF10" s="25">
        <f>-'Income Statement'!AF40</f>
        <v>18139</v>
      </c>
      <c r="AG10" s="25">
        <f>-'Income Statement'!AG40</f>
        <v>18342</v>
      </c>
      <c r="AH10" s="25">
        <f t="shared" si="10"/>
        <v>36481</v>
      </c>
      <c r="AI10" s="25">
        <f>-'Income Statement'!AI40</f>
        <v>18799</v>
      </c>
      <c r="AJ10" s="25">
        <f t="shared" si="11"/>
        <v>55280</v>
      </c>
      <c r="AK10" s="25">
        <f>-'Income Statement'!AK40</f>
        <v>18793</v>
      </c>
      <c r="AL10" s="25">
        <f t="shared" si="12"/>
        <v>74073</v>
      </c>
      <c r="AM10" s="25">
        <f>-'Income Statement'!AM40</f>
        <v>18795</v>
      </c>
      <c r="AN10" s="25">
        <f>-'Income Statement'!AN40</f>
        <v>17923</v>
      </c>
      <c r="AO10" s="25">
        <f t="shared" si="13"/>
        <v>36718</v>
      </c>
      <c r="AP10" s="25">
        <f>-'Income Statement'!AP40</f>
        <v>18294</v>
      </c>
      <c r="AQ10" s="25">
        <f t="shared" si="14"/>
        <v>55012</v>
      </c>
      <c r="AR10" s="25">
        <f>-'Income Statement'!AR40</f>
        <v>20775</v>
      </c>
      <c r="AS10" s="25">
        <f t="shared" si="15"/>
        <v>75787</v>
      </c>
      <c r="AT10" s="25">
        <f>-'Income Statement'!AT40</f>
        <v>21515</v>
      </c>
      <c r="AU10" s="25">
        <f>-'Income Statement'!AU40</f>
        <v>22579</v>
      </c>
      <c r="AV10" s="25">
        <f t="shared" si="16"/>
        <v>44094</v>
      </c>
      <c r="AW10" s="25">
        <f>-'Income Statement'!AW40</f>
        <v>24173</v>
      </c>
      <c r="AX10" s="25">
        <f t="shared" si="17"/>
        <v>68267</v>
      </c>
      <c r="AY10" s="25">
        <f>-'Income Statement'!AY40</f>
        <v>29371</v>
      </c>
      <c r="AZ10" s="25">
        <f t="shared" si="18"/>
        <v>97638</v>
      </c>
      <c r="BA10" s="25">
        <f>-'Income Statement'!BA40</f>
        <v>30147</v>
      </c>
      <c r="BB10" s="25">
        <f>-'Income Statement'!BB40</f>
        <v>31930</v>
      </c>
      <c r="BC10" s="25">
        <f t="shared" si="19"/>
        <v>62077</v>
      </c>
      <c r="BD10" s="25">
        <f>-'Income Statement'!BD40</f>
        <v>33749</v>
      </c>
      <c r="BE10" s="25">
        <f t="shared" si="20"/>
        <v>95826</v>
      </c>
      <c r="BF10" s="25">
        <f>-'Income Statement'!BF40</f>
        <v>37124</v>
      </c>
      <c r="BG10" s="25">
        <f t="shared" si="21"/>
        <v>132950</v>
      </c>
      <c r="BH10" s="25">
        <f>-'Income Statement'!BH40</f>
        <v>39291</v>
      </c>
      <c r="BI10" s="25">
        <f>-'Income Statement'!BI40</f>
        <v>40586</v>
      </c>
      <c r="BJ10" s="25">
        <f t="shared" si="22"/>
        <v>79877</v>
      </c>
      <c r="BK10" s="25">
        <f>-'Income Statement'!BK40</f>
        <v>42276</v>
      </c>
      <c r="BL10" s="25">
        <f t="shared" si="23"/>
        <v>122153</v>
      </c>
      <c r="BM10" s="25">
        <f>-'Income Statement'!BM40</f>
        <v>45284</v>
      </c>
      <c r="BN10" s="25">
        <f t="shared" si="24"/>
        <v>167437</v>
      </c>
      <c r="BO10" s="25">
        <f>-'Income Statement'!BO40</f>
        <v>48304.26</v>
      </c>
      <c r="BP10" s="25">
        <f>-'Income Statement'!BP40</f>
        <v>51633</v>
      </c>
      <c r="BQ10" s="25">
        <f t="shared" si="25"/>
        <v>99937.260000000009</v>
      </c>
      <c r="BR10" s="25">
        <f>-'Income Statement'!BR40</f>
        <v>55024</v>
      </c>
      <c r="BS10" s="25">
        <f t="shared" si="26"/>
        <v>154961.26</v>
      </c>
      <c r="BT10" s="25">
        <f>-'Income Statement'!BT40</f>
        <v>57769.084999999999</v>
      </c>
      <c r="BU10" s="25">
        <f t="shared" si="27"/>
        <v>212730.345</v>
      </c>
      <c r="BV10" s="25">
        <f>-'Income Statement'!BV40</f>
        <v>61385.209040000002</v>
      </c>
      <c r="BW10" s="25">
        <f>-'Income Statement'!BW40</f>
        <v>63684.935679999799</v>
      </c>
      <c r="BX10" s="25">
        <f t="shared" si="28"/>
        <v>125070.14471999981</v>
      </c>
      <c r="BY10" s="25">
        <f>-'Income Statement'!BY40</f>
        <v>68235</v>
      </c>
      <c r="BZ10" s="25">
        <f t="shared" si="29"/>
        <v>193305.14471999981</v>
      </c>
      <c r="CA10" s="25">
        <f>-'Income Statement'!CA40</f>
        <v>71475</v>
      </c>
      <c r="CB10" s="25">
        <f t="shared" si="30"/>
        <v>264780.14471999981</v>
      </c>
      <c r="CC10" s="25">
        <f>-'Income Statement'!CC40</f>
        <v>73366</v>
      </c>
      <c r="CD10" s="25">
        <f>-'Income Statement'!CD40</f>
        <v>76912</v>
      </c>
      <c r="CE10" s="25">
        <f t="shared" si="31"/>
        <v>150278</v>
      </c>
      <c r="CF10" s="25">
        <f>-'Income Statement'!CF40</f>
        <v>78601</v>
      </c>
      <c r="CG10" s="25">
        <f t="shared" si="32"/>
        <v>228879</v>
      </c>
      <c r="CH10" s="25">
        <f>-'Income Statement'!CH40</f>
        <v>82382</v>
      </c>
      <c r="CI10" s="25">
        <f>-'Income Statement'!CI40</f>
        <v>311261</v>
      </c>
      <c r="CJ10" s="25">
        <f>-'Income Statement'!CJ40</f>
        <v>79114</v>
      </c>
      <c r="CK10" s="25">
        <f>-'Income Statement'!CK40</f>
        <v>79710</v>
      </c>
      <c r="CL10" s="25">
        <f t="shared" si="34"/>
        <v>158824</v>
      </c>
      <c r="CM10" s="25">
        <f>-'Income Statement'!CM40</f>
        <v>82769</v>
      </c>
      <c r="CN10" s="25">
        <f t="shared" si="35"/>
        <v>241593</v>
      </c>
      <c r="CO10" s="25">
        <f>-'Income Statement'!CO40</f>
        <v>87459</v>
      </c>
      <c r="CP10" s="25">
        <f t="shared" si="36"/>
        <v>329052</v>
      </c>
      <c r="CQ10" s="25">
        <f>-'Income Statement'!CQ40</f>
        <v>73848</v>
      </c>
      <c r="CR10" s="25">
        <f>-'Income Statement'!CR40</f>
        <v>76281</v>
      </c>
      <c r="CS10" s="25">
        <f t="shared" si="37"/>
        <v>150129</v>
      </c>
      <c r="CT10" s="25">
        <f>-'Income Statement'!CT40</f>
        <v>81285</v>
      </c>
      <c r="CU10" s="25">
        <f t="shared" si="38"/>
        <v>231414</v>
      </c>
      <c r="CV10" s="25">
        <f>-'Income Statement'!CV40</f>
        <v>83160</v>
      </c>
      <c r="CW10" s="25">
        <f t="shared" si="39"/>
        <v>314574</v>
      </c>
      <c r="CX10" s="25">
        <f>-'Income Statement'!CX40</f>
        <v>162480</v>
      </c>
      <c r="CY10" s="25">
        <f>-'Income Statement'!CY40</f>
        <v>164860</v>
      </c>
      <c r="CZ10" s="25">
        <f t="shared" si="40"/>
        <v>327340</v>
      </c>
      <c r="DA10" s="25">
        <f>-'Income Statement'!DA40</f>
        <v>167151</v>
      </c>
      <c r="DB10" s="25">
        <f t="shared" si="41"/>
        <v>494491</v>
      </c>
      <c r="DC10" s="25">
        <f>-'Income Statement'!DC40</f>
        <v>167262</v>
      </c>
      <c r="DD10" s="25">
        <f t="shared" si="42"/>
        <v>661753</v>
      </c>
      <c r="DE10" s="25">
        <f>-'Income Statement'!DE40</f>
        <v>181578</v>
      </c>
      <c r="DF10" s="25">
        <f>-'Income Statement'!DF40</f>
        <v>183013</v>
      </c>
      <c r="DG10" s="25">
        <f t="shared" si="43"/>
        <v>364591</v>
      </c>
      <c r="DH10" s="25">
        <f>-'Income Statement'!DH40</f>
        <v>198282</v>
      </c>
      <c r="DI10" s="25">
        <f t="shared" si="44"/>
        <v>562873</v>
      </c>
      <c r="DJ10" s="25">
        <f>-'Income Statement'!DJ40</f>
        <v>196768</v>
      </c>
      <c r="DK10" s="25">
        <f t="shared" si="45"/>
        <v>759641</v>
      </c>
      <c r="DL10" s="25">
        <f>-'Income Statement'!DL40</f>
        <v>201481</v>
      </c>
      <c r="DM10" s="25">
        <f>-'Income Statement'!DM40</f>
        <v>212132</v>
      </c>
      <c r="DN10" s="25">
        <f t="shared" si="46"/>
        <v>413613</v>
      </c>
      <c r="DO10" s="25">
        <f>-'Income Statement'!DO40</f>
        <v>226397</v>
      </c>
      <c r="DP10" s="25">
        <f t="shared" si="58"/>
        <v>640010</v>
      </c>
      <c r="DQ10" s="25">
        <f>-'Income Statement'!DQ40</f>
        <v>237007</v>
      </c>
      <c r="DR10" s="25">
        <f t="shared" si="59"/>
        <v>877017</v>
      </c>
      <c r="DS10" s="25">
        <f>-'Income Statement'!DS40</f>
        <v>235030</v>
      </c>
      <c r="DT10" s="25">
        <f>-'Income Statement'!DT40</f>
        <v>251053</v>
      </c>
      <c r="DU10" s="25">
        <f t="shared" si="47"/>
        <v>486083</v>
      </c>
      <c r="DV10" s="25">
        <f>-'Income Statement'!DV40</f>
        <v>251178</v>
      </c>
      <c r="DW10" s="25">
        <f t="shared" si="48"/>
        <v>737261</v>
      </c>
      <c r="DX10" s="25">
        <f>-'Income Statement'!DX40</f>
        <v>256589</v>
      </c>
      <c r="DY10" s="25">
        <f t="shared" si="49"/>
        <v>993850</v>
      </c>
      <c r="DZ10" s="25">
        <f>-'Income Statement'!DZ40</f>
        <v>256590</v>
      </c>
      <c r="EA10" s="25">
        <f>-'Income Statement'!EA40</f>
        <v>247648</v>
      </c>
      <c r="EB10" s="25">
        <f t="shared" si="50"/>
        <v>504238</v>
      </c>
      <c r="EC10" s="25">
        <f>-'Income Statement'!EC40</f>
        <v>264253</v>
      </c>
      <c r="ED10" s="25">
        <f t="shared" si="0"/>
        <v>768491</v>
      </c>
      <c r="EE10" s="25">
        <f>-'Income Statement'!EE40</f>
        <v>281753</v>
      </c>
      <c r="EF10" s="25">
        <f t="shared" si="0"/>
        <v>1050244</v>
      </c>
      <c r="EG10" s="25">
        <f>-'Income Statement'!EG40</f>
        <v>295856</v>
      </c>
      <c r="EH10" s="25">
        <f>-'Income Statement'!EH40</f>
        <v>299295</v>
      </c>
      <c r="EI10" s="25">
        <f t="shared" si="51"/>
        <v>595151</v>
      </c>
      <c r="EJ10" s="25">
        <f>-'Income Statement'!EJ40</f>
        <v>296223</v>
      </c>
      <c r="EK10" s="25">
        <f t="shared" si="52"/>
        <v>891374</v>
      </c>
      <c r="EL10" s="25">
        <f>-'Income Statement'!EL40</f>
        <v>306470</v>
      </c>
      <c r="EM10" s="25">
        <f t="shared" si="53"/>
        <v>1197844</v>
      </c>
      <c r="EN10" s="25">
        <f>-'Income Statement'!EN40</f>
        <v>304951</v>
      </c>
      <c r="EO10" s="25">
        <f>-'Income Statement'!EO40</f>
        <v>323994</v>
      </c>
      <c r="EP10" s="25">
        <f t="shared" si="54"/>
        <v>628945</v>
      </c>
      <c r="EQ10" s="25">
        <f>-'Income Statement'!EQ40</f>
        <v>307242</v>
      </c>
      <c r="ER10" s="25">
        <f t="shared" si="55"/>
        <v>936187</v>
      </c>
      <c r="ES10" s="25">
        <f>-'Income Statement'!ES40</f>
        <v>309848</v>
      </c>
      <c r="ET10" s="463">
        <f t="shared" si="56"/>
        <v>1246035</v>
      </c>
      <c r="EU10" s="463">
        <f>-'Income Statement'!EU40</f>
        <v>316165</v>
      </c>
      <c r="EV10" s="25">
        <f>-'Income Statement'!EV40</f>
        <v>317047</v>
      </c>
      <c r="EW10" s="25">
        <f t="shared" si="57"/>
        <v>633212</v>
      </c>
    </row>
    <row r="11" spans="1:153" ht="16.350000000000001" customHeight="1">
      <c r="B11" s="26" t="s">
        <v>388</v>
      </c>
      <c r="C11" s="26" t="s">
        <v>388</v>
      </c>
      <c r="D11" s="27">
        <f t="shared" ref="D11:J11" si="60">SUM(D7:D10)</f>
        <v>21342</v>
      </c>
      <c r="E11" s="27">
        <f t="shared" si="60"/>
        <v>37514</v>
      </c>
      <c r="F11" s="27">
        <f t="shared" si="60"/>
        <v>58856</v>
      </c>
      <c r="G11" s="27">
        <f t="shared" si="60"/>
        <v>6461</v>
      </c>
      <c r="H11" s="27">
        <f t="shared" si="60"/>
        <v>65317</v>
      </c>
      <c r="I11" s="27">
        <f t="shared" si="60"/>
        <v>57723</v>
      </c>
      <c r="J11" s="27">
        <f t="shared" si="60"/>
        <v>123040</v>
      </c>
      <c r="K11" s="27">
        <f t="shared" ref="K11" si="61">SUM(K7:K10)</f>
        <v>29436</v>
      </c>
      <c r="L11" s="27">
        <f t="shared" ref="L11" si="62">SUM(L7:L10)</f>
        <v>44990</v>
      </c>
      <c r="M11" s="27">
        <f t="shared" ref="M11" si="63">SUM(M7:M10)</f>
        <v>74426</v>
      </c>
      <c r="N11" s="27">
        <f t="shared" ref="N11" si="64">SUM(N7:N10)</f>
        <v>32952</v>
      </c>
      <c r="O11" s="27">
        <f t="shared" ref="O11" si="65">SUM(O7:O10)</f>
        <v>107378</v>
      </c>
      <c r="P11" s="27">
        <f t="shared" ref="P11" si="66">SUM(P7:P10)</f>
        <v>64117</v>
      </c>
      <c r="Q11" s="27">
        <f t="shared" ref="Q11" si="67">SUM(Q7:Q10)</f>
        <v>171495</v>
      </c>
      <c r="R11" s="27">
        <f t="shared" ref="R11" si="68">SUM(R7:R10)</f>
        <v>38920</v>
      </c>
      <c r="S11" s="27">
        <f t="shared" ref="S11" si="69">SUM(S7:S10)</f>
        <v>74714</v>
      </c>
      <c r="T11" s="27">
        <f t="shared" ref="T11" si="70">SUM(T7:T10)</f>
        <v>113634</v>
      </c>
      <c r="U11" s="27">
        <f t="shared" ref="U11:V11" si="71">SUM(U7:U10)</f>
        <v>67644</v>
      </c>
      <c r="V11" s="364">
        <f t="shared" si="71"/>
        <v>181278</v>
      </c>
      <c r="W11" s="27">
        <f t="shared" ref="W11" si="72">SUM(W7:W10)</f>
        <v>89413</v>
      </c>
      <c r="X11" s="27">
        <f t="shared" ref="X11" si="73">SUM(X7:X10)</f>
        <v>270691</v>
      </c>
      <c r="Y11" s="27">
        <f t="shared" ref="Y11" si="74">SUM(Y7:Y10)</f>
        <v>52371</v>
      </c>
      <c r="Z11" s="27">
        <f t="shared" ref="Z11:AB11" si="75">SUM(Z7:Z10)</f>
        <v>82581</v>
      </c>
      <c r="AA11" s="27">
        <f t="shared" ref="AA11:AC11" si="76">SUM(AA7:AA10)</f>
        <v>134952</v>
      </c>
      <c r="AB11" s="376">
        <f t="shared" si="75"/>
        <v>58432</v>
      </c>
      <c r="AC11" s="27">
        <f t="shared" si="76"/>
        <v>193384</v>
      </c>
      <c r="AD11" s="27">
        <f t="shared" ref="AD11" si="77">SUM(AD7:AD10)</f>
        <v>89672</v>
      </c>
      <c r="AE11" s="27">
        <f t="shared" ref="AE11" si="78">SUM(AE7:AE10)</f>
        <v>283056</v>
      </c>
      <c r="AF11" s="27">
        <f t="shared" ref="AF11" si="79">SUM(AF7:AF10)</f>
        <v>34598.279695342848</v>
      </c>
      <c r="AG11" s="27">
        <f t="shared" ref="AG11" si="80">SUM(AG7:AG10)</f>
        <v>88511.940966587921</v>
      </c>
      <c r="AH11" s="27">
        <f t="shared" ref="AH11" si="81">SUM(AH7:AH10)</f>
        <v>123110.22066193077</v>
      </c>
      <c r="AI11" s="27">
        <f t="shared" ref="AI11" si="82">SUM(AI7:AI10)</f>
        <v>63690.640550408512</v>
      </c>
      <c r="AJ11" s="27">
        <f t="shared" ref="AJ11" si="83">SUM(AJ7:AJ10)</f>
        <v>186800.86121233928</v>
      </c>
      <c r="AK11" s="27">
        <f t="shared" ref="AK11" si="84">SUM(AK7:AK10)</f>
        <v>145515.23646145535</v>
      </c>
      <c r="AL11" s="27">
        <f t="shared" ref="AL11" si="85">SUM(AL7:AL10)</f>
        <v>332316.0976737946</v>
      </c>
      <c r="AM11" s="27">
        <f t="shared" ref="AM11" si="86">SUM(AM7:AM10)</f>
        <v>68905</v>
      </c>
      <c r="AN11" s="27">
        <f t="shared" ref="AN11" si="87">SUM(AN7:AN10)</f>
        <v>147466</v>
      </c>
      <c r="AO11" s="27">
        <f t="shared" ref="AO11" si="88">SUM(AO7:AO10)</f>
        <v>216371</v>
      </c>
      <c r="AP11" s="27">
        <f t="shared" ref="AP11" si="89">SUM(AP7:AP10)</f>
        <v>96446</v>
      </c>
      <c r="AQ11" s="27">
        <f t="shared" ref="AQ11" si="90">SUM(AQ7:AQ10)</f>
        <v>312817</v>
      </c>
      <c r="AR11" s="27">
        <f t="shared" ref="AR11" si="91">SUM(AR7:AR10)</f>
        <v>167443</v>
      </c>
      <c r="AS11" s="27">
        <f t="shared" ref="AS11" si="92">SUM(AS7:AS10)</f>
        <v>480260</v>
      </c>
      <c r="AT11" s="27">
        <f t="shared" ref="AT11" si="93">SUM(AT7:AT10)</f>
        <v>80574</v>
      </c>
      <c r="AU11" s="27">
        <f t="shared" ref="AU11" si="94">SUM(AU7:AU10)</f>
        <v>174071</v>
      </c>
      <c r="AV11" s="27">
        <f t="shared" ref="AV11" si="95">SUM(AV7:AV10)</f>
        <v>254645</v>
      </c>
      <c r="AW11" s="27">
        <f t="shared" ref="AW11" si="96">SUM(AW7:AW10)</f>
        <v>100802.55823999998</v>
      </c>
      <c r="AX11" s="27">
        <f t="shared" ref="AX11" si="97">SUM(AX7:AX10)</f>
        <v>355447.55823999998</v>
      </c>
      <c r="AY11" s="27">
        <f t="shared" ref="AY11" si="98">SUM(AY7:AY10)</f>
        <v>214823</v>
      </c>
      <c r="AZ11" s="27">
        <f t="shared" ref="AZ11" si="99">SUM(AZ7:AZ10)</f>
        <v>570270.55823999993</v>
      </c>
      <c r="BA11" s="27">
        <f t="shared" ref="BA11" si="100">SUM(BA7:BA10)</f>
        <v>79375</v>
      </c>
      <c r="BB11" s="27">
        <f t="shared" ref="BB11" si="101">SUM(BB7:BB10)</f>
        <v>186405</v>
      </c>
      <c r="BC11" s="27">
        <f t="shared" ref="BC11" si="102">SUM(BC7:BC10)</f>
        <v>265780</v>
      </c>
      <c r="BD11" s="27">
        <f t="shared" ref="BD11" si="103">SUM(BD7:BD10)</f>
        <v>144066</v>
      </c>
      <c r="BE11" s="27">
        <f t="shared" ref="BE11" si="104">SUM(BE7:BE10)</f>
        <v>409846</v>
      </c>
      <c r="BF11" s="27">
        <f t="shared" ref="BF11" si="105">SUM(BF7:BF10)</f>
        <v>282355</v>
      </c>
      <c r="BG11" s="27">
        <f t="shared" ref="BG11" si="106">SUM(BG7:BG10)</f>
        <v>692201</v>
      </c>
      <c r="BH11" s="27">
        <f t="shared" ref="BH11" si="107">SUM(BH7:BH10)</f>
        <v>85468</v>
      </c>
      <c r="BI11" s="27">
        <f t="shared" ref="BI11" si="108">SUM(BI7:BI10)</f>
        <v>198007</v>
      </c>
      <c r="BJ11" s="27">
        <f t="shared" ref="BJ11" si="109">SUM(BJ7:BJ10)</f>
        <v>283475</v>
      </c>
      <c r="BK11" s="27">
        <f t="shared" ref="BK11" si="110">SUM(BK7:BK10)</f>
        <v>152965</v>
      </c>
      <c r="BL11" s="27">
        <f t="shared" ref="BL11" si="111">SUM(BL7:BL10)</f>
        <v>436440</v>
      </c>
      <c r="BM11" s="27">
        <f t="shared" ref="BM11" si="112">SUM(BM7:BM10)</f>
        <v>381433</v>
      </c>
      <c r="BN11" s="27">
        <f t="shared" ref="BN11" si="113">SUM(BN7:BN10)</f>
        <v>817873</v>
      </c>
      <c r="BO11" s="27">
        <f t="shared" ref="BO11" si="114">SUM(BO7:BO10)</f>
        <v>132040.71000000002</v>
      </c>
      <c r="BP11" s="27">
        <f t="shared" ref="BP11" si="115">SUM(BP7:BP10)</f>
        <v>241041</v>
      </c>
      <c r="BQ11" s="27">
        <f t="shared" ref="BQ11" si="116">SUM(BQ7:BQ10)</f>
        <v>373081.71</v>
      </c>
      <c r="BR11" s="27">
        <f t="shared" ref="BR11" si="117">SUM(BR7:BR10)</f>
        <v>196925</v>
      </c>
      <c r="BS11" s="27">
        <f t="shared" ref="BS11" si="118">SUM(BS7:BS10)</f>
        <v>570006.71</v>
      </c>
      <c r="BT11" s="27">
        <f t="shared" ref="BT11" si="119">SUM(BT7:BT10)</f>
        <v>444775.00400000002</v>
      </c>
      <c r="BU11" s="27">
        <f t="shared" ref="BU11" si="120">SUM(BU7:BU10)</f>
        <v>1014781.7139999999</v>
      </c>
      <c r="BV11" s="27">
        <f t="shared" ref="BV11" si="121">SUM(BV7:BV10)</f>
        <v>191958.48855000013</v>
      </c>
      <c r="BW11" s="27">
        <f t="shared" ref="BW11" si="122">SUM(BW7:BW10)</f>
        <v>317558.57631999993</v>
      </c>
      <c r="BX11" s="27">
        <f t="shared" ref="BX11" si="123">SUM(BX7:BX10)</f>
        <v>509517.06487000006</v>
      </c>
      <c r="BY11" s="27">
        <f t="shared" ref="BY11" si="124">SUM(BY7:BY10)</f>
        <v>224891</v>
      </c>
      <c r="BZ11" s="27">
        <f t="shared" ref="BZ11" si="125">SUM(BZ7:BZ10)</f>
        <v>734408.06487000012</v>
      </c>
      <c r="CA11" s="27">
        <f t="shared" ref="CA11" si="126">SUM(CA7:CA10)</f>
        <v>463624.30340999993</v>
      </c>
      <c r="CB11" s="27">
        <f t="shared" ref="CB11" si="127">SUM(CB7:CB10)</f>
        <v>1198032.3682800001</v>
      </c>
      <c r="CC11" s="27">
        <f t="shared" ref="CC11" si="128">SUM(CC7:CC10)</f>
        <v>178909</v>
      </c>
      <c r="CD11" s="27">
        <f t="shared" ref="CD11" si="129">SUM(CD7:CD10)</f>
        <v>349371</v>
      </c>
      <c r="CE11" s="27">
        <f t="shared" ref="CE11" si="130">SUM(CE7:CE10)</f>
        <v>528280</v>
      </c>
      <c r="CF11" s="27">
        <f t="shared" ref="CF11" si="131">SUM(CF7:CF10)</f>
        <v>211496</v>
      </c>
      <c r="CG11" s="27">
        <f t="shared" ref="CG11" si="132">SUM(CG7:CG10)</f>
        <v>739776</v>
      </c>
      <c r="CH11" s="27">
        <f t="shared" ref="CH11:CI11" si="133">SUM(CH7:CH10)</f>
        <v>547177</v>
      </c>
      <c r="CI11" s="27">
        <f t="shared" si="133"/>
        <v>1286953</v>
      </c>
      <c r="CJ11" s="27">
        <f t="shared" ref="CJ11" si="134">SUM(CJ7:CJ10)</f>
        <v>183150</v>
      </c>
      <c r="CK11" s="27">
        <f t="shared" ref="CK11" si="135">SUM(CK7:CK10)</f>
        <v>374418</v>
      </c>
      <c r="CL11" s="27">
        <f t="shared" ref="CL11" si="136">SUM(CL7:CL10)</f>
        <v>557568</v>
      </c>
      <c r="CM11" s="27">
        <f t="shared" ref="CM11" si="137">SUM(CM7:CM10)</f>
        <v>288697</v>
      </c>
      <c r="CN11" s="27">
        <f t="shared" ref="CN11" si="138">SUM(CN7:CN10)</f>
        <v>846265</v>
      </c>
      <c r="CO11" s="27">
        <f t="shared" ref="CO11" si="139">SUM(CO7:CO10)</f>
        <v>570026</v>
      </c>
      <c r="CP11" s="27">
        <f t="shared" ref="CP11" si="140">SUM(CP7:CP10)</f>
        <v>1416291</v>
      </c>
      <c r="CQ11" s="27">
        <f t="shared" ref="CQ11" si="141">SUM(CQ7:CQ10)</f>
        <v>243903</v>
      </c>
      <c r="CR11" s="27">
        <f t="shared" ref="CR11" si="142">SUM(CR7:CR10)</f>
        <v>428254.96486000001</v>
      </c>
      <c r="CS11" s="27">
        <f t="shared" ref="CS11" si="143">SUM(CS7:CS10)</f>
        <v>672157.96485999995</v>
      </c>
      <c r="CT11" s="27">
        <f t="shared" ref="CT11" si="144">SUM(CT7:CT10)</f>
        <v>339773.43174999999</v>
      </c>
      <c r="CU11" s="27">
        <f t="shared" ref="CU11" si="145">SUM(CU7:CU10)</f>
        <v>1011931.3966100001</v>
      </c>
      <c r="CV11" s="27">
        <f t="shared" ref="CV11" si="146">SUM(CV7:CV10)</f>
        <v>726463.25080000004</v>
      </c>
      <c r="CW11" s="27">
        <f t="shared" ref="CW11" si="147">SUM(CW7:CW10)</f>
        <v>1738394.64741</v>
      </c>
      <c r="CX11" s="27">
        <f t="shared" ref="CX11" si="148">SUM(CX7:CX10)</f>
        <v>410356</v>
      </c>
      <c r="CY11" s="27">
        <f t="shared" ref="CY11" si="149">SUM(CY7:CY10)</f>
        <v>538725</v>
      </c>
      <c r="CZ11" s="27">
        <f t="shared" ref="CZ11" si="150">SUM(CZ7:CZ10)</f>
        <v>949081</v>
      </c>
      <c r="DA11" s="27">
        <f t="shared" ref="DA11" si="151">SUM(DA7:DA10)</f>
        <v>457193</v>
      </c>
      <c r="DB11" s="27">
        <f t="shared" ref="DB11" si="152">SUM(DB7:DB10)</f>
        <v>1406274</v>
      </c>
      <c r="DC11" s="27">
        <f t="shared" ref="DC11" si="153">SUM(DC7:DC10)</f>
        <v>931857</v>
      </c>
      <c r="DD11" s="27">
        <f t="shared" ref="DD11" si="154">SUM(DD7:DD10)</f>
        <v>2338131</v>
      </c>
      <c r="DE11" s="27">
        <f t="shared" ref="DE11" si="155">SUM(DE7:DE10)</f>
        <v>213913</v>
      </c>
      <c r="DF11" s="27">
        <f t="shared" ref="DF11" si="156">SUM(DF7:DF10)</f>
        <v>603269</v>
      </c>
      <c r="DG11" s="27">
        <f t="shared" ref="DG11" si="157">SUM(DG7:DG10)</f>
        <v>817182</v>
      </c>
      <c r="DH11" s="27">
        <f t="shared" ref="DH11" si="158">SUM(DH7:DH10)</f>
        <v>71669</v>
      </c>
      <c r="DI11" s="27">
        <f t="shared" ref="DI11" si="159">SUM(DI7:DI10)</f>
        <v>888851</v>
      </c>
      <c r="DJ11" s="27">
        <f t="shared" ref="DJ11" si="160">SUM(DJ7:DJ10)</f>
        <v>727669</v>
      </c>
      <c r="DK11" s="27">
        <f t="shared" ref="DK11" si="161">SUM(DK7:DK10)</f>
        <v>1616520</v>
      </c>
      <c r="DL11" s="27">
        <f t="shared" ref="DL11" si="162">SUM(DL7:DL10)</f>
        <v>28118</v>
      </c>
      <c r="DM11" s="27">
        <f t="shared" ref="DM11:DO11" si="163">SUM(DM7:DM10)</f>
        <v>472726</v>
      </c>
      <c r="DN11" s="27">
        <f t="shared" ref="DN11:DP11" si="164">SUM(DN7:DN10)</f>
        <v>500844</v>
      </c>
      <c r="DO11" s="27">
        <f t="shared" si="163"/>
        <v>434150</v>
      </c>
      <c r="DP11" s="27">
        <f t="shared" si="164"/>
        <v>934994</v>
      </c>
      <c r="DQ11" s="27">
        <f t="shared" ref="DQ11" si="165">SUM(DQ7:DQ10)</f>
        <v>755977</v>
      </c>
      <c r="DR11" s="27">
        <f t="shared" ref="DR11:DU11" si="166">SUM(DR7:DR10)</f>
        <v>1690971</v>
      </c>
      <c r="DS11" s="27">
        <f t="shared" si="166"/>
        <v>378872.08999999997</v>
      </c>
      <c r="DT11" s="27">
        <f t="shared" si="166"/>
        <v>685693</v>
      </c>
      <c r="DU11" s="27">
        <f t="shared" si="166"/>
        <v>1064565.0899999999</v>
      </c>
      <c r="DV11" s="27">
        <f t="shared" ref="DV11:DW11" si="167">SUM(DV7:DV10)</f>
        <v>452173</v>
      </c>
      <c r="DW11" s="27">
        <f t="shared" si="167"/>
        <v>1516738.0899999999</v>
      </c>
      <c r="DX11" s="27">
        <f t="shared" ref="DX11:DZ11" si="168">SUM(DX7:DX10)</f>
        <v>884513</v>
      </c>
      <c r="DY11" s="27">
        <f t="shared" si="168"/>
        <v>2401251.09</v>
      </c>
      <c r="DZ11" s="27">
        <f t="shared" si="168"/>
        <v>229929</v>
      </c>
      <c r="EA11" s="27">
        <f t="shared" ref="EA11:EB11" si="169">SUM(EA7:EA10)</f>
        <v>472078</v>
      </c>
      <c r="EB11" s="27">
        <f t="shared" si="169"/>
        <v>702007</v>
      </c>
      <c r="EC11" s="27">
        <f t="shared" ref="EC11:ED11" si="170">SUM(EC7:EC10)</f>
        <v>356081</v>
      </c>
      <c r="ED11" s="27">
        <f t="shared" si="170"/>
        <v>1058088</v>
      </c>
      <c r="EE11" s="27">
        <f t="shared" ref="EE11:EI11" si="171">SUM(EE7:EE10)</f>
        <v>881233</v>
      </c>
      <c r="EF11" s="27">
        <f t="shared" si="171"/>
        <v>1939321</v>
      </c>
      <c r="EG11" s="27">
        <f t="shared" si="171"/>
        <v>372066</v>
      </c>
      <c r="EH11" s="27">
        <f t="shared" si="171"/>
        <v>654013</v>
      </c>
      <c r="EI11" s="27">
        <f t="shared" si="171"/>
        <v>1026079</v>
      </c>
      <c r="EJ11" s="27">
        <f t="shared" ref="EJ11:EK11" si="172">SUM(EJ7:EJ10)</f>
        <v>569176</v>
      </c>
      <c r="EK11" s="27">
        <f t="shared" si="172"/>
        <v>1595255</v>
      </c>
      <c r="EL11" s="27">
        <f t="shared" ref="EL11:EM11" si="173">SUM(EL7:EL10)</f>
        <v>861932</v>
      </c>
      <c r="EM11" s="27">
        <f t="shared" si="173"/>
        <v>2457187</v>
      </c>
      <c r="EN11" s="27">
        <f t="shared" ref="EN11:EP11" si="174">SUM(EN7:EN10)</f>
        <v>577957</v>
      </c>
      <c r="EO11" s="27">
        <f t="shared" si="174"/>
        <v>881895</v>
      </c>
      <c r="EP11" s="27">
        <f t="shared" si="174"/>
        <v>1459852</v>
      </c>
      <c r="EQ11" s="27">
        <f t="shared" ref="EQ11:ER11" si="175">SUM(EQ7:EQ10)</f>
        <v>585945</v>
      </c>
      <c r="ER11" s="27">
        <f t="shared" si="175"/>
        <v>2045797</v>
      </c>
      <c r="ES11" s="27">
        <f t="shared" ref="ES11:EW11" si="176">SUM(ES7:ES10)</f>
        <v>997398</v>
      </c>
      <c r="ET11" s="464">
        <f t="shared" si="176"/>
        <v>3043195</v>
      </c>
      <c r="EU11" s="464">
        <f t="shared" si="176"/>
        <v>605616</v>
      </c>
      <c r="EV11" s="27">
        <f t="shared" si="176"/>
        <v>843666</v>
      </c>
      <c r="EW11" s="27">
        <f t="shared" si="176"/>
        <v>1449282</v>
      </c>
    </row>
    <row r="12" spans="1:153" ht="16.350000000000001" customHeight="1">
      <c r="A12" s="18"/>
      <c r="B12" s="23" t="s">
        <v>363</v>
      </c>
      <c r="C12" s="23" t="s">
        <v>54</v>
      </c>
      <c r="D12" s="25">
        <f>-'Income Statement'!D44</f>
        <v>0</v>
      </c>
      <c r="E12" s="25">
        <f>-'Income Statement'!E44</f>
        <v>0</v>
      </c>
      <c r="F12" s="25">
        <f t="shared" ref="F12:F14" si="177">SUM(D12:E12)</f>
        <v>0</v>
      </c>
      <c r="G12" s="25">
        <f>-'Income Statement'!G44</f>
        <v>0</v>
      </c>
      <c r="H12" s="25">
        <f t="shared" ref="H12:H14" si="178">SUM(F12:G12)</f>
        <v>0</v>
      </c>
      <c r="I12" s="25">
        <f>-'Income Statement'!I44</f>
        <v>0</v>
      </c>
      <c r="J12" s="25">
        <f t="shared" ref="J12:J14" si="179">SUM(H12:I12)</f>
        <v>0</v>
      </c>
      <c r="K12" s="25">
        <f>-'Income Statement'!K44</f>
        <v>0</v>
      </c>
      <c r="L12" s="25">
        <f>-'Income Statement'!L44</f>
        <v>0</v>
      </c>
      <c r="M12" s="25">
        <f t="shared" ref="M12:M14" si="180">SUM(K12:L12)</f>
        <v>0</v>
      </c>
      <c r="N12" s="25">
        <f>-'Income Statement'!N44</f>
        <v>0</v>
      </c>
      <c r="O12" s="25">
        <f t="shared" ref="O12:O14" si="181">SUM(M12:N12)</f>
        <v>0</v>
      </c>
      <c r="P12" s="25">
        <f>-'Income Statement'!P44</f>
        <v>0</v>
      </c>
      <c r="Q12" s="25">
        <f t="shared" ref="Q12:Q14" si="182">SUM(O12:P12)</f>
        <v>0</v>
      </c>
      <c r="R12" s="25">
        <f>-'Income Statement'!R44</f>
        <v>0</v>
      </c>
      <c r="S12" s="25">
        <f>-'Income Statement'!S44</f>
        <v>0</v>
      </c>
      <c r="T12" s="25">
        <f t="shared" ref="T12:T14" si="183">SUM(R12:S12)</f>
        <v>0</v>
      </c>
      <c r="U12" s="25">
        <f>-'Income Statement'!U44</f>
        <v>0</v>
      </c>
      <c r="V12" s="363">
        <f>-'Income Statement'!V44</f>
        <v>0</v>
      </c>
      <c r="W12" s="25">
        <f>-'Income Statement'!W44</f>
        <v>5190</v>
      </c>
      <c r="X12" s="25">
        <f t="shared" ref="X12:X14" si="184">SUM(V12:W12)</f>
        <v>5190</v>
      </c>
      <c r="Y12" s="25">
        <f>-'Income Statement'!Y44</f>
        <v>2077</v>
      </c>
      <c r="Z12" s="25">
        <f>-'Income Statement'!Z44</f>
        <v>3029</v>
      </c>
      <c r="AA12" s="25">
        <f t="shared" ref="AA12:AA14" si="185">SUM(Y12:Z12)</f>
        <v>5106</v>
      </c>
      <c r="AB12" s="375">
        <f>-'Income Statement'!AB44</f>
        <v>3096</v>
      </c>
      <c r="AC12" s="25">
        <f t="shared" ref="AC12:AC14" si="186">SUM(AA12:AB12)</f>
        <v>8202</v>
      </c>
      <c r="AD12" s="25">
        <f>-'Income Statement'!AD44</f>
        <v>2858</v>
      </c>
      <c r="AE12" s="25">
        <f t="shared" ref="AE12:AE14" si="187">SUM(AC12:AD12)</f>
        <v>11060</v>
      </c>
      <c r="AF12" s="25">
        <f>-'Income Statement'!AF44</f>
        <v>3585</v>
      </c>
      <c r="AG12" s="25">
        <f>-'Income Statement'!AG44</f>
        <v>4835</v>
      </c>
      <c r="AH12" s="25">
        <f t="shared" ref="AH12:AH14" si="188">SUM(AF12:AG12)</f>
        <v>8420</v>
      </c>
      <c r="AI12" s="25">
        <f>-'Income Statement'!AI44</f>
        <v>4431</v>
      </c>
      <c r="AJ12" s="25">
        <f t="shared" ref="AJ12:AJ14" si="189">SUM(AH12:AI12)</f>
        <v>12851</v>
      </c>
      <c r="AK12" s="25">
        <f>-'Income Statement'!AK44</f>
        <v>4392</v>
      </c>
      <c r="AL12" s="25">
        <f t="shared" ref="AL12:AL14" si="190">SUM(AJ12:AK12)</f>
        <v>17243</v>
      </c>
      <c r="AM12" s="25">
        <f>-'Income Statement'!AM44</f>
        <v>3829</v>
      </c>
      <c r="AN12" s="25">
        <f>-'Income Statement'!AN44</f>
        <v>4629</v>
      </c>
      <c r="AO12" s="25">
        <f t="shared" ref="AO12:AO14" si="191">SUM(AM12:AN12)</f>
        <v>8458</v>
      </c>
      <c r="AP12" s="25">
        <f>-'Income Statement'!AP44</f>
        <v>4459</v>
      </c>
      <c r="AQ12" s="25">
        <f t="shared" ref="AQ12:AQ14" si="192">SUM(AO12:AP12)</f>
        <v>12917</v>
      </c>
      <c r="AR12" s="25">
        <f>-'Income Statement'!AR44</f>
        <v>4468</v>
      </c>
      <c r="AS12" s="25">
        <f t="shared" ref="AS12:AS14" si="193">SUM(AQ12:AR12)</f>
        <v>17385</v>
      </c>
      <c r="AT12" s="25">
        <f>-'Income Statement'!AT44</f>
        <v>4727</v>
      </c>
      <c r="AU12" s="25">
        <f>-'Income Statement'!AU44</f>
        <v>5549</v>
      </c>
      <c r="AV12" s="25">
        <f t="shared" ref="AV12:AV14" si="194">SUM(AT12:AU12)</f>
        <v>10276</v>
      </c>
      <c r="AW12" s="25">
        <f>-'Income Statement'!AW44</f>
        <v>4259.549</v>
      </c>
      <c r="AX12" s="25">
        <f t="shared" ref="AX12:AX14" si="195">SUM(AV12:AW12)</f>
        <v>14535.548999999999</v>
      </c>
      <c r="AY12" s="25">
        <f>-'Income Statement'!AY44</f>
        <v>3538</v>
      </c>
      <c r="AZ12" s="25">
        <f t="shared" ref="AZ12:AZ14" si="196">SUM(AX12:AY12)</f>
        <v>18073.548999999999</v>
      </c>
      <c r="BA12" s="25">
        <f>-'Income Statement'!BA44</f>
        <v>4075</v>
      </c>
      <c r="BB12" s="25">
        <f>-'Income Statement'!BB44</f>
        <v>4006</v>
      </c>
      <c r="BC12" s="25">
        <f t="shared" ref="BC12:BC14" si="197">SUM(BA12:BB12)</f>
        <v>8081</v>
      </c>
      <c r="BD12" s="25">
        <f>-'Income Statement'!BD44</f>
        <v>4001</v>
      </c>
      <c r="BE12" s="25">
        <f t="shared" ref="BE12:BE14" si="198">SUM(BC12:BD12)</f>
        <v>12082</v>
      </c>
      <c r="BF12" s="25">
        <f>-'Income Statement'!BF44</f>
        <v>4045</v>
      </c>
      <c r="BG12" s="25">
        <f t="shared" ref="BG12:BG14" si="199">SUM(BE12:BF12)</f>
        <v>16127</v>
      </c>
      <c r="BH12" s="25">
        <f>-'Income Statement'!BH44</f>
        <v>4479</v>
      </c>
      <c r="BI12" s="25">
        <f>-'Income Statement'!BI44</f>
        <v>3360</v>
      </c>
      <c r="BJ12" s="25">
        <f t="shared" ref="BJ12:BJ14" si="200">SUM(BH12:BI12)</f>
        <v>7839</v>
      </c>
      <c r="BK12" s="25">
        <f>-'Income Statement'!BK44</f>
        <v>1687</v>
      </c>
      <c r="BL12" s="25">
        <f t="shared" ref="BL12:BL14" si="201">SUM(BJ12:BK12)</f>
        <v>9526</v>
      </c>
      <c r="BM12" s="25">
        <f>-'Income Statement'!BM44</f>
        <v>3613</v>
      </c>
      <c r="BN12" s="25">
        <f t="shared" ref="BN12:BN14" si="202">SUM(BL12:BM12)</f>
        <v>13139</v>
      </c>
      <c r="BO12" s="25">
        <f>-'Income Statement'!BO44</f>
        <v>2883</v>
      </c>
      <c r="BP12" s="25">
        <f>-'Income Statement'!BP44</f>
        <v>7003</v>
      </c>
      <c r="BQ12" s="25">
        <f t="shared" ref="BQ12:BQ14" si="203">SUM(BO12:BP12)</f>
        <v>9886</v>
      </c>
      <c r="BR12" s="25">
        <f>-'Income Statement'!BR44</f>
        <v>7319</v>
      </c>
      <c r="BS12" s="25">
        <f t="shared" ref="BS12:BS14" si="204">SUM(BQ12:BR12)</f>
        <v>17205</v>
      </c>
      <c r="BT12" s="25">
        <f>-'Income Statement'!BT44</f>
        <v>7747.7449999999999</v>
      </c>
      <c r="BU12" s="25">
        <f t="shared" ref="BU12:BU14" si="205">SUM(BS12:BT12)</f>
        <v>24952.744999999999</v>
      </c>
      <c r="BV12" s="25">
        <f>-'Income Statement'!BV44</f>
        <v>6467.0164500000001</v>
      </c>
      <c r="BW12" s="25">
        <f>-'Income Statement'!BW44</f>
        <v>7543.4621100000004</v>
      </c>
      <c r="BX12" s="25">
        <f t="shared" ref="BX12:BX14" si="206">SUM(BV12:BW12)</f>
        <v>14010.47856</v>
      </c>
      <c r="BY12" s="25">
        <f>-'Income Statement'!BY44</f>
        <v>5498</v>
      </c>
      <c r="BZ12" s="25">
        <f t="shared" ref="BZ12:BZ14" si="207">SUM(BX12:BY12)</f>
        <v>19508.47856</v>
      </c>
      <c r="CA12" s="25">
        <f>-'Income Statement'!CA44</f>
        <v>6923</v>
      </c>
      <c r="CB12" s="25">
        <f t="shared" ref="CB12:CB14" si="208">SUM(BZ12:CA12)</f>
        <v>26431.47856</v>
      </c>
      <c r="CC12" s="25">
        <f>-'Income Statement'!CC44</f>
        <v>6736</v>
      </c>
      <c r="CD12" s="25">
        <f>-'Income Statement'!CD44</f>
        <v>5739</v>
      </c>
      <c r="CE12" s="25">
        <f t="shared" ref="CE12:CE14" si="209">SUM(CC12:CD12)</f>
        <v>12475</v>
      </c>
      <c r="CF12" s="25">
        <f>-'Income Statement'!CF44</f>
        <v>5786</v>
      </c>
      <c r="CG12" s="25">
        <f t="shared" ref="CG12:CG14" si="210">SUM(CE12:CF12)</f>
        <v>18261</v>
      </c>
      <c r="CH12" s="25">
        <f>-'Income Statement'!CH44</f>
        <v>5783</v>
      </c>
      <c r="CI12" s="25">
        <f>-'Income Statement'!CI44</f>
        <v>24044</v>
      </c>
      <c r="CJ12" s="25">
        <f>-'Income Statement'!CJ44</f>
        <v>6861</v>
      </c>
      <c r="CK12" s="25">
        <f>-'Income Statement'!CK44</f>
        <v>7591</v>
      </c>
      <c r="CL12" s="25">
        <f t="shared" ref="CL12:CL14" si="211">SUM(CJ12:CK12)</f>
        <v>14452</v>
      </c>
      <c r="CM12" s="25">
        <f>-'Income Statement'!CM44</f>
        <v>7129</v>
      </c>
      <c r="CN12" s="25">
        <f t="shared" ref="CN12:CN14" si="212">SUM(CL12:CM12)</f>
        <v>21581</v>
      </c>
      <c r="CO12" s="25">
        <f>-'Income Statement'!CO44</f>
        <v>6057</v>
      </c>
      <c r="CP12" s="25">
        <f t="shared" ref="CP12:CP14" si="213">SUM(CN12:CO12)</f>
        <v>27638</v>
      </c>
      <c r="CQ12" s="25">
        <f>-'Income Statement'!CQ44</f>
        <v>5084</v>
      </c>
      <c r="CR12" s="25">
        <f>-'Income Statement'!CR44</f>
        <v>4716</v>
      </c>
      <c r="CS12" s="25">
        <f t="shared" ref="CS12:CS14" si="214">SUM(CQ12:CR12)</f>
        <v>9800</v>
      </c>
      <c r="CT12" s="25">
        <f>-'Income Statement'!CT44</f>
        <v>5920</v>
      </c>
      <c r="CU12" s="25">
        <f t="shared" ref="CU12:CU14" si="215">SUM(CS12:CT12)</f>
        <v>15720</v>
      </c>
      <c r="CV12" s="25">
        <f>-'Income Statement'!CV44</f>
        <v>4778</v>
      </c>
      <c r="CW12" s="25">
        <f t="shared" ref="CW12:CW14" si="216">SUM(CU12:CV12)</f>
        <v>20498</v>
      </c>
      <c r="CX12" s="25">
        <f>-'Income Statement'!CX44</f>
        <v>4805</v>
      </c>
      <c r="CY12" s="25">
        <f>-'Income Statement'!CY44</f>
        <v>5160</v>
      </c>
      <c r="CZ12" s="25">
        <f t="shared" ref="CZ12:CZ14" si="217">SUM(CX12:CY12)</f>
        <v>9965</v>
      </c>
      <c r="DA12" s="25">
        <f>-'Income Statement'!DA44</f>
        <v>5247</v>
      </c>
      <c r="DB12" s="25">
        <f t="shared" ref="DB12:DB14" si="218">SUM(CZ12:DA12)</f>
        <v>15212</v>
      </c>
      <c r="DC12" s="25">
        <f>-'Income Statement'!DC44</f>
        <v>5863</v>
      </c>
      <c r="DD12" s="25">
        <f t="shared" ref="DD12:DD14" si="219">SUM(DB12:DC12)</f>
        <v>21075</v>
      </c>
      <c r="DE12" s="25">
        <f>-'Income Statement'!DE44</f>
        <v>4982</v>
      </c>
      <c r="DF12" s="25">
        <f>-'Income Statement'!DF44</f>
        <v>5392</v>
      </c>
      <c r="DG12" s="25">
        <f t="shared" ref="DG12:DG14" si="220">SUM(DE12:DF12)</f>
        <v>10374</v>
      </c>
      <c r="DH12" s="25">
        <f>-'Income Statement'!DH44</f>
        <v>5440</v>
      </c>
      <c r="DI12" s="25">
        <f t="shared" ref="DI12:DI14" si="221">SUM(DG12:DH12)</f>
        <v>15814</v>
      </c>
      <c r="DJ12" s="25">
        <f>-'Income Statement'!DJ44</f>
        <v>7018</v>
      </c>
      <c r="DK12" s="25">
        <f t="shared" ref="DK12:DK14" si="222">SUM(DI12:DJ12)</f>
        <v>22832</v>
      </c>
      <c r="DL12" s="25">
        <f>-'Income Statement'!DL44</f>
        <v>3734</v>
      </c>
      <c r="DM12" s="25">
        <f>-'Income Statement'!DM44</f>
        <v>4239</v>
      </c>
      <c r="DN12" s="25">
        <f t="shared" ref="DN12:DN14" si="223">SUM(DL12:DM12)</f>
        <v>7973</v>
      </c>
      <c r="DO12" s="25">
        <f>-'Income Statement'!DO44</f>
        <v>3430</v>
      </c>
      <c r="DP12" s="25">
        <f t="shared" ref="DP12:DP14" si="224">SUM(DN12:DO12)</f>
        <v>11403</v>
      </c>
      <c r="DQ12" s="25">
        <f>-'Income Statement'!DQ44</f>
        <v>3948</v>
      </c>
      <c r="DR12" s="25">
        <f t="shared" ref="DR12:DR14" si="225">SUM(DP12:DQ12)</f>
        <v>15351</v>
      </c>
      <c r="DS12" s="25">
        <f>-'Income Statement'!DS44</f>
        <v>4381</v>
      </c>
      <c r="DT12" s="25">
        <f>-'Income Statement'!DT44</f>
        <v>6429</v>
      </c>
      <c r="DU12" s="25">
        <f t="shared" ref="DU12:DU14" si="226">SUM(DS12:DT12)</f>
        <v>10810</v>
      </c>
      <c r="DV12" s="25">
        <f>-'Income Statement'!DV44</f>
        <v>6511</v>
      </c>
      <c r="DW12" s="25">
        <f t="shared" ref="DW12:DW14" si="227">SUM(DU12:DV12)</f>
        <v>17321</v>
      </c>
      <c r="DX12" s="25">
        <f>-'Income Statement'!DX44</f>
        <v>4478</v>
      </c>
      <c r="DY12" s="25">
        <f t="shared" ref="DY12:DY14" si="228">SUM(DW12:DX12)</f>
        <v>21799</v>
      </c>
      <c r="DZ12" s="25">
        <f>-'Income Statement'!DZ44</f>
        <v>5811</v>
      </c>
      <c r="EA12" s="25">
        <f>-'Income Statement'!EA44</f>
        <v>6447</v>
      </c>
      <c r="EB12" s="25">
        <f t="shared" ref="EB12:EB14" si="229">SUM(DZ12:EA12)</f>
        <v>12258</v>
      </c>
      <c r="EC12" s="25">
        <f>-'Income Statement'!EC44</f>
        <v>6523</v>
      </c>
      <c r="ED12" s="25">
        <f t="shared" ref="ED12:EF14" si="230">SUM(EB12:EC12)</f>
        <v>18781</v>
      </c>
      <c r="EE12" s="25">
        <f>-'Income Statement'!EE44</f>
        <v>4677</v>
      </c>
      <c r="EF12" s="25">
        <f t="shared" si="230"/>
        <v>23458</v>
      </c>
      <c r="EG12" s="25">
        <f>-'Income Statement'!EG44</f>
        <v>5917</v>
      </c>
      <c r="EH12" s="25">
        <f>-'Income Statement'!EH44</f>
        <v>6200</v>
      </c>
      <c r="EI12" s="25">
        <f t="shared" ref="EI12:EI14" si="231">SUM(EG12:EH12)</f>
        <v>12117</v>
      </c>
      <c r="EJ12" s="25">
        <f>-'Income Statement'!EJ44</f>
        <v>6269</v>
      </c>
      <c r="EK12" s="25">
        <f t="shared" ref="EK12:EK14" si="232">SUM(EI12:EJ12)</f>
        <v>18386</v>
      </c>
      <c r="EL12" s="25">
        <f>-'Income Statement'!EL44</f>
        <v>13498</v>
      </c>
      <c r="EM12" s="25">
        <f t="shared" ref="EM12:EM14" si="233">SUM(EK12:EL12)</f>
        <v>31884</v>
      </c>
      <c r="EN12" s="25">
        <f>-'Income Statement'!EN44</f>
        <v>3642</v>
      </c>
      <c r="EO12" s="25">
        <f>-'Income Statement'!EO44</f>
        <v>8629</v>
      </c>
      <c r="EP12" s="25">
        <f t="shared" ref="EP12:EP14" si="234">SUM(EN12:EO12)</f>
        <v>12271</v>
      </c>
      <c r="EQ12" s="25">
        <f>-'Income Statement'!EQ44</f>
        <v>4928</v>
      </c>
      <c r="ER12" s="25">
        <f t="shared" ref="ER12:ER14" si="235">SUM(EP12:EQ12)</f>
        <v>17199</v>
      </c>
      <c r="ES12" s="25">
        <f>-'Income Statement'!ES44</f>
        <v>4608</v>
      </c>
      <c r="ET12" s="463">
        <f t="shared" ref="ET12:ET14" si="236">SUM(ER12:ES12)</f>
        <v>21807</v>
      </c>
      <c r="EU12" s="463">
        <f>-'Income Statement'!EU44</f>
        <v>4640</v>
      </c>
      <c r="EV12" s="25">
        <f>-'Income Statement'!EV44</f>
        <v>3202</v>
      </c>
      <c r="EW12" s="25">
        <f t="shared" ref="EW12:EW14" si="237">SUM(EU12:EV12)</f>
        <v>7842</v>
      </c>
    </row>
    <row r="13" spans="1:153" ht="16.350000000000001" customHeight="1">
      <c r="A13" s="18"/>
      <c r="B13" s="23" t="s">
        <v>62</v>
      </c>
      <c r="C13" s="23" t="s">
        <v>59</v>
      </c>
      <c r="D13" s="25">
        <f>-'Income Statement'!D45</f>
        <v>0</v>
      </c>
      <c r="E13" s="25">
        <f>-'Income Statement'!E45</f>
        <v>0</v>
      </c>
      <c r="F13" s="25">
        <f t="shared" si="177"/>
        <v>0</v>
      </c>
      <c r="G13" s="25">
        <f>-'Income Statement'!G45</f>
        <v>0</v>
      </c>
      <c r="H13" s="25">
        <f t="shared" si="178"/>
        <v>0</v>
      </c>
      <c r="I13" s="25">
        <f>-'Income Statement'!I45</f>
        <v>3078</v>
      </c>
      <c r="J13" s="25">
        <f t="shared" si="179"/>
        <v>3078</v>
      </c>
      <c r="K13" s="25">
        <f>-'Income Statement'!K45</f>
        <v>0</v>
      </c>
      <c r="L13" s="25">
        <f>-'Income Statement'!L45</f>
        <v>0</v>
      </c>
      <c r="M13" s="25">
        <f t="shared" si="180"/>
        <v>0</v>
      </c>
      <c r="N13" s="25">
        <f>-'Income Statement'!N45</f>
        <v>0</v>
      </c>
      <c r="O13" s="25">
        <f t="shared" si="181"/>
        <v>0</v>
      </c>
      <c r="P13" s="25">
        <f>-'Income Statement'!P45</f>
        <v>4329</v>
      </c>
      <c r="Q13" s="25">
        <f t="shared" si="182"/>
        <v>4329</v>
      </c>
      <c r="R13" s="25">
        <f>-'Income Statement'!R45</f>
        <v>0</v>
      </c>
      <c r="S13" s="25">
        <f>-'Income Statement'!S45</f>
        <v>0</v>
      </c>
      <c r="T13" s="25">
        <f t="shared" si="183"/>
        <v>0</v>
      </c>
      <c r="U13" s="25">
        <f>-'Income Statement'!U45</f>
        <v>0</v>
      </c>
      <c r="V13" s="363">
        <f>-'Income Statement'!V45</f>
        <v>0</v>
      </c>
      <c r="W13" s="25">
        <f>-'Income Statement'!W45</f>
        <v>5368</v>
      </c>
      <c r="X13" s="25">
        <f t="shared" si="184"/>
        <v>5368</v>
      </c>
      <c r="Y13" s="25">
        <f>-'Income Statement'!Y45</f>
        <v>0</v>
      </c>
      <c r="Z13" s="25">
        <f>-'Income Statement'!Z45</f>
        <v>0</v>
      </c>
      <c r="AA13" s="25">
        <f t="shared" si="185"/>
        <v>0</v>
      </c>
      <c r="AB13" s="375">
        <f>-'Income Statement'!AB45</f>
        <v>0</v>
      </c>
      <c r="AC13" s="25">
        <f t="shared" si="186"/>
        <v>0</v>
      </c>
      <c r="AD13" s="25">
        <f>-'Income Statement'!AD45</f>
        <v>2701</v>
      </c>
      <c r="AE13" s="25">
        <f t="shared" si="187"/>
        <v>2701</v>
      </c>
      <c r="AF13" s="25">
        <f>-'Income Statement'!AF45</f>
        <v>0</v>
      </c>
      <c r="AG13" s="25">
        <f>-'Income Statement'!AG45</f>
        <v>0</v>
      </c>
      <c r="AH13" s="25">
        <f t="shared" si="188"/>
        <v>0</v>
      </c>
      <c r="AI13" s="25">
        <f>-'Income Statement'!AI45</f>
        <v>0</v>
      </c>
      <c r="AJ13" s="25">
        <f t="shared" si="189"/>
        <v>0</v>
      </c>
      <c r="AK13" s="25">
        <f>-'Income Statement'!AK45</f>
        <v>6007</v>
      </c>
      <c r="AL13" s="25">
        <f t="shared" si="190"/>
        <v>6007</v>
      </c>
      <c r="AM13" s="25">
        <f>-'Income Statement'!AM45</f>
        <v>0</v>
      </c>
      <c r="AN13" s="25">
        <f>-'Income Statement'!AN45</f>
        <v>0</v>
      </c>
      <c r="AO13" s="25">
        <f t="shared" si="191"/>
        <v>0</v>
      </c>
      <c r="AP13" s="25">
        <f>-'Income Statement'!AP45</f>
        <v>0</v>
      </c>
      <c r="AQ13" s="25">
        <f t="shared" si="192"/>
        <v>0</v>
      </c>
      <c r="AR13" s="25">
        <f>-'Income Statement'!AR45</f>
        <v>7054</v>
      </c>
      <c r="AS13" s="25">
        <f t="shared" si="193"/>
        <v>7054</v>
      </c>
      <c r="AT13" s="25">
        <f>-'Income Statement'!AT45</f>
        <v>0</v>
      </c>
      <c r="AU13" s="25">
        <f>-'Income Statement'!AU45</f>
        <v>0</v>
      </c>
      <c r="AV13" s="25">
        <f t="shared" si="194"/>
        <v>0</v>
      </c>
      <c r="AW13" s="25">
        <f>-'Income Statement'!AW45</f>
        <v>0</v>
      </c>
      <c r="AX13" s="25">
        <f t="shared" si="195"/>
        <v>0</v>
      </c>
      <c r="AY13" s="25">
        <f>-'Income Statement'!AY45</f>
        <v>3622</v>
      </c>
      <c r="AZ13" s="25">
        <f t="shared" si="196"/>
        <v>3622</v>
      </c>
      <c r="BA13" s="25">
        <f>-'Income Statement'!BA45</f>
        <v>0</v>
      </c>
      <c r="BB13" s="25">
        <f>-'Income Statement'!BB45</f>
        <v>0</v>
      </c>
      <c r="BC13" s="25">
        <f t="shared" si="197"/>
        <v>0</v>
      </c>
      <c r="BD13" s="25">
        <f>-'Income Statement'!BD45</f>
        <v>0</v>
      </c>
      <c r="BE13" s="25">
        <f t="shared" si="198"/>
        <v>0</v>
      </c>
      <c r="BF13" s="25">
        <f>-'Income Statement'!BF45</f>
        <v>5837</v>
      </c>
      <c r="BG13" s="25">
        <f t="shared" si="199"/>
        <v>5837</v>
      </c>
      <c r="BH13" s="25">
        <f>-'Income Statement'!BH45</f>
        <v>0</v>
      </c>
      <c r="BI13" s="25">
        <f>-'Income Statement'!BI45</f>
        <v>-17</v>
      </c>
      <c r="BJ13" s="25">
        <f t="shared" si="200"/>
        <v>-17</v>
      </c>
      <c r="BK13" s="25">
        <f>-'Income Statement'!BK45</f>
        <v>0</v>
      </c>
      <c r="BL13" s="25">
        <f t="shared" si="201"/>
        <v>-17</v>
      </c>
      <c r="BM13" s="25">
        <f>-'Income Statement'!BM45</f>
        <v>5616</v>
      </c>
      <c r="BN13" s="25">
        <f t="shared" si="202"/>
        <v>5599</v>
      </c>
      <c r="BO13" s="25">
        <f>-'Income Statement'!BO45</f>
        <v>0</v>
      </c>
      <c r="BP13" s="25">
        <f>-'Income Statement'!BP45</f>
        <v>0</v>
      </c>
      <c r="BQ13" s="25">
        <f t="shared" si="203"/>
        <v>0</v>
      </c>
      <c r="BR13" s="25">
        <f>-'Income Statement'!BR45</f>
        <v>0</v>
      </c>
      <c r="BS13" s="25">
        <f t="shared" si="204"/>
        <v>0</v>
      </c>
      <c r="BT13" s="25">
        <f>-'Income Statement'!BT45</f>
        <v>11657.135</v>
      </c>
      <c r="BU13" s="25">
        <f t="shared" si="205"/>
        <v>11657.135</v>
      </c>
      <c r="BV13" s="25">
        <f>-'Income Statement'!BV45</f>
        <v>0</v>
      </c>
      <c r="BW13" s="25">
        <f>-'Income Statement'!BW45</f>
        <v>0</v>
      </c>
      <c r="BX13" s="25">
        <f t="shared" si="206"/>
        <v>0</v>
      </c>
      <c r="BY13" s="25">
        <f>-'Income Statement'!BY45</f>
        <v>0</v>
      </c>
      <c r="BZ13" s="25">
        <f t="shared" si="207"/>
        <v>0</v>
      </c>
      <c r="CA13" s="25">
        <f>-'Income Statement'!CA45</f>
        <v>9943.6965899999996</v>
      </c>
      <c r="CB13" s="25">
        <f t="shared" si="208"/>
        <v>9943.6965899999996</v>
      </c>
      <c r="CC13" s="25">
        <f>-'Income Statement'!CC45</f>
        <v>0</v>
      </c>
      <c r="CD13" s="25">
        <f>-'Income Statement'!CD45</f>
        <v>0</v>
      </c>
      <c r="CE13" s="25">
        <f t="shared" si="209"/>
        <v>0</v>
      </c>
      <c r="CF13" s="25">
        <f>-'Income Statement'!CF45</f>
        <v>0</v>
      </c>
      <c r="CG13" s="25">
        <f t="shared" si="210"/>
        <v>0</v>
      </c>
      <c r="CH13" s="25">
        <f>-'Income Statement'!CH45</f>
        <v>6734</v>
      </c>
      <c r="CI13" s="25">
        <f>-'Income Statement'!CI45</f>
        <v>6734</v>
      </c>
      <c r="CJ13" s="25">
        <f>-'Income Statement'!CJ45</f>
        <v>0</v>
      </c>
      <c r="CK13" s="25">
        <f>-'Income Statement'!CK45</f>
        <v>0</v>
      </c>
      <c r="CL13" s="25">
        <f t="shared" si="211"/>
        <v>0</v>
      </c>
      <c r="CM13" s="25">
        <f>-'Income Statement'!CM45</f>
        <v>0</v>
      </c>
      <c r="CN13" s="25">
        <f t="shared" si="212"/>
        <v>0</v>
      </c>
      <c r="CO13" s="25">
        <f>-'Income Statement'!CO45</f>
        <v>10551</v>
      </c>
      <c r="CP13" s="25">
        <f t="shared" si="213"/>
        <v>10551</v>
      </c>
      <c r="CQ13" s="25">
        <f>-'Income Statement'!CQ45</f>
        <v>0</v>
      </c>
      <c r="CR13" s="25">
        <f>-'Income Statement'!CR45</f>
        <v>0</v>
      </c>
      <c r="CS13" s="25">
        <f t="shared" si="214"/>
        <v>0</v>
      </c>
      <c r="CT13" s="25">
        <f>-'Income Statement'!CT45</f>
        <v>0</v>
      </c>
      <c r="CU13" s="25">
        <f t="shared" si="215"/>
        <v>0</v>
      </c>
      <c r="CV13" s="25">
        <f>-'Income Statement'!CV45</f>
        <v>8294.7492000000002</v>
      </c>
      <c r="CW13" s="25">
        <f t="shared" si="216"/>
        <v>8294.7492000000002</v>
      </c>
      <c r="CX13" s="25">
        <f>-'Income Statement'!CX45</f>
        <v>0</v>
      </c>
      <c r="CY13" s="25">
        <f>-'Income Statement'!CY45</f>
        <v>0</v>
      </c>
      <c r="CZ13" s="25">
        <f t="shared" si="217"/>
        <v>0</v>
      </c>
      <c r="DA13" s="25">
        <f>-'Income Statement'!DA45</f>
        <v>0</v>
      </c>
      <c r="DB13" s="25">
        <f t="shared" si="218"/>
        <v>0</v>
      </c>
      <c r="DC13" s="25">
        <f>-'Income Statement'!DC45</f>
        <v>5855</v>
      </c>
      <c r="DD13" s="25">
        <f t="shared" si="219"/>
        <v>5855</v>
      </c>
      <c r="DE13" s="25">
        <f>-'Income Statement'!DE45</f>
        <v>0</v>
      </c>
      <c r="DF13" s="25">
        <f>-'Income Statement'!DF45</f>
        <v>-517</v>
      </c>
      <c r="DG13" s="25">
        <f t="shared" si="220"/>
        <v>-517</v>
      </c>
      <c r="DH13" s="25">
        <f>-'Income Statement'!DH45</f>
        <v>0</v>
      </c>
      <c r="DI13" s="25">
        <f t="shared" si="221"/>
        <v>-517</v>
      </c>
      <c r="DJ13" s="25">
        <f>-'Income Statement'!DJ45</f>
        <v>1880</v>
      </c>
      <c r="DK13" s="25">
        <f t="shared" si="222"/>
        <v>1363</v>
      </c>
      <c r="DL13" s="25">
        <f>-'Income Statement'!DL45</f>
        <v>0</v>
      </c>
      <c r="DM13" s="25">
        <f>-'Income Statement'!DM45</f>
        <v>0</v>
      </c>
      <c r="DN13" s="25">
        <f t="shared" si="223"/>
        <v>0</v>
      </c>
      <c r="DO13" s="25">
        <f>-'Income Statement'!DO45</f>
        <v>0</v>
      </c>
      <c r="DP13" s="25">
        <f t="shared" si="224"/>
        <v>0</v>
      </c>
      <c r="DQ13" s="25">
        <f>-'Income Statement'!DQ45</f>
        <v>6754</v>
      </c>
      <c r="DR13" s="25">
        <f t="shared" si="225"/>
        <v>6754</v>
      </c>
      <c r="DS13" s="25">
        <f>-'Income Statement'!DS45</f>
        <v>0</v>
      </c>
      <c r="DT13" s="25">
        <f>-'Income Statement'!DT45</f>
        <v>0</v>
      </c>
      <c r="DU13" s="25">
        <f t="shared" si="226"/>
        <v>0</v>
      </c>
      <c r="DV13" s="25">
        <f>-'Income Statement'!DV45</f>
        <v>0</v>
      </c>
      <c r="DW13" s="25">
        <f t="shared" si="227"/>
        <v>0</v>
      </c>
      <c r="DX13" s="25">
        <f>-'Income Statement'!DX45</f>
        <v>2282</v>
      </c>
      <c r="DY13" s="25">
        <f t="shared" si="228"/>
        <v>2282</v>
      </c>
      <c r="DZ13" s="25">
        <f>-'Income Statement'!DZ45</f>
        <v>0</v>
      </c>
      <c r="EA13" s="25">
        <f>-'Income Statement'!EA45</f>
        <v>0</v>
      </c>
      <c r="EB13" s="25">
        <f t="shared" si="229"/>
        <v>0</v>
      </c>
      <c r="EC13" s="25">
        <f>-'Income Statement'!EC45</f>
        <v>0</v>
      </c>
      <c r="ED13" s="25">
        <f t="shared" si="230"/>
        <v>0</v>
      </c>
      <c r="EE13" s="25">
        <f>-'Income Statement'!EE45</f>
        <v>0</v>
      </c>
      <c r="EF13" s="25">
        <f t="shared" si="230"/>
        <v>0</v>
      </c>
      <c r="EG13" s="25">
        <f>-'Income Statement'!EG45</f>
        <v>0</v>
      </c>
      <c r="EH13" s="25">
        <v>1672</v>
      </c>
      <c r="EI13" s="25">
        <f t="shared" si="231"/>
        <v>1672</v>
      </c>
      <c r="EJ13" s="25">
        <v>0</v>
      </c>
      <c r="EK13" s="25">
        <f t="shared" si="232"/>
        <v>1672</v>
      </c>
      <c r="EL13" s="25">
        <v>15585</v>
      </c>
      <c r="EM13" s="25">
        <f t="shared" si="233"/>
        <v>17257</v>
      </c>
      <c r="EN13" s="25">
        <v>0</v>
      </c>
      <c r="EO13" s="25">
        <v>0</v>
      </c>
      <c r="EP13" s="25">
        <f t="shared" si="234"/>
        <v>0</v>
      </c>
      <c r="EQ13" s="25">
        <v>0</v>
      </c>
      <c r="ER13" s="25">
        <f t="shared" si="235"/>
        <v>0</v>
      </c>
      <c r="ES13" s="25">
        <v>15218</v>
      </c>
      <c r="ET13" s="463">
        <f t="shared" si="236"/>
        <v>15218</v>
      </c>
      <c r="EU13" s="463">
        <v>0</v>
      </c>
      <c r="EV13" s="25">
        <v>0</v>
      </c>
      <c r="EW13" s="25">
        <f t="shared" si="237"/>
        <v>0</v>
      </c>
    </row>
    <row r="14" spans="1:153" ht="16.350000000000001" customHeight="1">
      <c r="A14" s="18"/>
      <c r="B14" s="23" t="s">
        <v>206</v>
      </c>
      <c r="C14" s="23" t="s">
        <v>644</v>
      </c>
      <c r="D14" s="25">
        <f>-'Income Statement'!D43</f>
        <v>59</v>
      </c>
      <c r="E14" s="25">
        <f>-'Income Statement'!E43</f>
        <v>250</v>
      </c>
      <c r="F14" s="25">
        <f t="shared" si="177"/>
        <v>309</v>
      </c>
      <c r="G14" s="25">
        <f>-'Income Statement'!G43</f>
        <v>225</v>
      </c>
      <c r="H14" s="25">
        <f t="shared" si="178"/>
        <v>534</v>
      </c>
      <c r="I14" s="25">
        <f>-'Income Statement'!I43</f>
        <v>58</v>
      </c>
      <c r="J14" s="25">
        <f t="shared" si="179"/>
        <v>592</v>
      </c>
      <c r="K14" s="25">
        <f>-'Income Statement'!K43</f>
        <v>316</v>
      </c>
      <c r="L14" s="25">
        <f>-'Income Statement'!L43</f>
        <v>29</v>
      </c>
      <c r="M14" s="25">
        <f t="shared" si="180"/>
        <v>345</v>
      </c>
      <c r="N14" s="25">
        <f>-'Income Statement'!N43</f>
        <v>127</v>
      </c>
      <c r="O14" s="25">
        <f t="shared" si="181"/>
        <v>472</v>
      </c>
      <c r="P14" s="25">
        <f>-'Income Statement'!P43</f>
        <v>479</v>
      </c>
      <c r="Q14" s="25">
        <f t="shared" si="182"/>
        <v>951</v>
      </c>
      <c r="R14" s="25">
        <f>-'Income Statement'!R43</f>
        <v>-62</v>
      </c>
      <c r="S14" s="25">
        <f>-'Income Statement'!S43</f>
        <v>520</v>
      </c>
      <c r="T14" s="25">
        <f t="shared" si="183"/>
        <v>458</v>
      </c>
      <c r="U14" s="25">
        <f>-'Income Statement'!U43</f>
        <v>2085</v>
      </c>
      <c r="V14" s="363">
        <f>-'Income Statement'!V43</f>
        <v>2543</v>
      </c>
      <c r="W14" s="25">
        <f>-'Income Statement'!W43</f>
        <v>1433</v>
      </c>
      <c r="X14" s="25">
        <f t="shared" si="184"/>
        <v>3976</v>
      </c>
      <c r="Y14" s="25">
        <f>-'Income Statement'!Y43</f>
        <v>-3</v>
      </c>
      <c r="Z14" s="25">
        <f>-'Income Statement'!Z43</f>
        <v>67</v>
      </c>
      <c r="AA14" s="25">
        <f t="shared" si="185"/>
        <v>64</v>
      </c>
      <c r="AB14" s="375">
        <f>-'Income Statement'!AB43</f>
        <v>194</v>
      </c>
      <c r="AC14" s="25">
        <f t="shared" si="186"/>
        <v>258</v>
      </c>
      <c r="AD14" s="25">
        <f>-'Income Statement'!AD43</f>
        <v>33</v>
      </c>
      <c r="AE14" s="25">
        <f t="shared" si="187"/>
        <v>291</v>
      </c>
      <c r="AF14" s="25">
        <f>-'Income Statement'!AF43</f>
        <v>-59</v>
      </c>
      <c r="AG14" s="25">
        <f>-'Income Statement'!AG43</f>
        <v>152</v>
      </c>
      <c r="AH14" s="25">
        <f t="shared" si="188"/>
        <v>93</v>
      </c>
      <c r="AI14" s="25">
        <f>-'Income Statement'!AI43</f>
        <v>50</v>
      </c>
      <c r="AJ14" s="25">
        <f t="shared" si="189"/>
        <v>143</v>
      </c>
      <c r="AK14" s="25">
        <f>-'Income Statement'!AK43</f>
        <v>200</v>
      </c>
      <c r="AL14" s="25">
        <f t="shared" si="190"/>
        <v>343</v>
      </c>
      <c r="AM14" s="25">
        <f>-'Income Statement'!AM43</f>
        <v>377</v>
      </c>
      <c r="AN14" s="25">
        <f>-'Income Statement'!AN43</f>
        <v>410</v>
      </c>
      <c r="AO14" s="25">
        <f t="shared" si="191"/>
        <v>787</v>
      </c>
      <c r="AP14" s="25">
        <f>-'Income Statement'!AP43</f>
        <v>338</v>
      </c>
      <c r="AQ14" s="25">
        <f t="shared" si="192"/>
        <v>1125</v>
      </c>
      <c r="AR14" s="25">
        <f>-'Income Statement'!AR43</f>
        <v>-705</v>
      </c>
      <c r="AS14" s="25">
        <f t="shared" si="193"/>
        <v>420</v>
      </c>
      <c r="AT14" s="25">
        <f>-'Income Statement'!AT43</f>
        <v>-142</v>
      </c>
      <c r="AU14" s="25">
        <f>-'Income Statement'!AU43</f>
        <v>49</v>
      </c>
      <c r="AV14" s="25">
        <f t="shared" si="194"/>
        <v>-93</v>
      </c>
      <c r="AW14" s="25">
        <f>-'Income Statement'!AW43</f>
        <v>180.07400000000001</v>
      </c>
      <c r="AX14" s="25">
        <f t="shared" si="195"/>
        <v>87.074000000000012</v>
      </c>
      <c r="AY14" s="25">
        <f>-'Income Statement'!AY43</f>
        <v>574</v>
      </c>
      <c r="AZ14" s="25">
        <f t="shared" si="196"/>
        <v>661.07400000000007</v>
      </c>
      <c r="BA14" s="25">
        <f>-'Income Statement'!BA43</f>
        <v>138</v>
      </c>
      <c r="BB14" s="25">
        <f>-'Income Statement'!BB43</f>
        <v>-16</v>
      </c>
      <c r="BC14" s="25">
        <f t="shared" si="197"/>
        <v>122</v>
      </c>
      <c r="BD14" s="25">
        <f>-'Income Statement'!BD43</f>
        <v>117</v>
      </c>
      <c r="BE14" s="25">
        <f t="shared" si="198"/>
        <v>239</v>
      </c>
      <c r="BF14" s="25">
        <f>-'Income Statement'!BF43</f>
        <v>46</v>
      </c>
      <c r="BG14" s="25">
        <f t="shared" si="199"/>
        <v>285</v>
      </c>
      <c r="BH14" s="25">
        <f>-'Income Statement'!BH43</f>
        <v>21</v>
      </c>
      <c r="BI14" s="25">
        <f>-'Income Statement'!BI43</f>
        <v>471</v>
      </c>
      <c r="BJ14" s="25">
        <f t="shared" si="200"/>
        <v>492</v>
      </c>
      <c r="BK14" s="25">
        <f>-'Income Statement'!BK43</f>
        <v>-26</v>
      </c>
      <c r="BL14" s="25">
        <f t="shared" si="201"/>
        <v>466</v>
      </c>
      <c r="BM14" s="25">
        <f>-'Income Statement'!BM43</f>
        <v>56</v>
      </c>
      <c r="BN14" s="25">
        <f t="shared" si="202"/>
        <v>522</v>
      </c>
      <c r="BO14" s="25">
        <f>-'Income Statement'!BO43</f>
        <v>136.77000000000001</v>
      </c>
      <c r="BP14" s="25">
        <f>-'Income Statement'!BP43</f>
        <v>61</v>
      </c>
      <c r="BQ14" s="25">
        <f t="shared" si="203"/>
        <v>197.77</v>
      </c>
      <c r="BR14" s="25">
        <f>-'Income Statement'!BR43</f>
        <v>98</v>
      </c>
      <c r="BS14" s="25">
        <f t="shared" si="204"/>
        <v>295.77</v>
      </c>
      <c r="BT14" s="25">
        <f>-'Income Statement'!BT43</f>
        <v>1444.5619999999999</v>
      </c>
      <c r="BU14" s="25">
        <f t="shared" si="205"/>
        <v>1740.3319999999999</v>
      </c>
      <c r="BV14" s="25">
        <f>-'Income Statement'!BV43</f>
        <v>378.03440999999998</v>
      </c>
      <c r="BW14" s="25">
        <f>-'Income Statement'!BW43</f>
        <v>1057</v>
      </c>
      <c r="BX14" s="25">
        <f t="shared" si="206"/>
        <v>1435.03441</v>
      </c>
      <c r="BY14" s="25">
        <f>-'Income Statement'!BY43</f>
        <v>144</v>
      </c>
      <c r="BZ14" s="25">
        <f t="shared" si="207"/>
        <v>1579.03441</v>
      </c>
      <c r="CA14" s="25">
        <f>-'Income Statement'!CA43</f>
        <v>11178</v>
      </c>
      <c r="CB14" s="25">
        <f t="shared" si="208"/>
        <v>12757.03441</v>
      </c>
      <c r="CC14" s="25">
        <f>-'Income Statement'!CC43</f>
        <v>153</v>
      </c>
      <c r="CD14" s="25">
        <f>-'Income Statement'!CD43</f>
        <v>962</v>
      </c>
      <c r="CE14" s="25">
        <f t="shared" si="209"/>
        <v>1115</v>
      </c>
      <c r="CF14" s="25">
        <f>-'Income Statement'!CF43</f>
        <v>12228</v>
      </c>
      <c r="CG14" s="25">
        <f t="shared" si="210"/>
        <v>13343</v>
      </c>
      <c r="CH14" s="25">
        <f>-'Income Statement'!CH43</f>
        <v>8035</v>
      </c>
      <c r="CI14" s="25">
        <f>-'Income Statement'!CI43</f>
        <v>21378</v>
      </c>
      <c r="CJ14" s="25">
        <f>-'Income Statement'!CJ43</f>
        <v>431</v>
      </c>
      <c r="CK14" s="25">
        <f>-'Income Statement'!CK43</f>
        <v>725</v>
      </c>
      <c r="CL14" s="25">
        <f t="shared" si="211"/>
        <v>1156</v>
      </c>
      <c r="CM14" s="25">
        <f>-'Income Statement'!CM43</f>
        <v>3411</v>
      </c>
      <c r="CN14" s="25">
        <f t="shared" si="212"/>
        <v>4567</v>
      </c>
      <c r="CO14" s="25">
        <f>-'Income Statement'!CO43</f>
        <v>16783</v>
      </c>
      <c r="CP14" s="25">
        <f t="shared" si="213"/>
        <v>21350</v>
      </c>
      <c r="CQ14" s="25">
        <f>-'Income Statement'!CQ43</f>
        <v>523</v>
      </c>
      <c r="CR14" s="25">
        <f>-'Income Statement'!CR43</f>
        <v>1220.03514</v>
      </c>
      <c r="CS14" s="25">
        <f t="shared" si="214"/>
        <v>1743.03514</v>
      </c>
      <c r="CT14" s="25">
        <f>-'Income Statement'!CT43</f>
        <v>1268.56825</v>
      </c>
      <c r="CU14" s="25">
        <f t="shared" si="215"/>
        <v>3011.6033900000002</v>
      </c>
      <c r="CV14" s="25">
        <f>-'Income Statement'!CV43</f>
        <v>3119</v>
      </c>
      <c r="CW14" s="25">
        <f t="shared" si="216"/>
        <v>6130.6033900000002</v>
      </c>
      <c r="CX14" s="25">
        <f>-'Income Statement'!CX43</f>
        <v>500</v>
      </c>
      <c r="CY14" s="25">
        <f>-'Income Statement'!CY43</f>
        <v>289</v>
      </c>
      <c r="CZ14" s="25">
        <f t="shared" si="217"/>
        <v>789</v>
      </c>
      <c r="DA14" s="25">
        <f>-'Income Statement'!DA43</f>
        <v>1926</v>
      </c>
      <c r="DB14" s="25">
        <f t="shared" si="218"/>
        <v>2715</v>
      </c>
      <c r="DC14" s="25">
        <f>-'Income Statement'!DC43</f>
        <v>21053</v>
      </c>
      <c r="DD14" s="25">
        <f t="shared" si="219"/>
        <v>23768</v>
      </c>
      <c r="DE14" s="25">
        <f>-'Income Statement'!DE43</f>
        <v>-168</v>
      </c>
      <c r="DF14" s="25">
        <f>-'Income Statement'!DF43</f>
        <v>9905</v>
      </c>
      <c r="DG14" s="25">
        <f t="shared" si="220"/>
        <v>9737</v>
      </c>
      <c r="DH14" s="25">
        <f>-'Income Statement'!DH43</f>
        <v>10240</v>
      </c>
      <c r="DI14" s="25">
        <f t="shared" si="221"/>
        <v>19977</v>
      </c>
      <c r="DJ14" s="25">
        <f>-'Income Statement'!DJ43</f>
        <v>556</v>
      </c>
      <c r="DK14" s="25">
        <f t="shared" si="222"/>
        <v>20533</v>
      </c>
      <c r="DL14" s="25">
        <f>-'Income Statement'!DL43</f>
        <v>-67</v>
      </c>
      <c r="DM14" s="25">
        <f>-'Income Statement'!DM43</f>
        <v>228</v>
      </c>
      <c r="DN14" s="25">
        <f t="shared" si="223"/>
        <v>161</v>
      </c>
      <c r="DO14" s="25">
        <f>-'Income Statement'!DO43</f>
        <v>-84</v>
      </c>
      <c r="DP14" s="25">
        <f t="shared" si="224"/>
        <v>77</v>
      </c>
      <c r="DQ14" s="25">
        <f>-'Income Statement'!DQ43</f>
        <v>8917</v>
      </c>
      <c r="DR14" s="25">
        <f t="shared" si="225"/>
        <v>8994</v>
      </c>
      <c r="DS14" s="25">
        <f>-'Income Statement'!DS43</f>
        <v>-7</v>
      </c>
      <c r="DT14" s="25">
        <f>-'Income Statement'!DT43</f>
        <v>9510</v>
      </c>
      <c r="DU14" s="25">
        <f t="shared" si="226"/>
        <v>9503</v>
      </c>
      <c r="DV14" s="25">
        <f>-'Income Statement'!DV43</f>
        <v>845</v>
      </c>
      <c r="DW14" s="25">
        <f t="shared" si="227"/>
        <v>10348</v>
      </c>
      <c r="DX14" s="25">
        <f>-'Income Statement'!DX43</f>
        <v>27356</v>
      </c>
      <c r="DY14" s="25">
        <f t="shared" si="228"/>
        <v>37704</v>
      </c>
      <c r="DZ14" s="25">
        <f>-'Income Statement'!DZ43</f>
        <v>16040</v>
      </c>
      <c r="EA14" s="25">
        <f>-'Income Statement'!EA43</f>
        <v>3076</v>
      </c>
      <c r="EB14" s="25">
        <f t="shared" si="229"/>
        <v>19116</v>
      </c>
      <c r="EC14" s="25">
        <f>-'Income Statement'!EC43</f>
        <v>-27</v>
      </c>
      <c r="ED14" s="25">
        <f t="shared" si="230"/>
        <v>19089</v>
      </c>
      <c r="EE14" s="25">
        <f>-'Income Statement'!EE43</f>
        <v>121753</v>
      </c>
      <c r="EF14" s="25">
        <f t="shared" si="230"/>
        <v>140842</v>
      </c>
      <c r="EG14" s="25">
        <f>-'Income Statement'!EG43</f>
        <v>-78</v>
      </c>
      <c r="EH14" s="25">
        <f>-'Income Statement'!EH43</f>
        <v>8600</v>
      </c>
      <c r="EI14" s="25">
        <f t="shared" si="231"/>
        <v>8522</v>
      </c>
      <c r="EJ14" s="25">
        <f>-'Income Statement'!EJ43</f>
        <v>1311</v>
      </c>
      <c r="EK14" s="25">
        <f t="shared" si="232"/>
        <v>9833</v>
      </c>
      <c r="EL14" s="25">
        <f>-'Income Statement'!EL43</f>
        <v>133504</v>
      </c>
      <c r="EM14" s="25">
        <f t="shared" si="233"/>
        <v>143337</v>
      </c>
      <c r="EN14" s="25">
        <f>-'Income Statement'!EN43</f>
        <v>3563</v>
      </c>
      <c r="EO14" s="25">
        <f>-'Income Statement'!EO43</f>
        <v>1328</v>
      </c>
      <c r="EP14" s="25">
        <f t="shared" si="234"/>
        <v>4891</v>
      </c>
      <c r="EQ14" s="25">
        <f>-'Income Statement'!EQ43</f>
        <v>3034</v>
      </c>
      <c r="ER14" s="25">
        <f t="shared" si="235"/>
        <v>7925</v>
      </c>
      <c r="ES14" s="25">
        <f>-'Income Statement'!ES43</f>
        <v>99073</v>
      </c>
      <c r="ET14" s="463">
        <f t="shared" si="236"/>
        <v>106998</v>
      </c>
      <c r="EU14" s="463">
        <f>-'Income Statement'!EU43</f>
        <v>221</v>
      </c>
      <c r="EV14" s="25">
        <f>-'Income Statement'!EV43</f>
        <v>-2220</v>
      </c>
      <c r="EW14" s="25">
        <f t="shared" si="237"/>
        <v>-1999</v>
      </c>
    </row>
    <row r="15" spans="1:153" ht="16.350000000000001" customHeight="1">
      <c r="B15" s="26" t="s">
        <v>474</v>
      </c>
      <c r="C15" s="26" t="s">
        <v>473</v>
      </c>
      <c r="D15" s="27">
        <f t="shared" ref="D15" si="238">SUM(D11:D14)</f>
        <v>21401</v>
      </c>
      <c r="E15" s="27">
        <f t="shared" ref="E15" si="239">SUM(E11:E14)</f>
        <v>37764</v>
      </c>
      <c r="F15" s="27">
        <f t="shared" ref="F15" si="240">SUM(F11:F14)</f>
        <v>59165</v>
      </c>
      <c r="G15" s="27">
        <f t="shared" ref="G15" si="241">SUM(G11:G14)</f>
        <v>6686</v>
      </c>
      <c r="H15" s="27">
        <f t="shared" ref="H15" si="242">SUM(H11:H14)</f>
        <v>65851</v>
      </c>
      <c r="I15" s="27">
        <f t="shared" ref="I15" si="243">SUM(I11:I14)</f>
        <v>60859</v>
      </c>
      <c r="J15" s="27">
        <f t="shared" ref="J15" si="244">SUM(J11:J14)</f>
        <v>126710</v>
      </c>
      <c r="K15" s="27">
        <f t="shared" ref="K15" si="245">SUM(K11:K14)</f>
        <v>29752</v>
      </c>
      <c r="L15" s="27">
        <f t="shared" ref="L15" si="246">SUM(L11:L14)</f>
        <v>45019</v>
      </c>
      <c r="M15" s="27">
        <f t="shared" ref="M15" si="247">SUM(M11:M14)</f>
        <v>74771</v>
      </c>
      <c r="N15" s="27">
        <f t="shared" ref="N15" si="248">SUM(N11:N14)</f>
        <v>33079</v>
      </c>
      <c r="O15" s="27">
        <f t="shared" ref="O15" si="249">SUM(O11:O14)</f>
        <v>107850</v>
      </c>
      <c r="P15" s="27">
        <f t="shared" ref="P15" si="250">SUM(P11:P14)</f>
        <v>68925</v>
      </c>
      <c r="Q15" s="27">
        <f t="shared" ref="Q15" si="251">SUM(Q11:Q14)</f>
        <v>176775</v>
      </c>
      <c r="R15" s="27">
        <f t="shared" ref="R15" si="252">SUM(R11:R14)</f>
        <v>38858</v>
      </c>
      <c r="S15" s="27">
        <f t="shared" ref="S15" si="253">SUM(S11:S14)</f>
        <v>75234</v>
      </c>
      <c r="T15" s="27">
        <f t="shared" ref="T15" si="254">SUM(T11:T14)</f>
        <v>114092</v>
      </c>
      <c r="U15" s="27">
        <f t="shared" ref="U15:V15" si="255">SUM(U11:U14)</f>
        <v>69729</v>
      </c>
      <c r="V15" s="364">
        <f t="shared" si="255"/>
        <v>183821</v>
      </c>
      <c r="W15" s="27">
        <f t="shared" ref="W15" si="256">SUM(W11:W14)</f>
        <v>101404</v>
      </c>
      <c r="X15" s="27">
        <f t="shared" ref="X15" si="257">SUM(X11:X14)</f>
        <v>285225</v>
      </c>
      <c r="Y15" s="27">
        <f t="shared" ref="Y15" si="258">SUM(Y11:Y14)</f>
        <v>54445</v>
      </c>
      <c r="Z15" s="27">
        <f t="shared" ref="Z15:AB15" si="259">SUM(Z11:Z14)</f>
        <v>85677</v>
      </c>
      <c r="AA15" s="27">
        <f t="shared" ref="AA15:AC15" si="260">SUM(AA11:AA14)</f>
        <v>140122</v>
      </c>
      <c r="AB15" s="376">
        <f t="shared" si="259"/>
        <v>61722</v>
      </c>
      <c r="AC15" s="27">
        <f t="shared" si="260"/>
        <v>201844</v>
      </c>
      <c r="AD15" s="27">
        <f t="shared" ref="AD15" si="261">SUM(AD11:AD14)</f>
        <v>95264</v>
      </c>
      <c r="AE15" s="27">
        <f t="shared" ref="AE15" si="262">SUM(AE11:AE14)</f>
        <v>297108</v>
      </c>
      <c r="AF15" s="27">
        <f t="shared" ref="AF15" si="263">SUM(AF11:AF14)</f>
        <v>38124.279695342848</v>
      </c>
      <c r="AG15" s="27">
        <f t="shared" ref="AG15" si="264">SUM(AG11:AG14)</f>
        <v>93498.940966587921</v>
      </c>
      <c r="AH15" s="27">
        <f t="shared" ref="AH15" si="265">SUM(AH11:AH14)</f>
        <v>131623.22066193077</v>
      </c>
      <c r="AI15" s="27">
        <f t="shared" ref="AI15" si="266">SUM(AI11:AI14)</f>
        <v>68171.640550408512</v>
      </c>
      <c r="AJ15" s="27">
        <f t="shared" ref="AJ15" si="267">SUM(AJ11:AJ14)</f>
        <v>199794.86121233928</v>
      </c>
      <c r="AK15" s="27">
        <f t="shared" ref="AK15" si="268">SUM(AK11:AK14)</f>
        <v>156114.23646145535</v>
      </c>
      <c r="AL15" s="27">
        <f t="shared" ref="AL15" si="269">SUM(AL11:AL14)</f>
        <v>355909.0976737946</v>
      </c>
      <c r="AM15" s="27">
        <f t="shared" ref="AM15" si="270">SUM(AM11:AM14)</f>
        <v>73111</v>
      </c>
      <c r="AN15" s="27">
        <f t="shared" ref="AN15" si="271">SUM(AN11:AN14)</f>
        <v>152505</v>
      </c>
      <c r="AO15" s="27">
        <f t="shared" ref="AO15" si="272">SUM(AO11:AO14)</f>
        <v>225616</v>
      </c>
      <c r="AP15" s="27">
        <f t="shared" ref="AP15" si="273">SUM(AP11:AP14)</f>
        <v>101243</v>
      </c>
      <c r="AQ15" s="27">
        <f t="shared" ref="AQ15" si="274">SUM(AQ11:AQ14)</f>
        <v>326859</v>
      </c>
      <c r="AR15" s="27">
        <f t="shared" ref="AR15" si="275">SUM(AR11:AR14)</f>
        <v>178260</v>
      </c>
      <c r="AS15" s="27">
        <f t="shared" ref="AS15" si="276">SUM(AS11:AS14)</f>
        <v>505119</v>
      </c>
      <c r="AT15" s="27">
        <f t="shared" ref="AT15" si="277">SUM(AT11:AT14)</f>
        <v>85159</v>
      </c>
      <c r="AU15" s="27">
        <f t="shared" ref="AU15" si="278">SUM(AU11:AU14)</f>
        <v>179669</v>
      </c>
      <c r="AV15" s="27">
        <f t="shared" ref="AV15" si="279">SUM(AV11:AV14)</f>
        <v>264828</v>
      </c>
      <c r="AW15" s="27">
        <f t="shared" ref="AW15" si="280">SUM(AW11:AW14)</f>
        <v>105242.18123999998</v>
      </c>
      <c r="AX15" s="27">
        <f t="shared" ref="AX15" si="281">SUM(AX11:AX14)</f>
        <v>370070.18124000001</v>
      </c>
      <c r="AY15" s="27">
        <f t="shared" ref="AY15" si="282">SUM(AY11:AY14)</f>
        <v>222557</v>
      </c>
      <c r="AZ15" s="27">
        <f t="shared" ref="AZ15" si="283">SUM(AZ11:AZ14)</f>
        <v>592627.18123999995</v>
      </c>
      <c r="BA15" s="27">
        <f t="shared" ref="BA15" si="284">SUM(BA11:BA14)</f>
        <v>83588</v>
      </c>
      <c r="BB15" s="27">
        <f t="shared" ref="BB15" si="285">SUM(BB11:BB14)</f>
        <v>190395</v>
      </c>
      <c r="BC15" s="27">
        <f t="shared" ref="BC15" si="286">SUM(BC11:BC14)</f>
        <v>273983</v>
      </c>
      <c r="BD15" s="27">
        <f t="shared" ref="BD15" si="287">SUM(BD11:BD14)</f>
        <v>148184</v>
      </c>
      <c r="BE15" s="27">
        <f t="shared" ref="BE15" si="288">SUM(BE11:BE14)</f>
        <v>422167</v>
      </c>
      <c r="BF15" s="27">
        <f t="shared" ref="BF15" si="289">SUM(BF11:BF14)</f>
        <v>292283</v>
      </c>
      <c r="BG15" s="27">
        <f t="shared" ref="BG15" si="290">SUM(BG11:BG14)</f>
        <v>714450</v>
      </c>
      <c r="BH15" s="27">
        <f t="shared" ref="BH15" si="291">SUM(BH11:BH14)</f>
        <v>89968</v>
      </c>
      <c r="BI15" s="27">
        <f t="shared" ref="BI15" si="292">SUM(BI11:BI14)</f>
        <v>201821</v>
      </c>
      <c r="BJ15" s="27">
        <f t="shared" ref="BJ15" si="293">SUM(BJ11:BJ14)</f>
        <v>291789</v>
      </c>
      <c r="BK15" s="27">
        <f t="shared" ref="BK15" si="294">SUM(BK11:BK14)</f>
        <v>154626</v>
      </c>
      <c r="BL15" s="27">
        <f t="shared" ref="BL15" si="295">SUM(BL11:BL14)</f>
        <v>446415</v>
      </c>
      <c r="BM15" s="27">
        <f t="shared" ref="BM15" si="296">SUM(BM11:BM14)</f>
        <v>390718</v>
      </c>
      <c r="BN15" s="27">
        <f t="shared" ref="BN15" si="297">SUM(BN11:BN14)</f>
        <v>837133</v>
      </c>
      <c r="BO15" s="27">
        <f t="shared" ref="BO15" si="298">SUM(BO11:BO14)</f>
        <v>135060.48000000001</v>
      </c>
      <c r="BP15" s="27">
        <f t="shared" ref="BP15" si="299">SUM(BP11:BP14)</f>
        <v>248105</v>
      </c>
      <c r="BQ15" s="27">
        <f t="shared" ref="BQ15" si="300">SUM(BQ11:BQ14)</f>
        <v>383165.48000000004</v>
      </c>
      <c r="BR15" s="27">
        <f t="shared" ref="BR15" si="301">SUM(BR11:BR14)</f>
        <v>204342</v>
      </c>
      <c r="BS15" s="27">
        <f t="shared" ref="BS15" si="302">SUM(BS11:BS14)</f>
        <v>587507.48</v>
      </c>
      <c r="BT15" s="27">
        <f t="shared" ref="BT15" si="303">SUM(BT11:BT14)</f>
        <v>465624.446</v>
      </c>
      <c r="BU15" s="27">
        <f t="shared" ref="BU15" si="304">SUM(BU11:BU14)</f>
        <v>1053131.9259999997</v>
      </c>
      <c r="BV15" s="27">
        <f t="shared" ref="BV15" si="305">SUM(BV11:BV14)</f>
        <v>198803.53941000011</v>
      </c>
      <c r="BW15" s="27">
        <f t="shared" ref="BW15" si="306">SUM(BW11:BW14)</f>
        <v>326159.03842999996</v>
      </c>
      <c r="BX15" s="27">
        <f t="shared" ref="BX15" si="307">SUM(BX11:BX14)</f>
        <v>524962.57784000004</v>
      </c>
      <c r="BY15" s="27">
        <f t="shared" ref="BY15" si="308">SUM(BY11:BY14)</f>
        <v>230533</v>
      </c>
      <c r="BZ15" s="27">
        <f t="shared" ref="BZ15" si="309">SUM(BZ11:BZ14)</f>
        <v>755495.57784000004</v>
      </c>
      <c r="CA15" s="27">
        <f t="shared" ref="CA15" si="310">SUM(CA11:CA14)</f>
        <v>491668.99999999994</v>
      </c>
      <c r="CB15" s="27">
        <f t="shared" ref="CB15" si="311">SUM(CB11:CB14)</f>
        <v>1247164.5778400002</v>
      </c>
      <c r="CC15" s="27">
        <f t="shared" ref="CC15" si="312">SUM(CC11:CC14)</f>
        <v>185798</v>
      </c>
      <c r="CD15" s="27">
        <f t="shared" ref="CD15" si="313">SUM(CD11:CD14)</f>
        <v>356072</v>
      </c>
      <c r="CE15" s="27">
        <f t="shared" ref="CE15" si="314">SUM(CE11:CE14)</f>
        <v>541870</v>
      </c>
      <c r="CF15" s="27">
        <f t="shared" ref="CF15" si="315">SUM(CF11:CF14)</f>
        <v>229510</v>
      </c>
      <c r="CG15" s="27">
        <f t="shared" ref="CG15" si="316">SUM(CG11:CG14)</f>
        <v>771380</v>
      </c>
      <c r="CH15" s="27">
        <f t="shared" ref="CH15:CI15" si="317">SUM(CH11:CH14)</f>
        <v>567729</v>
      </c>
      <c r="CI15" s="27">
        <f t="shared" si="317"/>
        <v>1339109</v>
      </c>
      <c r="CJ15" s="27">
        <f t="shared" ref="CJ15" si="318">SUM(CJ11:CJ14)</f>
        <v>190442</v>
      </c>
      <c r="CK15" s="27">
        <f t="shared" ref="CK15" si="319">SUM(CK11:CK14)</f>
        <v>382734</v>
      </c>
      <c r="CL15" s="27">
        <f t="shared" ref="CL15" si="320">SUM(CL11:CL14)</f>
        <v>573176</v>
      </c>
      <c r="CM15" s="27">
        <f t="shared" ref="CM15" si="321">SUM(CM11:CM14)</f>
        <v>299237</v>
      </c>
      <c r="CN15" s="27">
        <f t="shared" ref="CN15" si="322">SUM(CN11:CN14)</f>
        <v>872413</v>
      </c>
      <c r="CO15" s="27">
        <f t="shared" ref="CO15" si="323">SUM(CO11:CO14)</f>
        <v>603417</v>
      </c>
      <c r="CP15" s="27">
        <f t="shared" ref="CP15" si="324">SUM(CP11:CP14)</f>
        <v>1475830</v>
      </c>
      <c r="CQ15" s="27">
        <f t="shared" ref="CQ15" si="325">SUM(CQ11:CQ14)</f>
        <v>249510</v>
      </c>
      <c r="CR15" s="27">
        <f t="shared" ref="CR15" si="326">SUM(CR11:CR14)</f>
        <v>434191</v>
      </c>
      <c r="CS15" s="27">
        <f t="shared" ref="CS15" si="327">SUM(CS11:CS14)</f>
        <v>683701</v>
      </c>
      <c r="CT15" s="27">
        <f t="shared" ref="CT15" si="328">SUM(CT11:CT14)</f>
        <v>346962</v>
      </c>
      <c r="CU15" s="27">
        <f t="shared" ref="CU15" si="329">SUM(CU11:CU14)</f>
        <v>1030663</v>
      </c>
      <c r="CV15" s="27">
        <f t="shared" ref="CV15" si="330">SUM(CV11:CV14)</f>
        <v>742655</v>
      </c>
      <c r="CW15" s="27">
        <f t="shared" ref="CW15" si="331">SUM(CW11:CW14)</f>
        <v>1773318</v>
      </c>
      <c r="CX15" s="27">
        <f t="shared" ref="CX15" si="332">SUM(CX11:CX14)</f>
        <v>415661</v>
      </c>
      <c r="CY15" s="27">
        <f t="shared" ref="CY15" si="333">SUM(CY11:CY14)</f>
        <v>544174</v>
      </c>
      <c r="CZ15" s="27">
        <f t="shared" ref="CZ15" si="334">SUM(CZ11:CZ14)</f>
        <v>959835</v>
      </c>
      <c r="DA15" s="27">
        <f t="shared" ref="DA15" si="335">SUM(DA11:DA14)</f>
        <v>464366</v>
      </c>
      <c r="DB15" s="27">
        <f t="shared" ref="DB15" si="336">SUM(DB11:DB14)</f>
        <v>1424201</v>
      </c>
      <c r="DC15" s="27">
        <f t="shared" ref="DC15" si="337">SUM(DC11:DC14)</f>
        <v>964628</v>
      </c>
      <c r="DD15" s="27">
        <f t="shared" ref="DD15" si="338">SUM(DD11:DD14)</f>
        <v>2388829</v>
      </c>
      <c r="DE15" s="27">
        <f t="shared" ref="DE15" si="339">SUM(DE11:DE14)</f>
        <v>218727</v>
      </c>
      <c r="DF15" s="27">
        <f t="shared" ref="DF15" si="340">SUM(DF11:DF14)</f>
        <v>618049</v>
      </c>
      <c r="DG15" s="27">
        <f t="shared" ref="DG15" si="341">SUM(DG11:DG14)</f>
        <v>836776</v>
      </c>
      <c r="DH15" s="27">
        <f t="shared" ref="DH15" si="342">SUM(DH11:DH14)</f>
        <v>87349</v>
      </c>
      <c r="DI15" s="27">
        <f t="shared" ref="DI15" si="343">SUM(DI11:DI14)</f>
        <v>924125</v>
      </c>
      <c r="DJ15" s="27">
        <f t="shared" ref="DJ15" si="344">SUM(DJ11:DJ14)</f>
        <v>737123</v>
      </c>
      <c r="DK15" s="27">
        <f t="shared" ref="DK15" si="345">SUM(DK11:DK14)</f>
        <v>1661248</v>
      </c>
      <c r="DL15" s="27">
        <f t="shared" ref="DL15" si="346">SUM(DL11:DL14)</f>
        <v>31785</v>
      </c>
      <c r="DM15" s="27">
        <f t="shared" ref="DM15:DO15" si="347">SUM(DM11:DM14)</f>
        <v>477193</v>
      </c>
      <c r="DN15" s="27">
        <f t="shared" ref="DN15:DP15" si="348">SUM(DN11:DN14)</f>
        <v>508978</v>
      </c>
      <c r="DO15" s="370">
        <f t="shared" si="347"/>
        <v>437496</v>
      </c>
      <c r="DP15" s="370">
        <f t="shared" si="348"/>
        <v>946474</v>
      </c>
      <c r="DQ15" s="27">
        <f t="shared" ref="DQ15" si="349">SUM(DQ11:DQ14)</f>
        <v>775596</v>
      </c>
      <c r="DR15" s="27">
        <f t="shared" ref="DR15:DU15" si="350">SUM(DR11:DR14)</f>
        <v>1722070</v>
      </c>
      <c r="DS15" s="27">
        <f t="shared" si="350"/>
        <v>383246.08999999997</v>
      </c>
      <c r="DT15" s="27">
        <f t="shared" si="350"/>
        <v>701632</v>
      </c>
      <c r="DU15" s="27">
        <f t="shared" si="350"/>
        <v>1084878.0899999999</v>
      </c>
      <c r="DV15" s="27">
        <f t="shared" ref="DV15:DW15" si="351">SUM(DV11:DV14)</f>
        <v>459529</v>
      </c>
      <c r="DW15" s="27">
        <f t="shared" si="351"/>
        <v>1544407.0899999999</v>
      </c>
      <c r="DX15" s="27">
        <f t="shared" ref="DX15:DZ15" si="352">SUM(DX11:DX14)</f>
        <v>918629</v>
      </c>
      <c r="DY15" s="27">
        <f t="shared" si="352"/>
        <v>2463036.09</v>
      </c>
      <c r="DZ15" s="27">
        <f t="shared" si="352"/>
        <v>251780</v>
      </c>
      <c r="EA15" s="27">
        <f t="shared" ref="EA15:EB15" si="353">SUM(EA11:EA14)</f>
        <v>481601</v>
      </c>
      <c r="EB15" s="27">
        <f t="shared" si="353"/>
        <v>733381</v>
      </c>
      <c r="EC15" s="27">
        <f t="shared" ref="EC15:ED15" si="354">SUM(EC11:EC14)</f>
        <v>362577</v>
      </c>
      <c r="ED15" s="27">
        <f t="shared" si="354"/>
        <v>1095958</v>
      </c>
      <c r="EE15" s="27">
        <f t="shared" ref="EE15:EI15" si="355">SUM(EE11:EE14)</f>
        <v>1007663</v>
      </c>
      <c r="EF15" s="27">
        <f t="shared" si="355"/>
        <v>2103621</v>
      </c>
      <c r="EG15" s="27">
        <f t="shared" si="355"/>
        <v>377905</v>
      </c>
      <c r="EH15" s="27">
        <f t="shared" si="355"/>
        <v>670485</v>
      </c>
      <c r="EI15" s="27">
        <f t="shared" si="355"/>
        <v>1048390</v>
      </c>
      <c r="EJ15" s="27">
        <f t="shared" ref="EJ15:EK15" si="356">SUM(EJ11:EJ14)</f>
        <v>576756</v>
      </c>
      <c r="EK15" s="27">
        <f t="shared" si="356"/>
        <v>1625146</v>
      </c>
      <c r="EL15" s="27">
        <f t="shared" ref="EL15:EM15" si="357">SUM(EL11:EL14)</f>
        <v>1024519</v>
      </c>
      <c r="EM15" s="27">
        <f t="shared" si="357"/>
        <v>2649665</v>
      </c>
      <c r="EN15" s="27">
        <f t="shared" ref="EN15:EP15" si="358">SUM(EN11:EN14)</f>
        <v>585162</v>
      </c>
      <c r="EO15" s="27">
        <f t="shared" si="358"/>
        <v>891852</v>
      </c>
      <c r="EP15" s="27">
        <f t="shared" si="358"/>
        <v>1477014</v>
      </c>
      <c r="EQ15" s="27">
        <f t="shared" ref="EQ15:ER15" si="359">SUM(EQ11:EQ14)</f>
        <v>593907</v>
      </c>
      <c r="ER15" s="27">
        <f t="shared" si="359"/>
        <v>2070921</v>
      </c>
      <c r="ES15" s="27">
        <f t="shared" ref="ES15:EW15" si="360">SUM(ES11:ES14)</f>
        <v>1116297</v>
      </c>
      <c r="ET15" s="464">
        <f t="shared" si="360"/>
        <v>3187218</v>
      </c>
      <c r="EU15" s="464">
        <f t="shared" si="360"/>
        <v>610477</v>
      </c>
      <c r="EV15" s="27">
        <f t="shared" si="360"/>
        <v>844648</v>
      </c>
      <c r="EW15" s="27">
        <f t="shared" si="360"/>
        <v>1455125</v>
      </c>
    </row>
    <row r="16" spans="1:153" ht="16.350000000000001" customHeight="1">
      <c r="A16" s="18"/>
      <c r="B16" s="28" t="s">
        <v>399</v>
      </c>
      <c r="C16" s="28" t="s">
        <v>400</v>
      </c>
      <c r="D16" s="29">
        <f>D15/'Income Statement'!D14</f>
        <v>0.10807930832474799</v>
      </c>
      <c r="E16" s="29">
        <f>E15/'Income Statement'!E14</f>
        <v>0.13528307564446101</v>
      </c>
      <c r="F16" s="29">
        <f>F15/'Income Statement'!F14</f>
        <v>0.12399404811803169</v>
      </c>
      <c r="G16" s="29">
        <f>G15/'Income Statement'!G14</f>
        <v>2.6177211026846715E-2</v>
      </c>
      <c r="H16" s="29">
        <f>H15/'Income Statement'!H14</f>
        <v>8.9890017786623311E-2</v>
      </c>
      <c r="I16" s="29">
        <f>I15/'Income Statement'!I14</f>
        <v>0.15069293643109882</v>
      </c>
      <c r="J16" s="29">
        <f>J15/'Income Statement'!J14</f>
        <v>0.11149789605027657</v>
      </c>
      <c r="K16" s="29">
        <f>K15/'Income Statement'!K14</f>
        <v>0.11853622582123149</v>
      </c>
      <c r="L16" s="29">
        <f>L15/'Income Statement'!L14</f>
        <v>0.12585369671995952</v>
      </c>
      <c r="M16" s="29">
        <f>M15/'Income Statement'!M14</f>
        <v>0.12283638681526653</v>
      </c>
      <c r="N16" s="29">
        <f>N15/'Income Statement'!N14</f>
        <v>0.10320320226629602</v>
      </c>
      <c r="O16" s="29">
        <f>O15/'Income Statement'!O14</f>
        <v>0.11606421251212029</v>
      </c>
      <c r="P16" s="29">
        <f>P15/'Income Statement'!P14</f>
        <v>0.13597919819128432</v>
      </c>
      <c r="Q16" s="29">
        <f>Q15/'Income Statement'!Q14</f>
        <v>0.12309328141516017</v>
      </c>
      <c r="R16" s="29">
        <f>R15/'Income Statement'!R14</f>
        <v>0.12523002452520682</v>
      </c>
      <c r="S16" s="29">
        <f>S15/'Income Statement'!S14</f>
        <v>0.16931057375296779</v>
      </c>
      <c r="T16" s="29">
        <f>T15/'Income Statement'!T14</f>
        <v>0.15118571837465944</v>
      </c>
      <c r="U16" s="29">
        <f>U15/'Income Statement'!U14</f>
        <v>0.17636926532408601</v>
      </c>
      <c r="V16" s="365">
        <f>V15/'Income Statement'!V14</f>
        <v>0.15984351385992768</v>
      </c>
      <c r="W16" s="29">
        <f>W15/'Income Statement'!W14</f>
        <v>0.16852300564047851</v>
      </c>
      <c r="X16" s="29">
        <f>X15/'Income Statement'!X14</f>
        <v>0.16282493629147904</v>
      </c>
      <c r="Y16" s="29">
        <f>Y15/'Income Statement'!Y14</f>
        <v>0.14201203496242662</v>
      </c>
      <c r="Z16" s="29">
        <f>Z15/'Income Statement'!Z14</f>
        <v>0.16791312425771099</v>
      </c>
      <c r="AA16" s="29">
        <f>AA15/'Income Statement'!AA14</f>
        <v>0.15680108859493144</v>
      </c>
      <c r="AB16" s="377">
        <f>AB15/'Income Statement'!AB14</f>
        <v>0.13745507021740003</v>
      </c>
      <c r="AC16" s="29">
        <f>AC15/'Income Statement'!AC14</f>
        <v>0.15033098377553877</v>
      </c>
      <c r="AD16" s="29">
        <f>AD15/'Income Statement'!AD14</f>
        <v>0.15521427011949335</v>
      </c>
      <c r="AE16" s="29">
        <f>AE15/'Income Statement'!AE14</f>
        <v>0.15186301925812493</v>
      </c>
      <c r="AF16" s="29">
        <f>AF15/'Income Statement'!AF14</f>
        <v>0.10512721583498878</v>
      </c>
      <c r="AG16" s="29">
        <f>AG15/'Income Statement'!AG14</f>
        <v>0.16854794921978167</v>
      </c>
      <c r="AH16" s="29">
        <f>AH15/'Income Statement'!AH14</f>
        <v>0.14347716015693673</v>
      </c>
      <c r="AI16" s="29">
        <f>AI15/'Income Statement'!AI14</f>
        <v>0.14006048641014221</v>
      </c>
      <c r="AJ16" s="29">
        <f>AJ15/'Income Statement'!AJ14</f>
        <v>0.14229278255945527</v>
      </c>
      <c r="AK16" s="29">
        <f>AK15/'Income Statement'!AK14</f>
        <v>0.21930530591979769</v>
      </c>
      <c r="AL16" s="29">
        <f>AL15/'Income Statement'!AL14</f>
        <v>0.16820147066133512</v>
      </c>
      <c r="AM16" s="29">
        <f>AM15/'Income Statement'!AM14</f>
        <v>0.16606851623864838</v>
      </c>
      <c r="AN16" s="29">
        <f>AN15/'Income Statement'!AN14</f>
        <v>0.24207565528921934</v>
      </c>
      <c r="AO16" s="29">
        <f>AO15/'Income Statement'!AO14</f>
        <v>0.21080977542315474</v>
      </c>
      <c r="AP16" s="29">
        <f>AP15/'Income Statement'!AP14</f>
        <v>0.17801280022505891</v>
      </c>
      <c r="AQ16" s="29">
        <f>AQ15/'Income Statement'!AQ14</f>
        <v>0.19942891136228436</v>
      </c>
      <c r="AR16" s="29">
        <f>AR15/'Income Statement'!AR14</f>
        <v>0.21641137829014859</v>
      </c>
      <c r="AS16" s="29">
        <f>AS15/'Income Statement'!AS14</f>
        <v>0.20510914108346828</v>
      </c>
      <c r="AT16" s="29">
        <f>AT15/'Income Statement'!AT14</f>
        <v>0.1644926570434628</v>
      </c>
      <c r="AU16" s="29">
        <f>AU15/'Income Statement'!AU14</f>
        <v>0.23966955378021565</v>
      </c>
      <c r="AV16" s="29">
        <f>AV15/'Income Statement'!AV14</f>
        <v>0.20896035854058831</v>
      </c>
      <c r="AW16" s="29">
        <f>AW15/'Income Statement'!AW14</f>
        <v>0.16016744066135422</v>
      </c>
      <c r="AX16" s="29">
        <f>AX15/'Income Statement'!AX14</f>
        <v>0.19230059157072513</v>
      </c>
      <c r="AY16" s="29">
        <f>AY15/'Income Statement'!AY14</f>
        <v>0.22892571334526529</v>
      </c>
      <c r="AZ16" s="29">
        <f>AZ15/'Income Statement'!AZ14</f>
        <v>0.20459293922287247</v>
      </c>
      <c r="BA16" s="29">
        <f>BA15/'Income Statement'!BA14</f>
        <v>0.13499375806485475</v>
      </c>
      <c r="BB16" s="29">
        <f>BB15/'Income Statement'!BB14</f>
        <v>0.22264020328145664</v>
      </c>
      <c r="BC16" s="29">
        <f>BC15/'Income Statement'!BC14</f>
        <v>0.18583081021834441</v>
      </c>
      <c r="BD16" s="29">
        <f>BD15/'Income Statement'!BD14</f>
        <v>0.18447825112665886</v>
      </c>
      <c r="BE16" s="29">
        <f>BE15/'Income Statement'!BE14</f>
        <v>0.18535379789851547</v>
      </c>
      <c r="BF16" s="29">
        <f>BF15/'Income Statement'!BF14</f>
        <v>0.24679144023804137</v>
      </c>
      <c r="BG16" s="29">
        <f>BG15/'Income Statement'!BG14</f>
        <v>0.20637153519971346</v>
      </c>
      <c r="BH16" s="29">
        <f>BH15/'Income Statement'!BH14</f>
        <v>0.12379821419479835</v>
      </c>
      <c r="BI16" s="29">
        <f>BI15/'Income Statement'!BI14</f>
        <v>0.21307048225142869</v>
      </c>
      <c r="BJ16" s="29">
        <f>BJ15/'Income Statement'!BJ14</f>
        <v>0.17431332418124013</v>
      </c>
      <c r="BK16" s="29">
        <f>BK15/'Income Statement'!BK14</f>
        <v>0.17049611982560717</v>
      </c>
      <c r="BL16" s="29">
        <f>BL15/'Income Statement'!BL14</f>
        <v>0.17297194879830383</v>
      </c>
      <c r="BM16" s="29">
        <f>BM15/'Income Statement'!BM14</f>
        <v>0.29312189317860932</v>
      </c>
      <c r="BN16" s="29">
        <f>BN15/'Income Statement'!BN14</f>
        <v>0.21389230840772383</v>
      </c>
      <c r="BO16" s="29">
        <f>BO15/'Income Statement'!BO14</f>
        <v>0.16581685319870942</v>
      </c>
      <c r="BP16" s="29">
        <f>BP15/'Income Statement'!BP14</f>
        <v>0.22327703973549268</v>
      </c>
      <c r="BQ16" s="29">
        <f>BQ15/'Income Statement'!BQ14</f>
        <v>0.19897320162807147</v>
      </c>
      <c r="BR16" s="29">
        <f>BR15/'Income Statement'!BR14</f>
        <v>0.19515209279804716</v>
      </c>
      <c r="BS16" s="29">
        <f>BS15/'Income Statement'!BS14</f>
        <v>0.19762731830712071</v>
      </c>
      <c r="BT16" s="29">
        <f>BT15/'Income Statement'!BT14</f>
        <v>0.27884925982463843</v>
      </c>
      <c r="BU16" s="29">
        <f>BU15/'Income Statement'!BU14</f>
        <v>0.22684039200346695</v>
      </c>
      <c r="BV16" s="29">
        <f>BV15/'Income Statement'!BV14</f>
        <v>0.19666091870075539</v>
      </c>
      <c r="BW16" s="29">
        <f>BW15/'Income Statement'!BW14</f>
        <v>0.2408453525703981</v>
      </c>
      <c r="BX16" s="29">
        <f>BX15/'Income Statement'!BX14</f>
        <v>0.22196013558714334</v>
      </c>
      <c r="BY16" s="29">
        <f>BY15/'Income Statement'!BY14</f>
        <v>0.1846679456729402</v>
      </c>
      <c r="BZ16" s="29">
        <f>BZ15/'Income Statement'!BZ14</f>
        <v>0.20907665834045019</v>
      </c>
      <c r="CA16" s="29">
        <f>CA15/'Income Statement'!CA14</f>
        <v>0.26759448035938399</v>
      </c>
      <c r="CB16" s="29">
        <f>CB15/'Income Statement'!CB14</f>
        <v>0.22880176857489437</v>
      </c>
      <c r="CC16" s="29">
        <f>CC15/'Income Statement'!CC14</f>
        <v>0.17265097365789836</v>
      </c>
      <c r="CD16" s="29">
        <f>CD15/'Income Statement'!CD14</f>
        <v>0.24310433348262564</v>
      </c>
      <c r="CE16" s="29">
        <f>CE15/'Income Statement'!CE14</f>
        <v>0.21326445311700559</v>
      </c>
      <c r="CF16" s="29">
        <f>CF15/'Income Statement'!CF14</f>
        <v>0.18209038588785625</v>
      </c>
      <c r="CG16" s="29">
        <f>CG15/'Income Statement'!CG14</f>
        <v>0.20292777067778159</v>
      </c>
      <c r="CH16" s="29">
        <f>CH15/'Income Statement'!CH14</f>
        <v>0.29561458867047402</v>
      </c>
      <c r="CI16" s="30">
        <f>CI15/'Income Statement'!CI14</f>
        <v>0.2340380351633187</v>
      </c>
      <c r="CJ16" s="29">
        <f>CJ15/'Income Statement'!CJ14</f>
        <v>0.15424351493985505</v>
      </c>
      <c r="CK16" s="29">
        <f>CK15/'Income Statement'!CK14</f>
        <v>0.23474046524407896</v>
      </c>
      <c r="CL16" s="29">
        <f>CL15/'Income Statement'!CL14</f>
        <v>0.20005165541648925</v>
      </c>
      <c r="CM16" s="29">
        <f>CM15/'Income Statement'!CM14</f>
        <v>0.19783244235999731</v>
      </c>
      <c r="CN16" s="29">
        <f>CN15/'Income Statement'!CN14</f>
        <v>0.19928487856001689</v>
      </c>
      <c r="CO16" s="29">
        <f>CO15/'Income Statement'!CO14</f>
        <v>0.27152142659476097</v>
      </c>
      <c r="CP16" s="29">
        <f>CP15/'Income Statement'!CP14</f>
        <v>0.223608132819137</v>
      </c>
      <c r="CQ16" s="29">
        <f>CQ15/'Income Statement'!CQ14</f>
        <v>0.17837189800824838</v>
      </c>
      <c r="CR16" s="29">
        <f>CR15/'Income Statement'!CR14</f>
        <v>0.24392327998782043</v>
      </c>
      <c r="CS16" s="29">
        <f>CS15/'Income Statement'!CS14</f>
        <v>0.21507809427937777</v>
      </c>
      <c r="CT16" s="29">
        <f>CT15/'Income Statement'!CT14</f>
        <v>0.20272854596160825</v>
      </c>
      <c r="CU16" s="29">
        <f>CU15/'Income Statement'!CU14</f>
        <v>0.21075612573515262</v>
      </c>
      <c r="CV16" s="29">
        <f>CV15/'Income Statement'!CV14</f>
        <v>0.28617344386892024</v>
      </c>
      <c r="CW16" s="29">
        <f>CW15/'Income Statement'!CW14</f>
        <v>0.23690252788315652</v>
      </c>
      <c r="CX16" s="29">
        <f>CX15/'Income Statement'!CX14</f>
        <v>0.25186431619723731</v>
      </c>
      <c r="CY16" s="29">
        <f>CY15/'Income Statement'!CY14</f>
        <v>0.26947658036599459</v>
      </c>
      <c r="CZ16" s="29">
        <f>CZ15/'Income Statement'!CZ14</f>
        <v>0.26155601898896125</v>
      </c>
      <c r="DA16" s="29">
        <f>DA15/'Income Statement'!DA14</f>
        <v>0.24036452779715972</v>
      </c>
      <c r="DB16" s="29">
        <f>DB15/'Income Statement'!DB14</f>
        <v>0.25424737598933167</v>
      </c>
      <c r="DC16" s="29">
        <f>DC15/'Income Statement'!DC14</f>
        <v>0.33574957414712825</v>
      </c>
      <c r="DD16" s="29">
        <f>DD15/'Income Statement'!DD14</f>
        <v>0.2818779394132625</v>
      </c>
      <c r="DE16" s="29">
        <f>DE15/'Income Statement'!DE14</f>
        <v>0.14109780799649074</v>
      </c>
      <c r="DF16" s="29">
        <f>DF15/'Income Statement'!DF14</f>
        <v>1.1453072070803283</v>
      </c>
      <c r="DG16" s="29">
        <f>DG15/'Income Statement'!DG14</f>
        <v>0.40040654296837619</v>
      </c>
      <c r="DH16" s="29">
        <f>DH15/'Income Statement'!DH14</f>
        <v>5.2900411035146019E-2</v>
      </c>
      <c r="DI16" s="29">
        <f>DI15/'Income Statement'!DI14</f>
        <v>0.24702533778952385</v>
      </c>
      <c r="DJ16" s="29">
        <f>DJ15/'Income Statement'!DJ14</f>
        <v>0.25247760106153055</v>
      </c>
      <c r="DK16" s="29">
        <f>DK15/'Income Statement'!DK14</f>
        <v>0.24941525283643098</v>
      </c>
      <c r="DL16" s="29">
        <f>DL15/'Income Statement'!DL14</f>
        <v>2.3295664008877053E-2</v>
      </c>
      <c r="DM16" s="29">
        <f>DM15/'Income Statement'!DM14</f>
        <v>0.21126662664406984</v>
      </c>
      <c r="DN16" s="29">
        <f>DN15/'Income Statement'!DN14</f>
        <v>0.14047976603725884</v>
      </c>
      <c r="DO16" s="30">
        <f>DO15/'Income Statement'!DO14</f>
        <v>0.18445488550622471</v>
      </c>
      <c r="DP16" s="30">
        <f>DP15/'Income Statement'!DP14</f>
        <v>0.15787794206913025</v>
      </c>
      <c r="DQ16" s="29">
        <f>DQ15/'Income Statement'!DQ14</f>
        <v>0.21783589760873595</v>
      </c>
      <c r="DR16" s="30">
        <f>DR15/'Income Statement'!DR14</f>
        <v>0.18021893931965197</v>
      </c>
      <c r="DS16" s="30">
        <f>DS15/'Income Statement'!DS14</f>
        <v>0.17188505448127855</v>
      </c>
      <c r="DT16" s="30">
        <f>DT15/'Income Statement'!DT14</f>
        <v>0.22093454577286722</v>
      </c>
      <c r="DU16" s="30">
        <f>DU15/'Income Statement'!DU14</f>
        <v>0.20070223892318267</v>
      </c>
      <c r="DV16" s="30">
        <f>DV15/'Income Statement'!DV14</f>
        <v>0.17569310282731432</v>
      </c>
      <c r="DW16" s="30">
        <f>DW15/'Income Statement'!DW14</f>
        <v>0.1925470867973946</v>
      </c>
      <c r="DX16" s="30">
        <f>DX15/'Income Statement'!DX14</f>
        <v>0.25841466790290712</v>
      </c>
      <c r="DY16" s="30">
        <f>DY15/'Income Statement'!DY14</f>
        <v>0.21277466275321369</v>
      </c>
      <c r="DZ16" s="30">
        <f>DZ15/'Income Statement'!DZ14</f>
        <v>0.11052682639456822</v>
      </c>
      <c r="EA16" s="30">
        <f>EA15/'Income Statement'!EA14</f>
        <v>0.16132393886853735</v>
      </c>
      <c r="EB16" s="30">
        <f>EB15/'Income Statement'!EB14</f>
        <v>0.13933854843621962</v>
      </c>
      <c r="EC16" s="30">
        <f>EC15/'Income Statement'!EC14</f>
        <v>0.1375426481332693</v>
      </c>
      <c r="ED16" s="30">
        <f>ED15/'Income Statement'!ED14</f>
        <v>0.1387392398595895</v>
      </c>
      <c r="EE16" s="30">
        <f>EE15/'Income Statement'!EE14</f>
        <v>0.26469168997284165</v>
      </c>
      <c r="EF16" s="30">
        <f>EF15/'Income Statement'!EF14</f>
        <v>0.17969929115334085</v>
      </c>
      <c r="EG16" s="30">
        <f>EG15/'Income Statement'!EG14</f>
        <v>0.15353902984443968</v>
      </c>
      <c r="EH16" s="30">
        <f>EH15/'Income Statement'!EH14</f>
        <v>0.21769537744937129</v>
      </c>
      <c r="EI16" s="30">
        <f>EI15/'Income Statement'!EI14</f>
        <v>0.18919844171472017</v>
      </c>
      <c r="EJ16" s="30">
        <f>EJ15/'Income Statement'!EJ14</f>
        <v>0.19511683545605613</v>
      </c>
      <c r="EK16" s="30">
        <f>EK15/'Income Statement'!EK14</f>
        <v>0.19125730198909732</v>
      </c>
      <c r="EL16" s="30">
        <f>EL15/'Income Statement'!EL14</f>
        <v>0.24540676284900351</v>
      </c>
      <c r="EM16" s="30">
        <f>EM15/'Income Statement'!EM14</f>
        <v>0.20909686354507395</v>
      </c>
      <c r="EN16" s="30">
        <f>EN15/'Income Statement'!EN14</f>
        <v>0.21225823769243046</v>
      </c>
      <c r="EO16" s="30">
        <f>EO15/'Income Statement'!EO14</f>
        <v>0.24436517393769133</v>
      </c>
      <c r="EP16" s="30">
        <f>EP15/'Income Statement'!EP14</f>
        <v>0.23054896200098993</v>
      </c>
      <c r="EQ16" s="30">
        <f>EQ15/'Income Statement'!EQ14</f>
        <v>0.19288024061193532</v>
      </c>
      <c r="ER16" s="30">
        <f>ER15/'Income Statement'!ER14</f>
        <v>0.21832128040036863</v>
      </c>
      <c r="ES16" s="30">
        <f>ES15/'Income Statement'!ES14</f>
        <v>0.25647130560167186</v>
      </c>
      <c r="ET16" s="462">
        <f>ET15/'Income Statement'!ET14</f>
        <v>0.23032060574439703</v>
      </c>
      <c r="EU16" s="462">
        <f>EU15/'Income Statement'!EU14</f>
        <v>0.21227123479056681</v>
      </c>
      <c r="EV16" s="30">
        <f>EV15/'Income Statement'!EV14</f>
        <v>0.22894917595449249</v>
      </c>
      <c r="EW16" s="30">
        <f>EW15/'Income Statement'!EW14</f>
        <v>0.22164325751347985</v>
      </c>
    </row>
    <row r="17" spans="1:153" ht="16.350000000000001" customHeight="1">
      <c r="A17" s="18"/>
      <c r="B17" s="31"/>
      <c r="C17" s="31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66"/>
      <c r="W17" s="32"/>
      <c r="X17" s="32"/>
      <c r="Y17" s="32"/>
      <c r="Z17" s="32"/>
      <c r="AA17" s="32"/>
      <c r="AB17" s="378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3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3"/>
      <c r="DP17" s="33"/>
      <c r="DQ17" s="32"/>
      <c r="DR17" s="33"/>
      <c r="DS17" s="33"/>
      <c r="DT17" s="33"/>
      <c r="DU17" s="33"/>
      <c r="DV17" s="33"/>
      <c r="DW17" s="33"/>
      <c r="DX17" s="33"/>
      <c r="DY17" s="33"/>
      <c r="DZ17" s="33"/>
      <c r="EA17" s="33"/>
      <c r="EB17" s="33"/>
      <c r="EC17" s="33"/>
      <c r="ED17" s="33"/>
      <c r="EE17" s="33"/>
      <c r="EF17" s="33"/>
      <c r="EG17" s="33"/>
      <c r="EH17" s="33"/>
      <c r="EI17" s="33"/>
      <c r="EJ17" s="33"/>
      <c r="EK17" s="33"/>
      <c r="EL17" s="33"/>
      <c r="EM17" s="33"/>
      <c r="EN17" s="33"/>
      <c r="EO17" s="33"/>
      <c r="EP17" s="33"/>
      <c r="EQ17" s="33"/>
      <c r="ER17" s="33"/>
      <c r="ES17" s="33"/>
      <c r="ET17" s="33"/>
      <c r="EU17" s="33"/>
      <c r="EV17" s="33"/>
      <c r="EW17" s="33"/>
    </row>
    <row r="18" spans="1:153" s="3" customFormat="1" ht="16.350000000000001" customHeight="1">
      <c r="A18" s="34"/>
      <c r="B18" s="35" t="s">
        <v>2594</v>
      </c>
      <c r="C18" s="35" t="s">
        <v>2595</v>
      </c>
      <c r="D18" s="36">
        <f t="shared" ref="D18:AI18" si="361">D15-D20</f>
        <v>21401</v>
      </c>
      <c r="E18" s="36">
        <f t="shared" si="361"/>
        <v>37764</v>
      </c>
      <c r="F18" s="36">
        <f t="shared" si="361"/>
        <v>59165</v>
      </c>
      <c r="G18" s="36">
        <f t="shared" si="361"/>
        <v>6686</v>
      </c>
      <c r="H18" s="36">
        <f t="shared" si="361"/>
        <v>65851</v>
      </c>
      <c r="I18" s="36">
        <f t="shared" si="361"/>
        <v>60859</v>
      </c>
      <c r="J18" s="36">
        <f t="shared" si="361"/>
        <v>126710</v>
      </c>
      <c r="K18" s="36">
        <f t="shared" si="361"/>
        <v>29752</v>
      </c>
      <c r="L18" s="36">
        <f t="shared" si="361"/>
        <v>45019</v>
      </c>
      <c r="M18" s="36">
        <f t="shared" si="361"/>
        <v>74771</v>
      </c>
      <c r="N18" s="36">
        <f t="shared" si="361"/>
        <v>33079</v>
      </c>
      <c r="O18" s="36">
        <f t="shared" si="361"/>
        <v>107850</v>
      </c>
      <c r="P18" s="36">
        <f t="shared" si="361"/>
        <v>68925</v>
      </c>
      <c r="Q18" s="36">
        <f t="shared" si="361"/>
        <v>176775</v>
      </c>
      <c r="R18" s="36">
        <f t="shared" si="361"/>
        <v>38858</v>
      </c>
      <c r="S18" s="36">
        <f t="shared" si="361"/>
        <v>75234</v>
      </c>
      <c r="T18" s="36">
        <f t="shared" si="361"/>
        <v>114092</v>
      </c>
      <c r="U18" s="36">
        <f t="shared" si="361"/>
        <v>69729</v>
      </c>
      <c r="V18" s="367">
        <f t="shared" ref="V18" si="362">V15-V20</f>
        <v>183821</v>
      </c>
      <c r="W18" s="36">
        <f t="shared" si="361"/>
        <v>101404</v>
      </c>
      <c r="X18" s="36">
        <f t="shared" si="361"/>
        <v>285225</v>
      </c>
      <c r="Y18" s="36">
        <f t="shared" si="361"/>
        <v>70167.514999999999</v>
      </c>
      <c r="Z18" s="36">
        <f t="shared" si="361"/>
        <v>74072</v>
      </c>
      <c r="AA18" s="36">
        <f t="shared" si="361"/>
        <v>144239.51500000001</v>
      </c>
      <c r="AB18" s="379">
        <f t="shared" ref="AB18:AC18" si="363">AB15-AB20</f>
        <v>50117</v>
      </c>
      <c r="AC18" s="36">
        <f t="shared" si="363"/>
        <v>194356.51500000001</v>
      </c>
      <c r="AD18" s="36">
        <f t="shared" si="361"/>
        <v>89585</v>
      </c>
      <c r="AE18" s="36">
        <f t="shared" si="361"/>
        <v>283941.51500000001</v>
      </c>
      <c r="AF18" s="36">
        <f t="shared" si="361"/>
        <v>18036.279695342848</v>
      </c>
      <c r="AG18" s="36">
        <f t="shared" si="361"/>
        <v>84426.940966587921</v>
      </c>
      <c r="AH18" s="36">
        <f t="shared" si="361"/>
        <v>102463.22066193077</v>
      </c>
      <c r="AI18" s="36">
        <f t="shared" si="361"/>
        <v>49019.640550408512</v>
      </c>
      <c r="AJ18" s="36">
        <f t="shared" ref="AJ18:BO18" si="364">AJ15-AJ20</f>
        <v>151482.86121233928</v>
      </c>
      <c r="AK18" s="36">
        <f t="shared" si="364"/>
        <v>136849.46446145535</v>
      </c>
      <c r="AL18" s="36">
        <f t="shared" si="364"/>
        <v>288332.32567379461</v>
      </c>
      <c r="AM18" s="36">
        <f t="shared" si="364"/>
        <v>46789</v>
      </c>
      <c r="AN18" s="36">
        <f t="shared" si="364"/>
        <v>127767</v>
      </c>
      <c r="AO18" s="36">
        <f t="shared" si="364"/>
        <v>174556</v>
      </c>
      <c r="AP18" s="36">
        <f t="shared" si="364"/>
        <v>64754</v>
      </c>
      <c r="AQ18" s="36">
        <f t="shared" si="364"/>
        <v>239310</v>
      </c>
      <c r="AR18" s="36">
        <f t="shared" si="364"/>
        <v>144767</v>
      </c>
      <c r="AS18" s="36">
        <f t="shared" si="364"/>
        <v>384075</v>
      </c>
      <c r="AT18" s="36">
        <f t="shared" si="364"/>
        <v>46692</v>
      </c>
      <c r="AU18" s="36">
        <f t="shared" si="364"/>
        <v>147520</v>
      </c>
      <c r="AV18" s="36">
        <f t="shared" si="364"/>
        <v>194212</v>
      </c>
      <c r="AW18" s="36">
        <f t="shared" si="364"/>
        <v>71273.506239999973</v>
      </c>
      <c r="AX18" s="36">
        <f t="shared" si="364"/>
        <v>421633.50624000002</v>
      </c>
      <c r="AY18" s="36">
        <f t="shared" si="364"/>
        <v>202069</v>
      </c>
      <c r="AZ18" s="36">
        <f t="shared" si="364"/>
        <v>510708.50623999996</v>
      </c>
      <c r="BA18" s="36">
        <f t="shared" si="364"/>
        <v>42684</v>
      </c>
      <c r="BB18" s="36">
        <f t="shared" si="364"/>
        <v>158139</v>
      </c>
      <c r="BC18" s="36">
        <f t="shared" si="364"/>
        <v>200823</v>
      </c>
      <c r="BD18" s="36">
        <f t="shared" si="364"/>
        <v>115928</v>
      </c>
      <c r="BE18" s="36">
        <f t="shared" si="364"/>
        <v>328192</v>
      </c>
      <c r="BF18" s="36">
        <f t="shared" si="364"/>
        <v>259570</v>
      </c>
      <c r="BG18" s="36">
        <f t="shared" si="364"/>
        <v>565973</v>
      </c>
      <c r="BH18" s="36">
        <f t="shared" si="364"/>
        <v>42402</v>
      </c>
      <c r="BI18" s="36">
        <f t="shared" si="364"/>
        <v>160677</v>
      </c>
      <c r="BJ18" s="36">
        <f t="shared" si="364"/>
        <v>203079</v>
      </c>
      <c r="BK18" s="36">
        <f t="shared" si="364"/>
        <v>109607.7</v>
      </c>
      <c r="BL18" s="36">
        <f t="shared" si="364"/>
        <v>312686.7</v>
      </c>
      <c r="BM18" s="36">
        <f t="shared" si="364"/>
        <v>350592.60000000003</v>
      </c>
      <c r="BN18" s="36">
        <f t="shared" si="364"/>
        <v>663279.89999999991</v>
      </c>
      <c r="BO18" s="36">
        <f t="shared" si="364"/>
        <v>73643.680000000008</v>
      </c>
      <c r="BP18" s="36">
        <f t="shared" ref="BP18:CU18" si="365">BP15-BP20</f>
        <v>195713</v>
      </c>
      <c r="BQ18" s="36">
        <f t="shared" si="365"/>
        <v>269356.68</v>
      </c>
      <c r="BR18" s="36">
        <f t="shared" si="365"/>
        <v>142659.41999999998</v>
      </c>
      <c r="BS18" s="36">
        <f t="shared" si="365"/>
        <v>412016.1</v>
      </c>
      <c r="BT18" s="36">
        <f t="shared" si="365"/>
        <v>423558.03599999996</v>
      </c>
      <c r="BU18" s="36">
        <f t="shared" si="365"/>
        <v>835574.13599999971</v>
      </c>
      <c r="BV18" s="36">
        <f t="shared" si="365"/>
        <v>130700.85941000011</v>
      </c>
      <c r="BW18" s="36">
        <f t="shared" si="365"/>
        <v>272187.03842999996</v>
      </c>
      <c r="BX18" s="36">
        <f t="shared" si="365"/>
        <v>402887.89784000005</v>
      </c>
      <c r="BY18" s="36">
        <f t="shared" si="365"/>
        <v>182658.66151000001</v>
      </c>
      <c r="BZ18" s="36">
        <f t="shared" si="365"/>
        <v>585546.55935</v>
      </c>
      <c r="CA18" s="36">
        <f t="shared" si="365"/>
        <v>453226.58094037796</v>
      </c>
      <c r="CB18" s="36">
        <f t="shared" si="365"/>
        <v>1038775.2222932003</v>
      </c>
      <c r="CC18" s="36">
        <f t="shared" si="365"/>
        <v>116963</v>
      </c>
      <c r="CD18" s="36">
        <f t="shared" si="365"/>
        <v>301829</v>
      </c>
      <c r="CE18" s="36">
        <f t="shared" si="365"/>
        <v>418792</v>
      </c>
      <c r="CF18" s="36">
        <f t="shared" si="365"/>
        <v>164175</v>
      </c>
      <c r="CG18" s="36">
        <f t="shared" si="365"/>
        <v>582967</v>
      </c>
      <c r="CH18" s="36">
        <f t="shared" si="365"/>
        <v>504874</v>
      </c>
      <c r="CI18" s="36">
        <f t="shared" ref="CI18" si="366">CI15-CI20</f>
        <v>1087844</v>
      </c>
      <c r="CJ18" s="36">
        <f t="shared" si="365"/>
        <v>111384</v>
      </c>
      <c r="CK18" s="36">
        <f t="shared" si="365"/>
        <v>303746</v>
      </c>
      <c r="CL18" s="36">
        <f t="shared" si="365"/>
        <v>415130</v>
      </c>
      <c r="CM18" s="36">
        <f t="shared" si="365"/>
        <v>201416.53417</v>
      </c>
      <c r="CN18" s="36">
        <f t="shared" si="365"/>
        <v>616546.53417</v>
      </c>
      <c r="CO18" s="36">
        <f t="shared" si="365"/>
        <v>527691.17093999998</v>
      </c>
      <c r="CP18" s="36">
        <f t="shared" si="365"/>
        <v>1144237.70511</v>
      </c>
      <c r="CQ18" s="36">
        <f t="shared" si="365"/>
        <v>146724</v>
      </c>
      <c r="CR18" s="36">
        <f t="shared" si="365"/>
        <v>352880</v>
      </c>
      <c r="CS18" s="36">
        <f t="shared" si="365"/>
        <v>499604</v>
      </c>
      <c r="CT18" s="36">
        <f t="shared" si="365"/>
        <v>260342.6432599999</v>
      </c>
      <c r="CU18" s="36">
        <f t="shared" si="365"/>
        <v>759946.64325999981</v>
      </c>
      <c r="CV18" s="36">
        <f t="shared" ref="CV18:DS18" si="367">CV15-CV20</f>
        <v>663941.21852999949</v>
      </c>
      <c r="CW18" s="36">
        <f t="shared" si="367"/>
        <v>1423887.8617899995</v>
      </c>
      <c r="CX18" s="36">
        <f t="shared" si="367"/>
        <v>317825.84999999998</v>
      </c>
      <c r="CY18" s="36">
        <f t="shared" si="367"/>
        <v>452758.46171999996</v>
      </c>
      <c r="CZ18" s="36">
        <f t="shared" si="367"/>
        <v>770584.31172</v>
      </c>
      <c r="DA18" s="36">
        <f t="shared" si="367"/>
        <v>360863.24682999996</v>
      </c>
      <c r="DB18" s="36">
        <f t="shared" si="367"/>
        <v>1131447.55855</v>
      </c>
      <c r="DC18" s="36">
        <f t="shared" si="367"/>
        <v>864952.65312257013</v>
      </c>
      <c r="DD18" s="36">
        <f t="shared" si="367"/>
        <v>1996400.2116725701</v>
      </c>
      <c r="DE18" s="36">
        <f t="shared" si="367"/>
        <v>197813.70199</v>
      </c>
      <c r="DF18" s="36">
        <f t="shared" si="367"/>
        <v>564996.12571000005</v>
      </c>
      <c r="DG18" s="36">
        <f t="shared" si="367"/>
        <v>762809.82770000002</v>
      </c>
      <c r="DH18" s="36">
        <f t="shared" si="367"/>
        <v>138176.55551999999</v>
      </c>
      <c r="DI18" s="36">
        <f t="shared" si="367"/>
        <v>900986.38321999996</v>
      </c>
      <c r="DJ18" s="36">
        <f t="shared" si="367"/>
        <v>677279.92989999999</v>
      </c>
      <c r="DK18" s="36">
        <f t="shared" si="367"/>
        <v>1601404.9299000001</v>
      </c>
      <c r="DL18" s="36">
        <f t="shared" si="367"/>
        <v>-37838</v>
      </c>
      <c r="DM18" s="36">
        <f t="shared" si="367"/>
        <v>425310</v>
      </c>
      <c r="DN18" s="36">
        <f t="shared" si="367"/>
        <v>387472</v>
      </c>
      <c r="DO18" s="371">
        <f t="shared" ref="DO18:DP18" si="368">DO15-DO20</f>
        <v>362979</v>
      </c>
      <c r="DP18" s="371">
        <f t="shared" si="368"/>
        <v>750451</v>
      </c>
      <c r="DQ18" s="36">
        <f t="shared" si="367"/>
        <v>724044</v>
      </c>
      <c r="DR18" s="36">
        <f t="shared" si="367"/>
        <v>1474495</v>
      </c>
      <c r="DS18" s="36">
        <f t="shared" si="367"/>
        <v>298035.08999999997</v>
      </c>
      <c r="DT18" s="36">
        <f t="shared" ref="DT18:DV18" si="369">DT15-DT20</f>
        <v>689698</v>
      </c>
      <c r="DU18" s="36">
        <f t="shared" ref="DU18" si="370">SUM(DS18:DT18)</f>
        <v>987733.09</v>
      </c>
      <c r="DV18" s="36">
        <f t="shared" si="369"/>
        <v>440505</v>
      </c>
      <c r="DW18" s="36">
        <f t="shared" ref="DW18" si="371">SUM(DU18:DV18)</f>
        <v>1428238.0899999999</v>
      </c>
      <c r="DX18" s="36">
        <f t="shared" ref="DX18" si="372">DX15-DX20</f>
        <v>953278</v>
      </c>
      <c r="DY18" s="36">
        <f t="shared" ref="DY18" si="373">SUM(DW18:DX18)</f>
        <v>2381516.09</v>
      </c>
      <c r="DZ18" s="36">
        <f t="shared" ref="DZ18:EE18" si="374">DZ15-DZ20</f>
        <v>262101.06774000006</v>
      </c>
      <c r="EA18" s="36">
        <f t="shared" si="374"/>
        <v>535291.13139999995</v>
      </c>
      <c r="EB18" s="36">
        <f t="shared" ref="EB18" si="375">SUM(DZ18:EA18)</f>
        <v>797392.19914000004</v>
      </c>
      <c r="EC18" s="36">
        <f t="shared" si="374"/>
        <v>397629.71334000002</v>
      </c>
      <c r="ED18" s="36">
        <f t="shared" ref="ED18:EF18" si="376">SUM(EB18:EC18)</f>
        <v>1195021.9124799999</v>
      </c>
      <c r="EE18" s="36">
        <f t="shared" si="374"/>
        <v>1004470.56538</v>
      </c>
      <c r="EF18" s="36">
        <f t="shared" si="376"/>
        <v>2199492.47786</v>
      </c>
      <c r="EG18" s="36">
        <f t="shared" ref="EG18:EH18" si="377">EG15-EG20</f>
        <v>364503</v>
      </c>
      <c r="EH18" s="36">
        <f t="shared" si="377"/>
        <v>635724</v>
      </c>
      <c r="EI18" s="36">
        <f t="shared" ref="EI18" si="378">SUM(EG18:EH18)</f>
        <v>1000227</v>
      </c>
      <c r="EJ18" s="36">
        <f t="shared" ref="EJ18:EL18" si="379">EJ15-EJ20</f>
        <v>518445.70476000011</v>
      </c>
      <c r="EK18" s="36">
        <f t="shared" ref="EK18" si="380">SUM(EI18:EJ18)</f>
        <v>1518672.7047600001</v>
      </c>
      <c r="EL18" s="36">
        <f t="shared" si="379"/>
        <v>963137</v>
      </c>
      <c r="EM18" s="36">
        <f t="shared" ref="EM18" si="381">SUM(EK18:EL18)</f>
        <v>2481809.7047600001</v>
      </c>
      <c r="EN18" s="36">
        <f t="shared" ref="EN18:EO18" si="382">EN15-EN20</f>
        <v>394697.8692800001</v>
      </c>
      <c r="EO18" s="36">
        <f t="shared" si="382"/>
        <v>773399.38815000001</v>
      </c>
      <c r="EP18" s="36">
        <f t="shared" ref="EP18" si="383">SUM(EN18:EO18)</f>
        <v>1168097.2574300002</v>
      </c>
      <c r="EQ18" s="36">
        <f t="shared" ref="EQ18:ES18" si="384">EQ15-EQ20</f>
        <v>514095.12233000004</v>
      </c>
      <c r="ER18" s="36">
        <f t="shared" ref="ER18" si="385">SUM(EP18:EQ18)</f>
        <v>1682192.3797600004</v>
      </c>
      <c r="ES18" s="36">
        <f t="shared" si="384"/>
        <v>1052653</v>
      </c>
      <c r="ET18" s="465">
        <f t="shared" ref="ET18" si="386">SUM(ER18:ES18)</f>
        <v>2734845.3797600004</v>
      </c>
      <c r="EU18" s="465">
        <f t="shared" ref="EU18:EV18" si="387">EU15-EU20</f>
        <v>487532</v>
      </c>
      <c r="EV18" s="36">
        <f t="shared" si="387"/>
        <v>791168</v>
      </c>
      <c r="EW18" s="36">
        <f t="shared" ref="EW18" si="388">SUM(EU18:EV18)</f>
        <v>1278700</v>
      </c>
    </row>
    <row r="19" spans="1:153" ht="16.350000000000001" customHeight="1">
      <c r="A19" s="18"/>
      <c r="B19" s="37" t="s">
        <v>399</v>
      </c>
      <c r="C19" s="37" t="s">
        <v>400</v>
      </c>
      <c r="D19" s="38">
        <f>D18/'Income Statement'!D14</f>
        <v>0.10807930832474799</v>
      </c>
      <c r="E19" s="38">
        <f>E18/'Income Statement'!E14</f>
        <v>0.13528307564446101</v>
      </c>
      <c r="F19" s="38">
        <f>F18/'Income Statement'!F14</f>
        <v>0.12399404811803169</v>
      </c>
      <c r="G19" s="38">
        <f>G18/'Income Statement'!G14</f>
        <v>2.6177211026846715E-2</v>
      </c>
      <c r="H19" s="38">
        <f>H18/'Income Statement'!H14</f>
        <v>8.9890017786623311E-2</v>
      </c>
      <c r="I19" s="38">
        <f>I18/'Income Statement'!I14</f>
        <v>0.15069293643109882</v>
      </c>
      <c r="J19" s="38">
        <f>J18/'Income Statement'!J14</f>
        <v>0.11149789605027657</v>
      </c>
      <c r="K19" s="38">
        <f>K18/'Income Statement'!K14</f>
        <v>0.11853622582123149</v>
      </c>
      <c r="L19" s="38">
        <f>L18/'Income Statement'!L14</f>
        <v>0.12585369671995952</v>
      </c>
      <c r="M19" s="38">
        <f>M18/'Income Statement'!M14</f>
        <v>0.12283638681526653</v>
      </c>
      <c r="N19" s="38">
        <f>N18/'Income Statement'!N14</f>
        <v>0.10320320226629602</v>
      </c>
      <c r="O19" s="38">
        <f>O18/'Income Statement'!O14</f>
        <v>0.11606421251212029</v>
      </c>
      <c r="P19" s="38">
        <f>P18/'Income Statement'!P14</f>
        <v>0.13597919819128432</v>
      </c>
      <c r="Q19" s="38">
        <f>Q18/'Income Statement'!Q14</f>
        <v>0.12309328141516017</v>
      </c>
      <c r="R19" s="38">
        <f>R18/'Income Statement'!R14</f>
        <v>0.12523002452520682</v>
      </c>
      <c r="S19" s="38">
        <f>S18/'Income Statement'!S14</f>
        <v>0.16931057375296779</v>
      </c>
      <c r="T19" s="38">
        <f>T18/'Income Statement'!T14</f>
        <v>0.15118571837465944</v>
      </c>
      <c r="U19" s="38">
        <f>U18/'Income Statement'!U14</f>
        <v>0.17636926532408601</v>
      </c>
      <c r="V19" s="368">
        <f>V18/'Income Statement'!V14</f>
        <v>0.15984351385992768</v>
      </c>
      <c r="W19" s="38">
        <f>W18/'Income Statement'!W14</f>
        <v>0.16852300564047851</v>
      </c>
      <c r="X19" s="38">
        <f>X18/'Income Statement'!X14</f>
        <v>0.16282493629147904</v>
      </c>
      <c r="Y19" s="38">
        <f>Y18/'Income Statement'!Y14</f>
        <v>0.18302197802197803</v>
      </c>
      <c r="Z19" s="38">
        <f>Z18/'Income Statement'!Z14</f>
        <v>0.1451691928991114</v>
      </c>
      <c r="AA19" s="38">
        <f>AA18/'Income Statement'!AA14</f>
        <v>0.16140872218784308</v>
      </c>
      <c r="AB19" s="380">
        <f>AB18/'Income Statement'!AB14</f>
        <v>0.11161070208492008</v>
      </c>
      <c r="AC19" s="38">
        <f>AC18/'Income Statement'!AC14</f>
        <v>0.14475439499383316</v>
      </c>
      <c r="AD19" s="38">
        <f>AD18/'Income Statement'!AD14</f>
        <v>0.14596143756985652</v>
      </c>
      <c r="AE19" s="38">
        <f>AE18/'Income Statement'!AE14</f>
        <v>0.14513313596613409</v>
      </c>
      <c r="AF19" s="38">
        <f>AF18/'Income Statement'!AF14</f>
        <v>4.97348116094153E-2</v>
      </c>
      <c r="AG19" s="38">
        <f>AG18/'Income Statement'!AG14</f>
        <v>0.15219410628301219</v>
      </c>
      <c r="AH19" s="38">
        <f>AH18/'Income Statement'!AH14</f>
        <v>0.11169102113727096</v>
      </c>
      <c r="AI19" s="38">
        <f>AI18/'Income Statement'!AI14</f>
        <v>0.10071218242230499</v>
      </c>
      <c r="AJ19" s="38">
        <f>AJ18/'Income Statement'!AJ14</f>
        <v>0.10788524640312573</v>
      </c>
      <c r="AK19" s="38">
        <f>AK18/'Income Statement'!AK14</f>
        <v>0.19224264454632153</v>
      </c>
      <c r="AL19" s="38">
        <f>AL18/'Income Statement'!AL14</f>
        <v>0.13626491015406872</v>
      </c>
      <c r="AM19" s="38">
        <f>AM18/'Income Statement'!AM14</f>
        <v>0.10627921661979893</v>
      </c>
      <c r="AN19" s="38">
        <f>AN18/'Income Statement'!AN14</f>
        <v>0.20280830300211591</v>
      </c>
      <c r="AO19" s="38">
        <f>AO18/'Income Statement'!AO14</f>
        <v>0.16310062743229289</v>
      </c>
      <c r="AP19" s="38">
        <f>AP18/'Income Statement'!AP14</f>
        <v>0.1138551886626578</v>
      </c>
      <c r="AQ19" s="38">
        <f>AQ18/'Income Statement'!AQ14</f>
        <v>0.14601198920056743</v>
      </c>
      <c r="AR19" s="38">
        <f>AR18/'Income Statement'!AR14</f>
        <v>0.17575017390850409</v>
      </c>
      <c r="AS19" s="38">
        <f>AS18/'Income Statement'!AS14</f>
        <v>0.15595788984701245</v>
      </c>
      <c r="AT19" s="38">
        <f>AT18/'Income Statement'!AT14</f>
        <v>9.0190010952140881E-2</v>
      </c>
      <c r="AU19" s="38">
        <f>AU18/'Income Statement'!AU14</f>
        <v>0.19678437890597383</v>
      </c>
      <c r="AV19" s="38">
        <f>AV18/'Income Statement'!AV14</f>
        <v>0.15324138366367882</v>
      </c>
      <c r="AW19" s="38">
        <f>AW18/'Income Statement'!AW14</f>
        <v>0.10847071912533705</v>
      </c>
      <c r="AX19" s="38">
        <f>AX18/'Income Statement'!AX14</f>
        <v>0.21909458471988677</v>
      </c>
      <c r="AY19" s="38">
        <f>AY18/'Income Statement'!AY14</f>
        <v>0.20785142669053056</v>
      </c>
      <c r="AZ19" s="38">
        <f>AZ18/'Income Statement'!AZ14</f>
        <v>0.17631211946630135</v>
      </c>
      <c r="BA19" s="38">
        <f>BA18/'Income Statement'!BA14</f>
        <v>6.8934219855006224E-2</v>
      </c>
      <c r="BB19" s="38">
        <f>BB18/'Income Statement'!BB14</f>
        <v>0.18492134303278066</v>
      </c>
      <c r="BC19" s="38">
        <f>BC18/'Income Statement'!BC14</f>
        <v>0.13620954876937102</v>
      </c>
      <c r="BD19" s="38">
        <f>BD18/'Income Statement'!BD14</f>
        <v>0.14432188830515649</v>
      </c>
      <c r="BE19" s="38">
        <f>BE18/'Income Statement'!BE14</f>
        <v>0.1440937677267754</v>
      </c>
      <c r="BF19" s="38">
        <f>BF18/'Income Statement'!BF14</f>
        <v>0.21916996247673795</v>
      </c>
      <c r="BG19" s="38">
        <f>BG18/'Income Statement'!BG14</f>
        <v>0.16348340246565529</v>
      </c>
      <c r="BH19" s="38">
        <f>BH18/'Income Statement'!BH14</f>
        <v>5.8346210633645736E-2</v>
      </c>
      <c r="BI19" s="38">
        <f>BI18/'Income Statement'!BI14</f>
        <v>0.16963311982753432</v>
      </c>
      <c r="BJ19" s="38">
        <f>BJ18/'Income Statement'!BJ14</f>
        <v>0.12131840323453613</v>
      </c>
      <c r="BK19" s="38">
        <f>BK18/'Income Statement'!BK14</f>
        <v>0.12085734322176866</v>
      </c>
      <c r="BL19" s="38">
        <f>BL18/'Income Statement'!BL14</f>
        <v>0.12115638556569691</v>
      </c>
      <c r="BM19" s="38">
        <f>BM18/'Income Statement'!BM14</f>
        <v>0.26301927898487121</v>
      </c>
      <c r="BN19" s="38">
        <f>BN18/'Income Statement'!BN14</f>
        <v>0.16947183892098891</v>
      </c>
      <c r="BO19" s="38">
        <f>BO18/'Income Statement'!BO14</f>
        <v>9.0414037293312849E-2</v>
      </c>
      <c r="BP19" s="38">
        <f>BP18/'Income Statement'!BP14</f>
        <v>0.17612792679612455</v>
      </c>
      <c r="BQ19" s="38">
        <f>BQ18/'Income Statement'!BQ14</f>
        <v>0.13987366763704268</v>
      </c>
      <c r="BR19" s="38">
        <f>BR18/'Income Statement'!BR14</f>
        <v>0.13624357386320768</v>
      </c>
      <c r="BS19" s="38">
        <f>BS18/'Income Statement'!BS14</f>
        <v>0.13859506425749418</v>
      </c>
      <c r="BT19" s="38">
        <f>BT18/'Income Statement'!BT14</f>
        <v>0.25365688130424652</v>
      </c>
      <c r="BU19" s="38">
        <f>BU18/'Income Statement'!BU14</f>
        <v>0.1799793168156201</v>
      </c>
      <c r="BV19" s="38">
        <f>BV18/'Income Statement'!BV14</f>
        <v>0.12929222066584573</v>
      </c>
      <c r="BW19" s="38">
        <f>BW18/'Income Statement'!BW14</f>
        <v>0.20099085265679434</v>
      </c>
      <c r="BX19" s="38">
        <f>BX18/'Income Statement'!BX14</f>
        <v>0.17034557548641277</v>
      </c>
      <c r="BY19" s="38">
        <f>BY18/'Income Statement'!BY14</f>
        <v>0.14631831356213928</v>
      </c>
      <c r="BZ19" s="38">
        <f>BZ18/'Income Statement'!BZ14</f>
        <v>0.16204478427479724</v>
      </c>
      <c r="CA19" s="38">
        <f>CA18/'Income Statement'!CA14</f>
        <v>0.24667191019120738</v>
      </c>
      <c r="CB19" s="38">
        <f>CB18/'Income Statement'!CB14</f>
        <v>0.19057116617607675</v>
      </c>
      <c r="CC19" s="38">
        <f>CC18/'Income Statement'!CC14</f>
        <v>0.10868672338748946</v>
      </c>
      <c r="CD19" s="38">
        <f>CD18/'Income Statement'!CD14</f>
        <v>0.20607050784877051</v>
      </c>
      <c r="CE19" s="38">
        <f>CE18/'Income Statement'!CE14</f>
        <v>0.16482449083687417</v>
      </c>
      <c r="CF19" s="38">
        <f>CF18/'Income Statement'!CF14</f>
        <v>0.13025440766475885</v>
      </c>
      <c r="CG19" s="38">
        <f>CG18/'Income Statement'!CG14</f>
        <v>0.15336175904056926</v>
      </c>
      <c r="CH19" s="38">
        <f>CH18/'Income Statement'!CH14</f>
        <v>0.26288620070564811</v>
      </c>
      <c r="CI19" s="38">
        <f>CI18/'Income Statement'!CI14</f>
        <v>0.19012408424124194</v>
      </c>
      <c r="CJ19" s="38">
        <f>CJ18/'Income Statement'!CJ14</f>
        <v>9.0212556411195091E-2</v>
      </c>
      <c r="CK19" s="38">
        <f>CK18/'Income Statement'!CK14</f>
        <v>0.18629512234614121</v>
      </c>
      <c r="CL19" s="38">
        <f>CL18/'Income Statement'!CL14</f>
        <v>0.14488995302149285</v>
      </c>
      <c r="CM19" s="38">
        <f>CM18/'Income Statement'!CM14</f>
        <v>0.13316108932564139</v>
      </c>
      <c r="CN19" s="38">
        <f>CN18/'Income Statement'!CN14</f>
        <v>0.14083742583921577</v>
      </c>
      <c r="CO19" s="38">
        <f>CO18/'Income Statement'!CO14</f>
        <v>0.23744683947434139</v>
      </c>
      <c r="CP19" s="38">
        <f>CP18/'Income Statement'!CP14</f>
        <v>0.17336743171022503</v>
      </c>
      <c r="CQ19" s="38">
        <f>CQ18/'Income Statement'!CQ14</f>
        <v>0.1048913404807913</v>
      </c>
      <c r="CR19" s="38">
        <f>CR18/'Income Statement'!CR14</f>
        <v>0.19824373845174606</v>
      </c>
      <c r="CS19" s="38">
        <f>CS18/'Income Statement'!CS14</f>
        <v>0.15716501250452208</v>
      </c>
      <c r="CT19" s="38">
        <f>CT18/'Income Statement'!CT14</f>
        <v>0.15211719300644297</v>
      </c>
      <c r="CU19" s="38">
        <f>CU18/'Income Statement'!CU14</f>
        <v>0.15539842829218833</v>
      </c>
      <c r="CV19" s="38">
        <f>CV18/'Income Statement'!CV14</f>
        <v>0.2558420060906576</v>
      </c>
      <c r="CW19" s="38">
        <f>CW18/'Income Statement'!CW14</f>
        <v>0.19022117515312736</v>
      </c>
      <c r="CX19" s="38">
        <f>CX18/'Income Statement'!CX14</f>
        <v>0.19258239377775568</v>
      </c>
      <c r="CY19" s="38">
        <f>CY18/'Income Statement'!CY14</f>
        <v>0.22420733441155524</v>
      </c>
      <c r="CZ19" s="38">
        <f>CZ18/'Income Statement'!CZ14</f>
        <v>0.20998501291246097</v>
      </c>
      <c r="DA19" s="38">
        <f>DA18/'Income Statement'!DA14</f>
        <v>0.18678956668585306</v>
      </c>
      <c r="DB19" s="38">
        <f>DB18/'Income Statement'!DB14</f>
        <v>0.20198523440923943</v>
      </c>
      <c r="DC19" s="38">
        <f>DC18/'Income Statement'!DC14</f>
        <v>0.30105645382814067</v>
      </c>
      <c r="DD19" s="38">
        <f>DD18/'Income Statement'!DD14</f>
        <v>0.23557198020890788</v>
      </c>
      <c r="DE19" s="38">
        <f>DE18/'Income Statement'!DE14</f>
        <v>0.12760692435072057</v>
      </c>
      <c r="DF19" s="38">
        <f>DF18/'Income Statement'!DF14</f>
        <v>1.0469948737852923</v>
      </c>
      <c r="DG19" s="38">
        <f>DG18/'Income Statement'!DG14</f>
        <v>0.36501291391203822</v>
      </c>
      <c r="DH19" s="38">
        <f>DH18/'Income Statement'!DH14</f>
        <v>8.3682659016458966E-2</v>
      </c>
      <c r="DI19" s="38">
        <f>DI18/'Income Statement'!DI14</f>
        <v>0.24084021713370149</v>
      </c>
      <c r="DJ19" s="38">
        <f>DJ18/'Income Statement'!DJ14</f>
        <v>0.2319802962982753</v>
      </c>
      <c r="DK19" s="38">
        <f>DK18/'Income Statement'!DK14</f>
        <v>0.24043057718324751</v>
      </c>
      <c r="DL19" s="38">
        <f>DL18/'Income Statement'!DL14</f>
        <v>-2.7731991026203866E-2</v>
      </c>
      <c r="DM19" s="38">
        <f>DM18/'Income Statement'!DM14</f>
        <v>0.18829657806797112</v>
      </c>
      <c r="DN19" s="38">
        <f>DN18/'Income Statement'!DN14</f>
        <v>0.10694367125099465</v>
      </c>
      <c r="DO19" s="64">
        <f>DO18/'Income Statement'!DO14</f>
        <v>0.15303739893887933</v>
      </c>
      <c r="DP19" s="64">
        <f>DP18/'Income Statement'!DP14</f>
        <v>0.12518004668244545</v>
      </c>
      <c r="DQ19" s="38">
        <f>DQ18/'Income Statement'!DQ14</f>
        <v>0.2033568696179707</v>
      </c>
      <c r="DR19" s="38">
        <f>DR18/'Income Statement'!DR14</f>
        <v>0.15430959538934552</v>
      </c>
      <c r="DS19" s="38">
        <f>DS18/'Income Statement'!DS14</f>
        <v>0.13366810260734235</v>
      </c>
      <c r="DT19" s="38">
        <f>DT18/'Income Statement'!DT14</f>
        <v>0.21717668856388389</v>
      </c>
      <c r="DU19" s="38">
        <f>DU18/'Income Statement'!DU14</f>
        <v>0.18273043252400234</v>
      </c>
      <c r="DV19" s="38">
        <f>DV18/'Income Statement'!DV14</f>
        <v>0.16841959976616513</v>
      </c>
      <c r="DW19" s="38">
        <f>DW18/'Income Statement'!DW14</f>
        <v>0.17806385716772063</v>
      </c>
      <c r="DX19" s="38">
        <f>DX18/'Income Statement'!DX14</f>
        <v>0.26816159493021391</v>
      </c>
      <c r="DY19" s="38">
        <f>DY18/'Income Statement'!DY14</f>
        <v>0.20573238246423831</v>
      </c>
      <c r="DZ19" s="38">
        <f>DZ18/'Income Statement'!DZ14</f>
        <v>0.11505758682949381</v>
      </c>
      <c r="EA19" s="38">
        <f>EA18/'Income Statement'!EA14</f>
        <v>0.17930875093457818</v>
      </c>
      <c r="EB19" s="38">
        <f>EB18/'Income Statement'!EB14</f>
        <v>0.15150034097219942</v>
      </c>
      <c r="EC19" s="38">
        <f>EC18/'Income Statement'!EC14</f>
        <v>0.15083980437053746</v>
      </c>
      <c r="ED19" s="38">
        <f>ED18/'Income Statement'!ED14</f>
        <v>0.15127991378595537</v>
      </c>
      <c r="EE19" s="38">
        <f>EE18/'Income Statement'!EE14</f>
        <v>0.26385310513376786</v>
      </c>
      <c r="EF19" s="38">
        <f>EF18/'Income Statement'!EF14</f>
        <v>0.18788899671972623</v>
      </c>
      <c r="EG19" s="38">
        <f>EG18/'Income Statement'!EG14</f>
        <v>0.14809393100220372</v>
      </c>
      <c r="EH19" s="38">
        <f>EH18/'Income Statement'!EH14</f>
        <v>0.20640905633030437</v>
      </c>
      <c r="EI19" s="38">
        <f>EI18/'Income Statement'!EI14</f>
        <v>0.18050667190739078</v>
      </c>
      <c r="EJ19" s="38">
        <f>EJ18/'Income Statement'!EJ14</f>
        <v>0.17539043420190858</v>
      </c>
      <c r="EK19" s="38">
        <f>EK18/'Income Statement'!EK14</f>
        <v>0.17872686153544518</v>
      </c>
      <c r="EL19" s="38">
        <f>EL18/'Income Statement'!EL14</f>
        <v>0.23070370910651797</v>
      </c>
      <c r="EM19" s="38">
        <f>EM18/'Income Statement'!EM14</f>
        <v>0.19585065477373254</v>
      </c>
      <c r="EN19" s="38">
        <f>EN18/'Income Statement'!EN14</f>
        <v>0.14317039410339377</v>
      </c>
      <c r="EO19" s="38">
        <f>EO18/'Income Statement'!EO14</f>
        <v>0.21190946032366223</v>
      </c>
      <c r="EP19" s="38">
        <f>EP18/'Income Statement'!EP14</f>
        <v>0.18232976140828028</v>
      </c>
      <c r="EQ19" s="38">
        <f>EQ18/'Income Statement'!EQ14</f>
        <v>0.16696013162402989</v>
      </c>
      <c r="ER19" s="38">
        <f>ER18/'Income Statement'!ER14</f>
        <v>0.17734061039940513</v>
      </c>
      <c r="ES19" s="38">
        <f>ES18/'Income Statement'!ES14</f>
        <v>0.24184897859218174</v>
      </c>
      <c r="ET19" s="460">
        <f>ET18/'Income Statement'!ET14</f>
        <v>0.19763042392568969</v>
      </c>
      <c r="EU19" s="460">
        <f>EU18/'Income Statement'!EU14</f>
        <v>0.1695215702473879</v>
      </c>
      <c r="EV19" s="38">
        <f>EV18/'Income Statement'!EV14</f>
        <v>0.2144529574942034</v>
      </c>
      <c r="EW19" s="38">
        <f>EW18/'Income Statement'!EW14</f>
        <v>0.19477036913150877</v>
      </c>
    </row>
    <row r="20" spans="1:153" s="3" customFormat="1" ht="16.350000000000001" customHeight="1">
      <c r="A20" s="34"/>
      <c r="B20" s="26" t="s">
        <v>477</v>
      </c>
      <c r="C20" s="26" t="s">
        <v>478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-15722.514999999999</v>
      </c>
      <c r="Z20" s="27">
        <v>11605</v>
      </c>
      <c r="AA20" s="39">
        <f t="shared" ref="AA20:AE20" si="389">SUM(Y20:Z20)</f>
        <v>-4117.5149999999994</v>
      </c>
      <c r="AB20" s="376">
        <v>11605</v>
      </c>
      <c r="AC20" s="39">
        <f t="shared" ref="AC20" si="390">SUM(AA20:AB20)</f>
        <v>7487.4850000000006</v>
      </c>
      <c r="AD20" s="27">
        <v>5679</v>
      </c>
      <c r="AE20" s="39">
        <f t="shared" si="389"/>
        <v>13166.485000000001</v>
      </c>
      <c r="AF20" s="27">
        <f>'Financial Services'!D30</f>
        <v>20088</v>
      </c>
      <c r="AG20" s="27">
        <f>'Financial Services'!E30</f>
        <v>9072</v>
      </c>
      <c r="AH20" s="27">
        <f>'Financial Services'!F30</f>
        <v>29160</v>
      </c>
      <c r="AI20" s="27">
        <f>'Financial Services'!G30</f>
        <v>19152</v>
      </c>
      <c r="AJ20" s="27">
        <f>'Financial Services'!H30</f>
        <v>48312</v>
      </c>
      <c r="AK20" s="27">
        <f>'Financial Services'!I30</f>
        <v>19264.771999999997</v>
      </c>
      <c r="AL20" s="27">
        <f>'Financial Services'!J30</f>
        <v>67576.771999999997</v>
      </c>
      <c r="AM20" s="27">
        <f>'Financial Services'!K30</f>
        <v>26322</v>
      </c>
      <c r="AN20" s="27">
        <f>'Financial Services'!L30</f>
        <v>24738</v>
      </c>
      <c r="AO20" s="27">
        <f>'Financial Services'!M30</f>
        <v>51060</v>
      </c>
      <c r="AP20" s="27">
        <f>'Financial Services'!N30</f>
        <v>36489</v>
      </c>
      <c r="AQ20" s="27">
        <f>'Financial Services'!O30</f>
        <v>87549</v>
      </c>
      <c r="AR20" s="27">
        <f>'Financial Services'!P30</f>
        <v>33493</v>
      </c>
      <c r="AS20" s="27">
        <f>'Financial Services'!Q30</f>
        <v>121044</v>
      </c>
      <c r="AT20" s="27">
        <f>'Financial Services'!R30</f>
        <v>38467</v>
      </c>
      <c r="AU20" s="27">
        <f>'Financial Services'!S30</f>
        <v>32149</v>
      </c>
      <c r="AV20" s="27">
        <f>'Financial Services'!T30</f>
        <v>70616</v>
      </c>
      <c r="AW20" s="27">
        <f>'Financial Services'!U30</f>
        <v>33968.675000000003</v>
      </c>
      <c r="AX20" s="27">
        <f>'Financial Services'!V30</f>
        <v>-51563.324999999997</v>
      </c>
      <c r="AY20" s="27">
        <f>'Financial Services'!W30</f>
        <v>20488</v>
      </c>
      <c r="AZ20" s="27">
        <f>'Financial Services'!X30</f>
        <v>81918.675000000003</v>
      </c>
      <c r="BA20" s="27">
        <f>'Financial Services'!Y30</f>
        <v>40904</v>
      </c>
      <c r="BB20" s="27">
        <f>'Financial Services'!Z30</f>
        <v>32256</v>
      </c>
      <c r="BC20" s="27">
        <f>'Financial Services'!AA30</f>
        <v>73160</v>
      </c>
      <c r="BD20" s="27">
        <f>'Financial Services'!AB30</f>
        <v>32256</v>
      </c>
      <c r="BE20" s="27">
        <f>'Financial Services'!AC30</f>
        <v>93975</v>
      </c>
      <c r="BF20" s="27">
        <f>'Financial Services'!AD30</f>
        <v>32713</v>
      </c>
      <c r="BG20" s="27">
        <f>'Financial Services'!AE30</f>
        <v>148477</v>
      </c>
      <c r="BH20" s="27">
        <f>'Financial Services'!AF30</f>
        <v>47566</v>
      </c>
      <c r="BI20" s="27">
        <f>'Financial Services'!AG30</f>
        <v>41144</v>
      </c>
      <c r="BJ20" s="27">
        <f>'Financial Services'!AH30</f>
        <v>88710</v>
      </c>
      <c r="BK20" s="27">
        <f>'Financial Services'!AI30</f>
        <v>45018.3</v>
      </c>
      <c r="BL20" s="27">
        <f>'Financial Services'!AJ30</f>
        <v>133728.29999999999</v>
      </c>
      <c r="BM20" s="27">
        <f>'Financial Services'!AK30</f>
        <v>40125.39999999998</v>
      </c>
      <c r="BN20" s="27">
        <f>'Financial Services'!AL30</f>
        <v>173853.10000000003</v>
      </c>
      <c r="BO20" s="27">
        <f>'Financial Services'!AM30</f>
        <v>61416.800000000003</v>
      </c>
      <c r="BP20" s="27">
        <f>'Financial Services'!AN30</f>
        <v>52392</v>
      </c>
      <c r="BQ20" s="27">
        <f>'Financial Services'!AO30</f>
        <v>113808.80000000005</v>
      </c>
      <c r="BR20" s="27">
        <f>'Financial Services'!AP30</f>
        <v>61682.58</v>
      </c>
      <c r="BS20" s="27">
        <f>'Financial Services'!AQ30</f>
        <v>175491.38</v>
      </c>
      <c r="BT20" s="27">
        <f>'Financial Services'!AR30</f>
        <v>42066.41</v>
      </c>
      <c r="BU20" s="27">
        <f>'Financial Services'!AS30</f>
        <v>217557.78999999998</v>
      </c>
      <c r="BV20" s="27">
        <f>'Financial Services'!AT30</f>
        <v>68102.680000000008</v>
      </c>
      <c r="BW20" s="27">
        <f>'Financial Services'!AU30</f>
        <v>53972</v>
      </c>
      <c r="BX20" s="27">
        <f>'Financial Services'!AV30</f>
        <v>122074.67999999998</v>
      </c>
      <c r="BY20" s="27">
        <f>'Financial Services'!AW30</f>
        <v>47874.338489999995</v>
      </c>
      <c r="BZ20" s="27">
        <f>'Financial Services'!AX30</f>
        <v>169949.01848999999</v>
      </c>
      <c r="CA20" s="27">
        <f>'Financial Services'!AY30</f>
        <v>38442.419059622</v>
      </c>
      <c r="CB20" s="27">
        <f>'Financial Services'!AZ30</f>
        <v>208389.35554679984</v>
      </c>
      <c r="CC20" s="27">
        <f>'Financial Services'!BA30</f>
        <v>68835</v>
      </c>
      <c r="CD20" s="27">
        <f>'Financial Services'!BB30</f>
        <v>54243</v>
      </c>
      <c r="CE20" s="27">
        <f>'Financial Services'!BC30</f>
        <v>123078</v>
      </c>
      <c r="CF20" s="27">
        <f>'Financial Services'!BD30</f>
        <v>65335</v>
      </c>
      <c r="CG20" s="27">
        <f>'Financial Services'!BE30</f>
        <v>188413</v>
      </c>
      <c r="CH20" s="27">
        <f>'Financial Services'!BF30</f>
        <v>62855</v>
      </c>
      <c r="CI20" s="27">
        <f>'Financial Services'!BG30</f>
        <v>251265</v>
      </c>
      <c r="CJ20" s="27">
        <f>'Financial Services'!BH30</f>
        <v>79058</v>
      </c>
      <c r="CK20" s="27">
        <f>'Financial Services'!BI30</f>
        <v>78988</v>
      </c>
      <c r="CL20" s="27">
        <f>'Financial Services'!BJ30</f>
        <v>158046</v>
      </c>
      <c r="CM20" s="27">
        <f>'Financial Services'!BK30</f>
        <v>97820.465830000001</v>
      </c>
      <c r="CN20" s="27">
        <f>'Financial Services'!BL30</f>
        <v>255866.46583</v>
      </c>
      <c r="CO20" s="27">
        <f>'Financial Services'!BM30</f>
        <v>75725.829060000018</v>
      </c>
      <c r="CP20" s="27">
        <f>'Financial Services'!BN30</f>
        <v>331592.29489000002</v>
      </c>
      <c r="CQ20" s="27">
        <f>'Financial Services'!BO30</f>
        <v>102786</v>
      </c>
      <c r="CR20" s="27">
        <f>'Financial Services'!BP30</f>
        <v>81311</v>
      </c>
      <c r="CS20" s="27">
        <f>'Financial Services'!BQ30</f>
        <v>184097</v>
      </c>
      <c r="CT20" s="27">
        <f>'Financial Services'!BR30</f>
        <v>86619.356740000105</v>
      </c>
      <c r="CU20" s="27">
        <f>'Financial Services'!BS30</f>
        <v>270716.35674000019</v>
      </c>
      <c r="CV20" s="27">
        <f>'Financial Services'!BT30</f>
        <v>78713.781470000511</v>
      </c>
      <c r="CW20" s="27">
        <f>'Financial Services'!BU30</f>
        <v>349430.13821000047</v>
      </c>
      <c r="CX20" s="27">
        <f>'Financial Services'!BV30</f>
        <v>97835.150000000023</v>
      </c>
      <c r="CY20" s="27">
        <f>'Financial Services'!BW30</f>
        <v>91415.538280000037</v>
      </c>
      <c r="CZ20" s="27">
        <f>'Financial Services'!BX30</f>
        <v>189250.68828000003</v>
      </c>
      <c r="DA20" s="27">
        <f>'Financial Services'!BY30</f>
        <v>103502.75317000004</v>
      </c>
      <c r="DB20" s="27">
        <f>'Financial Services'!BZ30</f>
        <v>292753.44145000004</v>
      </c>
      <c r="DC20" s="27">
        <f>'Financial Services'!CA30</f>
        <v>99675.346877429896</v>
      </c>
      <c r="DD20" s="27">
        <f>'Financial Services'!CB30</f>
        <v>392428.78832742979</v>
      </c>
      <c r="DE20" s="27">
        <f>'Financial Services'!CC30</f>
        <v>20913.298009999999</v>
      </c>
      <c r="DF20" s="27">
        <f>'Financial Services'!CD30</f>
        <v>53052.874290000007</v>
      </c>
      <c r="DG20" s="27">
        <f>'Financial Services'!CE30</f>
        <v>73966.172300000035</v>
      </c>
      <c r="DH20" s="27">
        <f>'Financial Services'!CF30</f>
        <v>-50827.555519999994</v>
      </c>
      <c r="DI20" s="27">
        <f>'Financial Services'!CG30</f>
        <v>23138.616779999982</v>
      </c>
      <c r="DJ20" s="27">
        <f>'Financial Services'!CH30</f>
        <v>59843.070099999983</v>
      </c>
      <c r="DK20" s="27">
        <f>'Financial Services'!CI30</f>
        <v>59843.070099999983</v>
      </c>
      <c r="DL20" s="27">
        <f>'Financial Services'!CJ30</f>
        <v>69623</v>
      </c>
      <c r="DM20" s="27">
        <f>'Financial Services'!CK30</f>
        <v>51883</v>
      </c>
      <c r="DN20" s="27">
        <f>'Financial Services'!CL30</f>
        <v>121506</v>
      </c>
      <c r="DO20" s="370">
        <f>'Financial Services'!CM30</f>
        <v>74517</v>
      </c>
      <c r="DP20" s="370">
        <f>'Financial Services'!CN30</f>
        <v>196023</v>
      </c>
      <c r="DQ20" s="27">
        <f>'Financial Services'!CO30</f>
        <v>51552</v>
      </c>
      <c r="DR20" s="27">
        <f>'Financial Services'!CP30</f>
        <v>247575</v>
      </c>
      <c r="DS20" s="27">
        <f>'Financial Services'!CQ30</f>
        <v>85211</v>
      </c>
      <c r="DT20" s="27">
        <f>'Financial Services'!CR30</f>
        <v>11934</v>
      </c>
      <c r="DU20" s="27">
        <f t="shared" ref="DU20" si="391">SUM(DS20:DT20)</f>
        <v>97145</v>
      </c>
      <c r="DV20" s="27">
        <f>'Financial Services'!CT30</f>
        <v>19024</v>
      </c>
      <c r="DW20" s="27">
        <f t="shared" ref="DW20" si="392">SUM(DU20:DV20)</f>
        <v>116169</v>
      </c>
      <c r="DX20" s="27">
        <f>'Financial Services'!CV30</f>
        <v>-34649</v>
      </c>
      <c r="DY20" s="27">
        <f t="shared" ref="DY20" si="393">SUM(DW20:DX20)</f>
        <v>81520</v>
      </c>
      <c r="DZ20" s="27">
        <f>'Financial Services'!CX30</f>
        <v>-10321.067740000057</v>
      </c>
      <c r="EA20" s="27">
        <f>'Financial Services'!CY30</f>
        <v>-53690.131399999984</v>
      </c>
      <c r="EB20" s="27">
        <f t="shared" ref="EB20" si="394">SUM(DZ20:EA20)</f>
        <v>-64011.199140000041</v>
      </c>
      <c r="EC20" s="27">
        <f>'Financial Services'!DA30</f>
        <v>-35052.713339999988</v>
      </c>
      <c r="ED20" s="27">
        <f t="shared" ref="ED20:EF20" si="395">SUM(EB20:EC20)</f>
        <v>-99063.912480000028</v>
      </c>
      <c r="EE20" s="27">
        <f>'Financial Services'!DC30</f>
        <v>3192.4346199999563</v>
      </c>
      <c r="EF20" s="27">
        <f t="shared" si="395"/>
        <v>-95871.477860000072</v>
      </c>
      <c r="EG20" s="27">
        <f>'Financial Services'!DE30</f>
        <v>13402</v>
      </c>
      <c r="EH20" s="27">
        <f>'Financial Services'!DF30</f>
        <v>34761</v>
      </c>
      <c r="EI20" s="27">
        <f t="shared" ref="EI20" si="396">SUM(EG20:EH20)</f>
        <v>48163</v>
      </c>
      <c r="EJ20" s="27">
        <f>'Financial Services'!DH30</f>
        <v>58310.295239999919</v>
      </c>
      <c r="EK20" s="27">
        <f t="shared" ref="EK20" si="397">SUM(EI20:EJ20)</f>
        <v>106473.29523999992</v>
      </c>
      <c r="EL20" s="27">
        <f>'Financial Services'!DJ30</f>
        <v>61382</v>
      </c>
      <c r="EM20" s="27">
        <f t="shared" ref="EM20" si="398">SUM(EK20:EL20)</f>
        <v>167855.29523999992</v>
      </c>
      <c r="EN20" s="27">
        <f>'Financial Services'!DL30</f>
        <v>190464.13071999993</v>
      </c>
      <c r="EO20" s="27">
        <f>'Financial Services'!DM30</f>
        <v>118452.61184999999</v>
      </c>
      <c r="EP20" s="27">
        <f t="shared" ref="EP20" si="399">SUM(EN20:EO20)</f>
        <v>308916.74256999989</v>
      </c>
      <c r="EQ20" s="27">
        <f>'Financial Services'!DO30</f>
        <v>79811.877669999958</v>
      </c>
      <c r="ER20" s="27">
        <f t="shared" ref="ER20" si="400">SUM(EP20:EQ20)</f>
        <v>388728.62023999984</v>
      </c>
      <c r="ES20" s="27">
        <f>'Financial Services'!DQ30</f>
        <v>63644</v>
      </c>
      <c r="ET20" s="464">
        <f t="shared" ref="ET20" si="401">SUM(ER20:ES20)</f>
        <v>452372.62023999984</v>
      </c>
      <c r="EU20" s="464">
        <f>'Financial Services'!DS30</f>
        <v>122945</v>
      </c>
      <c r="EV20" s="27">
        <f>'Financial Services'!DT30</f>
        <v>53480</v>
      </c>
      <c r="EW20" s="27">
        <f t="shared" ref="EW20" si="402">SUM(EU20:EV20)</f>
        <v>176425</v>
      </c>
    </row>
    <row r="21" spans="1:153" ht="16.350000000000001" customHeight="1">
      <c r="B21" s="40" t="s">
        <v>401</v>
      </c>
      <c r="C21" s="40" t="s">
        <v>479</v>
      </c>
      <c r="D21" s="29">
        <f t="shared" ref="D21:BO21" si="403">D20/D15</f>
        <v>0</v>
      </c>
      <c r="E21" s="29">
        <f t="shared" si="403"/>
        <v>0</v>
      </c>
      <c r="F21" s="29">
        <f t="shared" si="403"/>
        <v>0</v>
      </c>
      <c r="G21" s="29">
        <f t="shared" si="403"/>
        <v>0</v>
      </c>
      <c r="H21" s="29">
        <f t="shared" si="403"/>
        <v>0</v>
      </c>
      <c r="I21" s="29">
        <f t="shared" si="403"/>
        <v>0</v>
      </c>
      <c r="J21" s="29">
        <f t="shared" si="403"/>
        <v>0</v>
      </c>
      <c r="K21" s="29">
        <f t="shared" si="403"/>
        <v>0</v>
      </c>
      <c r="L21" s="29">
        <f t="shared" si="403"/>
        <v>0</v>
      </c>
      <c r="M21" s="29">
        <f t="shared" si="403"/>
        <v>0</v>
      </c>
      <c r="N21" s="29">
        <f t="shared" si="403"/>
        <v>0</v>
      </c>
      <c r="O21" s="29">
        <f t="shared" si="403"/>
        <v>0</v>
      </c>
      <c r="P21" s="29">
        <f t="shared" si="403"/>
        <v>0</v>
      </c>
      <c r="Q21" s="29">
        <f t="shared" si="403"/>
        <v>0</v>
      </c>
      <c r="R21" s="29">
        <f t="shared" si="403"/>
        <v>0</v>
      </c>
      <c r="S21" s="29">
        <f t="shared" si="403"/>
        <v>0</v>
      </c>
      <c r="T21" s="29">
        <f t="shared" si="403"/>
        <v>0</v>
      </c>
      <c r="U21" s="29">
        <f t="shared" si="403"/>
        <v>0</v>
      </c>
      <c r="V21" s="29">
        <f t="shared" si="403"/>
        <v>0</v>
      </c>
      <c r="W21" s="29">
        <f t="shared" si="403"/>
        <v>0</v>
      </c>
      <c r="X21" s="29">
        <f t="shared" si="403"/>
        <v>0</v>
      </c>
      <c r="Y21" s="29">
        <f t="shared" si="403"/>
        <v>-0.28877794104141791</v>
      </c>
      <c r="Z21" s="29">
        <f t="shared" si="403"/>
        <v>0.13545058767230411</v>
      </c>
      <c r="AA21" s="29">
        <f t="shared" si="403"/>
        <v>-2.9385214313241315E-2</v>
      </c>
      <c r="AB21" s="377">
        <f t="shared" ref="AB21:AC21" si="404">AB20/AB15</f>
        <v>0.18802047892161627</v>
      </c>
      <c r="AC21" s="29">
        <f t="shared" si="404"/>
        <v>3.7095405362557225E-2</v>
      </c>
      <c r="AD21" s="29">
        <f t="shared" si="403"/>
        <v>5.9613285186429291E-2</v>
      </c>
      <c r="AE21" s="29">
        <f t="shared" si="403"/>
        <v>4.4315484604924814E-2</v>
      </c>
      <c r="AF21" s="29">
        <f t="shared" si="403"/>
        <v>0.52690831565937468</v>
      </c>
      <c r="AG21" s="29">
        <f t="shared" si="403"/>
        <v>9.7027836959585473E-2</v>
      </c>
      <c r="AH21" s="29">
        <f t="shared" si="403"/>
        <v>0.22154145638858322</v>
      </c>
      <c r="AI21" s="29">
        <f t="shared" si="403"/>
        <v>0.28093793614719215</v>
      </c>
      <c r="AJ21" s="29">
        <f t="shared" si="403"/>
        <v>0.24180802102139484</v>
      </c>
      <c r="AK21" s="29">
        <f t="shared" si="403"/>
        <v>0.1234017629439995</v>
      </c>
      <c r="AL21" s="29">
        <f t="shared" si="403"/>
        <v>0.18987087557378737</v>
      </c>
      <c r="AM21" s="29">
        <f t="shared" si="403"/>
        <v>0.36002790277796776</v>
      </c>
      <c r="AN21" s="29">
        <f t="shared" si="403"/>
        <v>0.16221107504671978</v>
      </c>
      <c r="AO21" s="29">
        <f t="shared" si="403"/>
        <v>0.2263137366144245</v>
      </c>
      <c r="AP21" s="29">
        <f t="shared" si="403"/>
        <v>0.36041010242683447</v>
      </c>
      <c r="AQ21" s="29">
        <f t="shared" si="403"/>
        <v>0.26784943966664526</v>
      </c>
      <c r="AR21" s="29">
        <f t="shared" si="403"/>
        <v>0.18788847750476831</v>
      </c>
      <c r="AS21" s="29">
        <f t="shared" si="403"/>
        <v>0.23963462075273351</v>
      </c>
      <c r="AT21" s="29">
        <f t="shared" si="403"/>
        <v>0.45170798154041264</v>
      </c>
      <c r="AU21" s="29">
        <f t="shared" si="403"/>
        <v>0.17893459639670728</v>
      </c>
      <c r="AV21" s="29">
        <f t="shared" si="403"/>
        <v>0.26664854169498692</v>
      </c>
      <c r="AW21" s="29">
        <f t="shared" si="403"/>
        <v>0.32276673288000363</v>
      </c>
      <c r="AX21" s="29">
        <f t="shared" si="403"/>
        <v>-0.13933390911752455</v>
      </c>
      <c r="AY21" s="29">
        <f t="shared" si="403"/>
        <v>9.2057315653967298E-2</v>
      </c>
      <c r="AZ21" s="29">
        <f t="shared" si="403"/>
        <v>0.13822969582427047</v>
      </c>
      <c r="BA21" s="29">
        <f t="shared" si="403"/>
        <v>0.48935253864191031</v>
      </c>
      <c r="BB21" s="29">
        <f t="shared" si="403"/>
        <v>0.16941621366107304</v>
      </c>
      <c r="BC21" s="29">
        <f t="shared" si="403"/>
        <v>0.26702386644426845</v>
      </c>
      <c r="BD21" s="29">
        <f t="shared" si="403"/>
        <v>0.21767532257193759</v>
      </c>
      <c r="BE21" s="29">
        <f t="shared" si="403"/>
        <v>0.22260148235177074</v>
      </c>
      <c r="BF21" s="29">
        <f t="shared" si="403"/>
        <v>0.11192234923002706</v>
      </c>
      <c r="BG21" s="29">
        <f t="shared" si="403"/>
        <v>0.20782000139967807</v>
      </c>
      <c r="BH21" s="29">
        <f t="shared" si="403"/>
        <v>0.52869909301084828</v>
      </c>
      <c r="BI21" s="29">
        <f t="shared" si="403"/>
        <v>0.20386381991963176</v>
      </c>
      <c r="BJ21" s="29">
        <f t="shared" si="403"/>
        <v>0.3040210563112386</v>
      </c>
      <c r="BK21" s="29">
        <f t="shared" si="403"/>
        <v>0.29114314539598773</v>
      </c>
      <c r="BL21" s="29">
        <f t="shared" si="403"/>
        <v>0.29956049863915862</v>
      </c>
      <c r="BM21" s="29">
        <f t="shared" si="403"/>
        <v>0.1026965739996621</v>
      </c>
      <c r="BN21" s="29">
        <f t="shared" si="403"/>
        <v>0.20767679687695986</v>
      </c>
      <c r="BO21" s="29">
        <f t="shared" si="403"/>
        <v>0.45473553773835246</v>
      </c>
      <c r="BP21" s="29">
        <f t="shared" ref="BP21:DQ21" si="405">BP20/BP15</f>
        <v>0.21116865843090626</v>
      </c>
      <c r="BQ21" s="29">
        <f t="shared" si="405"/>
        <v>0.29702258147054383</v>
      </c>
      <c r="BR21" s="29">
        <f t="shared" si="405"/>
        <v>0.30185952961212087</v>
      </c>
      <c r="BS21" s="29">
        <f t="shared" si="405"/>
        <v>0.2987049288291615</v>
      </c>
      <c r="BT21" s="29">
        <f t="shared" si="405"/>
        <v>9.0344075276494407E-2</v>
      </c>
      <c r="BU21" s="29">
        <f t="shared" si="405"/>
        <v>0.20658170607962373</v>
      </c>
      <c r="BV21" s="29">
        <f t="shared" si="405"/>
        <v>0.34256271393412796</v>
      </c>
      <c r="BW21" s="29">
        <f t="shared" si="405"/>
        <v>0.16547755432380401</v>
      </c>
      <c r="BX21" s="29">
        <f t="shared" si="405"/>
        <v>0.23253977550606728</v>
      </c>
      <c r="BY21" s="29">
        <f t="shared" si="405"/>
        <v>0.20766804965015853</v>
      </c>
      <c r="BZ21" s="29">
        <f t="shared" si="405"/>
        <v>0.22495038154411545</v>
      </c>
      <c r="CA21" s="29">
        <f t="shared" si="405"/>
        <v>7.8187599908926542E-2</v>
      </c>
      <c r="CB21" s="29">
        <f t="shared" si="405"/>
        <v>0.16709050212740592</v>
      </c>
      <c r="CC21" s="29">
        <f t="shared" si="405"/>
        <v>0.37048299766412984</v>
      </c>
      <c r="CD21" s="29">
        <f t="shared" si="405"/>
        <v>0.15233716776382306</v>
      </c>
      <c r="CE21" s="29">
        <f t="shared" si="405"/>
        <v>0.22713565984461218</v>
      </c>
      <c r="CF21" s="29">
        <f t="shared" si="405"/>
        <v>0.28467169186527819</v>
      </c>
      <c r="CG21" s="29">
        <f t="shared" si="405"/>
        <v>0.24425445305815552</v>
      </c>
      <c r="CH21" s="29">
        <f t="shared" si="405"/>
        <v>0.11071303385946464</v>
      </c>
      <c r="CI21" s="30">
        <f t="shared" ref="CI21" si="406">CI20/CI15</f>
        <v>0.18763595793919688</v>
      </c>
      <c r="CJ21" s="29">
        <f t="shared" si="405"/>
        <v>0.41512901565831067</v>
      </c>
      <c r="CK21" s="29">
        <f t="shared" si="405"/>
        <v>0.20637832019104652</v>
      </c>
      <c r="CL21" s="29">
        <f t="shared" si="405"/>
        <v>0.2757372953508172</v>
      </c>
      <c r="CM21" s="29">
        <f t="shared" si="405"/>
        <v>0.3268996341695713</v>
      </c>
      <c r="CN21" s="29">
        <f t="shared" si="405"/>
        <v>0.29328593891883775</v>
      </c>
      <c r="CO21" s="29">
        <f t="shared" si="405"/>
        <v>0.12549502095565757</v>
      </c>
      <c r="CP21" s="29">
        <f t="shared" si="405"/>
        <v>0.22468190434535143</v>
      </c>
      <c r="CQ21" s="29">
        <f t="shared" si="405"/>
        <v>0.4119514247925935</v>
      </c>
      <c r="CR21" s="29">
        <f t="shared" si="405"/>
        <v>0.18727011845017516</v>
      </c>
      <c r="CS21" s="29">
        <f t="shared" si="405"/>
        <v>0.26926536600063478</v>
      </c>
      <c r="CT21" s="29">
        <f t="shared" si="405"/>
        <v>0.24965084574103247</v>
      </c>
      <c r="CU21" s="29">
        <f t="shared" si="405"/>
        <v>0.26266234136667388</v>
      </c>
      <c r="CV21" s="29">
        <f t="shared" si="405"/>
        <v>0.10598970109943448</v>
      </c>
      <c r="CW21" s="29">
        <f t="shared" si="405"/>
        <v>0.19704877422436387</v>
      </c>
      <c r="CX21" s="29">
        <f t="shared" si="405"/>
        <v>0.23537245495728495</v>
      </c>
      <c r="CY21" s="29">
        <f t="shared" si="405"/>
        <v>0.16798953694957869</v>
      </c>
      <c r="CZ21" s="29">
        <f t="shared" si="405"/>
        <v>0.19717002222256955</v>
      </c>
      <c r="DA21" s="29">
        <f t="shared" si="405"/>
        <v>0.22289046392285405</v>
      </c>
      <c r="DB21" s="29">
        <f t="shared" si="405"/>
        <v>0.20555626730356183</v>
      </c>
      <c r="DC21" s="29">
        <f t="shared" si="405"/>
        <v>0.10333034794493826</v>
      </c>
      <c r="DD21" s="29">
        <f t="shared" si="405"/>
        <v>0.16427663442106144</v>
      </c>
      <c r="DE21" s="29">
        <f t="shared" si="405"/>
        <v>9.561370114343451E-2</v>
      </c>
      <c r="DF21" s="29">
        <f t="shared" si="405"/>
        <v>8.5839268876739552E-2</v>
      </c>
      <c r="DG21" s="29">
        <f t="shared" si="405"/>
        <v>8.8394232506668488E-2</v>
      </c>
      <c r="DH21" s="29">
        <f t="shared" si="405"/>
        <v>-0.58189052559273713</v>
      </c>
      <c r="DI21" s="29">
        <f t="shared" si="405"/>
        <v>2.5038405821723231E-2</v>
      </c>
      <c r="DJ21" s="29">
        <f t="shared" si="405"/>
        <v>8.1184646388730214E-2</v>
      </c>
      <c r="DK21" s="29">
        <f t="shared" si="405"/>
        <v>3.6022959907250442E-2</v>
      </c>
      <c r="DL21" s="29">
        <f t="shared" si="405"/>
        <v>2.1904357401289918</v>
      </c>
      <c r="DM21" s="29">
        <f t="shared" si="405"/>
        <v>0.10872540041450733</v>
      </c>
      <c r="DN21" s="29">
        <f t="shared" si="405"/>
        <v>0.23872544589353567</v>
      </c>
      <c r="DO21" s="29">
        <f t="shared" ref="DO21:DP21" si="407">DO20/DO15</f>
        <v>0.17032612869603378</v>
      </c>
      <c r="DP21" s="29">
        <f t="shared" si="407"/>
        <v>0.20710870029181996</v>
      </c>
      <c r="DQ21" s="29">
        <f t="shared" si="405"/>
        <v>6.6467593953553145E-2</v>
      </c>
      <c r="DR21" s="29">
        <f>DR20/DR15</f>
        <v>0.14376593285987213</v>
      </c>
      <c r="DS21" s="29">
        <f>DS20/DS15</f>
        <v>0.22234016790621403</v>
      </c>
      <c r="DT21" s="29">
        <f t="shared" ref="DT21:DU21" si="408">DT20/DT15</f>
        <v>1.7008916355012314E-2</v>
      </c>
      <c r="DU21" s="29">
        <f t="shared" si="408"/>
        <v>8.9544623396348624E-2</v>
      </c>
      <c r="DV21" s="29">
        <f t="shared" ref="DV21:DW21" si="409">DV20/DV15</f>
        <v>4.1398910623703836E-2</v>
      </c>
      <c r="DW21" s="29">
        <f t="shared" si="409"/>
        <v>7.521915740493007E-2</v>
      </c>
      <c r="DX21" s="29">
        <f t="shared" ref="DX21:DY21" si="410">DX20/DX15</f>
        <v>-3.7718164786872614E-2</v>
      </c>
      <c r="DY21" s="29">
        <f t="shared" si="410"/>
        <v>3.3097363181552084E-2</v>
      </c>
      <c r="DZ21" s="29">
        <f>DZ20/DZ15</f>
        <v>-4.099240503614289E-2</v>
      </c>
      <c r="EA21" s="29">
        <f>EA20/EA15</f>
        <v>-0.11148259949626348</v>
      </c>
      <c r="EB21" s="29">
        <f t="shared" ref="EB21:ED21" si="411">EB20/EB15</f>
        <v>-8.7282325476116834E-2</v>
      </c>
      <c r="EC21" s="29">
        <f t="shared" si="411"/>
        <v>-9.6676604803945063E-2</v>
      </c>
      <c r="ED21" s="29">
        <f t="shared" si="411"/>
        <v>-9.0390245319619936E-2</v>
      </c>
      <c r="EE21" s="29">
        <f t="shared" ref="EE21:EF21" si="412">EE20/EE15</f>
        <v>3.1681570326586926E-3</v>
      </c>
      <c r="EF21" s="29">
        <f t="shared" si="412"/>
        <v>-4.5574501233824949E-2</v>
      </c>
      <c r="EG21" s="29">
        <f>EG20/EG15</f>
        <v>3.5463939349836597E-2</v>
      </c>
      <c r="EH21" s="29">
        <f>EH20/EH15</f>
        <v>5.1844560280990624E-2</v>
      </c>
      <c r="EI21" s="29">
        <f t="shared" ref="EI21:EK21" si="413">EI20/EI15</f>
        <v>4.5939965089327447E-2</v>
      </c>
      <c r="EJ21" s="29">
        <f>EJ20/EJ15</f>
        <v>0.10110045710837845</v>
      </c>
      <c r="EK21" s="29">
        <f t="shared" si="413"/>
        <v>6.5516141466674324E-2</v>
      </c>
      <c r="EL21" s="29">
        <f>EL20/EL15</f>
        <v>5.9912993316863818E-2</v>
      </c>
      <c r="EM21" s="29">
        <f t="shared" ref="EM21" si="414">EM20/EM15</f>
        <v>6.3349629194634008E-2</v>
      </c>
      <c r="EN21" s="29">
        <f>EN20/EN15</f>
        <v>0.32548957505784709</v>
      </c>
      <c r="EO21" s="29">
        <f>EO20/EO15</f>
        <v>0.13281644471279988</v>
      </c>
      <c r="EP21" s="29">
        <f t="shared" ref="EP21:ER21" si="415">EP20/EP15</f>
        <v>0.20914950201555293</v>
      </c>
      <c r="EQ21" s="30">
        <f>EQ20/EQ15</f>
        <v>0.1343844704137179</v>
      </c>
      <c r="ER21" s="29">
        <f t="shared" si="415"/>
        <v>0.18770808748378129</v>
      </c>
      <c r="ES21" s="30">
        <f>ES20/ES15</f>
        <v>5.7013500887308666E-2</v>
      </c>
      <c r="ET21" s="461">
        <f t="shared" ref="ET21" si="416">ET20/ET15</f>
        <v>0.14193337896560571</v>
      </c>
      <c r="EU21" s="461">
        <f>EU20/EU15</f>
        <v>0.20139169862255252</v>
      </c>
      <c r="EV21" s="29">
        <f>EV20/EV15</f>
        <v>6.3316316382682494E-2</v>
      </c>
      <c r="EW21" s="29">
        <f t="shared" ref="EW21" si="417">EW20/EW15</f>
        <v>0.12124387939180482</v>
      </c>
    </row>
    <row r="22" spans="1:153" ht="16.350000000000001" customHeight="1" collapsed="1"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38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  <c r="BA22" s="41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41"/>
      <c r="BT22" s="41"/>
      <c r="BU22" s="41"/>
      <c r="BV22" s="41"/>
      <c r="BW22" s="41"/>
      <c r="BX22" s="41"/>
      <c r="BY22" s="41"/>
      <c r="BZ22" s="41"/>
      <c r="CA22" s="41"/>
      <c r="CB22" s="41"/>
      <c r="CC22" s="41"/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41"/>
      <c r="CW22" s="41"/>
      <c r="CX22" s="41"/>
      <c r="CY22" s="41"/>
      <c r="CZ22" s="41"/>
      <c r="DA22" s="41"/>
      <c r="DB22" s="41"/>
      <c r="DC22" s="41"/>
      <c r="DD22" s="41"/>
      <c r="DE22" s="41"/>
      <c r="DF22" s="41"/>
      <c r="DG22" s="41"/>
      <c r="DH22" s="41"/>
      <c r="DI22" s="41"/>
      <c r="DJ22" s="41"/>
      <c r="DK22" s="41"/>
      <c r="DL22" s="41"/>
      <c r="DM22" s="41"/>
      <c r="DN22" s="41"/>
      <c r="DO22" s="41"/>
      <c r="DP22" s="41"/>
      <c r="DQ22" s="41"/>
      <c r="DR22" s="41"/>
      <c r="DS22" s="41"/>
      <c r="DT22" s="41"/>
      <c r="DU22" s="41"/>
      <c r="DV22" s="41"/>
      <c r="DW22" s="41"/>
      <c r="DX22" s="41"/>
      <c r="DY22" s="41"/>
      <c r="DZ22" s="41"/>
      <c r="EA22" s="41"/>
      <c r="EB22" s="41"/>
      <c r="EC22" s="41"/>
      <c r="ED22" s="41"/>
      <c r="EE22" s="41"/>
      <c r="EF22" s="41"/>
      <c r="EG22" s="41"/>
      <c r="EH22" s="41"/>
      <c r="EI22" s="41"/>
      <c r="EJ22" s="41"/>
      <c r="EK22" s="41"/>
      <c r="EL22" s="41"/>
      <c r="EM22" s="41"/>
      <c r="EN22" s="41"/>
      <c r="EO22" s="41"/>
      <c r="EP22" s="41"/>
      <c r="EQ22" s="41"/>
      <c r="ER22" s="41"/>
      <c r="ES22" s="41"/>
      <c r="ET22" s="41"/>
      <c r="EU22" s="41"/>
      <c r="EV22" s="41"/>
      <c r="EW22" s="41"/>
    </row>
    <row r="23" spans="1:153" ht="16.350000000000001" hidden="1" customHeight="1" outlineLevel="1">
      <c r="B23" s="42"/>
      <c r="C23" s="42"/>
      <c r="AB23" s="263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7"/>
      <c r="EO23" s="42"/>
      <c r="EP23" s="42"/>
      <c r="EQ23" s="42"/>
      <c r="ER23" s="42"/>
      <c r="ES23" s="42"/>
      <c r="ET23" s="42"/>
      <c r="EU23" s="7"/>
    </row>
    <row r="24" spans="1:153" ht="16.350000000000001" hidden="1" customHeight="1" outlineLevel="1">
      <c r="B24" s="43" t="str">
        <f>B15</f>
        <v>Adjusted EBITDA Total</v>
      </c>
      <c r="C24" s="43" t="str">
        <f>C15</f>
        <v>EBITDA Total Ajustado</v>
      </c>
      <c r="D24" s="44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382"/>
      <c r="AC24" s="45"/>
      <c r="AD24" s="45"/>
      <c r="AE24" s="45"/>
      <c r="AF24" s="45"/>
      <c r="AG24" s="45"/>
      <c r="AH24" s="45"/>
      <c r="AI24" s="45"/>
      <c r="AJ24" s="45"/>
      <c r="AK24" s="45"/>
      <c r="AL24" s="45"/>
      <c r="AM24" s="45"/>
      <c r="AN24" s="45"/>
      <c r="AO24" s="45"/>
      <c r="AP24" s="45"/>
      <c r="AQ24" s="45"/>
      <c r="AR24" s="45"/>
      <c r="AS24" s="45"/>
      <c r="AT24" s="45"/>
      <c r="AU24" s="45"/>
      <c r="AV24" s="45"/>
      <c r="AW24" s="45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45"/>
      <c r="BO24" s="45"/>
      <c r="BP24" s="45"/>
      <c r="BQ24" s="45"/>
      <c r="BR24" s="45"/>
      <c r="BS24" s="45"/>
      <c r="BT24" s="45"/>
      <c r="BU24" s="45"/>
      <c r="BV24" s="45"/>
      <c r="BW24" s="45"/>
      <c r="BX24" s="45"/>
      <c r="BY24" s="45"/>
      <c r="BZ24" s="45"/>
      <c r="CA24" s="45"/>
      <c r="CB24" s="45"/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5"/>
      <c r="CQ24" s="45"/>
      <c r="CR24" s="45"/>
      <c r="CS24" s="45"/>
      <c r="CT24" s="45"/>
      <c r="CU24" s="45"/>
      <c r="CV24" s="45"/>
      <c r="CW24" s="46"/>
      <c r="CX24" s="47">
        <f t="shared" ref="CX24:DS24" si="418">CX15</f>
        <v>415661</v>
      </c>
      <c r="CY24" s="47">
        <f t="shared" si="418"/>
        <v>544174</v>
      </c>
      <c r="CZ24" s="47">
        <f t="shared" si="418"/>
        <v>959835</v>
      </c>
      <c r="DA24" s="47">
        <f t="shared" si="418"/>
        <v>464366</v>
      </c>
      <c r="DB24" s="47">
        <f t="shared" si="418"/>
        <v>1424201</v>
      </c>
      <c r="DC24" s="47">
        <f t="shared" si="418"/>
        <v>964628</v>
      </c>
      <c r="DD24" s="47">
        <f t="shared" si="418"/>
        <v>2388829</v>
      </c>
      <c r="DE24" s="47">
        <f t="shared" si="418"/>
        <v>218727</v>
      </c>
      <c r="DF24" s="47">
        <f t="shared" si="418"/>
        <v>618049</v>
      </c>
      <c r="DG24" s="47">
        <f t="shared" si="418"/>
        <v>836776</v>
      </c>
      <c r="DH24" s="47">
        <f t="shared" si="418"/>
        <v>87349</v>
      </c>
      <c r="DI24" s="47">
        <f t="shared" si="418"/>
        <v>924125</v>
      </c>
      <c r="DJ24" s="47">
        <f t="shared" si="418"/>
        <v>737123</v>
      </c>
      <c r="DK24" s="47">
        <f t="shared" si="418"/>
        <v>1661248</v>
      </c>
      <c r="DL24" s="47">
        <f t="shared" si="418"/>
        <v>31785</v>
      </c>
      <c r="DM24" s="47">
        <f t="shared" si="418"/>
        <v>477193</v>
      </c>
      <c r="DN24" s="47">
        <f t="shared" si="418"/>
        <v>508978</v>
      </c>
      <c r="DO24" s="47">
        <f t="shared" ref="DO24:DP24" si="419">DO15</f>
        <v>437496</v>
      </c>
      <c r="DP24" s="47">
        <f t="shared" si="419"/>
        <v>946474</v>
      </c>
      <c r="DQ24" s="47">
        <f t="shared" si="418"/>
        <v>775596</v>
      </c>
      <c r="DR24" s="47">
        <f t="shared" si="418"/>
        <v>1722070</v>
      </c>
      <c r="DS24" s="47">
        <f t="shared" si="418"/>
        <v>383246.08999999997</v>
      </c>
      <c r="DT24" s="47">
        <f t="shared" ref="DT24:DV24" si="420">DT15</f>
        <v>701632</v>
      </c>
      <c r="DU24" s="47">
        <f t="shared" ref="DU24:DU27" si="421">SUM(DS24:DT24)</f>
        <v>1084878.0899999999</v>
      </c>
      <c r="DV24" s="47">
        <f t="shared" si="420"/>
        <v>459529</v>
      </c>
      <c r="DW24" s="47">
        <f t="shared" ref="DW24:DW27" si="422">SUM(DU24:DV24)</f>
        <v>1544407.0899999999</v>
      </c>
      <c r="DX24" s="47">
        <f t="shared" ref="DX24" si="423">DX15</f>
        <v>918629</v>
      </c>
      <c r="DY24" s="47">
        <f t="shared" ref="DY24:DY27" si="424">SUM(DW24:DX24)</f>
        <v>2463036.09</v>
      </c>
      <c r="DZ24" s="47">
        <f t="shared" ref="DZ24:EE24" si="425">DZ15</f>
        <v>251780</v>
      </c>
      <c r="EA24" s="47">
        <f t="shared" si="425"/>
        <v>481601</v>
      </c>
      <c r="EB24" s="47">
        <f t="shared" ref="EB24:EB27" si="426">SUM(DZ24:EA24)</f>
        <v>733381</v>
      </c>
      <c r="EC24" s="47">
        <f t="shared" si="425"/>
        <v>362577</v>
      </c>
      <c r="ED24" s="47">
        <f t="shared" ref="ED24:EF27" si="427">SUM(EB24:EC24)</f>
        <v>1095958</v>
      </c>
      <c r="EE24" s="47">
        <f t="shared" si="425"/>
        <v>1007663</v>
      </c>
      <c r="EF24" s="47">
        <f t="shared" si="427"/>
        <v>2103621</v>
      </c>
      <c r="EG24" s="47">
        <f t="shared" ref="EG24:EH24" si="428">EG15</f>
        <v>377905</v>
      </c>
      <c r="EH24" s="47">
        <f t="shared" si="428"/>
        <v>670485</v>
      </c>
      <c r="EI24" s="47">
        <f t="shared" ref="EI24:EI27" si="429">SUM(EG24:EH24)</f>
        <v>1048390</v>
      </c>
      <c r="EJ24" s="47">
        <f t="shared" ref="EJ24:EL24" si="430">EJ15</f>
        <v>576756</v>
      </c>
      <c r="EK24" s="47">
        <f t="shared" ref="EK24:EK27" si="431">SUM(EI24:EJ24)</f>
        <v>1625146</v>
      </c>
      <c r="EL24" s="47">
        <f t="shared" si="430"/>
        <v>1024519</v>
      </c>
      <c r="EM24" s="48">
        <f t="shared" ref="EM24:EM27" si="432">SUM(EK24:EL24)</f>
        <v>2649665</v>
      </c>
      <c r="EN24" s="47">
        <f t="shared" ref="EN24:EO24" si="433">EN15</f>
        <v>585162</v>
      </c>
      <c r="EO24" s="47">
        <f t="shared" si="433"/>
        <v>891852</v>
      </c>
      <c r="EP24" s="47">
        <f t="shared" ref="EP24:EP27" si="434">SUM(EN24:EO24)</f>
        <v>1477014</v>
      </c>
      <c r="EQ24" s="47">
        <f t="shared" ref="EQ24:ES24" si="435">EQ15</f>
        <v>593907</v>
      </c>
      <c r="ER24" s="47">
        <f t="shared" ref="ER24:ER27" si="436">SUM(EP24:EQ24)</f>
        <v>2070921</v>
      </c>
      <c r="ES24" s="47">
        <f t="shared" si="435"/>
        <v>1116297</v>
      </c>
      <c r="ET24" s="47">
        <f t="shared" ref="ET24:ET27" si="437">SUM(ER24:ES24)</f>
        <v>3187218</v>
      </c>
      <c r="EU24" s="7"/>
    </row>
    <row r="25" spans="1:153" ht="16.350000000000001" hidden="1" customHeight="1" outlineLevel="1">
      <c r="B25" s="49" t="s">
        <v>402</v>
      </c>
      <c r="C25" s="49" t="s">
        <v>515</v>
      </c>
      <c r="D25" s="5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383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2"/>
      <c r="CX25" s="24">
        <v>-74103.165889999989</v>
      </c>
      <c r="CY25" s="24">
        <v>-75763.632910000015</v>
      </c>
      <c r="CZ25" s="24">
        <f t="shared" ref="CZ25:DD27" si="438">SUM(CX25:CY25)</f>
        <v>-149866.79879999999</v>
      </c>
      <c r="DA25" s="24">
        <v>-75995.115479999993</v>
      </c>
      <c r="DB25" s="24">
        <f t="shared" ref="DB25:DB26" si="439">SUM(CZ25:DA25)</f>
        <v>-225861.91427999997</v>
      </c>
      <c r="DC25" s="24">
        <v>-74960.325799999977</v>
      </c>
      <c r="DD25" s="24">
        <f t="shared" ref="DD25:DD26" si="440">SUM(DB25:DC25)</f>
        <v>-300822.24007999996</v>
      </c>
      <c r="DE25" s="24">
        <v>-81911.143890000007</v>
      </c>
      <c r="DF25" s="24">
        <v>-78396.136810000011</v>
      </c>
      <c r="DG25" s="24">
        <f t="shared" ref="DG25:DG26" si="441">SUM(DE25:DF25)</f>
        <v>-160307.2807</v>
      </c>
      <c r="DH25" s="24">
        <v>-88468.738169999997</v>
      </c>
      <c r="DI25" s="24">
        <f t="shared" ref="DI25:DI26" si="442">SUM(DG25:DH25)</f>
        <v>-248776.01887</v>
      </c>
      <c r="DJ25" s="24">
        <v>-86237.840260000012</v>
      </c>
      <c r="DK25" s="24">
        <f t="shared" ref="DK25:DK26" si="443">SUM(DI25:DJ25)</f>
        <v>-335013.85913</v>
      </c>
      <c r="DL25" s="24">
        <v>-90834</v>
      </c>
      <c r="DM25" s="24">
        <v>-98492</v>
      </c>
      <c r="DN25" s="24">
        <f t="shared" ref="DN25:DN26" si="444">SUM(DL25:DM25)</f>
        <v>-189326</v>
      </c>
      <c r="DO25" s="24">
        <v>-98492</v>
      </c>
      <c r="DP25" s="24">
        <f t="shared" ref="DP25:DP27" si="445">SUM(DN25:DO25)</f>
        <v>-287818</v>
      </c>
      <c r="DQ25" s="24">
        <v>-119706</v>
      </c>
      <c r="DR25" s="24">
        <f t="shared" ref="DR25:DR26" si="446">SUM(DP25:DQ25)</f>
        <v>-407524</v>
      </c>
      <c r="DS25" s="24">
        <v>-120542</v>
      </c>
      <c r="DT25" s="24">
        <v>-127049</v>
      </c>
      <c r="DU25" s="24">
        <f t="shared" si="421"/>
        <v>-247591</v>
      </c>
      <c r="DV25" s="24">
        <v>-124403</v>
      </c>
      <c r="DW25" s="24">
        <f t="shared" si="422"/>
        <v>-371994</v>
      </c>
      <c r="DX25" s="24">
        <v>-122462</v>
      </c>
      <c r="DY25" s="24">
        <f t="shared" si="424"/>
        <v>-494456</v>
      </c>
      <c r="DZ25" s="24">
        <v>-119066</v>
      </c>
      <c r="EA25" s="24">
        <v>-105162</v>
      </c>
      <c r="EB25" s="24">
        <f t="shared" si="426"/>
        <v>-224228</v>
      </c>
      <c r="EC25" s="24">
        <v>-118116</v>
      </c>
      <c r="ED25" s="24">
        <f t="shared" si="427"/>
        <v>-342344</v>
      </c>
      <c r="EE25" s="24">
        <v>-122492</v>
      </c>
      <c r="EF25" s="24">
        <f t="shared" si="427"/>
        <v>-464836</v>
      </c>
      <c r="EG25" s="24">
        <v>-126996</v>
      </c>
      <c r="EH25" s="24">
        <v>-126199</v>
      </c>
      <c r="EI25" s="24">
        <f t="shared" si="429"/>
        <v>-253195</v>
      </c>
      <c r="EJ25" s="24">
        <v>-122318</v>
      </c>
      <c r="EK25" s="24">
        <f t="shared" si="431"/>
        <v>-375513</v>
      </c>
      <c r="EL25" s="24">
        <v>-128854</v>
      </c>
      <c r="EM25" s="50">
        <f t="shared" si="432"/>
        <v>-504367</v>
      </c>
      <c r="EN25" s="24">
        <v>-129083</v>
      </c>
      <c r="EO25" s="24">
        <v>-141104</v>
      </c>
      <c r="EP25" s="24">
        <f t="shared" si="434"/>
        <v>-270187</v>
      </c>
      <c r="EQ25" s="24">
        <v>-129643</v>
      </c>
      <c r="ER25" s="24">
        <f t="shared" si="436"/>
        <v>-399830</v>
      </c>
      <c r="ES25" s="24">
        <v>-129512</v>
      </c>
      <c r="ET25" s="24">
        <f t="shared" si="437"/>
        <v>-529342</v>
      </c>
      <c r="EU25" s="7"/>
    </row>
    <row r="26" spans="1:153" ht="16.350000000000001" hidden="1" customHeight="1" outlineLevel="1">
      <c r="B26" s="23" t="s">
        <v>403</v>
      </c>
      <c r="C26" s="23" t="s">
        <v>516</v>
      </c>
      <c r="D26" s="50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383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2"/>
      <c r="CX26" s="24">
        <v>-34781.285900000003</v>
      </c>
      <c r="CY26" s="24">
        <v>-34070.703299999994</v>
      </c>
      <c r="CZ26" s="24">
        <f t="shared" si="438"/>
        <v>-68851.989199999996</v>
      </c>
      <c r="DA26" s="24">
        <v>-33585.419399999992</v>
      </c>
      <c r="DB26" s="24">
        <f t="shared" si="439"/>
        <v>-102437.4086</v>
      </c>
      <c r="DC26" s="24">
        <v>-32361.522619999996</v>
      </c>
      <c r="DD26" s="24">
        <f t="shared" si="440"/>
        <v>-134798.93122</v>
      </c>
      <c r="DE26" s="24">
        <v>-31786.470379999999</v>
      </c>
      <c r="DF26" s="24">
        <v>-32658.08905000001</v>
      </c>
      <c r="DG26" s="24">
        <f t="shared" si="441"/>
        <v>-64444.559430000008</v>
      </c>
      <c r="DH26" s="24">
        <v>-37129.264700000007</v>
      </c>
      <c r="DI26" s="24">
        <f t="shared" si="442"/>
        <v>-101573.82413000002</v>
      </c>
      <c r="DJ26" s="24">
        <v>-34223.731449999992</v>
      </c>
      <c r="DK26" s="24">
        <f t="shared" si="443"/>
        <v>-135797.55558000001</v>
      </c>
      <c r="DL26" s="24">
        <v>-42909</v>
      </c>
      <c r="DM26" s="24">
        <v>-49769</v>
      </c>
      <c r="DN26" s="24">
        <f t="shared" si="444"/>
        <v>-92678</v>
      </c>
      <c r="DO26" s="24">
        <v>-49769</v>
      </c>
      <c r="DP26" s="24">
        <f t="shared" si="445"/>
        <v>-142447</v>
      </c>
      <c r="DQ26" s="24">
        <v>-56525</v>
      </c>
      <c r="DR26" s="24">
        <f t="shared" si="446"/>
        <v>-198972</v>
      </c>
      <c r="DS26" s="24">
        <v>-50142</v>
      </c>
      <c r="DT26" s="24">
        <v>-58430</v>
      </c>
      <c r="DU26" s="24">
        <f t="shared" si="421"/>
        <v>-108572</v>
      </c>
      <c r="DV26" s="24">
        <v>-56685</v>
      </c>
      <c r="DW26" s="24">
        <f t="shared" si="422"/>
        <v>-165257</v>
      </c>
      <c r="DX26" s="24">
        <v>-61850</v>
      </c>
      <c r="DY26" s="24">
        <f t="shared" si="424"/>
        <v>-227107</v>
      </c>
      <c r="DZ26" s="24">
        <v>-52238.416329999993</v>
      </c>
      <c r="EA26" s="24">
        <v>-59876.674330000009</v>
      </c>
      <c r="EB26" s="24">
        <f t="shared" si="426"/>
        <v>-112115.09066</v>
      </c>
      <c r="EC26" s="24">
        <v>-58766.387230000015</v>
      </c>
      <c r="ED26" s="24">
        <f t="shared" si="427"/>
        <v>-170881.47789000001</v>
      </c>
      <c r="EE26" s="24">
        <v>-68447.582960000014</v>
      </c>
      <c r="EF26" s="24">
        <f t="shared" si="427"/>
        <v>-239329.06085000001</v>
      </c>
      <c r="EG26" s="24">
        <v>-61674</v>
      </c>
      <c r="EH26" s="24">
        <v>-60963</v>
      </c>
      <c r="EI26" s="24">
        <f t="shared" si="429"/>
        <v>-122637</v>
      </c>
      <c r="EJ26" s="24">
        <v>-58024</v>
      </c>
      <c r="EK26" s="24">
        <f t="shared" si="431"/>
        <v>-180661</v>
      </c>
      <c r="EL26" s="24">
        <v>-63423</v>
      </c>
      <c r="EM26" s="50">
        <f t="shared" si="432"/>
        <v>-244084</v>
      </c>
      <c r="EN26" s="24">
        <v>-63091</v>
      </c>
      <c r="EO26" s="24">
        <v>-61985</v>
      </c>
      <c r="EP26" s="24">
        <f t="shared" si="434"/>
        <v>-125076</v>
      </c>
      <c r="EQ26" s="24">
        <v>-58195</v>
      </c>
      <c r="ER26" s="24">
        <f t="shared" si="436"/>
        <v>-183271</v>
      </c>
      <c r="ES26" s="24">
        <v>-61048</v>
      </c>
      <c r="ET26" s="24">
        <f t="shared" si="437"/>
        <v>-244319</v>
      </c>
      <c r="EU26" s="7"/>
    </row>
    <row r="27" spans="1:153" ht="16.350000000000001" hidden="1" customHeight="1" outlineLevel="1">
      <c r="B27" s="23" t="s">
        <v>2547</v>
      </c>
      <c r="C27" s="23" t="s">
        <v>2546</v>
      </c>
      <c r="D27" s="50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383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2"/>
      <c r="CX27" s="24">
        <v>0</v>
      </c>
      <c r="CY27" s="24">
        <v>0</v>
      </c>
      <c r="CZ27" s="24">
        <f t="shared" si="438"/>
        <v>0</v>
      </c>
      <c r="DA27" s="24">
        <v>0</v>
      </c>
      <c r="DB27" s="24">
        <f t="shared" si="438"/>
        <v>0</v>
      </c>
      <c r="DC27" s="24">
        <v>0</v>
      </c>
      <c r="DD27" s="24">
        <f t="shared" si="438"/>
        <v>0</v>
      </c>
      <c r="DE27" s="24">
        <v>0</v>
      </c>
      <c r="DF27" s="24">
        <v>0</v>
      </c>
      <c r="DG27" s="24">
        <f t="shared" ref="DG27" si="447">SUM(DE27:DF27)</f>
        <v>0</v>
      </c>
      <c r="DH27" s="24">
        <v>0</v>
      </c>
      <c r="DI27" s="24">
        <f t="shared" ref="DI27" si="448">SUM(DG27:DH27)</f>
        <v>0</v>
      </c>
      <c r="DJ27" s="24">
        <v>0</v>
      </c>
      <c r="DK27" s="24">
        <f t="shared" ref="DK27" si="449">SUM(DI27:DJ27)</f>
        <v>0</v>
      </c>
      <c r="DL27" s="24">
        <v>0</v>
      </c>
      <c r="DM27" s="24">
        <v>1029</v>
      </c>
      <c r="DN27" s="24">
        <f t="shared" ref="DN27" si="450">SUM(DL27:DM27)</f>
        <v>1029</v>
      </c>
      <c r="DO27" s="24">
        <v>1029</v>
      </c>
      <c r="DP27" s="24">
        <f t="shared" si="445"/>
        <v>2058</v>
      </c>
      <c r="DQ27" s="24">
        <v>3168</v>
      </c>
      <c r="DR27" s="24">
        <f t="shared" ref="DR27" si="451">SUM(DP27:DQ27)</f>
        <v>5226</v>
      </c>
      <c r="DS27" s="24">
        <v>3067</v>
      </c>
      <c r="DT27" s="24">
        <v>3011</v>
      </c>
      <c r="DU27" s="24">
        <f t="shared" si="421"/>
        <v>6078</v>
      </c>
      <c r="DV27" s="24">
        <v>2938</v>
      </c>
      <c r="DW27" s="24">
        <f t="shared" si="422"/>
        <v>9016</v>
      </c>
      <c r="DX27" s="24">
        <v>2854</v>
      </c>
      <c r="DY27" s="24">
        <f t="shared" si="424"/>
        <v>11870</v>
      </c>
      <c r="DZ27" s="24">
        <v>4153.8343599999998</v>
      </c>
      <c r="EA27" s="24">
        <v>6909.9844299999995</v>
      </c>
      <c r="EB27" s="24">
        <f t="shared" si="426"/>
        <v>11063.818789999999</v>
      </c>
      <c r="EC27" s="24">
        <v>9846.9373399999986</v>
      </c>
      <c r="ED27" s="24">
        <f t="shared" si="427"/>
        <v>20910.756129999998</v>
      </c>
      <c r="EE27" s="24">
        <v>9380.3191499999994</v>
      </c>
      <c r="EF27" s="24">
        <f t="shared" si="427"/>
        <v>30291.075279999997</v>
      </c>
      <c r="EG27" s="24">
        <v>8982</v>
      </c>
      <c r="EH27" s="24">
        <v>8695</v>
      </c>
      <c r="EI27" s="24">
        <f t="shared" si="429"/>
        <v>17677</v>
      </c>
      <c r="EJ27" s="24">
        <v>8441</v>
      </c>
      <c r="EK27" s="24">
        <f t="shared" si="431"/>
        <v>26118</v>
      </c>
      <c r="EL27" s="24">
        <v>9854</v>
      </c>
      <c r="EM27" s="50">
        <f t="shared" si="432"/>
        <v>35972</v>
      </c>
      <c r="EN27" s="24">
        <v>11522</v>
      </c>
      <c r="EO27" s="24">
        <v>24050</v>
      </c>
      <c r="EP27" s="24">
        <f t="shared" si="434"/>
        <v>35572</v>
      </c>
      <c r="EQ27" s="24">
        <v>12642</v>
      </c>
      <c r="ER27" s="24">
        <f t="shared" si="436"/>
        <v>48214</v>
      </c>
      <c r="ES27" s="24">
        <v>12399</v>
      </c>
      <c r="ET27" s="24">
        <f t="shared" si="437"/>
        <v>60613</v>
      </c>
      <c r="EU27" s="7"/>
    </row>
    <row r="28" spans="1:153" ht="16.350000000000001" hidden="1" customHeight="1" outlineLevel="1">
      <c r="B28" s="53" t="s">
        <v>404</v>
      </c>
      <c r="C28" s="53" t="s">
        <v>405</v>
      </c>
      <c r="D28" s="54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384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  <c r="BQ28" s="55"/>
      <c r="BR28" s="55"/>
      <c r="BS28" s="55"/>
      <c r="BT28" s="55"/>
      <c r="BU28" s="55"/>
      <c r="BV28" s="55"/>
      <c r="BW28" s="55"/>
      <c r="BX28" s="55"/>
      <c r="BY28" s="55"/>
      <c r="BZ28" s="55"/>
      <c r="CA28" s="55"/>
      <c r="CB28" s="55"/>
      <c r="CC28" s="55"/>
      <c r="CD28" s="55"/>
      <c r="CE28" s="55"/>
      <c r="CF28" s="55"/>
      <c r="CG28" s="55"/>
      <c r="CH28" s="55"/>
      <c r="CI28" s="55"/>
      <c r="CJ28" s="55"/>
      <c r="CK28" s="55"/>
      <c r="CL28" s="55"/>
      <c r="CM28" s="55"/>
      <c r="CN28" s="55"/>
      <c r="CO28" s="55"/>
      <c r="CP28" s="55"/>
      <c r="CQ28" s="55"/>
      <c r="CR28" s="55"/>
      <c r="CS28" s="55"/>
      <c r="CT28" s="55"/>
      <c r="CU28" s="55"/>
      <c r="CV28" s="55"/>
      <c r="CW28" s="56"/>
      <c r="CX28" s="57">
        <f>SUM(CX24:CX27)</f>
        <v>306776.54820999998</v>
      </c>
      <c r="CY28" s="57">
        <f t="shared" ref="CY28:DS28" si="452">SUM(CY24:CY27)</f>
        <v>434339.66378999996</v>
      </c>
      <c r="CZ28" s="57">
        <f t="shared" si="452"/>
        <v>741116.21200000006</v>
      </c>
      <c r="DA28" s="57">
        <f t="shared" si="452"/>
        <v>354785.46512000001</v>
      </c>
      <c r="DB28" s="57">
        <f t="shared" si="452"/>
        <v>1095901.6771200001</v>
      </c>
      <c r="DC28" s="57">
        <f t="shared" si="452"/>
        <v>857306.15158000006</v>
      </c>
      <c r="DD28" s="57">
        <f t="shared" si="452"/>
        <v>1953207.8287000002</v>
      </c>
      <c r="DE28" s="57">
        <f t="shared" si="452"/>
        <v>105029.38572999999</v>
      </c>
      <c r="DF28" s="57">
        <f t="shared" si="452"/>
        <v>506994.77413999994</v>
      </c>
      <c r="DG28" s="57">
        <f t="shared" si="452"/>
        <v>612024.15986999997</v>
      </c>
      <c r="DH28" s="57">
        <f t="shared" si="452"/>
        <v>-38249.002870000004</v>
      </c>
      <c r="DI28" s="57">
        <f t="shared" si="452"/>
        <v>573775.15699999989</v>
      </c>
      <c r="DJ28" s="57">
        <f t="shared" si="452"/>
        <v>616661.42829000007</v>
      </c>
      <c r="DK28" s="57">
        <f t="shared" si="452"/>
        <v>1190436.5852900001</v>
      </c>
      <c r="DL28" s="57">
        <f t="shared" si="452"/>
        <v>-101958</v>
      </c>
      <c r="DM28" s="57">
        <f t="shared" si="452"/>
        <v>329961</v>
      </c>
      <c r="DN28" s="57">
        <f t="shared" si="452"/>
        <v>228003</v>
      </c>
      <c r="DO28" s="57">
        <f t="shared" ref="DO28:DP28" si="453">SUM(DO24:DO27)</f>
        <v>290264</v>
      </c>
      <c r="DP28" s="57">
        <f t="shared" si="453"/>
        <v>518267</v>
      </c>
      <c r="DQ28" s="57">
        <f t="shared" si="452"/>
        <v>602533</v>
      </c>
      <c r="DR28" s="57">
        <f>SUM(DR24:DR27)</f>
        <v>1120800</v>
      </c>
      <c r="DS28" s="57">
        <f t="shared" si="452"/>
        <v>215629.08999999997</v>
      </c>
      <c r="DT28" s="57">
        <f t="shared" ref="DT28:DU28" si="454">SUM(DT24:DT27)</f>
        <v>519164</v>
      </c>
      <c r="DU28" s="57">
        <f t="shared" si="454"/>
        <v>734793.08999999985</v>
      </c>
      <c r="DV28" s="57">
        <f t="shared" ref="DV28:DW28" si="455">SUM(DV24:DV27)</f>
        <v>281379</v>
      </c>
      <c r="DW28" s="57">
        <f t="shared" si="455"/>
        <v>1016172.0899999999</v>
      </c>
      <c r="DX28" s="57">
        <f t="shared" ref="DX28:DZ28" si="456">SUM(DX24:DX27)</f>
        <v>737171</v>
      </c>
      <c r="DY28" s="57">
        <f t="shared" si="456"/>
        <v>1753343.0899999999</v>
      </c>
      <c r="DZ28" s="57">
        <f t="shared" si="456"/>
        <v>84629.418030000001</v>
      </c>
      <c r="EA28" s="57">
        <f t="shared" ref="EA28:EB28" si="457">SUM(EA24:EA27)</f>
        <v>323472.3101</v>
      </c>
      <c r="EB28" s="57">
        <f t="shared" si="457"/>
        <v>408101.72813</v>
      </c>
      <c r="EC28" s="57">
        <f t="shared" ref="EC28:ED28" si="458">SUM(EC24:EC27)</f>
        <v>195541.55010999998</v>
      </c>
      <c r="ED28" s="57">
        <f t="shared" si="458"/>
        <v>603643.27824000001</v>
      </c>
      <c r="EE28" s="57">
        <f t="shared" ref="EE28:EI28" si="459">SUM(EE24:EE27)</f>
        <v>826103.73618999997</v>
      </c>
      <c r="EF28" s="57">
        <f t="shared" si="459"/>
        <v>1429747.01443</v>
      </c>
      <c r="EG28" s="57">
        <f t="shared" si="459"/>
        <v>198217</v>
      </c>
      <c r="EH28" s="57">
        <f t="shared" si="459"/>
        <v>492018</v>
      </c>
      <c r="EI28" s="57">
        <f t="shared" si="459"/>
        <v>690235</v>
      </c>
      <c r="EJ28" s="57">
        <f t="shared" ref="EJ28:EK28" si="460">SUM(EJ24:EJ27)</f>
        <v>404855</v>
      </c>
      <c r="EK28" s="57">
        <f t="shared" si="460"/>
        <v>1095090</v>
      </c>
      <c r="EL28" s="57">
        <f t="shared" ref="EL28:EP28" si="461">SUM(EL24:EL27)</f>
        <v>842096</v>
      </c>
      <c r="EM28" s="58">
        <f t="shared" si="461"/>
        <v>1937186</v>
      </c>
      <c r="EN28" s="57">
        <f t="shared" si="461"/>
        <v>404510</v>
      </c>
      <c r="EO28" s="57">
        <f t="shared" si="461"/>
        <v>712813</v>
      </c>
      <c r="EP28" s="57">
        <f t="shared" si="461"/>
        <v>1117323</v>
      </c>
      <c r="EQ28" s="57">
        <f t="shared" ref="EQ28:ER28" si="462">SUM(EQ24:EQ27)</f>
        <v>418711</v>
      </c>
      <c r="ER28" s="57">
        <f t="shared" si="462"/>
        <v>1536034</v>
      </c>
      <c r="ES28" s="57">
        <f t="shared" ref="ES28:ET28" si="463">SUM(ES24:ES27)</f>
        <v>938136</v>
      </c>
      <c r="ET28" s="57">
        <f t="shared" si="463"/>
        <v>2474170</v>
      </c>
      <c r="EU28" s="7"/>
    </row>
    <row r="29" spans="1:153" ht="16.350000000000001" hidden="1" customHeight="1" outlineLevel="1">
      <c r="A29" s="18"/>
      <c r="B29" s="28" t="s">
        <v>399</v>
      </c>
      <c r="C29" s="28" t="s">
        <v>400</v>
      </c>
      <c r="D29" s="59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78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33"/>
      <c r="BJ29" s="33"/>
      <c r="BK29" s="33"/>
      <c r="BL29" s="33"/>
      <c r="BM29" s="33"/>
      <c r="BN29" s="33"/>
      <c r="BO29" s="33"/>
      <c r="BP29" s="33"/>
      <c r="BQ29" s="33"/>
      <c r="BR29" s="33"/>
      <c r="BS29" s="33"/>
      <c r="BT29" s="33"/>
      <c r="BU29" s="33"/>
      <c r="BV29" s="33"/>
      <c r="BW29" s="33"/>
      <c r="BX29" s="33"/>
      <c r="BY29" s="33"/>
      <c r="BZ29" s="33"/>
      <c r="CA29" s="33"/>
      <c r="CB29" s="33"/>
      <c r="CC29" s="33"/>
      <c r="CD29" s="33"/>
      <c r="CE29" s="33"/>
      <c r="CF29" s="33"/>
      <c r="CG29" s="33"/>
      <c r="CH29" s="33"/>
      <c r="CI29" s="33"/>
      <c r="CJ29" s="33"/>
      <c r="CK29" s="33"/>
      <c r="CL29" s="33"/>
      <c r="CM29" s="33"/>
      <c r="CN29" s="33"/>
      <c r="CO29" s="33"/>
      <c r="CP29" s="33"/>
      <c r="CQ29" s="33"/>
      <c r="CR29" s="33"/>
      <c r="CS29" s="33"/>
      <c r="CT29" s="33"/>
      <c r="CU29" s="33"/>
      <c r="CV29" s="33"/>
      <c r="CW29" s="60"/>
      <c r="CX29" s="29">
        <f>CX28/'Income Statement'!CX14</f>
        <v>0.18588721467797181</v>
      </c>
      <c r="CY29" s="29">
        <f>CY28/'Income Statement'!CY14</f>
        <v>0.21508629099413976</v>
      </c>
      <c r="CZ29" s="29">
        <f>CZ28/'Income Statement'!CZ14</f>
        <v>0.20195492560585834</v>
      </c>
      <c r="DA29" s="29">
        <f>DA28/'Income Statement'!DA14</f>
        <v>0.18364359318482509</v>
      </c>
      <c r="DB29" s="29">
        <f>DB28/'Income Statement'!DB14</f>
        <v>0.19563960827865437</v>
      </c>
      <c r="DC29" s="29">
        <f>DC28/'Income Statement'!DC14</f>
        <v>0.29839500336575175</v>
      </c>
      <c r="DD29" s="29">
        <f>DD28/'Income Statement'!DD14</f>
        <v>0.23047534921913987</v>
      </c>
      <c r="DE29" s="29">
        <f>DE28/'Income Statement'!DE14</f>
        <v>6.775302592602149E-2</v>
      </c>
      <c r="DF29" s="29">
        <f>DF28/'Income Statement'!DF14</f>
        <v>0.93951251239724543</v>
      </c>
      <c r="DG29" s="29">
        <f>DG28/'Income Statement'!DG14</f>
        <v>0.2928603091707595</v>
      </c>
      <c r="DH29" s="29">
        <f>DH28/'Income Statement'!DH14</f>
        <v>-2.3164409134706521E-2</v>
      </c>
      <c r="DI29" s="29">
        <f>DI28/'Income Statement'!DI14</f>
        <v>0.1533742750960769</v>
      </c>
      <c r="DJ29" s="29">
        <f>DJ28/'Income Statement'!DJ14</f>
        <v>0.21121739259504352</v>
      </c>
      <c r="DK29" s="29">
        <f>DK28/'Income Statement'!DK14</f>
        <v>0.17872890857105195</v>
      </c>
      <c r="DL29" s="29">
        <f>DL28/'Income Statement'!DL14</f>
        <v>-7.4726421614506419E-2</v>
      </c>
      <c r="DM29" s="29">
        <f>DM28/'Income Statement'!DM14</f>
        <v>0.14608292115371332</v>
      </c>
      <c r="DN29" s="29">
        <f>DN28/'Income Statement'!DN14</f>
        <v>6.2929651371558551E-2</v>
      </c>
      <c r="DO29" s="29">
        <f>DO28/'Income Statement'!DO14</f>
        <v>0.12237966264052429</v>
      </c>
      <c r="DP29" s="29">
        <f>DP28/'Income Statement'!DP14</f>
        <v>8.6450264246394432E-2</v>
      </c>
      <c r="DQ29" s="29">
        <f>DQ28/'Income Statement'!DQ14</f>
        <v>0.16922897603118697</v>
      </c>
      <c r="DR29" s="30">
        <f>DR28/'Income Statement'!DR14</f>
        <v>0.11729452762632525</v>
      </c>
      <c r="DS29" s="30">
        <f>DS28/'Income Statement'!DS14</f>
        <v>9.6709187254587561E-2</v>
      </c>
      <c r="DT29" s="30">
        <f>DT28/'Income Statement'!DT14</f>
        <v>0.16347780962331371</v>
      </c>
      <c r="DU29" s="30">
        <f>DU28/'Income Statement'!DU14</f>
        <v>0.13593658095563868</v>
      </c>
      <c r="DV29" s="30">
        <f>DV28/'Income Statement'!DV14</f>
        <v>0.1075804782297676</v>
      </c>
      <c r="DW29" s="30">
        <f>DW28/'Income Statement'!DW14</f>
        <v>0.12669002679489114</v>
      </c>
      <c r="DX29" s="30">
        <f>DX28/'Income Statement'!DX14</f>
        <v>0.20736967715220611</v>
      </c>
      <c r="DY29" s="30">
        <f>DY28/'Income Statement'!DY14</f>
        <v>0.15146630866680788</v>
      </c>
      <c r="DZ29" s="30">
        <f>DZ28/'Income Statement'!DZ14</f>
        <v>3.7150770491997581E-2</v>
      </c>
      <c r="EA29" s="30">
        <f>EA28/'Income Statement'!EA14</f>
        <v>0.1083548978931459</v>
      </c>
      <c r="EB29" s="30">
        <f>EB28/'Income Statement'!EB14</f>
        <v>7.7537190644353937E-2</v>
      </c>
      <c r="EC29" s="30">
        <f>EC28/'Income Statement'!EC14</f>
        <v>7.417818179921444E-2</v>
      </c>
      <c r="ED29" s="30">
        <f>ED28/'Income Statement'!ED14</f>
        <v>7.6416258259320413E-2</v>
      </c>
      <c r="EE29" s="30">
        <f>EE28/'Income Statement'!EE14</f>
        <v>0.21699992361038326</v>
      </c>
      <c r="EF29" s="30">
        <f>EF28/'Income Statement'!EF14</f>
        <v>0.12213441728413833</v>
      </c>
      <c r="EG29" s="30">
        <f>EG28/'Income Statement'!EG14</f>
        <v>8.0533588808497633E-2</v>
      </c>
      <c r="EH29" s="30">
        <f>EH28/'Income Statement'!EH14</f>
        <v>0.15975009764854511</v>
      </c>
      <c r="EI29" s="30">
        <f>EI28/'Income Statement'!EI14</f>
        <v>0.12456374671349391</v>
      </c>
      <c r="EJ29" s="30">
        <f>EJ28/'Income Statement'!EJ14</f>
        <v>0.13696264350706641</v>
      </c>
      <c r="EK29" s="30">
        <f>EK28/'Income Statement'!EK14</f>
        <v>0.1288770109487028</v>
      </c>
      <c r="EL29" s="30">
        <f>EL28/'Income Statement'!EL14</f>
        <v>0.20171031807911269</v>
      </c>
      <c r="EM29" s="61">
        <f>EM28/'Income Statement'!EM14</f>
        <v>0.15287197313752027</v>
      </c>
      <c r="EN29" s="30">
        <f>EN28/'Income Statement'!EN14</f>
        <v>0.14672958894966701</v>
      </c>
      <c r="EO29" s="30">
        <f>EO28/'Income Statement'!EO14</f>
        <v>0.19530894445496291</v>
      </c>
      <c r="EP29" s="30">
        <f>EP28/'Income Statement'!EP14</f>
        <v>0.17440434408193292</v>
      </c>
      <c r="EQ29" s="30">
        <f>EQ28/'Income Statement'!EQ14</f>
        <v>0.13598270171401253</v>
      </c>
      <c r="ER29" s="30">
        <f>ER28/'Income Statement'!ER14</f>
        <v>0.16193225604380845</v>
      </c>
      <c r="ES29" s="30">
        <f>ES28/'Income Statement'!ES14</f>
        <v>0.21553848550334725</v>
      </c>
      <c r="ET29" s="30">
        <f>ET28/'Income Statement'!ET14</f>
        <v>0.17879302046945481</v>
      </c>
      <c r="EU29" s="7"/>
    </row>
    <row r="30" spans="1:153" ht="16.350000000000001" hidden="1" customHeight="1" outlineLevel="1">
      <c r="A30" s="18"/>
      <c r="B30" s="31"/>
      <c r="C30" s="31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78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  <c r="CC30" s="32"/>
      <c r="CD30" s="32"/>
      <c r="CE30" s="32"/>
      <c r="CF30" s="32"/>
      <c r="CG30" s="32"/>
      <c r="CH30" s="32"/>
      <c r="CI30" s="33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2"/>
      <c r="DA30" s="32"/>
      <c r="DB30" s="32"/>
      <c r="DC30" s="32"/>
      <c r="DD30" s="32"/>
      <c r="DE30" s="32"/>
      <c r="DF30" s="32"/>
      <c r="DG30" s="32"/>
      <c r="DH30" s="32"/>
      <c r="DI30" s="32"/>
      <c r="DJ30" s="32"/>
      <c r="DK30" s="32"/>
      <c r="DL30" s="32"/>
      <c r="DM30" s="32"/>
      <c r="DN30" s="32"/>
      <c r="DO30" s="33"/>
      <c r="DP30" s="33"/>
      <c r="DQ30" s="32"/>
      <c r="DR30" s="33"/>
      <c r="DS30" s="33"/>
      <c r="DT30" s="33"/>
      <c r="DU30" s="33"/>
      <c r="DV30" s="33"/>
      <c r="DW30" s="33"/>
      <c r="DX30" s="33"/>
      <c r="DY30" s="33"/>
      <c r="DZ30" s="33"/>
      <c r="EA30" s="33"/>
      <c r="EB30" s="33"/>
      <c r="EC30" s="33"/>
      <c r="ED30" s="33"/>
      <c r="EE30" s="33"/>
      <c r="EF30" s="33"/>
      <c r="EG30" s="33"/>
      <c r="EH30" s="33"/>
      <c r="EI30" s="33"/>
      <c r="EJ30" s="33"/>
      <c r="EK30" s="33"/>
      <c r="EL30" s="33"/>
      <c r="EM30" s="33"/>
      <c r="EN30" s="33"/>
      <c r="EO30" s="33"/>
      <c r="EP30" s="33"/>
      <c r="EQ30" s="33"/>
      <c r="ER30" s="33"/>
      <c r="ES30" s="33"/>
      <c r="ET30" s="33"/>
      <c r="EU30" s="7"/>
    </row>
    <row r="31" spans="1:153" ht="16.350000000000001" hidden="1" customHeight="1" outlineLevel="1">
      <c r="B31" s="43" t="s">
        <v>406</v>
      </c>
      <c r="C31" s="43" t="s">
        <v>409</v>
      </c>
      <c r="D31" s="62">
        <f>D18</f>
        <v>21401</v>
      </c>
      <c r="E31" s="62">
        <f t="shared" ref="E31:BP31" si="464">E18</f>
        <v>37764</v>
      </c>
      <c r="F31" s="62">
        <f t="shared" si="464"/>
        <v>59165</v>
      </c>
      <c r="G31" s="62">
        <f t="shared" si="464"/>
        <v>6686</v>
      </c>
      <c r="H31" s="62">
        <f t="shared" si="464"/>
        <v>65851</v>
      </c>
      <c r="I31" s="62">
        <f t="shared" si="464"/>
        <v>60859</v>
      </c>
      <c r="J31" s="62">
        <f t="shared" si="464"/>
        <v>126710</v>
      </c>
      <c r="K31" s="62">
        <f t="shared" si="464"/>
        <v>29752</v>
      </c>
      <c r="L31" s="62">
        <f t="shared" si="464"/>
        <v>45019</v>
      </c>
      <c r="M31" s="62">
        <f t="shared" si="464"/>
        <v>74771</v>
      </c>
      <c r="N31" s="62">
        <f t="shared" si="464"/>
        <v>33079</v>
      </c>
      <c r="O31" s="62">
        <f t="shared" si="464"/>
        <v>107850</v>
      </c>
      <c r="P31" s="62">
        <f t="shared" si="464"/>
        <v>68925</v>
      </c>
      <c r="Q31" s="62">
        <f t="shared" si="464"/>
        <v>176775</v>
      </c>
      <c r="R31" s="62">
        <f t="shared" si="464"/>
        <v>38858</v>
      </c>
      <c r="S31" s="62">
        <f t="shared" si="464"/>
        <v>75234</v>
      </c>
      <c r="T31" s="62">
        <f t="shared" si="464"/>
        <v>114092</v>
      </c>
      <c r="U31" s="62">
        <f t="shared" si="464"/>
        <v>69729</v>
      </c>
      <c r="V31" s="62">
        <f t="shared" si="464"/>
        <v>183821</v>
      </c>
      <c r="W31" s="62">
        <f t="shared" si="464"/>
        <v>101404</v>
      </c>
      <c r="X31" s="62">
        <f t="shared" si="464"/>
        <v>285225</v>
      </c>
      <c r="Y31" s="62">
        <f t="shared" si="464"/>
        <v>70167.514999999999</v>
      </c>
      <c r="Z31" s="62">
        <f t="shared" si="464"/>
        <v>74072</v>
      </c>
      <c r="AA31" s="62">
        <f t="shared" si="464"/>
        <v>144239.51500000001</v>
      </c>
      <c r="AB31" s="385">
        <f t="shared" ref="AB31:AC31" si="465">AB18</f>
        <v>50117</v>
      </c>
      <c r="AC31" s="62">
        <f t="shared" si="465"/>
        <v>194356.51500000001</v>
      </c>
      <c r="AD31" s="62">
        <f t="shared" si="464"/>
        <v>89585</v>
      </c>
      <c r="AE31" s="62">
        <f t="shared" si="464"/>
        <v>283941.51500000001</v>
      </c>
      <c r="AF31" s="62">
        <f t="shared" si="464"/>
        <v>18036.279695342848</v>
      </c>
      <c r="AG31" s="62">
        <f t="shared" si="464"/>
        <v>84426.940966587921</v>
      </c>
      <c r="AH31" s="62">
        <f t="shared" si="464"/>
        <v>102463.22066193077</v>
      </c>
      <c r="AI31" s="62">
        <f t="shared" si="464"/>
        <v>49019.640550408512</v>
      </c>
      <c r="AJ31" s="62">
        <f t="shared" si="464"/>
        <v>151482.86121233928</v>
      </c>
      <c r="AK31" s="62">
        <f t="shared" si="464"/>
        <v>136849.46446145535</v>
      </c>
      <c r="AL31" s="62">
        <f t="shared" si="464"/>
        <v>288332.32567379461</v>
      </c>
      <c r="AM31" s="62">
        <f t="shared" si="464"/>
        <v>46789</v>
      </c>
      <c r="AN31" s="62">
        <f t="shared" si="464"/>
        <v>127767</v>
      </c>
      <c r="AO31" s="62">
        <f t="shared" si="464"/>
        <v>174556</v>
      </c>
      <c r="AP31" s="62">
        <f t="shared" si="464"/>
        <v>64754</v>
      </c>
      <c r="AQ31" s="62">
        <f t="shared" si="464"/>
        <v>239310</v>
      </c>
      <c r="AR31" s="62">
        <f t="shared" si="464"/>
        <v>144767</v>
      </c>
      <c r="AS31" s="62">
        <f t="shared" si="464"/>
        <v>384075</v>
      </c>
      <c r="AT31" s="62">
        <f t="shared" si="464"/>
        <v>46692</v>
      </c>
      <c r="AU31" s="62">
        <f t="shared" si="464"/>
        <v>147520</v>
      </c>
      <c r="AV31" s="62">
        <f t="shared" si="464"/>
        <v>194212</v>
      </c>
      <c r="AW31" s="62">
        <f t="shared" si="464"/>
        <v>71273.506239999973</v>
      </c>
      <c r="AX31" s="62">
        <f t="shared" si="464"/>
        <v>421633.50624000002</v>
      </c>
      <c r="AY31" s="62">
        <f t="shared" si="464"/>
        <v>202069</v>
      </c>
      <c r="AZ31" s="62">
        <f t="shared" si="464"/>
        <v>510708.50623999996</v>
      </c>
      <c r="BA31" s="62">
        <f t="shared" si="464"/>
        <v>42684</v>
      </c>
      <c r="BB31" s="62">
        <f t="shared" si="464"/>
        <v>158139</v>
      </c>
      <c r="BC31" s="62">
        <f t="shared" si="464"/>
        <v>200823</v>
      </c>
      <c r="BD31" s="62">
        <f t="shared" si="464"/>
        <v>115928</v>
      </c>
      <c r="BE31" s="62">
        <f t="shared" si="464"/>
        <v>328192</v>
      </c>
      <c r="BF31" s="62">
        <f t="shared" si="464"/>
        <v>259570</v>
      </c>
      <c r="BG31" s="62">
        <f t="shared" si="464"/>
        <v>565973</v>
      </c>
      <c r="BH31" s="62">
        <f t="shared" si="464"/>
        <v>42402</v>
      </c>
      <c r="BI31" s="62">
        <f t="shared" si="464"/>
        <v>160677</v>
      </c>
      <c r="BJ31" s="62">
        <f t="shared" si="464"/>
        <v>203079</v>
      </c>
      <c r="BK31" s="62">
        <f t="shared" si="464"/>
        <v>109607.7</v>
      </c>
      <c r="BL31" s="62">
        <f t="shared" si="464"/>
        <v>312686.7</v>
      </c>
      <c r="BM31" s="62">
        <f t="shared" si="464"/>
        <v>350592.60000000003</v>
      </c>
      <c r="BN31" s="62">
        <f t="shared" si="464"/>
        <v>663279.89999999991</v>
      </c>
      <c r="BO31" s="62">
        <f t="shared" si="464"/>
        <v>73643.680000000008</v>
      </c>
      <c r="BP31" s="62">
        <f t="shared" si="464"/>
        <v>195713</v>
      </c>
      <c r="BQ31" s="62">
        <f t="shared" ref="BQ31:CW31" si="466">BQ18</f>
        <v>269356.68</v>
      </c>
      <c r="BR31" s="62">
        <f t="shared" si="466"/>
        <v>142659.41999999998</v>
      </c>
      <c r="BS31" s="62">
        <f t="shared" si="466"/>
        <v>412016.1</v>
      </c>
      <c r="BT31" s="62">
        <f t="shared" si="466"/>
        <v>423558.03599999996</v>
      </c>
      <c r="BU31" s="62">
        <f t="shared" si="466"/>
        <v>835574.13599999971</v>
      </c>
      <c r="BV31" s="62">
        <f t="shared" si="466"/>
        <v>130700.85941000011</v>
      </c>
      <c r="BW31" s="62">
        <f t="shared" si="466"/>
        <v>272187.03842999996</v>
      </c>
      <c r="BX31" s="62">
        <f t="shared" si="466"/>
        <v>402887.89784000005</v>
      </c>
      <c r="BY31" s="62">
        <f t="shared" si="466"/>
        <v>182658.66151000001</v>
      </c>
      <c r="BZ31" s="62">
        <f t="shared" si="466"/>
        <v>585546.55935</v>
      </c>
      <c r="CA31" s="62">
        <f t="shared" si="466"/>
        <v>453226.58094037796</v>
      </c>
      <c r="CB31" s="62">
        <f t="shared" si="466"/>
        <v>1038775.2222932003</v>
      </c>
      <c r="CC31" s="62">
        <f t="shared" si="466"/>
        <v>116963</v>
      </c>
      <c r="CD31" s="62">
        <f t="shared" si="466"/>
        <v>301829</v>
      </c>
      <c r="CE31" s="62">
        <f t="shared" si="466"/>
        <v>418792</v>
      </c>
      <c r="CF31" s="62">
        <f t="shared" si="466"/>
        <v>164175</v>
      </c>
      <c r="CG31" s="62">
        <f t="shared" si="466"/>
        <v>582967</v>
      </c>
      <c r="CH31" s="62">
        <f t="shared" si="466"/>
        <v>504874</v>
      </c>
      <c r="CI31" s="62">
        <f t="shared" ref="CI31" si="467">CI18</f>
        <v>1087844</v>
      </c>
      <c r="CJ31" s="62">
        <f t="shared" si="466"/>
        <v>111384</v>
      </c>
      <c r="CK31" s="62">
        <f t="shared" si="466"/>
        <v>303746</v>
      </c>
      <c r="CL31" s="62">
        <f t="shared" si="466"/>
        <v>415130</v>
      </c>
      <c r="CM31" s="62">
        <f t="shared" si="466"/>
        <v>201416.53417</v>
      </c>
      <c r="CN31" s="62">
        <f t="shared" si="466"/>
        <v>616546.53417</v>
      </c>
      <c r="CO31" s="62">
        <f t="shared" si="466"/>
        <v>527691.17093999998</v>
      </c>
      <c r="CP31" s="62">
        <f t="shared" si="466"/>
        <v>1144237.70511</v>
      </c>
      <c r="CQ31" s="62">
        <f t="shared" si="466"/>
        <v>146724</v>
      </c>
      <c r="CR31" s="62">
        <f t="shared" si="466"/>
        <v>352880</v>
      </c>
      <c r="CS31" s="62">
        <f t="shared" si="466"/>
        <v>499604</v>
      </c>
      <c r="CT31" s="62">
        <f t="shared" si="466"/>
        <v>260342.6432599999</v>
      </c>
      <c r="CU31" s="62">
        <f t="shared" si="466"/>
        <v>759946.64325999981</v>
      </c>
      <c r="CV31" s="62">
        <f t="shared" si="466"/>
        <v>663941.21852999949</v>
      </c>
      <c r="CW31" s="62">
        <f t="shared" si="466"/>
        <v>1423887.8617899995</v>
      </c>
      <c r="CX31" s="62">
        <f>CX28-CX33</f>
        <v>209061.01402999996</v>
      </c>
      <c r="CY31" s="62">
        <f>CY28-CY33</f>
        <v>343284.73408999993</v>
      </c>
      <c r="CZ31" s="62">
        <f t="shared" ref="CZ31:CZ33" si="468">SUM(CX31:CY31)</f>
        <v>552345.74811999989</v>
      </c>
      <c r="DA31" s="62">
        <f>DA28-DA33</f>
        <v>251550.05848999997</v>
      </c>
      <c r="DB31" s="62">
        <f t="shared" ref="DB31:DB33" si="469">SUM(CZ31:DA31)</f>
        <v>803895.80660999985</v>
      </c>
      <c r="DC31" s="62">
        <f>DC28-DC33</f>
        <v>757897.34762257012</v>
      </c>
      <c r="DD31" s="62">
        <f t="shared" ref="DD31:DD33" si="470">SUM(DB31:DC31)</f>
        <v>1561793.15423257</v>
      </c>
      <c r="DE31" s="62">
        <f>DE28-DE33</f>
        <v>84364.875729999985</v>
      </c>
      <c r="DF31" s="62">
        <f>DF28-DF33</f>
        <v>454187.72283999994</v>
      </c>
      <c r="DG31" s="62">
        <f t="shared" ref="DG31" si="471">SUM(DE31:DF31)</f>
        <v>538552.59856999991</v>
      </c>
      <c r="DH31" s="62">
        <f>DH28-DH33</f>
        <v>12908.010860000002</v>
      </c>
      <c r="DI31" s="62">
        <f t="shared" ref="DI31" si="472">SUM(DG31:DH31)</f>
        <v>551460.60942999995</v>
      </c>
      <c r="DJ31" s="62">
        <f>DJ28-DJ33</f>
        <v>557062.61280000012</v>
      </c>
      <c r="DK31" s="62">
        <f t="shared" ref="DK31" si="473">SUM(DI31:DJ31)</f>
        <v>1108523.22223</v>
      </c>
      <c r="DL31" s="62">
        <f>DL28-DL33</f>
        <v>-171289.44769</v>
      </c>
      <c r="DM31" s="62">
        <f>DM28-DM33</f>
        <v>278427.94003</v>
      </c>
      <c r="DN31" s="62">
        <f t="shared" ref="DN31:DN33" si="474">SUM(DL31:DM31)</f>
        <v>107138.49234</v>
      </c>
      <c r="DO31" s="62">
        <f>DO28-DO33</f>
        <v>238730.94003</v>
      </c>
      <c r="DP31" s="62">
        <f t="shared" ref="DP31" si="475">SUM(DN31:DO31)</f>
        <v>345869.43236999999</v>
      </c>
      <c r="DQ31" s="62">
        <f>DQ28-DQ33</f>
        <v>551344.50520000001</v>
      </c>
      <c r="DR31" s="62">
        <f t="shared" ref="DR31:DR33" si="476">SUM(DP31:DQ31)</f>
        <v>897213.93757000007</v>
      </c>
      <c r="DS31" s="62">
        <f>DS28-DS33</f>
        <v>130818.29829999997</v>
      </c>
      <c r="DT31" s="62">
        <f>DT28-DT33</f>
        <v>507639.12863000005</v>
      </c>
      <c r="DU31" s="62">
        <f t="shared" ref="DU31" si="477">SUM(DS31:DT31)</f>
        <v>638457.42693000007</v>
      </c>
      <c r="DV31" s="62">
        <f>DV28-DV33</f>
        <v>262753.36527999997</v>
      </c>
      <c r="DW31" s="62">
        <f t="shared" ref="DW31" si="478">SUM(DU31:DV31)</f>
        <v>901210.7922100001</v>
      </c>
      <c r="DX31" s="62">
        <f>DX28-DX33</f>
        <v>772218.31787000003</v>
      </c>
      <c r="DY31" s="62">
        <f t="shared" ref="DY31" si="479">SUM(DW31:DX31)</f>
        <v>1673429.11008</v>
      </c>
      <c r="DZ31" s="62">
        <f t="shared" ref="DZ31" si="480">DZ28-DZ33</f>
        <v>95346.205000000075</v>
      </c>
      <c r="EA31" s="62">
        <f>EA28-EA33</f>
        <v>377560.90905999998</v>
      </c>
      <c r="EB31" s="62">
        <f t="shared" ref="EB31" si="481">SUM(DZ31:EA31)</f>
        <v>472907.11406000005</v>
      </c>
      <c r="EC31" s="62">
        <f>EC28-EC33</f>
        <v>230333.55010999998</v>
      </c>
      <c r="ED31" s="62">
        <f t="shared" ref="ED31:EF31" si="482">SUM(EB31:EC31)</f>
        <v>703240.66417</v>
      </c>
      <c r="EE31" s="62">
        <f>EE28-EE33</f>
        <v>823246.72993999987</v>
      </c>
      <c r="EF31" s="62">
        <f t="shared" si="482"/>
        <v>1526487.3941099998</v>
      </c>
      <c r="EG31" s="62">
        <f t="shared" ref="EG31" si="483">EG28-EG33</f>
        <v>185160</v>
      </c>
      <c r="EH31" s="62">
        <f>EH28-EH33</f>
        <v>457602</v>
      </c>
      <c r="EI31" s="62">
        <f t="shared" ref="EI31" si="484">SUM(EG31:EH31)</f>
        <v>642762</v>
      </c>
      <c r="EJ31" s="62">
        <f>EJ28-EJ33</f>
        <v>345803</v>
      </c>
      <c r="EK31" s="62">
        <f t="shared" ref="EK31" si="485">SUM(EI31:EJ31)</f>
        <v>988565</v>
      </c>
      <c r="EL31" s="62">
        <f>EL28-EL33</f>
        <v>780714</v>
      </c>
      <c r="EM31" s="63">
        <f t="shared" ref="EM31" si="486">SUM(EK31:EL31)</f>
        <v>1769279</v>
      </c>
      <c r="EN31" s="62">
        <f t="shared" ref="EN31" si="487">EN28-EN33</f>
        <v>214045.86928000007</v>
      </c>
      <c r="EO31" s="62">
        <f>EO28-EO33</f>
        <v>594360.38815000001</v>
      </c>
      <c r="EP31" s="62">
        <f t="shared" ref="EP31" si="488">SUM(EN31:EO31)</f>
        <v>808406.25743000011</v>
      </c>
      <c r="EQ31" s="62">
        <f>EQ28-EQ33</f>
        <v>338899.12233000004</v>
      </c>
      <c r="ER31" s="62">
        <f t="shared" ref="ER31" si="489">SUM(EP31:EQ31)</f>
        <v>1147305.3797600002</v>
      </c>
      <c r="ES31" s="62">
        <f>ES28-ES33</f>
        <v>874492</v>
      </c>
      <c r="ET31" s="62">
        <f t="shared" ref="ET31" si="490">SUM(ER31:ES31)</f>
        <v>2021797.3797600002</v>
      </c>
      <c r="EU31" s="7"/>
    </row>
    <row r="32" spans="1:153" ht="16.350000000000001" hidden="1" customHeight="1" outlineLevel="1">
      <c r="B32" s="37" t="s">
        <v>399</v>
      </c>
      <c r="C32" s="37" t="s">
        <v>400</v>
      </c>
      <c r="D32" s="38">
        <f>D31/'Income Statement'!D14</f>
        <v>0.10807930832474799</v>
      </c>
      <c r="E32" s="38">
        <f>E31/'Income Statement'!E14</f>
        <v>0.13528307564446101</v>
      </c>
      <c r="F32" s="38">
        <f>F31/'Income Statement'!F14</f>
        <v>0.12399404811803169</v>
      </c>
      <c r="G32" s="38">
        <f>G31/'Income Statement'!G14</f>
        <v>2.6177211026846715E-2</v>
      </c>
      <c r="H32" s="38">
        <f>H31/'Income Statement'!H14</f>
        <v>8.9890017786623311E-2</v>
      </c>
      <c r="I32" s="38">
        <f>I31/'Income Statement'!I14</f>
        <v>0.15069293643109882</v>
      </c>
      <c r="J32" s="38">
        <f>J31/'Income Statement'!J14</f>
        <v>0.11149789605027657</v>
      </c>
      <c r="K32" s="38">
        <f>K31/'Income Statement'!K14</f>
        <v>0.11853622582123149</v>
      </c>
      <c r="L32" s="38">
        <f>L31/'Income Statement'!L14</f>
        <v>0.12585369671995952</v>
      </c>
      <c r="M32" s="38">
        <f>M31/'Income Statement'!M14</f>
        <v>0.12283638681526653</v>
      </c>
      <c r="N32" s="38">
        <f>N31/'Income Statement'!N14</f>
        <v>0.10320320226629602</v>
      </c>
      <c r="O32" s="38">
        <f>O31/'Income Statement'!O14</f>
        <v>0.11606421251212029</v>
      </c>
      <c r="P32" s="38">
        <f>P31/'Income Statement'!P14</f>
        <v>0.13597919819128432</v>
      </c>
      <c r="Q32" s="38">
        <f>Q31/'Income Statement'!Q14</f>
        <v>0.12309328141516017</v>
      </c>
      <c r="R32" s="38">
        <f>R31/'Income Statement'!R14</f>
        <v>0.12523002452520682</v>
      </c>
      <c r="S32" s="38">
        <f>S31/'Income Statement'!S14</f>
        <v>0.16931057375296779</v>
      </c>
      <c r="T32" s="38">
        <f>T31/'Income Statement'!T14</f>
        <v>0.15118571837465944</v>
      </c>
      <c r="U32" s="38">
        <f>U31/'Income Statement'!U14</f>
        <v>0.17636926532408601</v>
      </c>
      <c r="V32" s="38">
        <f>V31/'Income Statement'!V14</f>
        <v>0.15984351385992768</v>
      </c>
      <c r="W32" s="38">
        <f>W31/'Income Statement'!W14</f>
        <v>0.16852300564047851</v>
      </c>
      <c r="X32" s="38">
        <f>X31/'Income Statement'!X14</f>
        <v>0.16282493629147904</v>
      </c>
      <c r="Y32" s="38">
        <f>Y31/'Income Statement'!Y14</f>
        <v>0.18302197802197803</v>
      </c>
      <c r="Z32" s="38">
        <f>Z31/'Income Statement'!Z14</f>
        <v>0.1451691928991114</v>
      </c>
      <c r="AA32" s="38">
        <f>AA31/'Income Statement'!AA14</f>
        <v>0.16140872218784308</v>
      </c>
      <c r="AB32" s="380">
        <f>AB31/'Income Statement'!AB14</f>
        <v>0.11161070208492008</v>
      </c>
      <c r="AC32" s="38">
        <f>AC31/'Income Statement'!AC14</f>
        <v>0.14475439499383316</v>
      </c>
      <c r="AD32" s="38">
        <f>AD31/'Income Statement'!AD14</f>
        <v>0.14596143756985652</v>
      </c>
      <c r="AE32" s="38">
        <f>AE31/'Income Statement'!AE14</f>
        <v>0.14513313596613409</v>
      </c>
      <c r="AF32" s="38">
        <f>AF31/'Income Statement'!AF14</f>
        <v>4.97348116094153E-2</v>
      </c>
      <c r="AG32" s="38">
        <f>AG31/'Income Statement'!AG14</f>
        <v>0.15219410628301219</v>
      </c>
      <c r="AH32" s="38">
        <f>AH31/'Income Statement'!AH14</f>
        <v>0.11169102113727096</v>
      </c>
      <c r="AI32" s="38">
        <f>AI31/'Income Statement'!AI14</f>
        <v>0.10071218242230499</v>
      </c>
      <c r="AJ32" s="38">
        <f>AJ31/'Income Statement'!AJ14</f>
        <v>0.10788524640312573</v>
      </c>
      <c r="AK32" s="38">
        <f>AK31/'Income Statement'!AK14</f>
        <v>0.19224264454632153</v>
      </c>
      <c r="AL32" s="38">
        <f>AL31/'Income Statement'!AL14</f>
        <v>0.13626491015406872</v>
      </c>
      <c r="AM32" s="38">
        <f>AM31/'Income Statement'!AM14</f>
        <v>0.10627921661979893</v>
      </c>
      <c r="AN32" s="38">
        <f>AN31/'Income Statement'!AN14</f>
        <v>0.20280830300211591</v>
      </c>
      <c r="AO32" s="38">
        <f>AO31/'Income Statement'!AO14</f>
        <v>0.16310062743229289</v>
      </c>
      <c r="AP32" s="38">
        <f>AP31/'Income Statement'!AP14</f>
        <v>0.1138551886626578</v>
      </c>
      <c r="AQ32" s="38">
        <f>AQ31/'Income Statement'!AQ14</f>
        <v>0.14601198920056743</v>
      </c>
      <c r="AR32" s="38">
        <f>AR31/'Income Statement'!AR14</f>
        <v>0.17575017390850409</v>
      </c>
      <c r="AS32" s="38">
        <f>AS31/'Income Statement'!AS14</f>
        <v>0.15595788984701245</v>
      </c>
      <c r="AT32" s="38">
        <f>AT31/'Income Statement'!AT14</f>
        <v>9.0190010952140881E-2</v>
      </c>
      <c r="AU32" s="38">
        <f>AU31/'Income Statement'!AU14</f>
        <v>0.19678437890597383</v>
      </c>
      <c r="AV32" s="38">
        <f>AV31/'Income Statement'!AV14</f>
        <v>0.15324138366367882</v>
      </c>
      <c r="AW32" s="38">
        <f>AW31/'Income Statement'!AW14</f>
        <v>0.10847071912533705</v>
      </c>
      <c r="AX32" s="38">
        <f>AX31/'Income Statement'!AX14</f>
        <v>0.21909458471988677</v>
      </c>
      <c r="AY32" s="38">
        <f>AY31/'Income Statement'!AY14</f>
        <v>0.20785142669053056</v>
      </c>
      <c r="AZ32" s="38">
        <f>AZ31/'Income Statement'!AZ14</f>
        <v>0.17631211946630135</v>
      </c>
      <c r="BA32" s="38">
        <f>BA31/'Income Statement'!BA14</f>
        <v>6.8934219855006224E-2</v>
      </c>
      <c r="BB32" s="38">
        <f>BB31/'Income Statement'!BB14</f>
        <v>0.18492134303278066</v>
      </c>
      <c r="BC32" s="38">
        <f>BC31/'Income Statement'!BC14</f>
        <v>0.13620954876937102</v>
      </c>
      <c r="BD32" s="38">
        <f>BD31/'Income Statement'!BD14</f>
        <v>0.14432188830515649</v>
      </c>
      <c r="BE32" s="38">
        <f>BE31/'Income Statement'!BE14</f>
        <v>0.1440937677267754</v>
      </c>
      <c r="BF32" s="38">
        <f>BF31/'Income Statement'!BF14</f>
        <v>0.21916996247673795</v>
      </c>
      <c r="BG32" s="38">
        <f>BG31/'Income Statement'!BG14</f>
        <v>0.16348340246565529</v>
      </c>
      <c r="BH32" s="38">
        <f>BH31/'Income Statement'!BH14</f>
        <v>5.8346210633645736E-2</v>
      </c>
      <c r="BI32" s="38">
        <f>BI31/'Income Statement'!BI14</f>
        <v>0.16963311982753432</v>
      </c>
      <c r="BJ32" s="38">
        <f>BJ31/'Income Statement'!BJ14</f>
        <v>0.12131840323453613</v>
      </c>
      <c r="BK32" s="38">
        <f>BK31/'Income Statement'!BK14</f>
        <v>0.12085734322176866</v>
      </c>
      <c r="BL32" s="38">
        <f>BL31/'Income Statement'!BL14</f>
        <v>0.12115638556569691</v>
      </c>
      <c r="BM32" s="38">
        <f>BM31/'Income Statement'!BM14</f>
        <v>0.26301927898487121</v>
      </c>
      <c r="BN32" s="38">
        <f>BN31/'Income Statement'!BN14</f>
        <v>0.16947183892098891</v>
      </c>
      <c r="BO32" s="38">
        <f>BO31/'Income Statement'!BO14</f>
        <v>9.0414037293312849E-2</v>
      </c>
      <c r="BP32" s="38">
        <f>BP31/'Income Statement'!BP14</f>
        <v>0.17612792679612455</v>
      </c>
      <c r="BQ32" s="38">
        <f>BQ31/'Income Statement'!BQ14</f>
        <v>0.13987366763704268</v>
      </c>
      <c r="BR32" s="38">
        <f>BR31/'Income Statement'!BR14</f>
        <v>0.13624357386320768</v>
      </c>
      <c r="BS32" s="38">
        <f>BS31/'Income Statement'!BS14</f>
        <v>0.13859506425749418</v>
      </c>
      <c r="BT32" s="38">
        <f>BT31/'Income Statement'!BT14</f>
        <v>0.25365688130424652</v>
      </c>
      <c r="BU32" s="38">
        <f>BU31/'Income Statement'!BU14</f>
        <v>0.1799793168156201</v>
      </c>
      <c r="BV32" s="38">
        <f>BV31/'Income Statement'!BV14</f>
        <v>0.12929222066584573</v>
      </c>
      <c r="BW32" s="38">
        <f>BW31/'Income Statement'!BW14</f>
        <v>0.20099085265679434</v>
      </c>
      <c r="BX32" s="38">
        <f>BX31/'Income Statement'!BX14</f>
        <v>0.17034557548641277</v>
      </c>
      <c r="BY32" s="38">
        <f>BY31/'Income Statement'!BY14</f>
        <v>0.14631831356213928</v>
      </c>
      <c r="BZ32" s="38">
        <f>BZ31/'Income Statement'!BZ14</f>
        <v>0.16204478427479724</v>
      </c>
      <c r="CA32" s="38">
        <f>CA31/'Income Statement'!CA14</f>
        <v>0.24667191019120738</v>
      </c>
      <c r="CB32" s="38">
        <f>CB31/'Income Statement'!CB14</f>
        <v>0.19057116617607675</v>
      </c>
      <c r="CC32" s="38">
        <f>CC31/'Income Statement'!CC14</f>
        <v>0.10868672338748946</v>
      </c>
      <c r="CD32" s="38">
        <f>CD31/'Income Statement'!CD14</f>
        <v>0.20607050784877051</v>
      </c>
      <c r="CE32" s="38">
        <f>CE31/'Income Statement'!CE14</f>
        <v>0.16482449083687417</v>
      </c>
      <c r="CF32" s="38">
        <f>CF31/'Income Statement'!CF14</f>
        <v>0.13025440766475885</v>
      </c>
      <c r="CG32" s="38">
        <f>CG31/'Income Statement'!CG14</f>
        <v>0.15336175904056926</v>
      </c>
      <c r="CH32" s="38">
        <f>CH31/'Income Statement'!CH14</f>
        <v>0.26288620070564811</v>
      </c>
      <c r="CI32" s="64">
        <f>CI31/'Income Statement'!CI14</f>
        <v>0.19012408424124194</v>
      </c>
      <c r="CJ32" s="38">
        <f>CJ31/'Income Statement'!CJ14</f>
        <v>9.0212556411195091E-2</v>
      </c>
      <c r="CK32" s="38">
        <f>CK31/'Income Statement'!CK14</f>
        <v>0.18629512234614121</v>
      </c>
      <c r="CL32" s="38">
        <f>CL31/'Income Statement'!CL14</f>
        <v>0.14488995302149285</v>
      </c>
      <c r="CM32" s="38">
        <f>CM31/'Income Statement'!CM14</f>
        <v>0.13316108932564139</v>
      </c>
      <c r="CN32" s="38">
        <f>CN31/'Income Statement'!CN14</f>
        <v>0.14083742583921577</v>
      </c>
      <c r="CO32" s="38">
        <f>CO31/'Income Statement'!CO14</f>
        <v>0.23744683947434139</v>
      </c>
      <c r="CP32" s="38">
        <f>CP31/'Income Statement'!CP14</f>
        <v>0.17336743171022503</v>
      </c>
      <c r="CQ32" s="38">
        <f>CQ31/'Income Statement'!CQ14</f>
        <v>0.1048913404807913</v>
      </c>
      <c r="CR32" s="38">
        <f>CR31/'Income Statement'!CR14</f>
        <v>0.19824373845174606</v>
      </c>
      <c r="CS32" s="38">
        <f>CS31/'Income Statement'!CS14</f>
        <v>0.15716501250452208</v>
      </c>
      <c r="CT32" s="38">
        <f>CT31/'Income Statement'!CT14</f>
        <v>0.15211719300644297</v>
      </c>
      <c r="CU32" s="38">
        <f>CU31/'Income Statement'!CU14</f>
        <v>0.15539842829218833</v>
      </c>
      <c r="CV32" s="38">
        <f>CV31/'Income Statement'!CV14</f>
        <v>0.2558420060906576</v>
      </c>
      <c r="CW32" s="38">
        <f>CW31/'Income Statement'!CW14</f>
        <v>0.19022117515312736</v>
      </c>
      <c r="CX32" s="38">
        <f>CX31/'Income Statement'!CX14</f>
        <v>0.12667777189143792</v>
      </c>
      <c r="CY32" s="38">
        <f>CY31/'Income Statement'!CY14</f>
        <v>0.16999561947910585</v>
      </c>
      <c r="CZ32" s="38">
        <f>CZ31/'Income Statement'!CZ14</f>
        <v>0.1505147811694163</v>
      </c>
      <c r="DA32" s="38">
        <f>DA31/'Income Statement'!DA14</f>
        <v>0.13020701564347251</v>
      </c>
      <c r="DB32" s="38">
        <f>DB31/'Income Statement'!DB14</f>
        <v>0.14351092254493553</v>
      </c>
      <c r="DC32" s="38">
        <f>DC31/'Income Statement'!DC14</f>
        <v>0.26379465629394538</v>
      </c>
      <c r="DD32" s="38">
        <f>DD31/'Income Statement'!DD14</f>
        <v>0.18428905380201618</v>
      </c>
      <c r="DE32" s="38">
        <f>DE31/'Income Statement'!DE14</f>
        <v>5.4422632036279651E-2</v>
      </c>
      <c r="DF32" s="38">
        <f>DF31/'Income Statement'!DF14</f>
        <v>0.84165571392568317</v>
      </c>
      <c r="DG32" s="38">
        <f>DG31/'Income Statement'!DG14</f>
        <v>0.25770335693190211</v>
      </c>
      <c r="DH32" s="38">
        <f>DH31/'Income Statement'!DH14</f>
        <v>7.8173657413379526E-3</v>
      </c>
      <c r="DI32" s="38">
        <f>DI31/'Income Statement'!DI14</f>
        <v>0.14740943413722432</v>
      </c>
      <c r="DJ32" s="38">
        <f>DJ31/'Income Statement'!DJ14</f>
        <v>0.1908037493346596</v>
      </c>
      <c r="DK32" s="38">
        <f>DK31/'Income Statement'!DK14</f>
        <v>0.16643065920774661</v>
      </c>
      <c r="DL32" s="38">
        <f>DL31/'Income Statement'!DL14</f>
        <v>-0.12554039394847763</v>
      </c>
      <c r="DM32" s="38">
        <f>DM31/'Income Statement'!DM14</f>
        <v>0.12326780077158608</v>
      </c>
      <c r="DN32" s="38">
        <f>DN31/'Income Statement'!DN14</f>
        <v>2.9570610787711546E-2</v>
      </c>
      <c r="DO32" s="38">
        <f>DO31/'Income Statement'!DO14</f>
        <v>0.10065255044623733</v>
      </c>
      <c r="DP32" s="38">
        <f>DP31/'Income Statement'!DP14</f>
        <v>5.7693242716856274E-2</v>
      </c>
      <c r="DQ32" s="38">
        <f>DQ31/'Income Statement'!DQ14</f>
        <v>0.15485204305061706</v>
      </c>
      <c r="DR32" s="64">
        <f>DR31/'Income Statement'!DR14</f>
        <v>9.3895686105485751E-2</v>
      </c>
      <c r="DS32" s="64">
        <f>DS31/'Income Statement'!DS14</f>
        <v>5.86717279501629E-2</v>
      </c>
      <c r="DT32" s="64">
        <f>DT31/'Income Statement'!DT14</f>
        <v>0.15984878155557783</v>
      </c>
      <c r="DU32" s="64">
        <f>DU31/'Income Statement'!DU14</f>
        <v>0.11811450173354072</v>
      </c>
      <c r="DV32" s="64">
        <f>DV31/'Income Statement'!DV14</f>
        <v>0.10045928336266463</v>
      </c>
      <c r="DW32" s="64">
        <f>DW31/'Income Statement'!DW14</f>
        <v>0.11235736597816813</v>
      </c>
      <c r="DX32" s="64">
        <f>DX31/'Income Statement'!DX14</f>
        <v>0.21722865287392149</v>
      </c>
      <c r="DY32" s="64">
        <f>DY31/'Income Statement'!DY14</f>
        <v>0.14456276787185954</v>
      </c>
      <c r="DZ32" s="64">
        <f>DZ31/'Income Statement'!DZ14</f>
        <v>4.185524444918548E-2</v>
      </c>
      <c r="EA32" s="64">
        <f>EA31/'Income Statement'!EA14</f>
        <v>0.12647318633546198</v>
      </c>
      <c r="EB32" s="64">
        <f>EB31/'Income Statement'!EB14</f>
        <v>8.9849874510359765E-2</v>
      </c>
      <c r="EC32" s="64">
        <f>EC31/'Income Statement'!EC14</f>
        <v>8.7376437104577737E-2</v>
      </c>
      <c r="ED32" s="64">
        <f>ED31/'Income Statement'!ED14</f>
        <v>8.9024465522673915E-2</v>
      </c>
      <c r="EE32" s="64">
        <f>EE31/'Income Statement'!EE14</f>
        <v>0.21624944868714455</v>
      </c>
      <c r="EF32" s="64">
        <f>EF31/'Income Statement'!EF14</f>
        <v>0.13039834774233447</v>
      </c>
      <c r="EG32" s="64">
        <f>EG31/'Income Statement'!EG14</f>
        <v>7.5228660023012262E-2</v>
      </c>
      <c r="EH32" s="64">
        <f>EH31/'Income Statement'!EH14</f>
        <v>0.14857579231688584</v>
      </c>
      <c r="EI32" s="64">
        <f>EI31/'Income Statement'!EI14</f>
        <v>0.11599649824343705</v>
      </c>
      <c r="EJ32" s="64">
        <f>EJ31/'Income Statement'!EJ14</f>
        <v>0.11698532317168885</v>
      </c>
      <c r="EK32" s="64">
        <f>EK31/'Income Statement'!EK14</f>
        <v>0.11634048555689888</v>
      </c>
      <c r="EL32" s="64">
        <f>EL31/'Income Statement'!EL14</f>
        <v>0.18700726433662715</v>
      </c>
      <c r="EM32" s="59">
        <f>EM31/'Income Statement'!EM14</f>
        <v>0.13962168411333695</v>
      </c>
      <c r="EN32" s="64">
        <f>EN31/'Income Statement'!EN14</f>
        <v>7.7641745360630315E-2</v>
      </c>
      <c r="EO32" s="64">
        <f>EO31/'Income Statement'!EO14</f>
        <v>0.16285323084093381</v>
      </c>
      <c r="EP32" s="64">
        <f>EP31/'Income Statement'!EP14</f>
        <v>0.12618514348922324</v>
      </c>
      <c r="EQ32" s="64">
        <f>EQ31/'Income Statement'!EQ14</f>
        <v>0.11006259272610713</v>
      </c>
      <c r="ER32" s="64">
        <f>ER31/'Income Statement'!ER14</f>
        <v>0.12095158604284491</v>
      </c>
      <c r="ES32" s="64">
        <f>ES31/'Income Statement'!ES14</f>
        <v>0.20091615849385713</v>
      </c>
      <c r="ET32" s="64">
        <f>ET31/'Income Statement'!ET14</f>
        <v>0.14610283865074744</v>
      </c>
      <c r="EU32" s="7"/>
    </row>
    <row r="33" spans="2:151" ht="16.350000000000001" hidden="1" customHeight="1" outlineLevel="1">
      <c r="B33" s="53" t="s">
        <v>407</v>
      </c>
      <c r="C33" s="53" t="s">
        <v>410</v>
      </c>
      <c r="D33" s="57">
        <f>D20</f>
        <v>0</v>
      </c>
      <c r="E33" s="57">
        <f t="shared" ref="E33:BP33" si="491">E20</f>
        <v>0</v>
      </c>
      <c r="F33" s="57">
        <f t="shared" si="491"/>
        <v>0</v>
      </c>
      <c r="G33" s="57">
        <f t="shared" si="491"/>
        <v>0</v>
      </c>
      <c r="H33" s="57">
        <f t="shared" si="491"/>
        <v>0</v>
      </c>
      <c r="I33" s="57">
        <f t="shared" si="491"/>
        <v>0</v>
      </c>
      <c r="J33" s="57">
        <f t="shared" si="491"/>
        <v>0</v>
      </c>
      <c r="K33" s="57">
        <f t="shared" si="491"/>
        <v>0</v>
      </c>
      <c r="L33" s="57">
        <f t="shared" si="491"/>
        <v>0</v>
      </c>
      <c r="M33" s="57">
        <f t="shared" si="491"/>
        <v>0</v>
      </c>
      <c r="N33" s="57">
        <f t="shared" si="491"/>
        <v>0</v>
      </c>
      <c r="O33" s="57">
        <f t="shared" si="491"/>
        <v>0</v>
      </c>
      <c r="P33" s="57">
        <f t="shared" si="491"/>
        <v>0</v>
      </c>
      <c r="Q33" s="57">
        <f t="shared" si="491"/>
        <v>0</v>
      </c>
      <c r="R33" s="57">
        <f t="shared" si="491"/>
        <v>0</v>
      </c>
      <c r="S33" s="57">
        <f t="shared" si="491"/>
        <v>0</v>
      </c>
      <c r="T33" s="57">
        <f t="shared" si="491"/>
        <v>0</v>
      </c>
      <c r="U33" s="57">
        <f t="shared" si="491"/>
        <v>0</v>
      </c>
      <c r="V33" s="57">
        <f t="shared" si="491"/>
        <v>0</v>
      </c>
      <c r="W33" s="57">
        <f t="shared" si="491"/>
        <v>0</v>
      </c>
      <c r="X33" s="57">
        <f t="shared" si="491"/>
        <v>0</v>
      </c>
      <c r="Y33" s="57">
        <f t="shared" si="491"/>
        <v>-15722.514999999999</v>
      </c>
      <c r="Z33" s="57">
        <f t="shared" si="491"/>
        <v>11605</v>
      </c>
      <c r="AA33" s="57">
        <f t="shared" si="491"/>
        <v>-4117.5149999999994</v>
      </c>
      <c r="AB33" s="386">
        <f t="shared" ref="AB33:AC33" si="492">AB20</f>
        <v>11605</v>
      </c>
      <c r="AC33" s="57">
        <f t="shared" si="492"/>
        <v>7487.4850000000006</v>
      </c>
      <c r="AD33" s="57">
        <f t="shared" si="491"/>
        <v>5679</v>
      </c>
      <c r="AE33" s="57">
        <f t="shared" si="491"/>
        <v>13166.485000000001</v>
      </c>
      <c r="AF33" s="57">
        <f t="shared" si="491"/>
        <v>20088</v>
      </c>
      <c r="AG33" s="57">
        <f t="shared" si="491"/>
        <v>9072</v>
      </c>
      <c r="AH33" s="57">
        <f t="shared" si="491"/>
        <v>29160</v>
      </c>
      <c r="AI33" s="57">
        <f t="shared" si="491"/>
        <v>19152</v>
      </c>
      <c r="AJ33" s="57">
        <f t="shared" si="491"/>
        <v>48312</v>
      </c>
      <c r="AK33" s="57">
        <f t="shared" si="491"/>
        <v>19264.771999999997</v>
      </c>
      <c r="AL33" s="57">
        <f t="shared" si="491"/>
        <v>67576.771999999997</v>
      </c>
      <c r="AM33" s="57">
        <f t="shared" si="491"/>
        <v>26322</v>
      </c>
      <c r="AN33" s="57">
        <f t="shared" si="491"/>
        <v>24738</v>
      </c>
      <c r="AO33" s="57">
        <f t="shared" si="491"/>
        <v>51060</v>
      </c>
      <c r="AP33" s="57">
        <f t="shared" si="491"/>
        <v>36489</v>
      </c>
      <c r="AQ33" s="57">
        <f t="shared" si="491"/>
        <v>87549</v>
      </c>
      <c r="AR33" s="57">
        <f t="shared" si="491"/>
        <v>33493</v>
      </c>
      <c r="AS33" s="57">
        <f t="shared" si="491"/>
        <v>121044</v>
      </c>
      <c r="AT33" s="57">
        <f t="shared" si="491"/>
        <v>38467</v>
      </c>
      <c r="AU33" s="57">
        <f t="shared" si="491"/>
        <v>32149</v>
      </c>
      <c r="AV33" s="57">
        <f t="shared" si="491"/>
        <v>70616</v>
      </c>
      <c r="AW33" s="57">
        <f t="shared" si="491"/>
        <v>33968.675000000003</v>
      </c>
      <c r="AX33" s="57">
        <f t="shared" si="491"/>
        <v>-51563.324999999997</v>
      </c>
      <c r="AY33" s="57">
        <f t="shared" si="491"/>
        <v>20488</v>
      </c>
      <c r="AZ33" s="57">
        <f t="shared" si="491"/>
        <v>81918.675000000003</v>
      </c>
      <c r="BA33" s="57">
        <f t="shared" si="491"/>
        <v>40904</v>
      </c>
      <c r="BB33" s="57">
        <f t="shared" si="491"/>
        <v>32256</v>
      </c>
      <c r="BC33" s="57">
        <f t="shared" si="491"/>
        <v>73160</v>
      </c>
      <c r="BD33" s="57">
        <f t="shared" si="491"/>
        <v>32256</v>
      </c>
      <c r="BE33" s="57">
        <f t="shared" si="491"/>
        <v>93975</v>
      </c>
      <c r="BF33" s="57">
        <f t="shared" si="491"/>
        <v>32713</v>
      </c>
      <c r="BG33" s="57">
        <f t="shared" si="491"/>
        <v>148477</v>
      </c>
      <c r="BH33" s="57">
        <f t="shared" si="491"/>
        <v>47566</v>
      </c>
      <c r="BI33" s="57">
        <f t="shared" si="491"/>
        <v>41144</v>
      </c>
      <c r="BJ33" s="57">
        <f t="shared" si="491"/>
        <v>88710</v>
      </c>
      <c r="BK33" s="57">
        <f t="shared" si="491"/>
        <v>45018.3</v>
      </c>
      <c r="BL33" s="57">
        <f t="shared" si="491"/>
        <v>133728.29999999999</v>
      </c>
      <c r="BM33" s="57">
        <f t="shared" si="491"/>
        <v>40125.39999999998</v>
      </c>
      <c r="BN33" s="57">
        <f t="shared" si="491"/>
        <v>173853.10000000003</v>
      </c>
      <c r="BO33" s="57">
        <f t="shared" si="491"/>
        <v>61416.800000000003</v>
      </c>
      <c r="BP33" s="57">
        <f t="shared" si="491"/>
        <v>52392</v>
      </c>
      <c r="BQ33" s="57">
        <f t="shared" ref="BQ33:CW33" si="493">BQ20</f>
        <v>113808.80000000005</v>
      </c>
      <c r="BR33" s="57">
        <f t="shared" si="493"/>
        <v>61682.58</v>
      </c>
      <c r="BS33" s="57">
        <f t="shared" si="493"/>
        <v>175491.38</v>
      </c>
      <c r="BT33" s="57">
        <f t="shared" si="493"/>
        <v>42066.41</v>
      </c>
      <c r="BU33" s="57">
        <f t="shared" si="493"/>
        <v>217557.78999999998</v>
      </c>
      <c r="BV33" s="57">
        <f t="shared" si="493"/>
        <v>68102.680000000008</v>
      </c>
      <c r="BW33" s="57">
        <f t="shared" si="493"/>
        <v>53972</v>
      </c>
      <c r="BX33" s="57">
        <f t="shared" si="493"/>
        <v>122074.67999999998</v>
      </c>
      <c r="BY33" s="57">
        <f t="shared" si="493"/>
        <v>47874.338489999995</v>
      </c>
      <c r="BZ33" s="57">
        <f t="shared" si="493"/>
        <v>169949.01848999999</v>
      </c>
      <c r="CA33" s="57">
        <f t="shared" si="493"/>
        <v>38442.419059622</v>
      </c>
      <c r="CB33" s="57">
        <f t="shared" si="493"/>
        <v>208389.35554679984</v>
      </c>
      <c r="CC33" s="57">
        <f t="shared" si="493"/>
        <v>68835</v>
      </c>
      <c r="CD33" s="57">
        <f t="shared" si="493"/>
        <v>54243</v>
      </c>
      <c r="CE33" s="57">
        <f t="shared" si="493"/>
        <v>123078</v>
      </c>
      <c r="CF33" s="57">
        <f t="shared" si="493"/>
        <v>65335</v>
      </c>
      <c r="CG33" s="57">
        <f t="shared" si="493"/>
        <v>188413</v>
      </c>
      <c r="CH33" s="57">
        <f t="shared" si="493"/>
        <v>62855</v>
      </c>
      <c r="CI33" s="57">
        <f t="shared" ref="CI33" si="494">CI20</f>
        <v>251265</v>
      </c>
      <c r="CJ33" s="57">
        <f t="shared" si="493"/>
        <v>79058</v>
      </c>
      <c r="CK33" s="57">
        <f t="shared" si="493"/>
        <v>78988</v>
      </c>
      <c r="CL33" s="57">
        <f t="shared" si="493"/>
        <v>158046</v>
      </c>
      <c r="CM33" s="57">
        <f t="shared" si="493"/>
        <v>97820.465830000001</v>
      </c>
      <c r="CN33" s="57">
        <f t="shared" si="493"/>
        <v>255866.46583</v>
      </c>
      <c r="CO33" s="57">
        <f t="shared" si="493"/>
        <v>75725.829060000018</v>
      </c>
      <c r="CP33" s="57">
        <f t="shared" si="493"/>
        <v>331592.29489000002</v>
      </c>
      <c r="CQ33" s="57">
        <f t="shared" si="493"/>
        <v>102786</v>
      </c>
      <c r="CR33" s="57">
        <f t="shared" si="493"/>
        <v>81311</v>
      </c>
      <c r="CS33" s="57">
        <f t="shared" si="493"/>
        <v>184097</v>
      </c>
      <c r="CT33" s="57">
        <f t="shared" si="493"/>
        <v>86619.356740000105</v>
      </c>
      <c r="CU33" s="57">
        <f t="shared" si="493"/>
        <v>270716.35674000019</v>
      </c>
      <c r="CV33" s="57">
        <f t="shared" si="493"/>
        <v>78713.781470000511</v>
      </c>
      <c r="CW33" s="57">
        <f t="shared" si="493"/>
        <v>349430.13821000047</v>
      </c>
      <c r="CX33" s="57">
        <v>97715.534180000017</v>
      </c>
      <c r="CY33" s="57">
        <v>91054.929700000037</v>
      </c>
      <c r="CZ33" s="57">
        <f t="shared" si="468"/>
        <v>188770.46388000005</v>
      </c>
      <c r="DA33" s="57">
        <v>103235.40663000004</v>
      </c>
      <c r="DB33" s="57">
        <f t="shared" si="469"/>
        <v>292005.8705100001</v>
      </c>
      <c r="DC33" s="57">
        <v>99408.803957429889</v>
      </c>
      <c r="DD33" s="57">
        <f t="shared" si="470"/>
        <v>391414.67446742998</v>
      </c>
      <c r="DE33" s="57">
        <v>20664.510000000009</v>
      </c>
      <c r="DF33" s="57">
        <v>52807.051299999992</v>
      </c>
      <c r="DG33" s="57">
        <f t="shared" ref="DG33:DK33" si="495">SUM(DE33:DF33)</f>
        <v>73471.561300000001</v>
      </c>
      <c r="DH33" s="57">
        <v>-51157.013730000006</v>
      </c>
      <c r="DI33" s="57">
        <f t="shared" si="495"/>
        <v>22314.547569999995</v>
      </c>
      <c r="DJ33" s="57">
        <v>59598.815489999994</v>
      </c>
      <c r="DK33" s="57">
        <f t="shared" si="495"/>
        <v>81913.363059999989</v>
      </c>
      <c r="DL33" s="65">
        <v>69331.447690000015</v>
      </c>
      <c r="DM33" s="65">
        <v>51533.059969999995</v>
      </c>
      <c r="DN33" s="57">
        <f t="shared" si="474"/>
        <v>120864.50766</v>
      </c>
      <c r="DO33" s="57">
        <v>51533.059969999995</v>
      </c>
      <c r="DP33" s="57">
        <f t="shared" ref="DP33" si="496">SUM(DN33:DO33)</f>
        <v>172397.56763000001</v>
      </c>
      <c r="DQ33" s="65">
        <v>51188.494800000022</v>
      </c>
      <c r="DR33" s="65">
        <f t="shared" si="476"/>
        <v>223586.06243000002</v>
      </c>
      <c r="DS33" s="65">
        <v>84810.791700000002</v>
      </c>
      <c r="DT33" s="65">
        <v>11524.871369999972</v>
      </c>
      <c r="DU33" s="65">
        <f t="shared" ref="DU33" si="497">SUM(DS33:DT33)</f>
        <v>96335.663069999981</v>
      </c>
      <c r="DV33" s="65">
        <v>18625.634720000009</v>
      </c>
      <c r="DW33" s="65">
        <f t="shared" ref="DW33" si="498">SUM(DU33:DV33)</f>
        <v>114961.29778999998</v>
      </c>
      <c r="DX33" s="65">
        <v>-35047.317870000072</v>
      </c>
      <c r="DY33" s="65">
        <f>SUM(DW33:DX33)</f>
        <v>79913.979919999911</v>
      </c>
      <c r="DZ33" s="65">
        <v>-10716.786970000076</v>
      </c>
      <c r="EA33" s="65">
        <v>-54088.598959999996</v>
      </c>
      <c r="EB33" s="65">
        <f t="shared" ref="EB33" si="499">SUM(DZ33:EA33)</f>
        <v>-64805.385930000069</v>
      </c>
      <c r="EC33" s="65">
        <v>-34792</v>
      </c>
      <c r="ED33" s="65">
        <f t="shared" ref="ED33:EF33" si="500">SUM(EB33:EC33)</f>
        <v>-99597.385930000077</v>
      </c>
      <c r="EE33" s="65">
        <v>2857.0062500000568</v>
      </c>
      <c r="EF33" s="65">
        <f t="shared" si="500"/>
        <v>-96740.379680000013</v>
      </c>
      <c r="EG33" s="65">
        <v>13057</v>
      </c>
      <c r="EH33" s="65">
        <v>34416</v>
      </c>
      <c r="EI33" s="65">
        <f t="shared" ref="EI33" si="501">SUM(EG33:EH33)</f>
        <v>47473</v>
      </c>
      <c r="EJ33" s="65">
        <v>59052</v>
      </c>
      <c r="EK33" s="65">
        <f t="shared" ref="EK33" si="502">SUM(EI33:EJ33)</f>
        <v>106525</v>
      </c>
      <c r="EL33" s="65">
        <v>61382</v>
      </c>
      <c r="EM33" s="66">
        <f t="shared" ref="EM33" si="503">SUM(EK33:EL33)</f>
        <v>167907</v>
      </c>
      <c r="EN33" s="65">
        <f>'Financial Services'!DL30</f>
        <v>190464.13071999993</v>
      </c>
      <c r="EO33" s="65">
        <f>'Financial Services'!DM30</f>
        <v>118452.61184999999</v>
      </c>
      <c r="EP33" s="65">
        <f t="shared" ref="EP33" si="504">SUM(EN33:EO33)</f>
        <v>308916.74256999989</v>
      </c>
      <c r="EQ33" s="65">
        <f>'Financial Services'!DO30</f>
        <v>79811.877669999958</v>
      </c>
      <c r="ER33" s="65">
        <f t="shared" ref="ER33" si="505">SUM(EP33:EQ33)</f>
        <v>388728.62023999984</v>
      </c>
      <c r="ES33" s="65">
        <f>'Financial Services'!DQ30</f>
        <v>63644</v>
      </c>
      <c r="ET33" s="65">
        <f t="shared" ref="ET33" si="506">SUM(ER33:ES33)</f>
        <v>452372.62023999984</v>
      </c>
      <c r="EU33" s="7"/>
    </row>
    <row r="34" spans="2:151" ht="16.350000000000001" hidden="1" customHeight="1" outlineLevel="1">
      <c r="B34" s="40" t="s">
        <v>408</v>
      </c>
      <c r="C34" s="40" t="s">
        <v>411</v>
      </c>
      <c r="D34" s="29">
        <f>D33/D15</f>
        <v>0</v>
      </c>
      <c r="E34" s="29">
        <f t="shared" ref="E34:BP34" si="507">E33/E15</f>
        <v>0</v>
      </c>
      <c r="F34" s="29">
        <f t="shared" si="507"/>
        <v>0</v>
      </c>
      <c r="G34" s="29">
        <f t="shared" si="507"/>
        <v>0</v>
      </c>
      <c r="H34" s="29">
        <f t="shared" si="507"/>
        <v>0</v>
      </c>
      <c r="I34" s="29">
        <f t="shared" si="507"/>
        <v>0</v>
      </c>
      <c r="J34" s="29">
        <f t="shared" si="507"/>
        <v>0</v>
      </c>
      <c r="K34" s="29">
        <f t="shared" si="507"/>
        <v>0</v>
      </c>
      <c r="L34" s="29">
        <f t="shared" si="507"/>
        <v>0</v>
      </c>
      <c r="M34" s="29">
        <f t="shared" si="507"/>
        <v>0</v>
      </c>
      <c r="N34" s="29">
        <f t="shared" si="507"/>
        <v>0</v>
      </c>
      <c r="O34" s="29">
        <f t="shared" si="507"/>
        <v>0</v>
      </c>
      <c r="P34" s="29">
        <f t="shared" si="507"/>
        <v>0</v>
      </c>
      <c r="Q34" s="29">
        <f t="shared" si="507"/>
        <v>0</v>
      </c>
      <c r="R34" s="29">
        <f t="shared" si="507"/>
        <v>0</v>
      </c>
      <c r="S34" s="29">
        <f t="shared" si="507"/>
        <v>0</v>
      </c>
      <c r="T34" s="29">
        <f t="shared" si="507"/>
        <v>0</v>
      </c>
      <c r="U34" s="29">
        <f t="shared" si="507"/>
        <v>0</v>
      </c>
      <c r="V34" s="29">
        <f t="shared" si="507"/>
        <v>0</v>
      </c>
      <c r="W34" s="29">
        <f t="shared" si="507"/>
        <v>0</v>
      </c>
      <c r="X34" s="29">
        <f t="shared" si="507"/>
        <v>0</v>
      </c>
      <c r="Y34" s="29">
        <f t="shared" si="507"/>
        <v>-0.28877794104141791</v>
      </c>
      <c r="Z34" s="29">
        <f t="shared" si="507"/>
        <v>0.13545058767230411</v>
      </c>
      <c r="AA34" s="29">
        <f t="shared" si="507"/>
        <v>-2.9385214313241315E-2</v>
      </c>
      <c r="AB34" s="377">
        <f t="shared" ref="AB34:AC34" si="508">AB33/AB15</f>
        <v>0.18802047892161627</v>
      </c>
      <c r="AC34" s="29">
        <f t="shared" si="508"/>
        <v>3.7095405362557225E-2</v>
      </c>
      <c r="AD34" s="29">
        <f t="shared" si="507"/>
        <v>5.9613285186429291E-2</v>
      </c>
      <c r="AE34" s="29">
        <f t="shared" si="507"/>
        <v>4.4315484604924814E-2</v>
      </c>
      <c r="AF34" s="29">
        <f t="shared" si="507"/>
        <v>0.52690831565937468</v>
      </c>
      <c r="AG34" s="29">
        <f t="shared" si="507"/>
        <v>9.7027836959585473E-2</v>
      </c>
      <c r="AH34" s="29">
        <f t="shared" si="507"/>
        <v>0.22154145638858322</v>
      </c>
      <c r="AI34" s="29">
        <f t="shared" si="507"/>
        <v>0.28093793614719215</v>
      </c>
      <c r="AJ34" s="29">
        <f t="shared" si="507"/>
        <v>0.24180802102139484</v>
      </c>
      <c r="AK34" s="29">
        <f t="shared" si="507"/>
        <v>0.1234017629439995</v>
      </c>
      <c r="AL34" s="29">
        <f t="shared" si="507"/>
        <v>0.18987087557378737</v>
      </c>
      <c r="AM34" s="29">
        <f t="shared" si="507"/>
        <v>0.36002790277796776</v>
      </c>
      <c r="AN34" s="29">
        <f t="shared" si="507"/>
        <v>0.16221107504671978</v>
      </c>
      <c r="AO34" s="29">
        <f t="shared" si="507"/>
        <v>0.2263137366144245</v>
      </c>
      <c r="AP34" s="29">
        <f t="shared" si="507"/>
        <v>0.36041010242683447</v>
      </c>
      <c r="AQ34" s="29">
        <f t="shared" si="507"/>
        <v>0.26784943966664526</v>
      </c>
      <c r="AR34" s="29">
        <f t="shared" si="507"/>
        <v>0.18788847750476831</v>
      </c>
      <c r="AS34" s="29">
        <f t="shared" si="507"/>
        <v>0.23963462075273351</v>
      </c>
      <c r="AT34" s="29">
        <f t="shared" si="507"/>
        <v>0.45170798154041264</v>
      </c>
      <c r="AU34" s="29">
        <f t="shared" si="507"/>
        <v>0.17893459639670728</v>
      </c>
      <c r="AV34" s="29">
        <f t="shared" si="507"/>
        <v>0.26664854169498692</v>
      </c>
      <c r="AW34" s="29">
        <f t="shared" si="507"/>
        <v>0.32276673288000363</v>
      </c>
      <c r="AX34" s="29">
        <f t="shared" si="507"/>
        <v>-0.13933390911752455</v>
      </c>
      <c r="AY34" s="29">
        <f t="shared" si="507"/>
        <v>9.2057315653967298E-2</v>
      </c>
      <c r="AZ34" s="29">
        <f t="shared" si="507"/>
        <v>0.13822969582427047</v>
      </c>
      <c r="BA34" s="29">
        <f t="shared" si="507"/>
        <v>0.48935253864191031</v>
      </c>
      <c r="BB34" s="29">
        <f t="shared" si="507"/>
        <v>0.16941621366107304</v>
      </c>
      <c r="BC34" s="29">
        <f t="shared" si="507"/>
        <v>0.26702386644426845</v>
      </c>
      <c r="BD34" s="29">
        <f t="shared" si="507"/>
        <v>0.21767532257193759</v>
      </c>
      <c r="BE34" s="29">
        <f t="shared" si="507"/>
        <v>0.22260148235177074</v>
      </c>
      <c r="BF34" s="29">
        <f t="shared" si="507"/>
        <v>0.11192234923002706</v>
      </c>
      <c r="BG34" s="29">
        <f t="shared" si="507"/>
        <v>0.20782000139967807</v>
      </c>
      <c r="BH34" s="29">
        <f t="shared" si="507"/>
        <v>0.52869909301084828</v>
      </c>
      <c r="BI34" s="29">
        <f t="shared" si="507"/>
        <v>0.20386381991963176</v>
      </c>
      <c r="BJ34" s="29">
        <f t="shared" si="507"/>
        <v>0.3040210563112386</v>
      </c>
      <c r="BK34" s="29">
        <f t="shared" si="507"/>
        <v>0.29114314539598773</v>
      </c>
      <c r="BL34" s="29">
        <f t="shared" si="507"/>
        <v>0.29956049863915862</v>
      </c>
      <c r="BM34" s="29">
        <f t="shared" si="507"/>
        <v>0.1026965739996621</v>
      </c>
      <c r="BN34" s="29">
        <f t="shared" si="507"/>
        <v>0.20767679687695986</v>
      </c>
      <c r="BO34" s="29">
        <f t="shared" si="507"/>
        <v>0.45473553773835246</v>
      </c>
      <c r="BP34" s="29">
        <f t="shared" si="507"/>
        <v>0.21116865843090626</v>
      </c>
      <c r="BQ34" s="29">
        <f t="shared" ref="BQ34:CW34" si="509">BQ33/BQ15</f>
        <v>0.29702258147054383</v>
      </c>
      <c r="BR34" s="29">
        <f t="shared" si="509"/>
        <v>0.30185952961212087</v>
      </c>
      <c r="BS34" s="29">
        <f t="shared" si="509"/>
        <v>0.2987049288291615</v>
      </c>
      <c r="BT34" s="29">
        <f t="shared" si="509"/>
        <v>9.0344075276494407E-2</v>
      </c>
      <c r="BU34" s="29">
        <f t="shared" si="509"/>
        <v>0.20658170607962373</v>
      </c>
      <c r="BV34" s="29">
        <f t="shared" si="509"/>
        <v>0.34256271393412796</v>
      </c>
      <c r="BW34" s="29">
        <f t="shared" si="509"/>
        <v>0.16547755432380401</v>
      </c>
      <c r="BX34" s="29">
        <f t="shared" si="509"/>
        <v>0.23253977550606728</v>
      </c>
      <c r="BY34" s="29">
        <f t="shared" si="509"/>
        <v>0.20766804965015853</v>
      </c>
      <c r="BZ34" s="29">
        <f t="shared" si="509"/>
        <v>0.22495038154411545</v>
      </c>
      <c r="CA34" s="29">
        <f t="shared" si="509"/>
        <v>7.8187599908926542E-2</v>
      </c>
      <c r="CB34" s="29">
        <f t="shared" si="509"/>
        <v>0.16709050212740592</v>
      </c>
      <c r="CC34" s="29">
        <f t="shared" si="509"/>
        <v>0.37048299766412984</v>
      </c>
      <c r="CD34" s="29">
        <f t="shared" si="509"/>
        <v>0.15233716776382306</v>
      </c>
      <c r="CE34" s="29">
        <f t="shared" si="509"/>
        <v>0.22713565984461218</v>
      </c>
      <c r="CF34" s="29">
        <f t="shared" si="509"/>
        <v>0.28467169186527819</v>
      </c>
      <c r="CG34" s="29">
        <f t="shared" si="509"/>
        <v>0.24425445305815552</v>
      </c>
      <c r="CH34" s="29">
        <f t="shared" si="509"/>
        <v>0.11071303385946464</v>
      </c>
      <c r="CI34" s="29">
        <f t="shared" si="509"/>
        <v>0.18763595793919688</v>
      </c>
      <c r="CJ34" s="29">
        <f t="shared" si="509"/>
        <v>0.41512901565831067</v>
      </c>
      <c r="CK34" s="29">
        <f t="shared" si="509"/>
        <v>0.20637832019104652</v>
      </c>
      <c r="CL34" s="29">
        <f t="shared" si="509"/>
        <v>0.2757372953508172</v>
      </c>
      <c r="CM34" s="29">
        <f t="shared" si="509"/>
        <v>0.3268996341695713</v>
      </c>
      <c r="CN34" s="29">
        <f t="shared" si="509"/>
        <v>0.29328593891883775</v>
      </c>
      <c r="CO34" s="29">
        <f t="shared" si="509"/>
        <v>0.12549502095565757</v>
      </c>
      <c r="CP34" s="29">
        <f t="shared" si="509"/>
        <v>0.22468190434535143</v>
      </c>
      <c r="CQ34" s="29">
        <f t="shared" si="509"/>
        <v>0.4119514247925935</v>
      </c>
      <c r="CR34" s="29">
        <f t="shared" si="509"/>
        <v>0.18727011845017516</v>
      </c>
      <c r="CS34" s="29">
        <f t="shared" si="509"/>
        <v>0.26926536600063478</v>
      </c>
      <c r="CT34" s="29">
        <f t="shared" si="509"/>
        <v>0.24965084574103247</v>
      </c>
      <c r="CU34" s="29">
        <f t="shared" si="509"/>
        <v>0.26266234136667388</v>
      </c>
      <c r="CV34" s="29">
        <f t="shared" si="509"/>
        <v>0.10598970109943448</v>
      </c>
      <c r="CW34" s="29">
        <f t="shared" si="509"/>
        <v>0.19704877422436387</v>
      </c>
      <c r="CX34" s="29">
        <f>CX33/CX28</f>
        <v>0.31852348150520976</v>
      </c>
      <c r="CY34" s="29">
        <f t="shared" ref="CY34:DS34" si="510">CY33/CY28</f>
        <v>0.20963991385328426</v>
      </c>
      <c r="CZ34" s="29">
        <f t="shared" si="510"/>
        <v>0.25471101673862728</v>
      </c>
      <c r="DA34" s="29">
        <f t="shared" si="510"/>
        <v>0.29097980830494974</v>
      </c>
      <c r="DB34" s="29">
        <f t="shared" si="510"/>
        <v>0.26645261760834565</v>
      </c>
      <c r="DC34" s="29">
        <f t="shared" si="510"/>
        <v>0.1159548473718767</v>
      </c>
      <c r="DD34" s="29">
        <f t="shared" si="510"/>
        <v>0.20039581488261007</v>
      </c>
      <c r="DE34" s="29">
        <f t="shared" si="510"/>
        <v>0.196749793939788</v>
      </c>
      <c r="DF34" s="29">
        <f t="shared" si="510"/>
        <v>0.10415699331334334</v>
      </c>
      <c r="DG34" s="29">
        <f t="shared" si="510"/>
        <v>0.12004683167345238</v>
      </c>
      <c r="DH34" s="29">
        <f t="shared" si="510"/>
        <v>1.3374731337146619</v>
      </c>
      <c r="DI34" s="29">
        <f t="shared" si="510"/>
        <v>3.8890752410181466E-2</v>
      </c>
      <c r="DJ34" s="29">
        <f t="shared" si="510"/>
        <v>9.6647548810158759E-2</v>
      </c>
      <c r="DK34" s="29">
        <f t="shared" si="510"/>
        <v>6.8809514149840434E-2</v>
      </c>
      <c r="DL34" s="29">
        <f t="shared" si="510"/>
        <v>-0.68000007542321361</v>
      </c>
      <c r="DM34" s="29">
        <f t="shared" si="510"/>
        <v>0.15617924533505473</v>
      </c>
      <c r="DN34" s="29">
        <f t="shared" si="510"/>
        <v>0.53010051473006936</v>
      </c>
      <c r="DO34" s="29">
        <f t="shared" ref="DO34:DP34" si="511">DO33/DO28</f>
        <v>0.17753858546013282</v>
      </c>
      <c r="DP34" s="29">
        <f t="shared" si="511"/>
        <v>0.33264237860021961</v>
      </c>
      <c r="DQ34" s="29">
        <f t="shared" si="510"/>
        <v>8.4955504179854091E-2</v>
      </c>
      <c r="DR34" s="30">
        <f t="shared" si="510"/>
        <v>0.19948792151142042</v>
      </c>
      <c r="DS34" s="30">
        <f t="shared" si="510"/>
        <v>0.39331795028212574</v>
      </c>
      <c r="DT34" s="30">
        <f t="shared" ref="DT34:DU34" si="512">DT33/DT28</f>
        <v>2.2198903178956883E-2</v>
      </c>
      <c r="DU34" s="30">
        <f t="shared" si="512"/>
        <v>0.13110583697786271</v>
      </c>
      <c r="DV34" s="30">
        <f t="shared" ref="DV34:DW34" si="513">DV33/DV28</f>
        <v>6.6194117969002694E-2</v>
      </c>
      <c r="DW34" s="30">
        <f t="shared" si="513"/>
        <v>0.11313172140951047</v>
      </c>
      <c r="DX34" s="30">
        <f t="shared" ref="DX34:DZ34" si="514">DX33/DX28</f>
        <v>-4.7542995953449164E-2</v>
      </c>
      <c r="DY34" s="30">
        <f t="shared" si="514"/>
        <v>4.5578061918275174E-2</v>
      </c>
      <c r="DZ34" s="30">
        <f t="shared" si="514"/>
        <v>-0.12663193508197254</v>
      </c>
      <c r="EA34" s="30">
        <f t="shared" ref="EA34:EB34" si="515">EA33/EA28</f>
        <v>-0.16721245457850395</v>
      </c>
      <c r="EB34" s="30">
        <f t="shared" si="515"/>
        <v>-0.15879713675056148</v>
      </c>
      <c r="EC34" s="30">
        <f t="shared" ref="EC34:ED34" si="516">EC33/EC28</f>
        <v>-0.17792637922951976</v>
      </c>
      <c r="ED34" s="30">
        <f t="shared" si="516"/>
        <v>-0.16499377947252081</v>
      </c>
      <c r="EE34" s="30">
        <f t="shared" ref="EE34:EI34" si="517">EE33/EE28</f>
        <v>3.4584110019603626E-3</v>
      </c>
      <c r="EF34" s="30">
        <f t="shared" si="517"/>
        <v>-6.76625855508904E-2</v>
      </c>
      <c r="EG34" s="30">
        <f t="shared" si="517"/>
        <v>6.5872251118723413E-2</v>
      </c>
      <c r="EH34" s="30">
        <f t="shared" si="517"/>
        <v>6.9948660414862876E-2</v>
      </c>
      <c r="EI34" s="30">
        <f t="shared" si="517"/>
        <v>6.8778024875585847E-2</v>
      </c>
      <c r="EJ34" s="30">
        <f t="shared" ref="EJ34:EK34" si="518">EJ33/EJ28</f>
        <v>0.14585962875597436</v>
      </c>
      <c r="EK34" s="30">
        <f t="shared" si="518"/>
        <v>9.7275109808326252E-2</v>
      </c>
      <c r="EL34" s="30">
        <f t="shared" ref="EL34:EP34" si="519">EL33/EL28</f>
        <v>7.2891926811194926E-2</v>
      </c>
      <c r="EM34" s="61">
        <f t="shared" si="519"/>
        <v>8.6675724478702615E-2</v>
      </c>
      <c r="EN34" s="30">
        <f t="shared" si="519"/>
        <v>0.4708514764035498</v>
      </c>
      <c r="EO34" s="30">
        <f t="shared" si="519"/>
        <v>0.16617627884171582</v>
      </c>
      <c r="EP34" s="30">
        <f t="shared" si="519"/>
        <v>0.27647935518198397</v>
      </c>
      <c r="EQ34" s="30">
        <f t="shared" ref="EQ34:ER34" si="520">EQ33/EQ28</f>
        <v>0.19061328140411873</v>
      </c>
      <c r="ER34" s="30">
        <f t="shared" si="520"/>
        <v>0.25307292692739863</v>
      </c>
      <c r="ES34" s="30">
        <f t="shared" ref="ES34:ET34" si="521">ES33/ES28</f>
        <v>6.7840910059948661E-2</v>
      </c>
      <c r="ET34" s="30">
        <f t="shared" si="521"/>
        <v>0.18283813167243959</v>
      </c>
      <c r="EU34" s="7"/>
    </row>
    <row r="35" spans="2:151" ht="16.350000000000001" hidden="1" customHeight="1" outlineLevel="1">
      <c r="B35" s="455"/>
      <c r="C35" s="455"/>
      <c r="D35" s="455"/>
      <c r="E35" s="455"/>
      <c r="F35" s="455"/>
      <c r="G35" s="455"/>
      <c r="H35" s="455"/>
      <c r="I35" s="455"/>
      <c r="J35" s="455"/>
      <c r="K35" s="455"/>
      <c r="L35" s="455"/>
      <c r="M35" s="455"/>
      <c r="N35" s="455"/>
      <c r="O35" s="455"/>
      <c r="P35" s="455"/>
      <c r="Q35" s="455"/>
      <c r="R35" s="455"/>
      <c r="S35" s="455"/>
      <c r="T35" s="455"/>
      <c r="U35" s="455"/>
      <c r="V35" s="455"/>
      <c r="W35" s="455"/>
      <c r="X35" s="455"/>
      <c r="Y35" s="455"/>
      <c r="Z35" s="455"/>
      <c r="AA35" s="455"/>
      <c r="AB35" s="456"/>
      <c r="AC35" s="455"/>
      <c r="AD35" s="455"/>
      <c r="AE35" s="455"/>
      <c r="AF35" s="455"/>
      <c r="AG35" s="455"/>
      <c r="AH35" s="455"/>
      <c r="AI35" s="455"/>
      <c r="AJ35" s="455"/>
      <c r="AK35" s="455"/>
      <c r="AL35" s="455"/>
      <c r="AM35" s="455"/>
      <c r="AN35" s="455"/>
      <c r="AO35" s="455"/>
      <c r="AP35" s="455"/>
      <c r="AQ35" s="455"/>
      <c r="AR35" s="455"/>
      <c r="AS35" s="455"/>
      <c r="AT35" s="455"/>
      <c r="AU35" s="455"/>
      <c r="AV35" s="455"/>
      <c r="AW35" s="455"/>
      <c r="AX35" s="455"/>
      <c r="AY35" s="455"/>
      <c r="AZ35" s="455"/>
      <c r="BA35" s="455"/>
      <c r="BB35" s="455"/>
      <c r="BC35" s="455"/>
      <c r="BD35" s="455"/>
      <c r="BE35" s="455"/>
      <c r="BF35" s="455"/>
      <c r="BG35" s="455"/>
      <c r="BH35" s="455"/>
      <c r="BI35" s="455"/>
      <c r="BJ35" s="455"/>
      <c r="BK35" s="455"/>
      <c r="BL35" s="455"/>
      <c r="BM35" s="455"/>
      <c r="BN35" s="455"/>
      <c r="BO35" s="455"/>
      <c r="BP35" s="455"/>
      <c r="BQ35" s="455"/>
      <c r="BR35" s="455"/>
      <c r="BS35" s="455"/>
      <c r="BT35" s="455"/>
      <c r="BU35" s="455"/>
      <c r="BV35" s="455"/>
      <c r="BW35" s="455"/>
      <c r="BX35" s="455"/>
      <c r="BY35" s="455"/>
      <c r="BZ35" s="455"/>
      <c r="CA35" s="455"/>
      <c r="CB35" s="455"/>
      <c r="CC35" s="455"/>
      <c r="CD35" s="455"/>
      <c r="CE35" s="455"/>
      <c r="CF35" s="455"/>
      <c r="CG35" s="455"/>
      <c r="CH35" s="455"/>
      <c r="CI35" s="455"/>
      <c r="CJ35" s="455"/>
      <c r="CK35" s="455"/>
      <c r="CL35" s="455"/>
      <c r="CM35" s="455"/>
      <c r="CN35" s="455"/>
      <c r="CO35" s="455"/>
      <c r="CP35" s="455"/>
      <c r="CQ35" s="455"/>
      <c r="CR35" s="455"/>
      <c r="CS35" s="455"/>
      <c r="CT35" s="455"/>
      <c r="CU35" s="455"/>
      <c r="CV35" s="455"/>
      <c r="CW35" s="455"/>
      <c r="CX35" s="455"/>
      <c r="CY35" s="455"/>
      <c r="CZ35" s="455"/>
      <c r="DA35" s="455"/>
      <c r="DB35" s="455"/>
      <c r="DC35" s="455"/>
      <c r="DD35" s="455"/>
      <c r="DE35" s="455"/>
      <c r="DF35" s="455"/>
      <c r="DG35" s="455"/>
      <c r="DH35" s="455"/>
      <c r="DI35" s="455"/>
      <c r="DJ35" s="455"/>
      <c r="DK35" s="455"/>
      <c r="DL35" s="455"/>
      <c r="DM35" s="455"/>
      <c r="DN35" s="455"/>
      <c r="DO35" s="455"/>
      <c r="DP35" s="455"/>
      <c r="DQ35" s="455"/>
      <c r="DR35" s="455"/>
      <c r="DS35" s="455"/>
      <c r="DT35" s="455"/>
      <c r="DU35" s="455"/>
      <c r="DV35" s="455"/>
      <c r="DW35" s="455"/>
      <c r="DX35" s="455"/>
      <c r="DY35" s="455"/>
      <c r="DZ35" s="455"/>
      <c r="EA35" s="455"/>
      <c r="EB35" s="455"/>
      <c r="EC35" s="455"/>
      <c r="ED35" s="455"/>
      <c r="EE35" s="455"/>
      <c r="EF35" s="455"/>
      <c r="EG35" s="455"/>
      <c r="EH35" s="455"/>
      <c r="EI35" s="455"/>
      <c r="EJ35" s="455"/>
      <c r="EK35" s="455"/>
      <c r="EL35" s="455"/>
      <c r="EM35" s="455"/>
      <c r="EN35" s="7"/>
      <c r="EO35" s="455"/>
      <c r="EP35" s="455"/>
      <c r="EQ35" s="455"/>
      <c r="ER35" s="455"/>
      <c r="ES35" s="455"/>
      <c r="ET35" s="455"/>
      <c r="EU35" s="7"/>
    </row>
    <row r="36" spans="2:151" ht="16.350000000000001" customHeight="1">
      <c r="B36" s="445"/>
      <c r="C36" s="445"/>
      <c r="D36" s="445"/>
      <c r="E36" s="445"/>
      <c r="F36" s="445"/>
      <c r="G36" s="445"/>
      <c r="H36" s="445"/>
      <c r="I36" s="445"/>
      <c r="J36" s="445"/>
      <c r="K36" s="445"/>
      <c r="L36" s="445"/>
      <c r="M36" s="445"/>
      <c r="N36" s="445"/>
      <c r="O36" s="445"/>
      <c r="P36" s="445"/>
      <c r="Q36" s="445"/>
      <c r="R36" s="445"/>
      <c r="S36" s="445"/>
      <c r="T36" s="445"/>
      <c r="U36" s="445"/>
      <c r="V36" s="445"/>
      <c r="W36" s="445"/>
      <c r="X36" s="445"/>
      <c r="Y36" s="445"/>
      <c r="Z36" s="445"/>
      <c r="AA36" s="445"/>
      <c r="AB36" s="457"/>
      <c r="AC36" s="445"/>
      <c r="AD36" s="445"/>
      <c r="AE36" s="445"/>
      <c r="AF36" s="445"/>
      <c r="AG36" s="445"/>
      <c r="AH36" s="445"/>
      <c r="AI36" s="445"/>
      <c r="AJ36" s="445"/>
      <c r="AK36" s="445"/>
      <c r="AL36" s="445"/>
      <c r="AM36" s="445"/>
      <c r="AN36" s="445"/>
      <c r="AO36" s="445"/>
      <c r="AP36" s="445"/>
      <c r="AQ36" s="445"/>
      <c r="AR36" s="445"/>
      <c r="AS36" s="445"/>
      <c r="AT36" s="445"/>
      <c r="AU36" s="445"/>
      <c r="AV36" s="445"/>
      <c r="AW36" s="445"/>
      <c r="AX36" s="445"/>
      <c r="AY36" s="445"/>
      <c r="AZ36" s="445"/>
      <c r="BA36" s="445"/>
      <c r="BB36" s="445"/>
      <c r="BC36" s="445"/>
      <c r="BD36" s="445"/>
      <c r="BE36" s="445"/>
      <c r="BF36" s="445"/>
      <c r="BG36" s="445"/>
      <c r="BH36" s="445"/>
      <c r="BI36" s="445"/>
      <c r="BJ36" s="445"/>
      <c r="BK36" s="445"/>
      <c r="BL36" s="445"/>
      <c r="BM36" s="445"/>
      <c r="BN36" s="445"/>
      <c r="BO36" s="445"/>
      <c r="BP36" s="445"/>
      <c r="BQ36" s="445"/>
      <c r="BR36" s="445"/>
      <c r="BS36" s="445"/>
      <c r="BT36" s="445"/>
      <c r="BU36" s="445"/>
      <c r="BV36" s="445"/>
      <c r="BW36" s="445"/>
      <c r="BX36" s="445"/>
      <c r="BY36" s="445"/>
      <c r="BZ36" s="445"/>
      <c r="CA36" s="445"/>
      <c r="CB36" s="445"/>
      <c r="CC36" s="445"/>
      <c r="CD36" s="445"/>
      <c r="CE36" s="445"/>
      <c r="CF36" s="445"/>
      <c r="CG36" s="445"/>
      <c r="CH36" s="445"/>
      <c r="CI36" s="445"/>
      <c r="CJ36" s="445"/>
      <c r="CK36" s="445"/>
      <c r="CL36" s="445"/>
      <c r="CM36" s="445"/>
      <c r="CN36" s="445"/>
      <c r="CO36" s="445"/>
      <c r="CP36" s="445"/>
      <c r="CQ36" s="445"/>
      <c r="CR36" s="445"/>
      <c r="CS36" s="445"/>
      <c r="CT36" s="445"/>
      <c r="CU36" s="445"/>
      <c r="CV36" s="445"/>
      <c r="CW36" s="445"/>
      <c r="CX36" s="445"/>
      <c r="CY36" s="445"/>
      <c r="CZ36" s="445"/>
      <c r="DA36" s="445"/>
      <c r="DB36" s="445"/>
      <c r="DC36" s="445"/>
      <c r="DD36" s="445"/>
      <c r="DE36" s="445"/>
      <c r="DF36" s="445"/>
      <c r="DG36" s="445"/>
      <c r="DH36" s="445"/>
      <c r="DI36" s="445"/>
      <c r="DJ36" s="445"/>
      <c r="DK36" s="445"/>
      <c r="DL36" s="445"/>
      <c r="DM36" s="445"/>
      <c r="DN36" s="445"/>
      <c r="DO36" s="445"/>
      <c r="DP36" s="445"/>
      <c r="DQ36" s="445"/>
      <c r="DR36" s="442"/>
      <c r="DS36" s="442"/>
      <c r="DT36" s="442"/>
      <c r="DU36" s="442"/>
      <c r="DV36" s="442"/>
      <c r="DW36" s="442"/>
      <c r="DX36" s="442"/>
      <c r="DY36" s="442"/>
      <c r="DZ36" s="442"/>
      <c r="EA36" s="442"/>
      <c r="EB36" s="442"/>
      <c r="EC36" s="442"/>
      <c r="ED36" s="442"/>
      <c r="EE36" s="442"/>
      <c r="EF36" s="442"/>
      <c r="EG36" s="442"/>
      <c r="EH36" s="442"/>
      <c r="EI36" s="442"/>
      <c r="EJ36" s="442"/>
      <c r="EK36" s="442"/>
      <c r="EL36" s="442"/>
      <c r="EM36" s="442"/>
      <c r="EN36" s="442"/>
      <c r="EO36" s="442"/>
      <c r="EP36" s="442"/>
      <c r="EQ36" s="442"/>
      <c r="ER36" s="442"/>
      <c r="ES36" s="442"/>
      <c r="ET36" s="442"/>
      <c r="EU36" s="445"/>
    </row>
    <row r="37" spans="2:151" ht="16.350000000000001" customHeight="1">
      <c r="AB37" s="263"/>
      <c r="EU37" s="7"/>
    </row>
    <row r="38" spans="2:151" ht="16.350000000000001" customHeight="1">
      <c r="AB38" s="263"/>
      <c r="EU38" s="7"/>
    </row>
    <row r="39" spans="2:151" ht="16.350000000000001" customHeight="1">
      <c r="AB39" s="263"/>
    </row>
    <row r="40" spans="2:151" ht="16.350000000000001" customHeight="1">
      <c r="AB40" s="263"/>
    </row>
    <row r="41" spans="2:151" ht="16.350000000000001" customHeight="1">
      <c r="AB41" s="263"/>
    </row>
    <row r="42" spans="2:151" ht="16.350000000000001" customHeight="1">
      <c r="AB42" s="263"/>
    </row>
    <row r="43" spans="2:151" ht="16.350000000000001" customHeight="1">
      <c r="AB43" s="263"/>
    </row>
    <row r="44" spans="2:151" ht="16.350000000000001" customHeight="1">
      <c r="AB44" s="263"/>
    </row>
    <row r="45" spans="2:151" ht="16.350000000000001" customHeight="1">
      <c r="AB45" s="263"/>
    </row>
    <row r="46" spans="2:151" ht="16.350000000000001" customHeight="1">
      <c r="AB46" s="263"/>
    </row>
    <row r="47" spans="2:151" ht="16.350000000000001" customHeight="1">
      <c r="AB47" s="263"/>
    </row>
    <row r="48" spans="2:151" ht="16.350000000000001" customHeight="1">
      <c r="AB48" s="263"/>
    </row>
    <row r="49" spans="28:28" ht="16.350000000000001" customHeight="1">
      <c r="AB49" s="263"/>
    </row>
    <row r="50" spans="28:28" ht="16.350000000000001" customHeight="1">
      <c r="AB50" s="263"/>
    </row>
    <row r="51" spans="28:28" ht="16.350000000000001" customHeight="1">
      <c r="AB51" s="263"/>
    </row>
    <row r="52" spans="28:28" ht="16.350000000000001" customHeight="1">
      <c r="AB52" s="263"/>
    </row>
    <row r="53" spans="28:28" ht="16.350000000000001" customHeight="1">
      <c r="AB53" s="263"/>
    </row>
    <row r="54" spans="28:28" ht="16.350000000000001" customHeight="1">
      <c r="AB54" s="263"/>
    </row>
    <row r="55" spans="28:28" ht="16.350000000000001" customHeight="1">
      <c r="AB55" s="263"/>
    </row>
    <row r="56" spans="28:28" ht="16.350000000000001" customHeight="1">
      <c r="AB56" s="263"/>
    </row>
    <row r="57" spans="28:28" ht="16.350000000000001" customHeight="1">
      <c r="AB57" s="263"/>
    </row>
    <row r="58" spans="28:28" ht="16.350000000000001" customHeight="1">
      <c r="AB58" s="263"/>
    </row>
  </sheetData>
  <dataConsolidate/>
  <phoneticPr fontId="29" type="noConversion"/>
  <conditionalFormatting sqref="DL5:DQ5">
    <cfRule type="cellIs" dxfId="17" priority="21" operator="notEqual">
      <formula>0</formula>
    </cfRule>
    <cfRule type="cellIs" dxfId="16" priority="22" operator="equal">
      <formula>0</formula>
    </cfRule>
  </conditionalFormatting>
  <printOptions horizontalCentered="1"/>
  <pageMargins left="0.25" right="0.25" top="0.75" bottom="0.75" header="0.3" footer="0.3"/>
  <pageSetup paperSize="9" scale="49" orientation="landscape" horizontalDpi="300" verticalDpi="300" r:id="rId1"/>
  <headerFooter alignWithMargins="0">
    <oddHeader>&amp;L&amp;G</oddHeader>
    <oddFooter>&amp;L&amp;"Calibri"&amp;11&amp;K000000&amp;"Calibri"&amp;11&amp;K000000&amp;"Calibri"&amp;11 Investor Relations Lojas Renner  S.A._x000D_&amp;1#&amp;"Calibri"&amp;10&amp;KA80000 Classificação: Confidencial</oddFooter>
  </headerFooter>
  <colBreaks count="5" manualBreakCount="5">
    <brk id="10" max="1048575" man="1"/>
    <brk id="17" max="1048575" man="1"/>
    <brk id="24" max="1048575" man="1"/>
    <brk id="31" max="1048575" man="1"/>
    <brk id="38" max="1048575" man="1"/>
  </colBreaks>
  <ignoredErrors>
    <ignoredError sqref="DD31:DN31 CP11:DN11 X11:AA11 DR8 DV7:DV14 DU18 DU24:DX24 DU31:DW31 DW18 DW11 DU11 DU27 DU25 DU26 DU33 DW33 DY11 DX7:DX15 DX31:DY31 DR11 DQ7:DQ10 DQ12:DQ14 DY18:DY24 EB18 DX18 EB11 EB31 EC8:ED14 EB24:ED24 EC18:EF18 EC20 EC31:EF31 EE7:EE10 EE20 EE12:EE14 EF11 EE24:EF24 ED33 EC7 DX20 EI11 EI18:EI19 EI31:EI32 ED19 EF19 EJ7:EJ10 EJ12 EJ14 EI24 EK19 EJ20 EJ24:EM24 EJ31 EJ18:EL18 EK11 EL8:EM12 EK32 EK31:EM31 EL32:EM32 EL20 EM19 DR32:DY32 EL14:EM15 EM13 AD11:CH11 DQ31:DR31 DQ11 EQ8:ER12 EP11:EP13 ER19 EQ20 EM18:ER18 ER32 EP24 EQ33 EP31:EQ31 DO9:DO14 DP9:DP11 DN32:DP32 DO31:DP31 EQ14:ER15 EQ24 EP32 EP19 ER13 ES7:ES14 ET18:ET19 ES20 ET11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19110580EDB74FB253C4FA600E1D5F" ma:contentTypeVersion="15" ma:contentTypeDescription="Crie um novo documento." ma:contentTypeScope="" ma:versionID="0b65079e0c97bcfed1c79764ccef4bb5">
  <xsd:schema xmlns:xsd="http://www.w3.org/2001/XMLSchema" xmlns:xs="http://www.w3.org/2001/XMLSchema" xmlns:p="http://schemas.microsoft.com/office/2006/metadata/properties" xmlns:ns1="http://schemas.microsoft.com/sharepoint/v3" xmlns:ns3="674f8384-26db-4e0a-b7ec-e948198b979e" xmlns:ns4="cbef08ae-1380-49c0-9ae8-c83ac6d86f72" targetNamespace="http://schemas.microsoft.com/office/2006/metadata/properties" ma:root="true" ma:fieldsID="6f4603fe570f2309a81825fa595f6f4d" ns1:_="" ns3:_="" ns4:_="">
    <xsd:import namespace="http://schemas.microsoft.com/sharepoint/v3"/>
    <xsd:import namespace="674f8384-26db-4e0a-b7ec-e948198b979e"/>
    <xsd:import namespace="cbef08ae-1380-49c0-9ae8-c83ac6d86f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1:_ip_UnifiedCompliancePolicyProperties" minOccurs="0"/>
                <xsd:element ref="ns1:_ip_UnifiedCompliancePolicyUIAction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4f8384-26db-4e0a-b7ec-e948198b97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ef08ae-1380-49c0-9ae8-c83ac6d86f7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D4044D-D99B-43EA-B7AA-8D39377844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D838DD7-C331-4D0E-AD12-47F6DEE345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74f8384-26db-4e0a-b7ec-e948198b979e"/>
    <ds:schemaRef ds:uri="cbef08ae-1380-49c0-9ae8-c83ac6d86f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59AAAA7-9C36-4374-A7E4-0FB672D6A5E6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purl.org/dc/elements/1.1/"/>
    <ds:schemaRef ds:uri="http://schemas.microsoft.com/office/infopath/2007/PartnerControls"/>
    <ds:schemaRef ds:uri="674f8384-26db-4e0a-b7ec-e948198b979e"/>
    <ds:schemaRef ds:uri="http://www.w3.org/XML/1998/namespace"/>
    <ds:schemaRef ds:uri="http://purl.org/dc/dcmitype/"/>
    <ds:schemaRef ds:uri="http://schemas.openxmlformats.org/package/2006/metadata/core-properties"/>
    <ds:schemaRef ds:uri="cbef08ae-1380-49c0-9ae8-c83ac6d86f72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b5f82426-01a2-4193-9973-40d446eb9b4f}" enabled="1" method="Privileged" siteId="{2ed3917a-33f9-4b36-80ed-3697e30505b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19</vt:i4>
      </vt:variant>
    </vt:vector>
  </HeadingPairs>
  <TitlesOfParts>
    <vt:vector size="19" baseType="lpstr">
      <vt:lpstr>Home</vt:lpstr>
      <vt:lpstr>Balance Sheet</vt:lpstr>
      <vt:lpstr>Income Statement</vt:lpstr>
      <vt:lpstr>Cash Flow</vt:lpstr>
      <vt:lpstr>Accounts Receivables</vt:lpstr>
      <vt:lpstr>Estimated Credit Losses IFRS</vt:lpstr>
      <vt:lpstr>NPL Formation</vt:lpstr>
      <vt:lpstr>Financial Services</vt:lpstr>
      <vt:lpstr>EBITDA</vt:lpstr>
      <vt:lpstr>EBITDA Ex-IFRS 16</vt:lpstr>
      <vt:lpstr>Operating Data</vt:lpstr>
      <vt:lpstr>B&amp;M Units</vt:lpstr>
      <vt:lpstr>TD</vt:lpstr>
      <vt:lpstr>ROIC</vt:lpstr>
      <vt:lpstr>CAPEX</vt:lpstr>
      <vt:lpstr>Dividends and IOC</vt:lpstr>
      <vt:lpstr>Receivables BACEN</vt:lpstr>
      <vt:lpstr>UF</vt:lpstr>
      <vt:lpstr>Quarters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mauricio.toller@lojasrenner.com.br</dc:creator>
  <cp:lastModifiedBy>Mauricio Martinbianco Toller</cp:lastModifiedBy>
  <cp:lastPrinted>2024-08-05T18:42:29Z</cp:lastPrinted>
  <dcterms:created xsi:type="dcterms:W3CDTF">2011-01-20T11:09:57Z</dcterms:created>
  <dcterms:modified xsi:type="dcterms:W3CDTF">2026-08-20T19:45:26Z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0x0101004C19110580EDB74FB253C4FA600E1D5F</vt:lpwstr>
  </property>
  <property fmtid="{D5CDD505-2E9C-101B-9397-08002B2CF9AE}" pid="4" name="SV_HIDDEN_GRID_QUERY_LIST_4F35BF76-6C0D-4D9B-82B2-816C12CF3733">
    <vt:lpwstr>empty_477D106A-C0D6-4607-AEBD-E2C9D60EA279</vt:lpwstr>
  </property>
  <property fmtid="{D5CDD505-2E9C-101B-9397-08002B2CF9AE}" pid="5" name="MSIP_Label_b5f82426-01a2-4193-9973-40d446eb9b4f_Enabled">
    <vt:lpwstr>true</vt:lpwstr>
  </property>
  <property fmtid="{D5CDD505-2E9C-101B-9397-08002B2CF9AE}" pid="6" name="MSIP_Label_b5f82426-01a2-4193-9973-40d446eb9b4f_SetDate">
    <vt:lpwstr>2024-04-30T13:59:26Z</vt:lpwstr>
  </property>
  <property fmtid="{D5CDD505-2E9C-101B-9397-08002B2CF9AE}" pid="7" name="MSIP_Label_b5f82426-01a2-4193-9973-40d446eb9b4f_Method">
    <vt:lpwstr>Privileged</vt:lpwstr>
  </property>
  <property fmtid="{D5CDD505-2E9C-101B-9397-08002B2CF9AE}" pid="8" name="MSIP_Label_b5f82426-01a2-4193-9973-40d446eb9b4f_Name">
    <vt:lpwstr>TESTE - Confidencial com proteção</vt:lpwstr>
  </property>
  <property fmtid="{D5CDD505-2E9C-101B-9397-08002B2CF9AE}" pid="9" name="MSIP_Label_b5f82426-01a2-4193-9973-40d446eb9b4f_SiteId">
    <vt:lpwstr>2ed3917a-33f9-4b36-80ed-3697e30505b0</vt:lpwstr>
  </property>
  <property fmtid="{D5CDD505-2E9C-101B-9397-08002B2CF9AE}" pid="10" name="MSIP_Label_b5f82426-01a2-4193-9973-40d446eb9b4f_ActionId">
    <vt:lpwstr>62eefc57-d6f3-43fe-8872-5a0488f0c880</vt:lpwstr>
  </property>
  <property fmtid="{D5CDD505-2E9C-101B-9397-08002B2CF9AE}" pid="11" name="MSIP_Label_b5f82426-01a2-4193-9973-40d446eb9b4f_ContentBits">
    <vt:lpwstr>2</vt:lpwstr>
  </property>
</Properties>
</file>