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C:\Users\nayara.viera\Downloads\"/>
    </mc:Choice>
  </mc:AlternateContent>
  <xr:revisionPtr revIDLastSave="0" documentId="13_ncr:1_{1854316A-B028-47B6-BDCC-EFCD20D3DFA8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Portfólio" sheetId="32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Portfólio!$A$9:$AU$72</definedName>
    <definedName name="_xlnm.Print_Area" localSheetId="2">CAPEX!$A$1:$L$21</definedName>
    <definedName name="_xlnm.Print_Area" localSheetId="6">DFC!$A$1:$E$67</definedName>
    <definedName name="_xlnm.Print_Area" localSheetId="0">Portfólio!$B$1:$R$121</definedName>
  </definedNames>
  <calcPr calcId="191029"/>
</workbook>
</file>

<file path=xl/calcChain.xml><?xml version="1.0" encoding="utf-8"?>
<calcChain xmlns="http://schemas.openxmlformats.org/spreadsheetml/2006/main">
  <c r="K15" i="34" l="1"/>
  <c r="K6" i="34"/>
  <c r="L38" i="39"/>
  <c r="K38" i="39"/>
  <c r="J38" i="39"/>
  <c r="I38" i="39"/>
  <c r="H38" i="39"/>
  <c r="G38" i="39"/>
  <c r="F38" i="39"/>
  <c r="E38" i="39"/>
  <c r="D38" i="39"/>
  <c r="C38" i="39"/>
  <c r="B38" i="39"/>
  <c r="B123" i="32"/>
  <c r="B122" i="32"/>
  <c r="B45" i="32"/>
  <c r="AS117" i="32"/>
  <c r="K40" i="39"/>
  <c r="K48" i="39" l="1"/>
  <c r="L21" i="39"/>
  <c r="L23" i="39"/>
  <c r="L25" i="39"/>
  <c r="L27" i="39"/>
  <c r="B9" i="32" l="1"/>
  <c r="B108" i="32" l="1"/>
  <c r="B101" i="32"/>
  <c r="AS7" i="32" l="1"/>
  <c r="AT7" i="32" l="1"/>
  <c r="B80" i="32" l="1"/>
  <c r="B77" i="32"/>
  <c r="AS6" i="32" l="1"/>
  <c r="AO6" i="32"/>
  <c r="AK6" i="32"/>
  <c r="AG6" i="32"/>
  <c r="AC6" i="32"/>
  <c r="U6" i="32"/>
  <c r="K14" i="34"/>
  <c r="J14" i="34"/>
  <c r="I14" i="34"/>
  <c r="H14" i="34"/>
  <c r="G14" i="34"/>
  <c r="F14" i="34"/>
  <c r="E14" i="34"/>
  <c r="D14" i="34"/>
  <c r="D5" i="34"/>
  <c r="K5" i="34"/>
  <c r="J5" i="34"/>
  <c r="I5" i="34"/>
  <c r="H5" i="34"/>
  <c r="G5" i="34"/>
  <c r="F5" i="34"/>
  <c r="E5" i="34"/>
  <c r="C14" i="34"/>
  <c r="C5" i="34"/>
  <c r="AS116" i="32"/>
  <c r="M5" i="38"/>
  <c r="M5" i="37"/>
  <c r="M5" i="35"/>
  <c r="M5" i="36"/>
  <c r="M5" i="39"/>
  <c r="AS5" i="32"/>
  <c r="L5" i="35"/>
  <c r="L5" i="36"/>
  <c r="L5" i="39"/>
  <c r="B12" i="38" l="1"/>
  <c r="L25" i="37"/>
  <c r="L23" i="38"/>
  <c r="L36" i="38" s="1"/>
  <c r="L49" i="38"/>
  <c r="L66" i="38"/>
  <c r="L44" i="37" l="1"/>
  <c r="L36" i="37"/>
  <c r="L15" i="37"/>
  <c r="L7" i="37"/>
  <c r="K25" i="39"/>
  <c r="J25" i="39"/>
  <c r="L55" i="37" l="1"/>
  <c r="L24" i="37"/>
  <c r="L6" i="37"/>
  <c r="B91" i="32" l="1"/>
  <c r="J110" i="32"/>
  <c r="N110" i="32"/>
  <c r="R110" i="32"/>
  <c r="V110" i="32"/>
  <c r="Z110" i="32"/>
  <c r="AD110" i="32"/>
  <c r="AH110" i="32"/>
  <c r="L5" i="38" l="1"/>
  <c r="L5" i="37"/>
  <c r="AO116" i="32"/>
  <c r="AO5" i="32"/>
  <c r="K21" i="39"/>
  <c r="AK5" i="32"/>
  <c r="K34" i="39" l="1"/>
  <c r="J23" i="38" l="1"/>
  <c r="I23" i="38"/>
  <c r="H23" i="38"/>
  <c r="G23" i="38"/>
  <c r="F23" i="38"/>
  <c r="E23" i="38"/>
  <c r="D23" i="38"/>
  <c r="C23" i="38"/>
  <c r="K23" i="38"/>
  <c r="K60" i="38"/>
  <c r="K66" i="38" s="1"/>
  <c r="K58" i="38"/>
  <c r="B52" i="38"/>
  <c r="K44" i="37" l="1"/>
  <c r="K36" i="37"/>
  <c r="K25" i="37"/>
  <c r="K15" i="37"/>
  <c r="K7" i="37"/>
  <c r="K55" i="37" l="1"/>
  <c r="K24" i="37"/>
  <c r="K6" i="37"/>
  <c r="K18" i="35" l="1"/>
  <c r="K20" i="35" s="1"/>
  <c r="K28" i="35" s="1"/>
  <c r="K32" i="35" s="1"/>
  <c r="K33" i="35"/>
  <c r="K29" i="35"/>
  <c r="K21" i="35"/>
  <c r="K6" i="35"/>
  <c r="K12" i="35" s="1"/>
  <c r="J6" i="35"/>
  <c r="K18" i="36"/>
  <c r="J18" i="36"/>
  <c r="K11" i="36"/>
  <c r="J11" i="36"/>
  <c r="K8" i="36"/>
  <c r="K10" i="36" s="1"/>
  <c r="K17" i="36" s="1"/>
  <c r="K21" i="36" s="1"/>
  <c r="K24" i="36" s="1"/>
  <c r="J8" i="36"/>
  <c r="J10" i="36" s="1"/>
  <c r="J17" i="36" s="1"/>
  <c r="J21" i="36" s="1"/>
  <c r="K59" i="39"/>
  <c r="J59" i="39"/>
  <c r="K44" i="39"/>
  <c r="J44" i="39"/>
  <c r="K55" i="39"/>
  <c r="J55" i="39"/>
  <c r="J48" i="39"/>
  <c r="J40" i="39"/>
  <c r="K36" i="39"/>
  <c r="J36" i="39"/>
  <c r="J34" i="39"/>
  <c r="J21" i="39"/>
  <c r="K23" i="39"/>
  <c r="J23" i="39"/>
  <c r="J27" i="39"/>
  <c r="K27" i="39"/>
  <c r="J61" i="39" l="1"/>
  <c r="J63" i="39" s="1"/>
  <c r="K61" i="39"/>
  <c r="K63" i="39" s="1"/>
  <c r="K52" i="39"/>
  <c r="J52" i="39"/>
  <c r="K36" i="35"/>
  <c r="K40" i="35" s="1"/>
  <c r="K5" i="38" l="1"/>
  <c r="K5" i="37"/>
  <c r="K5" i="35"/>
  <c r="AG5" i="32"/>
  <c r="AC5" i="32"/>
  <c r="K5" i="39"/>
  <c r="J5" i="39"/>
  <c r="K5" i="36"/>
  <c r="B100" i="32"/>
  <c r="J60" i="38" l="1"/>
  <c r="J66" i="38" s="1"/>
  <c r="J58" i="38"/>
  <c r="J49" i="38"/>
  <c r="B41" i="38"/>
  <c r="J36" i="38"/>
  <c r="J21" i="35"/>
  <c r="J7" i="37" l="1"/>
  <c r="J33" i="35"/>
  <c r="J29" i="35"/>
  <c r="J12" i="35"/>
  <c r="I31" i="39"/>
  <c r="J24" i="36"/>
  <c r="J44" i="37"/>
  <c r="J36" i="37"/>
  <c r="J25" i="37"/>
  <c r="J18" i="35"/>
  <c r="J20" i="35" s="1"/>
  <c r="J28" i="35" s="1"/>
  <c r="J32" i="35" s="1"/>
  <c r="J36" i="35" s="1"/>
  <c r="J40" i="35" s="1"/>
  <c r="J24" i="37" l="1"/>
  <c r="I44" i="39"/>
  <c r="I55" i="39"/>
  <c r="J5" i="38" l="1"/>
  <c r="J5" i="37"/>
  <c r="J55" i="37"/>
  <c r="J15" i="37"/>
  <c r="J6" i="37" s="1"/>
  <c r="J5" i="35"/>
  <c r="J5" i="36" l="1"/>
  <c r="B96" i="32" l="1"/>
  <c r="M6" i="32" l="1"/>
  <c r="Q6" i="32"/>
  <c r="Y6" i="32"/>
  <c r="I6" i="32"/>
  <c r="Y5" i="32"/>
  <c r="U5" i="32"/>
  <c r="Q5" i="32"/>
  <c r="M5" i="32"/>
  <c r="I5" i="32"/>
  <c r="B20" i="35" l="1"/>
  <c r="I25" i="37" l="1"/>
  <c r="I18" i="36"/>
  <c r="I11" i="36"/>
  <c r="H55" i="39"/>
  <c r="I6" i="35" l="1"/>
  <c r="I12" i="35" s="1"/>
  <c r="H8" i="36" l="1"/>
  <c r="I18" i="35" l="1"/>
  <c r="G8" i="36" l="1"/>
  <c r="F8" i="36"/>
  <c r="I66" i="38"/>
  <c r="H66" i="38"/>
  <c r="G66" i="38"/>
  <c r="F66" i="38"/>
  <c r="G58" i="38"/>
  <c r="H58" i="38"/>
  <c r="I58" i="38"/>
  <c r="F58" i="38"/>
  <c r="I49" i="38"/>
  <c r="H49" i="38"/>
  <c r="G49" i="38"/>
  <c r="F49" i="38"/>
  <c r="I36" i="38"/>
  <c r="H36" i="38"/>
  <c r="G36" i="38"/>
  <c r="F36" i="38"/>
  <c r="Y120" i="32" l="1"/>
  <c r="Z118" i="32"/>
  <c r="Z120" i="32" s="1"/>
  <c r="I5" i="38"/>
  <c r="I44" i="37"/>
  <c r="I36" i="37"/>
  <c r="I24" i="37" s="1"/>
  <c r="I15" i="37"/>
  <c r="I7" i="37"/>
  <c r="I5" i="37"/>
  <c r="I33" i="35"/>
  <c r="I29" i="35"/>
  <c r="I21" i="35"/>
  <c r="I20" i="35"/>
  <c r="I18" i="39"/>
  <c r="I5" i="35"/>
  <c r="I8" i="36"/>
  <c r="I32" i="39" s="1"/>
  <c r="I36" i="39" s="1"/>
  <c r="I5" i="36"/>
  <c r="I5" i="39"/>
  <c r="I59" i="39"/>
  <c r="I61" i="39" s="1"/>
  <c r="I63" i="39" s="1"/>
  <c r="I48" i="39"/>
  <c r="I52" i="39" s="1"/>
  <c r="B11" i="39"/>
  <c r="B6" i="39"/>
  <c r="B15" i="39"/>
  <c r="B13" i="39"/>
  <c r="B10" i="39"/>
  <c r="B8" i="39"/>
  <c r="B23" i="39"/>
  <c r="B14" i="39"/>
  <c r="B12" i="39"/>
  <c r="B9" i="39"/>
  <c r="B7" i="39"/>
  <c r="I55" i="37" l="1"/>
  <c r="I6" i="37"/>
  <c r="I28" i="35"/>
  <c r="I32" i="35" s="1"/>
  <c r="I36" i="35" s="1"/>
  <c r="I20" i="39"/>
  <c r="I10" i="36"/>
  <c r="I19" i="39"/>
  <c r="B15" i="34"/>
  <c r="I17" i="36" l="1"/>
  <c r="I21" i="36" s="1"/>
  <c r="I24" i="36" s="1"/>
  <c r="I33" i="39"/>
  <c r="I34" i="39" s="1"/>
  <c r="I39" i="39"/>
  <c r="I40" i="39" s="1"/>
  <c r="I21" i="39"/>
  <c r="I22" i="39"/>
  <c r="I23" i="39" s="1"/>
  <c r="I40" i="35"/>
  <c r="I28" i="39"/>
  <c r="I26" i="39"/>
  <c r="I27" i="39" s="1"/>
  <c r="B12" i="36"/>
  <c r="I24" i="39" l="1"/>
  <c r="I25" i="39" l="1"/>
  <c r="H25" i="37"/>
  <c r="H44" i="39"/>
  <c r="G6" i="35" l="1"/>
  <c r="H33" i="35" l="1"/>
  <c r="H18" i="35"/>
  <c r="H29" i="35"/>
  <c r="H21" i="35"/>
  <c r="G60" i="38" l="1"/>
  <c r="H18" i="36"/>
  <c r="H11" i="36"/>
  <c r="H10" i="36"/>
  <c r="H17" i="36" s="1"/>
  <c r="H5" i="38" l="1"/>
  <c r="H5" i="37"/>
  <c r="H44" i="37"/>
  <c r="H36" i="37"/>
  <c r="H24" i="37" s="1"/>
  <c r="H15" i="37"/>
  <c r="H7" i="37"/>
  <c r="H5" i="39"/>
  <c r="H59" i="39"/>
  <c r="H48" i="39"/>
  <c r="H52" i="39" s="1"/>
  <c r="H31" i="39"/>
  <c r="H5" i="35"/>
  <c r="H20" i="35"/>
  <c r="H6" i="35"/>
  <c r="H12" i="35" s="1"/>
  <c r="H19" i="39" s="1"/>
  <c r="H5" i="36"/>
  <c r="H21" i="36"/>
  <c r="H24" i="36" s="1"/>
  <c r="H39" i="39" s="1"/>
  <c r="H18" i="39" l="1"/>
  <c r="H61" i="39"/>
  <c r="H63" i="39" s="1"/>
  <c r="H55" i="37"/>
  <c r="H6" i="37"/>
  <c r="H28" i="35"/>
  <c r="H32" i="35" s="1"/>
  <c r="H36" i="35" s="1"/>
  <c r="H20" i="39"/>
  <c r="H21" i="39" s="1"/>
  <c r="H32" i="39"/>
  <c r="H36" i="39" s="1"/>
  <c r="H33" i="39"/>
  <c r="F6" i="35"/>
  <c r="G18" i="39"/>
  <c r="G44" i="39"/>
  <c r="H40" i="39" l="1"/>
  <c r="H34" i="39"/>
  <c r="H40" i="35"/>
  <c r="H26" i="39"/>
  <c r="H27" i="39" s="1"/>
  <c r="H28" i="39"/>
  <c r="H22" i="39"/>
  <c r="F55" i="39"/>
  <c r="G55" i="39"/>
  <c r="F48" i="39"/>
  <c r="F44" i="39"/>
  <c r="E44" i="39"/>
  <c r="G18" i="35"/>
  <c r="G20" i="35" s="1"/>
  <c r="F18" i="35"/>
  <c r="G7" i="37"/>
  <c r="H23" i="39" l="1"/>
  <c r="H24" i="39"/>
  <c r="G29" i="35"/>
  <c r="F29" i="35"/>
  <c r="G21" i="35"/>
  <c r="F21" i="35"/>
  <c r="H25" i="39" l="1"/>
  <c r="G5" i="38"/>
  <c r="G5" i="37"/>
  <c r="G44" i="37"/>
  <c r="G36" i="37"/>
  <c r="G25" i="37"/>
  <c r="G24" i="37" s="1"/>
  <c r="G15" i="37"/>
  <c r="G5" i="39"/>
  <c r="G59" i="39"/>
  <c r="G61" i="39" s="1"/>
  <c r="G63" i="39" s="1"/>
  <c r="G48" i="39"/>
  <c r="G52" i="39" s="1"/>
  <c r="G31" i="39"/>
  <c r="G5" i="35"/>
  <c r="G33" i="35"/>
  <c r="G5" i="36"/>
  <c r="G18" i="36"/>
  <c r="G11" i="36"/>
  <c r="G10" i="36"/>
  <c r="G17" i="36" s="1"/>
  <c r="G21" i="36" s="1"/>
  <c r="G24" i="36" s="1"/>
  <c r="G39" i="39" s="1"/>
  <c r="G33" i="39" l="1"/>
  <c r="G20" i="39"/>
  <c r="G12" i="35"/>
  <c r="G19" i="39" s="1"/>
  <c r="G32" i="39"/>
  <c r="G36" i="39" s="1"/>
  <c r="G55" i="37"/>
  <c r="G6" i="37"/>
  <c r="G40" i="39" l="1"/>
  <c r="G21" i="39"/>
  <c r="G34" i="39"/>
  <c r="G28" i="35"/>
  <c r="G32" i="35" s="1"/>
  <c r="G36" i="35" s="1"/>
  <c r="G40" i="35" l="1"/>
  <c r="G22" i="39"/>
  <c r="G26" i="39"/>
  <c r="G27" i="39" s="1"/>
  <c r="G28" i="39"/>
  <c r="G24" i="39" l="1"/>
  <c r="G23" i="39"/>
  <c r="F44" i="37"/>
  <c r="F15" i="37"/>
  <c r="G25" i="39" l="1"/>
  <c r="F20" i="35"/>
  <c r="F11" i="36"/>
  <c r="F28" i="35" l="1"/>
  <c r="F32" i="35" s="1"/>
  <c r="F20" i="39"/>
  <c r="F5" i="39" l="1"/>
  <c r="F5" i="38"/>
  <c r="F60" i="38"/>
  <c r="F36" i="37"/>
  <c r="F25" i="37"/>
  <c r="F7" i="37"/>
  <c r="F6" i="37" s="1"/>
  <c r="F5" i="37"/>
  <c r="F59" i="39"/>
  <c r="F31" i="39"/>
  <c r="F33" i="35"/>
  <c r="E33" i="35"/>
  <c r="F12" i="35"/>
  <c r="F19" i="39" s="1"/>
  <c r="F5" i="35"/>
  <c r="F10" i="36"/>
  <c r="E8" i="36"/>
  <c r="E10" i="36" s="1"/>
  <c r="F24" i="37" l="1"/>
  <c r="F33" i="39"/>
  <c r="F17" i="36"/>
  <c r="F52" i="39"/>
  <c r="F36" i="35"/>
  <c r="F21" i="39"/>
  <c r="F61" i="39"/>
  <c r="F63" i="39" s="1"/>
  <c r="F18" i="39"/>
  <c r="F32" i="39"/>
  <c r="F36" i="39" s="1"/>
  <c r="F55" i="37"/>
  <c r="F28" i="39" l="1"/>
  <c r="F40" i="35"/>
  <c r="F22" i="39"/>
  <c r="F26" i="39"/>
  <c r="F27" i="39" s="1"/>
  <c r="F34" i="39"/>
  <c r="F18" i="36"/>
  <c r="F5" i="36"/>
  <c r="F24" i="39" l="1"/>
  <c r="F23" i="39"/>
  <c r="F21" i="36"/>
  <c r="F24" i="36" s="1"/>
  <c r="F39" i="39" s="1"/>
  <c r="F40" i="39" s="1"/>
  <c r="F25" i="39" l="1"/>
  <c r="F5" i="32"/>
  <c r="E5" i="38" l="1"/>
  <c r="E36" i="38"/>
  <c r="E49" i="38"/>
  <c r="E58" i="38"/>
  <c r="E60" i="38" l="1"/>
  <c r="D5" i="38" l="1"/>
  <c r="E5" i="37"/>
  <c r="E7" i="37"/>
  <c r="E15" i="37"/>
  <c r="E25" i="37"/>
  <c r="E36" i="37"/>
  <c r="E44" i="37"/>
  <c r="D5" i="37"/>
  <c r="E5" i="39"/>
  <c r="E31" i="39"/>
  <c r="E48" i="39"/>
  <c r="E55" i="39"/>
  <c r="E59" i="39"/>
  <c r="D5" i="39"/>
  <c r="E5" i="35"/>
  <c r="E6" i="35"/>
  <c r="E12" i="35" s="1"/>
  <c r="E19" i="39" s="1"/>
  <c r="E18" i="35"/>
  <c r="E20" i="35" s="1"/>
  <c r="E28" i="35" s="1"/>
  <c r="E32" i="35" s="1"/>
  <c r="E36" i="35" s="1"/>
  <c r="E40" i="35" s="1"/>
  <c r="E21" i="35"/>
  <c r="E29" i="35"/>
  <c r="D5" i="35"/>
  <c r="E5" i="36"/>
  <c r="E17" i="36"/>
  <c r="E21" i="36" s="1"/>
  <c r="E24" i="36" s="1"/>
  <c r="E39" i="39" s="1"/>
  <c r="E11" i="36"/>
  <c r="E18" i="36"/>
  <c r="D5" i="36"/>
  <c r="E24" i="37" l="1"/>
  <c r="E32" i="39"/>
  <c r="E40" i="39" s="1"/>
  <c r="E33" i="39"/>
  <c r="E20" i="39"/>
  <c r="E21" i="39" s="1"/>
  <c r="E28" i="39"/>
  <c r="E26" i="39"/>
  <c r="E27" i="39" s="1"/>
  <c r="E22" i="39"/>
  <c r="E24" i="39" s="1"/>
  <c r="E18" i="39"/>
  <c r="E55" i="37"/>
  <c r="E6" i="37"/>
  <c r="E61" i="39"/>
  <c r="E63" i="39" s="1"/>
  <c r="E52" i="39"/>
  <c r="E25" i="39" l="1"/>
  <c r="E34" i="39"/>
  <c r="E36" i="39"/>
  <c r="E23" i="39"/>
  <c r="D59" i="39" l="1"/>
  <c r="B54" i="39"/>
  <c r="B63" i="39"/>
  <c r="B62" i="39"/>
  <c r="B61" i="39"/>
  <c r="B60" i="39"/>
  <c r="B59" i="39"/>
  <c r="B58" i="39"/>
  <c r="B57" i="39"/>
  <c r="B56" i="39"/>
  <c r="B55" i="39"/>
  <c r="C59" i="39"/>
  <c r="D55" i="39"/>
  <c r="C55" i="39"/>
  <c r="D61" i="39" l="1"/>
  <c r="D63" i="39" s="1"/>
  <c r="C61" i="39"/>
  <c r="C63" i="39" s="1"/>
  <c r="B53" i="38" l="1"/>
  <c r="B18" i="38"/>
  <c r="B14" i="38"/>
  <c r="B56" i="38" l="1"/>
  <c r="L58" i="38" s="1"/>
  <c r="B48" i="38"/>
  <c r="B47" i="38"/>
  <c r="K49" i="38" s="1"/>
  <c r="B30" i="38"/>
  <c r="B28" i="38"/>
  <c r="D63" i="38"/>
  <c r="D44" i="37" l="1"/>
  <c r="D36" i="37"/>
  <c r="D25" i="37"/>
  <c r="D15" i="37"/>
  <c r="D7" i="37"/>
  <c r="D58" i="38"/>
  <c r="D24" i="37" l="1"/>
  <c r="D55" i="37"/>
  <c r="D6" i="37"/>
  <c r="D36" i="38" l="1"/>
  <c r="D49" i="38"/>
  <c r="D31" i="39"/>
  <c r="C31" i="39"/>
  <c r="D44" i="39"/>
  <c r="D48" i="39"/>
  <c r="D6" i="35"/>
  <c r="D12" i="35" s="1"/>
  <c r="D19" i="39" s="1"/>
  <c r="D18" i="35"/>
  <c r="D20" i="35" s="1"/>
  <c r="D21" i="35"/>
  <c r="D29" i="35"/>
  <c r="D33" i="35"/>
  <c r="D28" i="35" l="1"/>
  <c r="D32" i="35" s="1"/>
  <c r="D36" i="35" s="1"/>
  <c r="D20" i="39"/>
  <c r="D21" i="39" s="1"/>
  <c r="D18" i="39"/>
  <c r="D52" i="39"/>
  <c r="D60" i="38"/>
  <c r="D64" i="38" s="1"/>
  <c r="D66" i="38" l="1"/>
  <c r="E63" i="38"/>
  <c r="E64" i="38"/>
  <c r="D40" i="35"/>
  <c r="D22" i="39"/>
  <c r="D26" i="39"/>
  <c r="D27" i="39" s="1"/>
  <c r="D28" i="39"/>
  <c r="D8" i="36"/>
  <c r="D11" i="36"/>
  <c r="D18" i="36"/>
  <c r="C66" i="38"/>
  <c r="B66" i="38"/>
  <c r="B64" i="38"/>
  <c r="B63" i="38"/>
  <c r="B62" i="38"/>
  <c r="B60" i="38"/>
  <c r="C58" i="38"/>
  <c r="B58" i="38"/>
  <c r="B51" i="38"/>
  <c r="C49" i="38"/>
  <c r="B49" i="38"/>
  <c r="B40" i="38"/>
  <c r="B38" i="38"/>
  <c r="B36" i="38"/>
  <c r="B29" i="38"/>
  <c r="B27" i="38"/>
  <c r="B26" i="38"/>
  <c r="B25" i="38"/>
  <c r="C36" i="38"/>
  <c r="B23" i="38"/>
  <c r="B20" i="38"/>
  <c r="B11" i="38"/>
  <c r="B10" i="38"/>
  <c r="B9" i="38"/>
  <c r="B7" i="38"/>
  <c r="B6" i="38"/>
  <c r="C5" i="38"/>
  <c r="B5" i="38"/>
  <c r="B55" i="37"/>
  <c r="B53" i="37"/>
  <c r="B52" i="37"/>
  <c r="B50" i="37"/>
  <c r="B49" i="37"/>
  <c r="B48" i="37"/>
  <c r="B47" i="37"/>
  <c r="B46" i="37"/>
  <c r="B45" i="37"/>
  <c r="C44" i="37"/>
  <c r="B44" i="37"/>
  <c r="B42" i="37"/>
  <c r="B41" i="37"/>
  <c r="B40" i="37"/>
  <c r="B39" i="37"/>
  <c r="B38" i="37"/>
  <c r="B37" i="37"/>
  <c r="C36" i="37"/>
  <c r="B36" i="37"/>
  <c r="B34" i="37"/>
  <c r="B33" i="37"/>
  <c r="B32" i="37"/>
  <c r="B31" i="37"/>
  <c r="B30" i="37"/>
  <c r="B29" i="37"/>
  <c r="B28" i="37"/>
  <c r="B27" i="37"/>
  <c r="B26" i="37"/>
  <c r="C25" i="37"/>
  <c r="B25" i="37"/>
  <c r="B24" i="37"/>
  <c r="B22" i="37"/>
  <c r="B21" i="37"/>
  <c r="B20" i="37"/>
  <c r="B19" i="37"/>
  <c r="B18" i="37"/>
  <c r="B17" i="37"/>
  <c r="B16" i="37"/>
  <c r="C15" i="37"/>
  <c r="B15" i="37"/>
  <c r="B13" i="37"/>
  <c r="B12" i="37"/>
  <c r="B11" i="37"/>
  <c r="B10" i="37"/>
  <c r="B9" i="37"/>
  <c r="B8" i="37"/>
  <c r="C7" i="37"/>
  <c r="B7" i="37"/>
  <c r="B6" i="37"/>
  <c r="C5" i="37"/>
  <c r="B5" i="37"/>
  <c r="B52" i="39"/>
  <c r="B51" i="39"/>
  <c r="B50" i="39"/>
  <c r="B49" i="39"/>
  <c r="C48" i="39"/>
  <c r="B48" i="39"/>
  <c r="B47" i="39"/>
  <c r="B46" i="39"/>
  <c r="B45" i="39"/>
  <c r="C44" i="39"/>
  <c r="B44" i="39"/>
  <c r="B43" i="39"/>
  <c r="B41" i="39"/>
  <c r="B40" i="39"/>
  <c r="B39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0" i="35"/>
  <c r="B39" i="35"/>
  <c r="B38" i="35"/>
  <c r="B37" i="35"/>
  <c r="B36" i="35"/>
  <c r="B35" i="35"/>
  <c r="B34" i="35"/>
  <c r="C33" i="35"/>
  <c r="B33" i="35"/>
  <c r="B32" i="35"/>
  <c r="B31" i="35"/>
  <c r="B30" i="35"/>
  <c r="C29" i="35"/>
  <c r="B29" i="35"/>
  <c r="B28" i="35"/>
  <c r="B27" i="35"/>
  <c r="B26" i="35"/>
  <c r="B25" i="35"/>
  <c r="B24" i="35"/>
  <c r="B23" i="35"/>
  <c r="B22" i="35"/>
  <c r="C21" i="35"/>
  <c r="B21" i="35"/>
  <c r="B19" i="35"/>
  <c r="C18" i="35"/>
  <c r="C20" i="35" s="1"/>
  <c r="B18" i="35"/>
  <c r="B17" i="35"/>
  <c r="B12" i="35"/>
  <c r="B11" i="35"/>
  <c r="B10" i="35"/>
  <c r="B9" i="35"/>
  <c r="B8" i="35"/>
  <c r="B7" i="35"/>
  <c r="C6" i="35"/>
  <c r="B6" i="35"/>
  <c r="C5" i="35"/>
  <c r="B5" i="35"/>
  <c r="B24" i="36"/>
  <c r="B23" i="36"/>
  <c r="B22" i="36"/>
  <c r="B21" i="36"/>
  <c r="B20" i="36"/>
  <c r="B19" i="36"/>
  <c r="C18" i="36"/>
  <c r="B18" i="36"/>
  <c r="B17" i="36"/>
  <c r="B16" i="36"/>
  <c r="B15" i="36"/>
  <c r="B14" i="36"/>
  <c r="B13" i="36"/>
  <c r="C11" i="36"/>
  <c r="B11" i="36"/>
  <c r="B10" i="36"/>
  <c r="B9" i="36"/>
  <c r="B7" i="36"/>
  <c r="B6" i="36"/>
  <c r="C8" i="36"/>
  <c r="C32" i="39" s="1"/>
  <c r="C36" i="39" s="1"/>
  <c r="B8" i="36"/>
  <c r="C5" i="36"/>
  <c r="B5" i="36"/>
  <c r="K36" i="38" l="1"/>
  <c r="C24" i="37"/>
  <c r="C52" i="39"/>
  <c r="E66" i="38"/>
  <c r="C6" i="37"/>
  <c r="C55" i="37"/>
  <c r="D10" i="36"/>
  <c r="D32" i="39"/>
  <c r="D24" i="39"/>
  <c r="D23" i="39"/>
  <c r="C12" i="35"/>
  <c r="C19" i="39" s="1"/>
  <c r="C18" i="39"/>
  <c r="C28" i="35"/>
  <c r="C32" i="35" s="1"/>
  <c r="C36" i="35" s="1"/>
  <c r="C20" i="39"/>
  <c r="C10" i="36"/>
  <c r="C60" i="38"/>
  <c r="D25" i="39" l="1"/>
  <c r="C21" i="39"/>
  <c r="C40" i="35"/>
  <c r="C26" i="39"/>
  <c r="C27" i="39" s="1"/>
  <c r="C22" i="39"/>
  <c r="C28" i="39"/>
  <c r="D36" i="39"/>
  <c r="C33" i="39"/>
  <c r="C34" i="39" s="1"/>
  <c r="C17" i="36"/>
  <c r="C21" i="36" s="1"/>
  <c r="C24" i="36" s="1"/>
  <c r="C39" i="39" s="1"/>
  <c r="C40" i="39" s="1"/>
  <c r="D17" i="36"/>
  <c r="D21" i="36" s="1"/>
  <c r="D24" i="36" s="1"/>
  <c r="D39" i="39" s="1"/>
  <c r="D40" i="39" s="1"/>
  <c r="D33" i="39"/>
  <c r="D34" i="39" s="1"/>
  <c r="B6" i="34"/>
  <c r="B119" i="32"/>
  <c r="B118" i="32"/>
  <c r="B116" i="32"/>
  <c r="B114" i="32"/>
  <c r="C24" i="39" l="1"/>
  <c r="C23" i="39"/>
  <c r="E6" i="32"/>
  <c r="D6" i="32"/>
  <c r="D5" i="32"/>
  <c r="C25" i="39" l="1"/>
  <c r="B90" i="32"/>
  <c r="B76" i="32"/>
  <c r="B5" i="32"/>
  <c r="B8" i="32"/>
</calcChain>
</file>

<file path=xl/sharedStrings.xml><?xml version="1.0" encoding="utf-8"?>
<sst xmlns="http://schemas.openxmlformats.org/spreadsheetml/2006/main" count="585" uniqueCount="258">
  <si>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</si>
  <si>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</si>
  <si>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</si>
  <si>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</si>
  <si>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</si>
  <si>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</si>
  <si>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</si>
  <si>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</si>
  <si>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</si>
  <si>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</si>
  <si>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</si>
  <si>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Santana</t>
  </si>
  <si>
    <t>Ipoema</t>
  </si>
  <si>
    <t>Vila Nova</t>
  </si>
  <si>
    <t>Dual Patteo Mogilar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</si>
  <si>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</si>
  <si>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</si>
  <si>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</si>
  <si>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</si>
  <si>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</si>
  <si>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</si>
  <si>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</si>
  <si>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</si>
  <si>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</si>
  <si>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</si>
  <si>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</si>
  <si>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</si>
  <si>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</si>
  <si>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</si>
  <si>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</si>
  <si>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Joaquim Antunes</t>
  </si>
  <si>
    <t>Patteo São Bernardo</t>
  </si>
  <si>
    <t>República do Libano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</si>
  <si>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</si>
  <si>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</si>
  <si>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</si>
  <si>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</si>
  <si>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</si>
  <si>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</si>
  <si>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</si>
  <si>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</si>
  <si>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</si>
  <si>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</si>
  <si>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</si>
  <si>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</si>
  <si>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</si>
  <si>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</si>
  <si>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</si>
  <si>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</si>
  <si>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</si>
  <si>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</si>
  <si>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</si>
  <si>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</si>
  <si>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</si>
  <si>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</si>
  <si>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</si>
  <si>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</si>
  <si>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</si>
  <si>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</si>
  <si>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</si>
  <si>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</si>
  <si>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</si>
  <si>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</si>
  <si>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</si>
  <si>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</si>
  <si>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</si>
  <si>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</si>
  <si>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</si>
  <si>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</si>
  <si>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</si>
  <si>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</si>
  <si>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</si>
  <si>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</si>
  <si>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</si>
  <si>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</si>
  <si>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</si>
  <si>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</si>
  <si>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</si>
  <si>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</si>
  <si>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</si>
  <si>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</si>
  <si>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</si>
  <si>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</si>
  <si>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</si>
  <si>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</si>
  <si>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</si>
  <si>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</si>
  <si>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</si>
  <si>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</si>
  <si>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</si>
  <si>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</si>
  <si>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</si>
  <si>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</si>
  <si>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</si>
  <si>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</si>
  <si>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</si>
  <si>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</si>
  <si>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</si>
  <si>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</si>
  <si>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</si>
  <si>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</si>
  <si>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</si>
  <si>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</si>
  <si>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</si>
  <si>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</si>
  <si>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</si>
  <si>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Butantã Alvarenga</t>
  </si>
  <si>
    <t>Hotel Ibis Styles Anhembi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</si>
  <si>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</si>
  <si>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</si>
  <si>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</si>
  <si>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</si>
  <si>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</si>
  <si>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</si>
  <si>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</si>
  <si>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</si>
  <si>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</si>
  <si>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</si>
  <si>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</si>
  <si>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</si>
  <si>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</si>
  <si>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</si>
  <si>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</si>
  <si>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</si>
  <si>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</si>
  <si>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</si>
  <si>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</si>
  <si>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</si>
  <si>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</si>
  <si>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</si>
  <si>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</si>
  <si>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</si>
  <si>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</si>
  <si>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</si>
  <si>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</si>
  <si>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</si>
  <si>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</si>
  <si>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</si>
  <si>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</si>
  <si>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</si>
  <si>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</si>
  <si>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</si>
  <si>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</si>
  <si>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</si>
  <si>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</si>
  <si>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</si>
  <si>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</si>
  <si>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</si>
  <si>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</si>
  <si>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</si>
  <si>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</si>
  <si>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</si>
  <si>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</si>
  <si>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</si>
  <si>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</si>
  <si>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</si>
  <si>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</si>
  <si>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</si>
  <si>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</si>
  <si>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</si>
  <si>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</si>
  <si>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</si>
  <si>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</si>
  <si>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</si>
  <si>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</si>
  <si>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</si>
  <si>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</si>
  <si>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</si>
  <si>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</si>
  <si>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</si>
  <si>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</si>
  <si>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</si>
  <si>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</si>
  <si>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</si>
  <si>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</si>
  <si>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</si>
  <si>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</si>
  <si>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</si>
  <si>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</si>
  <si>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</si>
  <si>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</si>
  <si>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</si>
  <si>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</si>
  <si>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</si>
  <si>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</si>
  <si>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</si>
  <si>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</si>
  <si>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</si>
  <si>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</si>
  <si>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</si>
  <si>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</si>
  <si>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</si>
  <si>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</si>
  <si>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</si>
  <si>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</si>
  <si>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</si>
  <si>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</si>
  <si>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</si>
  <si>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</si>
  <si>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</si>
  <si>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</si>
  <si>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</si>
  <si>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</si>
  <si>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</si>
  <si>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</si>
  <si>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</si>
  <si>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3T23</t>
  </si>
  <si>
    <t>4T23</t>
  </si>
  <si>
    <t>2S24</t>
  </si>
  <si>
    <t>Centro Empresarial Tamboré</t>
  </si>
  <si>
    <t>Shopping Suzano - Expansão</t>
  </si>
  <si>
    <t>Mogi Shopping - Expansão</t>
  </si>
  <si>
    <t>Encargos sobre denêntures não liquidados</t>
  </si>
  <si>
    <t>Atualização sobre contas a pagar de aquisição de imóveis</t>
  </si>
  <si>
    <t>Provisão para demandas judiciais</t>
  </si>
  <si>
    <t>Programa de opção compra de ações</t>
  </si>
  <si>
    <t>Baixa do Custo de Participação Societária</t>
  </si>
  <si>
    <t>Efeito Patrimonial sobre reversão de propriedade para investimento</t>
  </si>
  <si>
    <t>Partes relacionadas passivo</t>
  </si>
  <si>
    <t>Obrigações trabalhistas e tributárias</t>
  </si>
  <si>
    <t>Pagamento de aquisições de imóveis</t>
  </si>
  <si>
    <t>Tributos a recuperar</t>
  </si>
  <si>
    <t>Partes relacionadas ativo</t>
  </si>
  <si>
    <t>Transações de Capital</t>
  </si>
  <si>
    <t>Dividendos recebidos</t>
  </si>
  <si>
    <t>Ativo imobilizado e intangível</t>
  </si>
  <si>
    <t>Aquisições de imóveis</t>
  </si>
  <si>
    <t>Outras movimentações</t>
  </si>
  <si>
    <t>Captação de Debêntures</t>
  </si>
  <si>
    <t>Pagamento de Debêntures</t>
  </si>
  <si>
    <t>Ações em tesoraria</t>
  </si>
  <si>
    <t>Efeito patrimonial sobre participação em controladas</t>
  </si>
  <si>
    <t>2S29</t>
  </si>
  <si>
    <t>Caminhos da Lapa</t>
  </si>
  <si>
    <t xml:space="preserve">São Paulo </t>
  </si>
  <si>
    <t>Chipre</t>
  </si>
  <si>
    <t>HBR 84</t>
  </si>
  <si>
    <t>Adolfo Pinheiro</t>
  </si>
  <si>
    <t>Cabral</t>
  </si>
  <si>
    <t>Gonzaga</t>
  </si>
  <si>
    <t>JK</t>
  </si>
  <si>
    <t>Norte e Sul</t>
  </si>
  <si>
    <t>Pereira Barreto</t>
  </si>
  <si>
    <t>Rebouças</t>
  </si>
  <si>
    <t>São Caetano</t>
  </si>
  <si>
    <t>Vila Olímpia</t>
  </si>
  <si>
    <t>Vila Rica</t>
  </si>
  <si>
    <t>-</t>
  </si>
  <si>
    <t>1S32</t>
  </si>
  <si>
    <t>Vila Carrão¹</t>
  </si>
  <si>
    <t>Anália Franco Guapeva ¹</t>
  </si>
  <si>
    <t>Taquaral Campinas ¹</t>
  </si>
  <si>
    <t>Hotel Fortaleza¹</t>
  </si>
  <si>
    <t xml:space="preserve"> +Box Anália Franco Guapeva¹</t>
  </si>
  <si>
    <t>1T24</t>
  </si>
  <si>
    <t>4T24</t>
  </si>
  <si>
    <t>3T24</t>
  </si>
  <si>
    <t>Data Center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</si>
</sst>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(* #,##0_);_(* \(#,##0\);_(* &quot;-&quot;??_);_(@_)"/>
    <numFmt numFmtId="239" formatCode="_(* #,##0.00_);_(* \(#,##0.00\);_(* &quot;-&quot;?_);_(@_)"/>
    <numFmt numFmtId="240" formatCode="_-* #,##0.0_-;\-* #,##0.0_-;_-* &quot;-&quot;?_-;_-@_-"/>
  </numFmts>
  <fonts count="1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8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193" fontId="20" fillId="0" borderId="0" xfId="0" applyNumberFormat="1" applyFont="1" applyAlignment="1">
      <alignment horizontal="right" indent="4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5" fillId="86" borderId="54" xfId="0" applyFont="1" applyFill="1" applyBorder="1" applyAlignment="1">
      <alignment horizontal="left" wrapText="1" indent="2"/>
    </xf>
    <xf numFmtId="236" fontId="155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6" fillId="0" borderId="54" xfId="0" applyFont="1" applyBorder="1" applyAlignment="1">
      <alignment vertical="center" wrapText="1"/>
    </xf>
    <xf numFmtId="231" fontId="156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193" fontId="0" fillId="0" borderId="0" xfId="0" applyNumberFormat="1"/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9" fontId="0" fillId="0" borderId="0" xfId="559" applyFont="1"/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1" fontId="0" fillId="0" borderId="0" xfId="0" applyNumberFormat="1"/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0" fontId="10" fillId="85" borderId="67" xfId="0" applyFont="1" applyFill="1" applyBorder="1" applyAlignment="1">
      <alignment horizontal="center" vertical="center" wrapText="1"/>
    </xf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59" fillId="0" borderId="54" xfId="33646" applyNumberFormat="1" applyFont="1" applyFill="1" applyBorder="1" applyAlignment="1">
      <alignment horizontal="right" vertical="center" wrapText="1"/>
    </xf>
    <xf numFmtId="166" fontId="159" fillId="0" borderId="54" xfId="559" applyNumberFormat="1" applyFont="1" applyFill="1" applyBorder="1" applyAlignment="1">
      <alignment horizontal="right" vertical="center" wrapText="1"/>
    </xf>
    <xf numFmtId="200" fontId="156" fillId="0" borderId="54" xfId="33646" applyNumberFormat="1" applyFont="1" applyFill="1" applyBorder="1" applyAlignment="1">
      <alignment horizontal="right" vertical="center" wrapText="1"/>
    </xf>
    <xf numFmtId="166" fontId="159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166" fontId="20" fillId="28" borderId="0" xfId="559" applyNumberFormat="1" applyFont="1" applyFill="1"/>
    <xf numFmtId="0" fontId="20" fillId="0" borderId="0" xfId="0" applyFont="1"/>
    <xf numFmtId="43" fontId="0" fillId="0" borderId="0" xfId="0" applyNumberFormat="1"/>
    <xf numFmtId="238" fontId="160" fillId="0" borderId="0" xfId="24512" applyNumberFormat="1" applyFont="1" applyFill="1" applyAlignment="1" applyProtection="1">
      <alignment horizontal="center"/>
      <protection locked="0"/>
    </xf>
    <xf numFmtId="43" fontId="0" fillId="0" borderId="0" xfId="33646" applyFont="1" applyAlignment="1">
      <alignment horizontal="center"/>
    </xf>
    <xf numFmtId="200" fontId="52" fillId="0" borderId="54" xfId="33646" applyNumberFormat="1" applyFont="1" applyBorder="1" applyAlignment="1">
      <alignment horizontal="left" wrapText="1"/>
    </xf>
    <xf numFmtId="0" fontId="20" fillId="87" borderId="54" xfId="0" applyFont="1" applyFill="1" applyBorder="1" applyAlignment="1">
      <alignment horizontal="center" wrapText="1"/>
    </xf>
    <xf numFmtId="164" fontId="20" fillId="0" borderId="54" xfId="0" applyNumberFormat="1" applyFont="1" applyBorder="1" applyAlignment="1">
      <alignment horizontal="right" indent="4"/>
    </xf>
    <xf numFmtId="193" fontId="52" fillId="0" borderId="54" xfId="0" applyNumberFormat="1" applyFont="1" applyBorder="1" applyAlignment="1">
      <alignment horizontal="right" indent="4"/>
    </xf>
    <xf numFmtId="0" fontId="20" fillId="87" borderId="54" xfId="0" applyFont="1" applyFill="1" applyBorder="1" applyAlignment="1">
      <alignment horizontal="left" wrapText="1"/>
    </xf>
    <xf numFmtId="200" fontId="20" fillId="87" borderId="54" xfId="33646" applyNumberFormat="1" applyFont="1" applyFill="1" applyBorder="1" applyAlignment="1">
      <alignment horizontal="center" wrapText="1"/>
    </xf>
    <xf numFmtId="239" fontId="153" fillId="85" borderId="54" xfId="0" applyNumberFormat="1" applyFont="1" applyFill="1" applyBorder="1" applyAlignment="1">
      <alignment horizontal="right" indent="4"/>
    </xf>
    <xf numFmtId="0" fontId="51" fillId="87" borderId="0" xfId="0" applyFont="1" applyFill="1"/>
    <xf numFmtId="200" fontId="1" fillId="87" borderId="0" xfId="33646" applyNumberFormat="1" applyFont="1" applyFill="1"/>
    <xf numFmtId="0" fontId="0" fillId="87" borderId="0" xfId="0" applyFill="1"/>
    <xf numFmtId="200" fontId="0" fillId="87" borderId="0" xfId="33646" applyNumberFormat="1" applyFont="1" applyFill="1"/>
    <xf numFmtId="237" fontId="0" fillId="87" borderId="0" xfId="0" applyNumberFormat="1" applyFill="1"/>
    <xf numFmtId="0" fontId="0" fillId="87" borderId="0" xfId="0" applyFill="1" applyAlignment="1">
      <alignment vertical="center"/>
    </xf>
    <xf numFmtId="193" fontId="20" fillId="87" borderId="0" xfId="0" applyNumberFormat="1" applyFont="1" applyFill="1" applyAlignment="1">
      <alignment horizontal="right" indent="4"/>
    </xf>
    <xf numFmtId="231" fontId="0" fillId="87" borderId="0" xfId="33646" applyNumberFormat="1" applyFont="1" applyFill="1"/>
    <xf numFmtId="0" fontId="0" fillId="87" borderId="0" xfId="0" applyFill="1" applyAlignment="1">
      <alignment horizontal="right"/>
    </xf>
    <xf numFmtId="43" fontId="67" fillId="0" borderId="0" xfId="0" applyNumberFormat="1" applyFont="1"/>
    <xf numFmtId="0" fontId="158" fillId="0" borderId="0" xfId="0" applyFont="1" applyAlignment="1">
      <alignment horizontal="right"/>
    </xf>
    <xf numFmtId="0" fontId="158" fillId="0" borderId="0" xfId="0" applyFont="1" applyAlignment="1">
      <alignment vertical="center"/>
    </xf>
    <xf numFmtId="0" fontId="158" fillId="0" borderId="0" xfId="0" applyFont="1"/>
    <xf numFmtId="43" fontId="158" fillId="0" borderId="0" xfId="0" applyNumberFormat="1" applyFont="1"/>
    <xf numFmtId="231" fontId="158" fillId="0" borderId="0" xfId="33646" applyNumberFormat="1" applyFont="1" applyFill="1"/>
    <xf numFmtId="1" fontId="158" fillId="0" borderId="0" xfId="0" applyNumberFormat="1" applyFont="1"/>
    <xf numFmtId="231" fontId="10" fillId="85" borderId="54" xfId="33646" applyNumberFormat="1" applyFont="1" applyFill="1" applyBorder="1" applyAlignment="1">
      <alignment horizontal="center" vertical="center" wrapText="1"/>
    </xf>
    <xf numFmtId="231" fontId="153" fillId="85" borderId="54" xfId="33646" applyNumberFormat="1" applyFont="1" applyFill="1" applyBorder="1" applyAlignment="1">
      <alignment horizontal="right" indent="4"/>
    </xf>
    <xf numFmtId="231" fontId="153" fillId="69" borderId="54" xfId="33646" applyNumberFormat="1" applyFont="1" applyFill="1" applyBorder="1" applyAlignment="1">
      <alignment horizontal="right" indent="4"/>
    </xf>
    <xf numFmtId="231" fontId="20" fillId="0" borderId="54" xfId="33646" applyNumberFormat="1" applyFont="1" applyBorder="1" applyAlignment="1">
      <alignment horizontal="right" indent="4"/>
    </xf>
    <xf numFmtId="231" fontId="20" fillId="87" borderId="54" xfId="33646" applyNumberFormat="1" applyFont="1" applyFill="1" applyBorder="1" applyAlignment="1">
      <alignment horizontal="right" indent="4"/>
    </xf>
    <xf numFmtId="231" fontId="52" fillId="0" borderId="62" xfId="33646" applyNumberFormat="1" applyFont="1" applyBorder="1" applyAlignment="1">
      <alignment horizontal="right" wrapText="1" indent="1"/>
    </xf>
    <xf numFmtId="231" fontId="10" fillId="69" borderId="54" xfId="33646" applyNumberFormat="1" applyFont="1" applyFill="1" applyBorder="1" applyAlignment="1">
      <alignment horizontal="center" vertical="center" wrapText="1"/>
    </xf>
    <xf numFmtId="240" fontId="20" fillId="28" borderId="0" xfId="0" applyNumberFormat="1" applyFont="1" applyFill="1"/>
    <xf numFmtId="10" fontId="20" fillId="28" borderId="0" xfId="559" applyNumberFormat="1" applyFont="1" applyFill="1"/>
    <xf numFmtId="193" fontId="52" fillId="87" borderId="54" xfId="0" applyNumberFormat="1" applyFont="1" applyFill="1" applyBorder="1"/>
    <xf numFmtId="193" fontId="20" fillId="87" borderId="54" xfId="0" applyNumberFormat="1" applyFont="1" applyFill="1" applyBorder="1"/>
    <xf numFmtId="43" fontId="52" fillId="28" borderId="0" xfId="33646" applyFont="1" applyFill="1"/>
    <xf numFmtId="166" fontId="52" fillId="28" borderId="0" xfId="559" applyNumberFormat="1" applyFont="1" applyFill="1"/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10" fillId="85" borderId="64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85" borderId="72" xfId="0" applyFont="1" applyFill="1" applyBorder="1" applyAlignment="1">
      <alignment horizontal="left" vertic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10" fillId="85" borderId="72" xfId="0" applyFont="1" applyFill="1" applyBorder="1" applyAlignment="1">
      <alignment horizontal="center" vertical="center" wrapText="1"/>
    </xf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22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40332"/>
          <a:ext cx="1205753" cy="62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DDC9-2F36-42FA-ABB1-BC84060FC581}">
  <sheetPr>
    <pageSetUpPr fitToPage="1"/>
  </sheetPr>
  <dimension ref="A1:BA136"/>
  <sheetViews>
    <sheetView showGridLines="0" tabSelected="1" zoomScale="80" zoomScaleNormal="80" zoomScaleSheetLayoutView="40" workbookViewId="0">
      <pane xSplit="6" ySplit="6" topLeftCell="G7" activePane="bottomRight" state="frozen"/>
      <selection pane="topRight" activeCell="E1" sqref="E1"/>
      <selection pane="bottomLeft" activeCell="A7" sqref="A7"/>
      <selection pane="bottomRight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10" width="19" hidden="1" customWidth="1" outlineLevel="1"/>
    <col min="11" max="11" width="1.7109375" customWidth="1" collapsed="1"/>
    <col min="12" max="12" width="10.7109375" style="28" hidden="1" customWidth="1" outlineLevel="1"/>
    <col min="13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18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hidden="1" customWidth="1" outlineLevel="1"/>
    <col min="33" max="33" width="18" hidden="1" customWidth="1" outlineLevel="1"/>
    <col min="34" max="34" width="20.5703125" hidden="1" customWidth="1" outlineLevel="1"/>
    <col min="35" max="35" width="1.7109375" customWidth="1" collapsed="1"/>
    <col min="36" max="36" width="10.7109375" hidden="1" customWidth="1" outlineLevel="1"/>
    <col min="37" max="37" width="18" hidden="1" customWidth="1" outlineLevel="1"/>
    <col min="38" max="38" width="20.5703125" hidden="1" customWidth="1" outlineLevel="1"/>
    <col min="39" max="39" width="1.7109375" customWidth="1" collapsed="1"/>
    <col min="40" max="40" width="10.7109375" hidden="1" customWidth="1" outlineLevel="1"/>
    <col min="41" max="41" width="18" style="109" hidden="1" customWidth="1" outlineLevel="1"/>
    <col min="42" max="42" width="20.5703125" style="109" hidden="1" customWidth="1" outlineLevel="1"/>
    <col min="43" max="43" width="1.7109375" customWidth="1" collapsed="1"/>
    <col min="44" max="44" width="10.7109375" customWidth="1" outlineLevel="1"/>
    <col min="45" max="45" width="18" style="109" customWidth="1" outlineLevel="1"/>
    <col min="46" max="46" width="20.5703125" style="109" customWidth="1" outlineLevel="1"/>
    <col min="48" max="48" width="18.85546875" bestFit="1" customWidth="1"/>
  </cols>
  <sheetData>
    <row r="1" spans="1:53" ht="23.25" customHeight="1">
      <c r="B1" s="5" t="s">
        <v>1</v>
      </c>
      <c r="C1" s="5"/>
      <c r="D1" s="5"/>
      <c r="E1" s="21"/>
      <c r="F1" s="21"/>
    </row>
    <row r="2" spans="1:53">
      <c r="B2" s="5" t="s">
        <v>0</v>
      </c>
      <c r="C2" s="5"/>
      <c r="D2" s="5"/>
      <c r="E2" s="21"/>
      <c r="F2" s="21"/>
      <c r="I2" s="12"/>
      <c r="J2" s="12"/>
    </row>
    <row r="3" spans="1:53">
      <c r="B3" s="6">
        <v>1</v>
      </c>
      <c r="C3" s="6"/>
      <c r="D3" s="6"/>
      <c r="E3" s="21"/>
      <c r="F3" s="21"/>
    </row>
    <row r="4" spans="1:53">
      <c r="B4" s="2"/>
      <c r="C4" s="20"/>
      <c r="D4" s="20"/>
      <c r="E4" s="22"/>
      <c r="F4" s="22"/>
      <c r="BA4" s="1"/>
    </row>
    <row r="5" spans="1:53" s="1" customFormat="1" ht="18.75" customHeight="1">
      <c r="B5" s="177" t="str">
        <f>IF(B3=1,"Portfólio HBR","HBR's Portfolio")</f>
        <v>Portfólio HBR</v>
      </c>
      <c r="C5" s="178"/>
      <c r="D5" s="186" t="str">
        <f>IF(B3=1,"Local","Location")</f>
        <v>Local</v>
      </c>
      <c r="E5" s="187"/>
      <c r="F5" s="172" t="str">
        <f>IF(B3=1,"Entrega","Delivery")</f>
        <v>Entrega</v>
      </c>
      <c r="H5" s="172" t="s">
        <v>39</v>
      </c>
      <c r="I5" s="170" t="str">
        <f>IF(B3=1,"2T22","2Q22")</f>
        <v>2T22</v>
      </c>
      <c r="J5" s="171"/>
      <c r="L5" s="172" t="s">
        <v>39</v>
      </c>
      <c r="M5" s="170" t="str">
        <f>IF(B3=1,"3T22","3Q22")</f>
        <v>3T22</v>
      </c>
      <c r="N5" s="171"/>
      <c r="P5" s="172" t="s">
        <v>39</v>
      </c>
      <c r="Q5" s="170" t="str">
        <f>IF(B3=1,"4T22","4Q22")</f>
        <v>4T22</v>
      </c>
      <c r="R5" s="171"/>
      <c r="T5" s="172" t="s">
        <v>39</v>
      </c>
      <c r="U5" s="170" t="str">
        <f>IF(B3=1,"1T23","1Q23")</f>
        <v>1T23</v>
      </c>
      <c r="V5" s="171"/>
      <c r="X5" s="172" t="s">
        <v>39</v>
      </c>
      <c r="Y5" s="170" t="str">
        <f>IF(B3=1,"2T23","2Q23")</f>
        <v>2T23</v>
      </c>
      <c r="Z5" s="171"/>
      <c r="AB5" s="172" t="s">
        <v>39</v>
      </c>
      <c r="AC5" s="170" t="str">
        <f>IF($B$3=1,"3T23","3Q23")</f>
        <v>3T23</v>
      </c>
      <c r="AD5" s="171"/>
      <c r="AF5" s="172" t="s">
        <v>39</v>
      </c>
      <c r="AG5" s="170" t="str">
        <f>IF($B$3=1,"4T23","4Q23")</f>
        <v>4T23</v>
      </c>
      <c r="AH5" s="171"/>
      <c r="AJ5" s="172" t="s">
        <v>39</v>
      </c>
      <c r="AK5" s="170" t="str">
        <f>IF($B$3=1,"1T24","1Q24")</f>
        <v>1T24</v>
      </c>
      <c r="AL5" s="171"/>
      <c r="AN5" s="172" t="s">
        <v>39</v>
      </c>
      <c r="AO5" s="170" t="str">
        <f>IF($B$3=1,"2T24","2Q24")</f>
        <v>2T24</v>
      </c>
      <c r="AP5" s="171"/>
      <c r="AR5" s="172" t="s">
        <v>39</v>
      </c>
      <c r="AS5" s="170" t="str">
        <f>IF($B$3=1,"3T24","3Q24")</f>
        <v>3T24</v>
      </c>
      <c r="AT5" s="171"/>
    </row>
    <row r="6" spans="1:53" s="1" customFormat="1" ht="18.75" customHeight="1">
      <c r="B6" s="14"/>
      <c r="C6" s="13" t="s">
        <v>126</v>
      </c>
      <c r="D6" s="39" t="str">
        <f>IF(B3=1,"Cidade","City")</f>
        <v>Cidade</v>
      </c>
      <c r="E6" s="39" t="str">
        <f>IF(B3=1,"Estado","State")</f>
        <v>Estado</v>
      </c>
      <c r="F6" s="173"/>
      <c r="H6" s="173"/>
      <c r="I6" s="39" t="str">
        <f>IF(B3=1,"ABL Total","Total GLA")</f>
        <v>ABL Total</v>
      </c>
      <c r="J6" s="39" t="s">
        <v>84</v>
      </c>
      <c r="L6" s="173"/>
      <c r="M6" s="39" t="str">
        <f>IF(B3=1,"ABL Total","Total GLA")</f>
        <v>ABL Total</v>
      </c>
      <c r="N6" s="39" t="s">
        <v>84</v>
      </c>
      <c r="P6" s="173"/>
      <c r="Q6" s="39" t="str">
        <f>IF(B3=1,"ABL Total","Total GLA")</f>
        <v>ABL Total</v>
      </c>
      <c r="R6" s="39" t="s">
        <v>84</v>
      </c>
      <c r="T6" s="173"/>
      <c r="U6" s="39" t="str">
        <f>IF($B$3=1,"ABL Total","Total GLA")</f>
        <v>ABL Total</v>
      </c>
      <c r="V6" s="39" t="s">
        <v>84</v>
      </c>
      <c r="X6" s="173"/>
      <c r="Y6" s="39" t="str">
        <f>IF(B3=1,"ABL Total","Total GLA")</f>
        <v>ABL Total</v>
      </c>
      <c r="Z6" s="39" t="s">
        <v>84</v>
      </c>
      <c r="AB6" s="173"/>
      <c r="AC6" s="39" t="str">
        <f>IF($B$3=1,"ABL Total","Total GLA")</f>
        <v>ABL Total</v>
      </c>
      <c r="AD6" s="39" t="s">
        <v>84</v>
      </c>
      <c r="AF6" s="173"/>
      <c r="AG6" s="39" t="str">
        <f>IF($B$3=1,"ABL Total","Total GLA")</f>
        <v>ABL Total</v>
      </c>
      <c r="AH6" s="39" t="s">
        <v>84</v>
      </c>
      <c r="AJ6" s="173"/>
      <c r="AK6" s="39" t="str">
        <f>IF($B$3=1,"ABL Total","Total GLA")</f>
        <v>ABL Total</v>
      </c>
      <c r="AL6" s="39" t="s">
        <v>84</v>
      </c>
      <c r="AN6" s="173"/>
      <c r="AO6" s="39" t="str">
        <f>IF($B$3=1,"ABL Total","Total GLA")</f>
        <v>ABL Total</v>
      </c>
      <c r="AP6" s="155" t="s">
        <v>84</v>
      </c>
      <c r="AR6" s="173"/>
      <c r="AS6" s="39" t="str">
        <f>IF($B$3=1,"ABL Total","Total GLA")</f>
        <v>ABL Total</v>
      </c>
      <c r="AT6" s="155" t="s">
        <v>84</v>
      </c>
    </row>
    <row r="7" spans="1:53" s="3" customFormat="1" ht="15" customHeight="1">
      <c r="B7" s="17" t="s">
        <v>18</v>
      </c>
      <c r="C7" s="17"/>
      <c r="D7" s="17"/>
      <c r="E7" s="23"/>
      <c r="F7" s="23"/>
      <c r="G7" s="1"/>
      <c r="H7" s="23"/>
      <c r="I7" s="18">
        <v>113828.93</v>
      </c>
      <c r="J7" s="18">
        <v>99380.757079999996</v>
      </c>
      <c r="K7" s="38"/>
      <c r="L7" s="23"/>
      <c r="M7" s="18">
        <v>117165.47</v>
      </c>
      <c r="N7" s="18">
        <v>102993.29708</v>
      </c>
      <c r="O7" s="38"/>
      <c r="P7" s="23"/>
      <c r="Q7" s="18">
        <v>121252.07</v>
      </c>
      <c r="R7" s="18">
        <v>107129.07</v>
      </c>
      <c r="S7" s="105"/>
      <c r="T7" s="23"/>
      <c r="U7" s="18">
        <v>121334.07</v>
      </c>
      <c r="V7" s="18">
        <v>107184.07</v>
      </c>
      <c r="W7"/>
      <c r="X7" s="23"/>
      <c r="Y7" s="18">
        <v>114068</v>
      </c>
      <c r="Z7" s="18">
        <v>95561</v>
      </c>
      <c r="AB7" s="23"/>
      <c r="AC7" s="18">
        <v>108502.76000000001</v>
      </c>
      <c r="AD7" s="18">
        <v>92216.989999999991</v>
      </c>
      <c r="AF7" s="23"/>
      <c r="AG7" s="18">
        <v>113210.46</v>
      </c>
      <c r="AH7" s="18">
        <v>94689.392081999991</v>
      </c>
      <c r="AJ7" s="23"/>
      <c r="AK7" s="18">
        <v>111251.18</v>
      </c>
      <c r="AL7" s="18">
        <v>93508.558081999989</v>
      </c>
      <c r="AN7" s="23"/>
      <c r="AO7" s="156">
        <v>111068</v>
      </c>
      <c r="AP7" s="156">
        <v>92742</v>
      </c>
      <c r="AR7" s="23"/>
      <c r="AS7" s="156">
        <f>SUM(AS9,AS45)</f>
        <v>108824</v>
      </c>
      <c r="AT7" s="156">
        <f>SUM(AT9,AT45)</f>
        <v>91360</v>
      </c>
    </row>
    <row r="8" spans="1:53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68">
        <v>0.86599999999999999</v>
      </c>
      <c r="J8" s="169"/>
      <c r="L8" s="24"/>
      <c r="M8" s="168">
        <v>0.86099999999999999</v>
      </c>
      <c r="N8" s="169"/>
      <c r="P8" s="24"/>
      <c r="Q8" s="168">
        <v>0.84</v>
      </c>
      <c r="R8" s="169"/>
      <c r="T8" s="24"/>
      <c r="U8" s="168">
        <v>0.81</v>
      </c>
      <c r="V8" s="169"/>
      <c r="X8" s="24"/>
      <c r="Y8" s="168">
        <v>0.82</v>
      </c>
      <c r="Z8" s="169"/>
      <c r="AB8" s="24"/>
      <c r="AC8" s="168">
        <v>0.84</v>
      </c>
      <c r="AD8" s="169"/>
      <c r="AF8" s="24"/>
      <c r="AG8" s="168">
        <v>0.84</v>
      </c>
      <c r="AH8" s="169"/>
      <c r="AJ8" s="24"/>
      <c r="AK8" s="168">
        <v>0.84470000000000001</v>
      </c>
      <c r="AL8" s="169"/>
      <c r="AN8" s="24"/>
      <c r="AO8" s="168">
        <v>0.83860000000000001</v>
      </c>
      <c r="AP8" s="169"/>
      <c r="AR8" s="24"/>
      <c r="AS8" s="168">
        <v>0.84099999999999997</v>
      </c>
      <c r="AT8" s="169"/>
    </row>
    <row r="9" spans="1:53" ht="15" customHeight="1">
      <c r="B9" s="15" t="str">
        <f>IF(B3=1,COUNTA(B10:B44)&amp;" Ativos em Operação",COUNTA(B10:B44)&amp;" Assets in operation")</f>
        <v>35 Ativos em Operação</v>
      </c>
      <c r="C9" s="15"/>
      <c r="D9" s="15"/>
      <c r="E9" s="25"/>
      <c r="F9" s="25"/>
      <c r="G9" s="1"/>
      <c r="H9" s="25"/>
      <c r="I9" s="16">
        <v>27696</v>
      </c>
      <c r="J9" s="16">
        <v>23596</v>
      </c>
      <c r="K9" s="38"/>
      <c r="L9" s="25"/>
      <c r="M9" s="16">
        <v>28105</v>
      </c>
      <c r="N9" s="16">
        <v>24005</v>
      </c>
      <c r="O9" s="38"/>
      <c r="P9" s="25"/>
      <c r="Q9" s="16">
        <v>31994</v>
      </c>
      <c r="R9" s="16">
        <v>27539</v>
      </c>
      <c r="S9" s="105"/>
      <c r="T9" s="25"/>
      <c r="U9" s="16">
        <v>32076</v>
      </c>
      <c r="V9" s="16">
        <v>27594</v>
      </c>
      <c r="X9" s="25"/>
      <c r="Y9" s="16">
        <v>34249</v>
      </c>
      <c r="Z9" s="16">
        <v>28990</v>
      </c>
      <c r="AB9" s="25"/>
      <c r="AC9" s="16">
        <v>34364.629999999997</v>
      </c>
      <c r="AD9" s="16">
        <v>29060</v>
      </c>
      <c r="AF9" s="25"/>
      <c r="AG9" s="16">
        <v>39636.33</v>
      </c>
      <c r="AH9" s="16">
        <v>32096.402081999997</v>
      </c>
      <c r="AJ9" s="25"/>
      <c r="AK9" s="16">
        <v>41500</v>
      </c>
      <c r="AL9" s="16">
        <v>33960.518081999995</v>
      </c>
      <c r="AN9" s="25"/>
      <c r="AO9" s="157">
        <v>41263</v>
      </c>
      <c r="AP9" s="157">
        <v>33729</v>
      </c>
      <c r="AR9" s="25"/>
      <c r="AS9" s="157">
        <v>43208</v>
      </c>
      <c r="AT9" s="157">
        <v>35533</v>
      </c>
    </row>
    <row r="10" spans="1:53" ht="15" customHeight="1" outlineLevel="1">
      <c r="A10" s="34"/>
      <c r="B10" s="10" t="s">
        <v>10</v>
      </c>
      <c r="C10" s="10" t="s">
        <v>127</v>
      </c>
      <c r="D10" s="29" t="s">
        <v>89</v>
      </c>
      <c r="E10" s="26" t="s">
        <v>44</v>
      </c>
      <c r="F10" s="26" t="s">
        <v>47</v>
      </c>
      <c r="G10" s="1"/>
      <c r="H10" s="29">
        <v>0.6</v>
      </c>
      <c r="I10" s="7">
        <v>370.41999999999996</v>
      </c>
      <c r="J10" s="7">
        <v>222.25199999999998</v>
      </c>
      <c r="L10" s="29">
        <v>0.6</v>
      </c>
      <c r="M10" s="7">
        <v>370.41999999999996</v>
      </c>
      <c r="N10" s="7">
        <v>222.25199999999998</v>
      </c>
      <c r="P10" s="29">
        <v>0.6</v>
      </c>
      <c r="Q10" s="7">
        <v>370.41999999999996</v>
      </c>
      <c r="R10" s="7">
        <v>222.25199999999998</v>
      </c>
      <c r="S10" s="108"/>
      <c r="T10" s="29">
        <v>0.6</v>
      </c>
      <c r="U10" s="7">
        <v>370.41999999999996</v>
      </c>
      <c r="V10" s="7">
        <v>222.25199999999998</v>
      </c>
      <c r="X10" s="29">
        <v>0.6</v>
      </c>
      <c r="Y10" s="7">
        <v>370.4199999999999</v>
      </c>
      <c r="Z10" s="7">
        <v>222.25199999999992</v>
      </c>
      <c r="AB10" s="29">
        <v>0.6</v>
      </c>
      <c r="AC10" s="7">
        <v>370.4199999999999</v>
      </c>
      <c r="AD10" s="7">
        <v>222.25199999999992</v>
      </c>
      <c r="AF10" s="29">
        <v>0.6</v>
      </c>
      <c r="AG10" s="7">
        <v>370.4199999999999</v>
      </c>
      <c r="AH10" s="7">
        <v>222.25199999999992</v>
      </c>
      <c r="AJ10" s="29">
        <v>0.6</v>
      </c>
      <c r="AK10" s="7">
        <v>370.4199999999999</v>
      </c>
      <c r="AL10" s="7">
        <v>222.25199999999992</v>
      </c>
      <c r="AN10" s="29">
        <v>0.6</v>
      </c>
      <c r="AO10" s="158">
        <v>370.4199999999999</v>
      </c>
      <c r="AP10" s="158">
        <v>222.25199999999992</v>
      </c>
      <c r="AQ10" s="148"/>
      <c r="AR10" s="29">
        <v>0.6</v>
      </c>
      <c r="AS10" s="158">
        <v>370.4199999999999</v>
      </c>
      <c r="AT10" s="158">
        <v>222.25199999999992</v>
      </c>
    </row>
    <row r="11" spans="1:53" ht="15" customHeight="1" outlineLevel="1">
      <c r="A11" s="34"/>
      <c r="B11" s="10" t="s">
        <v>5</v>
      </c>
      <c r="C11" s="10" t="s">
        <v>128</v>
      </c>
      <c r="D11" s="29" t="s">
        <v>90</v>
      </c>
      <c r="E11" s="26" t="s">
        <v>44</v>
      </c>
      <c r="F11" s="26" t="s">
        <v>48</v>
      </c>
      <c r="G11" s="1"/>
      <c r="H11" s="29">
        <v>0.56000000000000005</v>
      </c>
      <c r="I11" s="7">
        <v>1448.94</v>
      </c>
      <c r="J11" s="7">
        <v>811.40640000000008</v>
      </c>
      <c r="L11" s="29">
        <v>0.56000000000000005</v>
      </c>
      <c r="M11" s="7">
        <v>1448.94</v>
      </c>
      <c r="N11" s="7">
        <v>811.40640000000008</v>
      </c>
      <c r="P11" s="29">
        <v>0.56000000000000005</v>
      </c>
      <c r="Q11" s="7">
        <v>1448.94</v>
      </c>
      <c r="R11" s="7">
        <v>811.40640000000008</v>
      </c>
      <c r="S11" s="108"/>
      <c r="T11" s="29">
        <v>0.56000000000000005</v>
      </c>
      <c r="U11" s="7">
        <v>1448.94</v>
      </c>
      <c r="V11" s="7">
        <v>811.40640000000008</v>
      </c>
      <c r="X11" s="29">
        <v>0.56000000000000005</v>
      </c>
      <c r="Y11" s="7">
        <v>1448.9399999999998</v>
      </c>
      <c r="Z11" s="7">
        <v>811.40639999999996</v>
      </c>
      <c r="AB11" s="29">
        <v>0.56000000000000005</v>
      </c>
      <c r="AC11" s="7">
        <v>1448.9399999999998</v>
      </c>
      <c r="AD11" s="7">
        <v>811.40639999999996</v>
      </c>
      <c r="AF11" s="29">
        <v>0.56000000000000005</v>
      </c>
      <c r="AG11" s="7">
        <v>1448.9399999999998</v>
      </c>
      <c r="AH11" s="7">
        <v>811.40639999999996</v>
      </c>
      <c r="AJ11" s="29">
        <v>0.56000000000000005</v>
      </c>
      <c r="AK11" s="7">
        <v>1448.9399999999998</v>
      </c>
      <c r="AL11" s="7">
        <v>811.40639999999996</v>
      </c>
      <c r="AN11" s="29">
        <v>0.56000000000000005</v>
      </c>
      <c r="AO11" s="158">
        <v>1448.9399999999998</v>
      </c>
      <c r="AP11" s="158">
        <v>811.40639999999996</v>
      </c>
      <c r="AQ11" s="148"/>
      <c r="AR11" s="37">
        <v>1</v>
      </c>
      <c r="AS11" s="158">
        <v>1448.9399999999998</v>
      </c>
      <c r="AT11" s="158">
        <v>1448.94</v>
      </c>
    </row>
    <row r="12" spans="1:53" ht="15" customHeight="1" outlineLevel="1">
      <c r="A12" s="34"/>
      <c r="B12" s="10" t="s">
        <v>6</v>
      </c>
      <c r="C12" s="10" t="s">
        <v>129</v>
      </c>
      <c r="D12" s="29" t="s">
        <v>99</v>
      </c>
      <c r="E12" s="26" t="s">
        <v>40</v>
      </c>
      <c r="F12" s="26" t="s">
        <v>49</v>
      </c>
      <c r="G12" s="1"/>
      <c r="H12" s="29">
        <v>1</v>
      </c>
      <c r="I12" s="7">
        <v>1841.8699999999997</v>
      </c>
      <c r="J12" s="7">
        <v>1841.8699999999997</v>
      </c>
      <c r="L12" s="29">
        <v>1</v>
      </c>
      <c r="M12" s="7">
        <v>1841.8699999999997</v>
      </c>
      <c r="N12" s="7">
        <v>1841.8699999999997</v>
      </c>
      <c r="P12" s="29">
        <v>1</v>
      </c>
      <c r="Q12" s="7">
        <v>1841.8699999999997</v>
      </c>
      <c r="R12" s="7">
        <v>1841.8699999999997</v>
      </c>
      <c r="S12" s="108"/>
      <c r="T12" s="29">
        <v>1</v>
      </c>
      <c r="U12" s="7">
        <v>1841.8699999999997</v>
      </c>
      <c r="V12" s="7">
        <v>1841.8699999999997</v>
      </c>
      <c r="X12" s="29">
        <v>1</v>
      </c>
      <c r="Y12" s="7">
        <v>1841.8699999999997</v>
      </c>
      <c r="Z12" s="7">
        <v>1841.8699999999997</v>
      </c>
      <c r="AB12" s="29">
        <v>1</v>
      </c>
      <c r="AC12" s="7">
        <v>1841.8699999999997</v>
      </c>
      <c r="AD12" s="7">
        <v>1841.8699999999997</v>
      </c>
      <c r="AF12" s="29">
        <v>1</v>
      </c>
      <c r="AG12" s="7">
        <v>1841.8699999999997</v>
      </c>
      <c r="AH12" s="7">
        <v>1841.8699999999997</v>
      </c>
      <c r="AJ12" s="29">
        <v>1</v>
      </c>
      <c r="AK12" s="7">
        <v>1841.8699999999997</v>
      </c>
      <c r="AL12" s="7">
        <v>1841.8699999999997</v>
      </c>
      <c r="AN12" s="29">
        <v>1</v>
      </c>
      <c r="AO12" s="158">
        <v>1841.8699999999997</v>
      </c>
      <c r="AP12" s="158">
        <v>1841.8699999999997</v>
      </c>
      <c r="AQ12" s="148"/>
      <c r="AR12" s="29">
        <v>1</v>
      </c>
      <c r="AS12" s="158">
        <v>1841.8699999999997</v>
      </c>
      <c r="AT12" s="158">
        <v>1841.8699999999997</v>
      </c>
    </row>
    <row r="13" spans="1:53" ht="15" customHeight="1" outlineLevel="1">
      <c r="A13" s="34"/>
      <c r="B13" s="10" t="s">
        <v>9</v>
      </c>
      <c r="C13" s="10" t="s">
        <v>130</v>
      </c>
      <c r="D13" s="29" t="s">
        <v>89</v>
      </c>
      <c r="E13" s="26" t="s">
        <v>44</v>
      </c>
      <c r="F13" s="26" t="s">
        <v>50</v>
      </c>
      <c r="G13" s="1"/>
      <c r="H13" s="29">
        <v>0.9</v>
      </c>
      <c r="I13" s="7">
        <v>726.32999999999993</v>
      </c>
      <c r="J13" s="7">
        <v>653.697</v>
      </c>
      <c r="L13" s="29">
        <v>0.9</v>
      </c>
      <c r="M13" s="7">
        <v>726.32999999999993</v>
      </c>
      <c r="N13" s="7">
        <v>653.697</v>
      </c>
      <c r="P13" s="29">
        <v>0.9</v>
      </c>
      <c r="Q13" s="7">
        <v>726.32999999999993</v>
      </c>
      <c r="R13" s="7">
        <v>653.697</v>
      </c>
      <c r="S13" s="108"/>
      <c r="T13" s="29">
        <v>0.9</v>
      </c>
      <c r="U13" s="7">
        <v>726.32999999999993</v>
      </c>
      <c r="V13" s="7">
        <v>653.697</v>
      </c>
      <c r="X13" s="29">
        <v>0.9</v>
      </c>
      <c r="Y13" s="7">
        <v>726.32999999999993</v>
      </c>
      <c r="Z13" s="7">
        <v>653.697</v>
      </c>
      <c r="AB13" s="29">
        <v>0.9</v>
      </c>
      <c r="AC13" s="7">
        <v>726.32999999999993</v>
      </c>
      <c r="AD13" s="7">
        <v>653.697</v>
      </c>
      <c r="AF13" s="29">
        <v>0.9</v>
      </c>
      <c r="AG13" s="7">
        <v>726.32999999999993</v>
      </c>
      <c r="AH13" s="7">
        <v>653.697</v>
      </c>
      <c r="AJ13" s="29">
        <v>0.9</v>
      </c>
      <c r="AK13" s="7">
        <v>726.32999999999993</v>
      </c>
      <c r="AL13" s="7">
        <v>653.697</v>
      </c>
      <c r="AN13" s="29">
        <v>0.9</v>
      </c>
      <c r="AO13" s="158">
        <v>726.32999999999993</v>
      </c>
      <c r="AP13" s="158">
        <v>653.697</v>
      </c>
      <c r="AQ13" s="148"/>
      <c r="AR13" s="29">
        <v>0.9</v>
      </c>
      <c r="AS13" s="158">
        <v>726.32999999999993</v>
      </c>
      <c r="AT13" s="158">
        <v>653.697</v>
      </c>
    </row>
    <row r="14" spans="1:53" ht="15" customHeight="1" outlineLevel="1">
      <c r="A14" s="34"/>
      <c r="B14" s="10" t="s">
        <v>7</v>
      </c>
      <c r="C14" s="10" t="s">
        <v>131</v>
      </c>
      <c r="D14" s="29" t="s">
        <v>91</v>
      </c>
      <c r="E14" s="26" t="s">
        <v>44</v>
      </c>
      <c r="F14" s="26" t="s">
        <v>51</v>
      </c>
      <c r="G14" s="1"/>
      <c r="H14" s="29">
        <v>0.8</v>
      </c>
      <c r="I14" s="7">
        <v>3218.9</v>
      </c>
      <c r="J14" s="7">
        <v>2575.1200000000003</v>
      </c>
      <c r="L14" s="29">
        <v>0.8</v>
      </c>
      <c r="M14" s="7">
        <v>3218.9</v>
      </c>
      <c r="N14" s="7">
        <v>2575.1200000000003</v>
      </c>
      <c r="P14" s="29">
        <v>0.8</v>
      </c>
      <c r="Q14" s="7">
        <v>3218.9</v>
      </c>
      <c r="R14" s="7">
        <v>2575.1200000000003</v>
      </c>
      <c r="S14" s="108"/>
      <c r="T14" s="29">
        <v>0.8</v>
      </c>
      <c r="U14" s="7">
        <v>3218.9</v>
      </c>
      <c r="V14" s="7">
        <v>2575.1200000000003</v>
      </c>
      <c r="X14" s="29">
        <v>0.8</v>
      </c>
      <c r="Y14" s="7">
        <v>3218.9</v>
      </c>
      <c r="Z14" s="7">
        <v>2575.1200000000003</v>
      </c>
      <c r="AB14" s="29">
        <v>0.8</v>
      </c>
      <c r="AC14" s="7">
        <v>3218.9</v>
      </c>
      <c r="AD14" s="7">
        <v>2575.1200000000003</v>
      </c>
      <c r="AF14" s="29">
        <v>0.8</v>
      </c>
      <c r="AG14" s="7">
        <v>3218.9</v>
      </c>
      <c r="AH14" s="7">
        <v>2575.1200000000003</v>
      </c>
      <c r="AJ14" s="29">
        <v>0.8</v>
      </c>
      <c r="AK14" s="7">
        <v>3216.57</v>
      </c>
      <c r="AL14" s="7">
        <v>2573.2560000000003</v>
      </c>
      <c r="AN14" s="29">
        <v>0.8</v>
      </c>
      <c r="AO14" s="158">
        <v>3216.57</v>
      </c>
      <c r="AP14" s="158">
        <v>2573.2560000000003</v>
      </c>
      <c r="AQ14" s="148"/>
      <c r="AR14" s="29">
        <v>0.8</v>
      </c>
      <c r="AS14" s="158">
        <v>3216.57</v>
      </c>
      <c r="AT14" s="158">
        <v>2573.2560000000003</v>
      </c>
    </row>
    <row r="15" spans="1:53" ht="15" customHeight="1" outlineLevel="1">
      <c r="A15" s="34"/>
      <c r="B15" s="10" t="s">
        <v>92</v>
      </c>
      <c r="C15" s="10" t="s">
        <v>132</v>
      </c>
      <c r="D15" s="29" t="s">
        <v>92</v>
      </c>
      <c r="E15" s="26" t="s">
        <v>44</v>
      </c>
      <c r="F15" s="26" t="s">
        <v>49</v>
      </c>
      <c r="G15" s="1"/>
      <c r="H15" s="29">
        <v>1</v>
      </c>
      <c r="I15" s="7">
        <v>602.32000000000005</v>
      </c>
      <c r="J15" s="7">
        <v>602.32000000000005</v>
      </c>
      <c r="L15" s="29">
        <v>1</v>
      </c>
      <c r="M15" s="7">
        <v>602.32000000000005</v>
      </c>
      <c r="N15" s="7">
        <v>602.32000000000005</v>
      </c>
      <c r="P15" s="29">
        <v>1</v>
      </c>
      <c r="Q15" s="7">
        <v>602.32000000000005</v>
      </c>
      <c r="R15" s="7">
        <v>602.32000000000005</v>
      </c>
      <c r="S15" s="108"/>
      <c r="T15" s="29">
        <v>1</v>
      </c>
      <c r="U15" s="7">
        <v>602.32000000000005</v>
      </c>
      <c r="V15" s="7">
        <v>602.32000000000005</v>
      </c>
      <c r="X15" s="29">
        <v>1</v>
      </c>
      <c r="Y15" s="7">
        <v>602.31999999999994</v>
      </c>
      <c r="Z15" s="7">
        <v>602.31999999999994</v>
      </c>
      <c r="AB15" s="29">
        <v>1</v>
      </c>
      <c r="AC15" s="7">
        <v>602.31999999999994</v>
      </c>
      <c r="AD15" s="7">
        <v>602.31999999999994</v>
      </c>
      <c r="AF15" s="29">
        <v>1</v>
      </c>
      <c r="AG15" s="7">
        <v>602.31999999999994</v>
      </c>
      <c r="AH15" s="7">
        <v>602.31999999999994</v>
      </c>
      <c r="AJ15" s="29">
        <v>1</v>
      </c>
      <c r="AK15" s="7">
        <v>602.31999999999994</v>
      </c>
      <c r="AL15" s="7">
        <v>602.31999999999994</v>
      </c>
      <c r="AN15" s="29">
        <v>1</v>
      </c>
      <c r="AO15" s="158">
        <v>602.31999999999994</v>
      </c>
      <c r="AP15" s="158">
        <v>602.31999999999994</v>
      </c>
      <c r="AQ15" s="148"/>
      <c r="AR15" s="29">
        <v>1</v>
      </c>
      <c r="AS15" s="158">
        <v>602.31999999999994</v>
      </c>
      <c r="AT15" s="158">
        <v>602.31999999999994</v>
      </c>
    </row>
    <row r="16" spans="1:53" ht="15" customHeight="1" outlineLevel="1">
      <c r="A16" s="34"/>
      <c r="B16" s="10" t="s">
        <v>242</v>
      </c>
      <c r="C16" s="10" t="s">
        <v>132</v>
      </c>
      <c r="D16" s="29" t="s">
        <v>93</v>
      </c>
      <c r="E16" s="26" t="s">
        <v>44</v>
      </c>
      <c r="F16" s="26" t="s">
        <v>52</v>
      </c>
      <c r="G16" s="1"/>
      <c r="H16" s="29">
        <v>1</v>
      </c>
      <c r="I16" s="7">
        <v>625.57000000000005</v>
      </c>
      <c r="J16" s="7">
        <v>625.57000000000005</v>
      </c>
      <c r="L16" s="29">
        <v>1</v>
      </c>
      <c r="M16" s="7">
        <v>625.57000000000005</v>
      </c>
      <c r="N16" s="7">
        <v>625.57000000000005</v>
      </c>
      <c r="P16" s="29">
        <v>1</v>
      </c>
      <c r="Q16" s="7">
        <v>625.57000000000005</v>
      </c>
      <c r="R16" s="7">
        <v>625.57000000000005</v>
      </c>
      <c r="S16" s="108"/>
      <c r="T16" s="29">
        <v>1</v>
      </c>
      <c r="U16" s="7">
        <v>625.57000000000005</v>
      </c>
      <c r="V16" s="7">
        <v>625.57000000000005</v>
      </c>
      <c r="X16" s="29">
        <v>1</v>
      </c>
      <c r="Y16" s="7">
        <v>625.57000000000005</v>
      </c>
      <c r="Z16" s="7">
        <v>625.57000000000005</v>
      </c>
      <c r="AB16" s="29">
        <v>1</v>
      </c>
      <c r="AC16" s="7">
        <v>626.88000000000011</v>
      </c>
      <c r="AD16" s="7">
        <v>626.88000000000011</v>
      </c>
      <c r="AF16" s="29">
        <v>1</v>
      </c>
      <c r="AG16" s="7">
        <v>626.88000000000011</v>
      </c>
      <c r="AH16" s="7">
        <v>626.88000000000011</v>
      </c>
      <c r="AJ16" s="29">
        <v>1</v>
      </c>
      <c r="AK16" s="7">
        <v>626.88000000000011</v>
      </c>
      <c r="AL16" s="7">
        <v>626.88000000000011</v>
      </c>
      <c r="AN16" s="29">
        <v>1</v>
      </c>
      <c r="AO16" s="158">
        <v>626.88</v>
      </c>
      <c r="AP16" s="158">
        <v>626.88</v>
      </c>
      <c r="AQ16" s="148"/>
      <c r="AR16" s="29">
        <v>1</v>
      </c>
      <c r="AS16" s="158">
        <v>626.88</v>
      </c>
      <c r="AT16" s="158">
        <v>626.88</v>
      </c>
    </row>
    <row r="17" spans="1:46" ht="15" customHeight="1" outlineLevel="1">
      <c r="A17" s="34"/>
      <c r="B17" s="10" t="s">
        <v>8</v>
      </c>
      <c r="C17" s="10" t="s">
        <v>132</v>
      </c>
      <c r="D17" s="29" t="s">
        <v>86</v>
      </c>
      <c r="E17" s="26" t="s">
        <v>44</v>
      </c>
      <c r="F17" s="26" t="s">
        <v>53</v>
      </c>
      <c r="G17" s="1"/>
      <c r="H17" s="29">
        <v>1</v>
      </c>
      <c r="I17" s="7">
        <v>176.95000000000002</v>
      </c>
      <c r="J17" s="7">
        <v>176.95000000000002</v>
      </c>
      <c r="L17" s="29">
        <v>1</v>
      </c>
      <c r="M17" s="7">
        <v>176.95000000000002</v>
      </c>
      <c r="N17" s="7">
        <v>176.95000000000002</v>
      </c>
      <c r="P17" s="29">
        <v>1</v>
      </c>
      <c r="Q17" s="7">
        <v>176.95000000000002</v>
      </c>
      <c r="R17" s="7">
        <v>176.95000000000002</v>
      </c>
      <c r="S17" s="108"/>
      <c r="T17" s="29">
        <v>1</v>
      </c>
      <c r="U17" s="7">
        <v>176.95000000000002</v>
      </c>
      <c r="V17" s="7">
        <v>176.95000000000002</v>
      </c>
      <c r="X17" s="29">
        <v>1</v>
      </c>
      <c r="Y17" s="7">
        <v>176.95000000000002</v>
      </c>
      <c r="Z17" s="7">
        <v>176.95000000000002</v>
      </c>
      <c r="AB17" s="29">
        <v>1</v>
      </c>
      <c r="AC17" s="7">
        <v>176.95000000000002</v>
      </c>
      <c r="AD17" s="7">
        <v>176.95000000000002</v>
      </c>
      <c r="AF17" s="29">
        <v>1</v>
      </c>
      <c r="AG17" s="7">
        <v>176.95000000000002</v>
      </c>
      <c r="AH17" s="7">
        <v>176.95000000000002</v>
      </c>
      <c r="AJ17" s="29">
        <v>1</v>
      </c>
      <c r="AK17" s="7">
        <v>176.95000000000002</v>
      </c>
      <c r="AL17" s="7">
        <v>176.95000000000002</v>
      </c>
      <c r="AN17" s="29">
        <v>1</v>
      </c>
      <c r="AO17" s="158">
        <v>176.95000000000002</v>
      </c>
      <c r="AP17" s="158">
        <v>176.95000000000002</v>
      </c>
      <c r="AQ17" s="148"/>
      <c r="AR17" s="29">
        <v>1</v>
      </c>
      <c r="AS17" s="158">
        <v>176.95000000000002</v>
      </c>
      <c r="AT17" s="158">
        <v>176.95000000000002</v>
      </c>
    </row>
    <row r="18" spans="1:46" ht="15" customHeight="1" outlineLevel="1">
      <c r="A18" s="34"/>
      <c r="B18" s="10" t="s">
        <v>240</v>
      </c>
      <c r="C18" s="10" t="s">
        <v>133</v>
      </c>
      <c r="D18" s="29" t="s">
        <v>90</v>
      </c>
      <c r="E18" s="26" t="s">
        <v>44</v>
      </c>
      <c r="F18" s="26" t="s">
        <v>50</v>
      </c>
      <c r="G18" s="1"/>
      <c r="H18" s="29">
        <v>1</v>
      </c>
      <c r="I18" s="7">
        <v>3079.25</v>
      </c>
      <c r="J18" s="7">
        <v>3079.25</v>
      </c>
      <c r="L18" s="29">
        <v>1</v>
      </c>
      <c r="M18" s="7">
        <v>3079.25</v>
      </c>
      <c r="N18" s="7">
        <v>3079.25</v>
      </c>
      <c r="P18" s="29">
        <v>1</v>
      </c>
      <c r="Q18" s="7">
        <v>3079.25</v>
      </c>
      <c r="R18" s="7">
        <v>3079.25</v>
      </c>
      <c r="S18" s="108"/>
      <c r="T18" s="29">
        <v>1</v>
      </c>
      <c r="U18" s="7">
        <v>3079.25</v>
      </c>
      <c r="V18" s="7">
        <v>3079.25</v>
      </c>
      <c r="X18" s="29">
        <v>1</v>
      </c>
      <c r="Y18" s="7">
        <v>3079.2499999999986</v>
      </c>
      <c r="Z18" s="7">
        <v>3079.2499999999986</v>
      </c>
      <c r="AB18" s="29">
        <v>1</v>
      </c>
      <c r="AC18" s="7">
        <v>3079.2499999999986</v>
      </c>
      <c r="AD18" s="7">
        <v>3079.2499999999986</v>
      </c>
      <c r="AF18" s="29">
        <v>1</v>
      </c>
      <c r="AG18" s="7">
        <v>3079.2499999999986</v>
      </c>
      <c r="AH18" s="7">
        <v>3079.2499999999986</v>
      </c>
      <c r="AJ18" s="29">
        <v>1</v>
      </c>
      <c r="AK18" s="7">
        <v>3079.2499999999986</v>
      </c>
      <c r="AL18" s="7">
        <v>3079.2499999999986</v>
      </c>
      <c r="AN18" s="29">
        <v>1</v>
      </c>
      <c r="AO18" s="158">
        <v>3079.2499999999991</v>
      </c>
      <c r="AP18" s="158">
        <v>3079.2499999999991</v>
      </c>
      <c r="AQ18" s="148"/>
      <c r="AR18" s="29">
        <v>1</v>
      </c>
      <c r="AS18" s="158">
        <v>3079.2499999999991</v>
      </c>
      <c r="AT18" s="158">
        <v>3079.2499999999991</v>
      </c>
    </row>
    <row r="19" spans="1:46" ht="15" customHeight="1" outlineLevel="1">
      <c r="A19" s="34"/>
      <c r="B19" s="10" t="s">
        <v>11</v>
      </c>
      <c r="C19" s="10" t="s">
        <v>134</v>
      </c>
      <c r="D19" s="29" t="s">
        <v>86</v>
      </c>
      <c r="E19" s="26" t="s">
        <v>44</v>
      </c>
      <c r="F19" s="26" t="s">
        <v>54</v>
      </c>
      <c r="G19" s="1"/>
      <c r="H19" s="29">
        <v>1</v>
      </c>
      <c r="I19" s="7">
        <v>1774</v>
      </c>
      <c r="J19" s="7">
        <v>1774</v>
      </c>
      <c r="L19" s="29">
        <v>1</v>
      </c>
      <c r="M19" s="7">
        <v>1774</v>
      </c>
      <c r="N19" s="7">
        <v>1774</v>
      </c>
      <c r="P19" s="29">
        <v>1</v>
      </c>
      <c r="Q19" s="7">
        <v>1774</v>
      </c>
      <c r="R19" s="7">
        <v>1774</v>
      </c>
      <c r="S19" s="108"/>
      <c r="T19" s="29">
        <v>1</v>
      </c>
      <c r="U19" s="7">
        <v>1774</v>
      </c>
      <c r="V19" s="7">
        <v>1774</v>
      </c>
      <c r="X19" s="29">
        <v>1</v>
      </c>
      <c r="Y19" s="7">
        <v>1774</v>
      </c>
      <c r="Z19" s="7">
        <v>1774</v>
      </c>
      <c r="AB19" s="29">
        <v>1</v>
      </c>
      <c r="AC19" s="7">
        <v>1774</v>
      </c>
      <c r="AD19" s="7">
        <v>1774</v>
      </c>
      <c r="AF19" s="29">
        <v>1</v>
      </c>
      <c r="AG19" s="7">
        <v>1774</v>
      </c>
      <c r="AH19" s="7">
        <v>1774</v>
      </c>
      <c r="AJ19" s="29">
        <v>1</v>
      </c>
      <c r="AK19" s="7">
        <v>1774</v>
      </c>
      <c r="AL19" s="7">
        <v>1774</v>
      </c>
      <c r="AN19" s="29">
        <v>1</v>
      </c>
      <c r="AO19" s="158">
        <v>1774</v>
      </c>
      <c r="AP19" s="158">
        <v>1774</v>
      </c>
      <c r="AQ19" s="148"/>
      <c r="AR19" s="29">
        <v>1</v>
      </c>
      <c r="AS19" s="158">
        <v>1774</v>
      </c>
      <c r="AT19" s="158">
        <v>1774</v>
      </c>
    </row>
    <row r="20" spans="1:46" ht="15" customHeight="1" outlineLevel="1">
      <c r="A20" s="34"/>
      <c r="B20" s="10" t="s">
        <v>12</v>
      </c>
      <c r="C20" s="10" t="s">
        <v>135</v>
      </c>
      <c r="D20" s="29" t="s">
        <v>87</v>
      </c>
      <c r="E20" s="26" t="s">
        <v>44</v>
      </c>
      <c r="F20" s="26" t="s">
        <v>52</v>
      </c>
      <c r="G20" s="1"/>
      <c r="H20" s="29">
        <v>0.5</v>
      </c>
      <c r="I20" s="7">
        <v>1456.0800000000002</v>
      </c>
      <c r="J20" s="7">
        <v>728.04000000000008</v>
      </c>
      <c r="L20" s="29">
        <v>0.5</v>
      </c>
      <c r="M20" s="7">
        <v>1456.0800000000002</v>
      </c>
      <c r="N20" s="7">
        <v>728.04000000000008</v>
      </c>
      <c r="P20" s="29">
        <v>0.5</v>
      </c>
      <c r="Q20" s="7">
        <v>1456.0800000000002</v>
      </c>
      <c r="R20" s="7">
        <v>728.04000000000008</v>
      </c>
      <c r="S20" s="108"/>
      <c r="T20" s="29">
        <v>0.5</v>
      </c>
      <c r="U20" s="7">
        <v>1456.0800000000002</v>
      </c>
      <c r="V20" s="7">
        <v>728.04000000000008</v>
      </c>
      <c r="X20" s="29">
        <v>0.5</v>
      </c>
      <c r="Y20" s="7">
        <v>1456.0800000000002</v>
      </c>
      <c r="Z20" s="7">
        <v>728.04000000000008</v>
      </c>
      <c r="AB20" s="29">
        <v>0.5</v>
      </c>
      <c r="AC20" s="7">
        <v>1444.02</v>
      </c>
      <c r="AD20" s="7">
        <v>722.01</v>
      </c>
      <c r="AF20" s="29">
        <v>0.5</v>
      </c>
      <c r="AG20" s="7">
        <v>1444.02</v>
      </c>
      <c r="AH20" s="7">
        <v>722.01</v>
      </c>
      <c r="AJ20" s="29">
        <v>0.5</v>
      </c>
      <c r="AK20" s="7">
        <v>1444.02</v>
      </c>
      <c r="AL20" s="7">
        <v>722.01</v>
      </c>
      <c r="AN20" s="29">
        <v>0.5</v>
      </c>
      <c r="AO20" s="158">
        <v>1444.02</v>
      </c>
      <c r="AP20" s="158">
        <v>722.01</v>
      </c>
      <c r="AQ20" s="148"/>
      <c r="AR20" s="29">
        <v>0.5</v>
      </c>
      <c r="AS20" s="158">
        <v>1444.02</v>
      </c>
      <c r="AT20" s="158">
        <v>722.01</v>
      </c>
    </row>
    <row r="21" spans="1:46" ht="15" customHeight="1" outlineLevel="1">
      <c r="A21" s="34"/>
      <c r="B21" s="10" t="s">
        <v>13</v>
      </c>
      <c r="C21" s="10" t="s">
        <v>136</v>
      </c>
      <c r="D21" s="29" t="s">
        <v>86</v>
      </c>
      <c r="E21" s="26" t="s">
        <v>44</v>
      </c>
      <c r="F21" s="26" t="s">
        <v>55</v>
      </c>
      <c r="G21" s="1"/>
      <c r="H21" s="29">
        <v>1</v>
      </c>
      <c r="I21" s="7">
        <v>799.99</v>
      </c>
      <c r="J21" s="7">
        <v>799.99</v>
      </c>
      <c r="L21" s="29">
        <v>1</v>
      </c>
      <c r="M21" s="7">
        <v>799.99</v>
      </c>
      <c r="N21" s="7">
        <v>799.99</v>
      </c>
      <c r="P21" s="29">
        <v>1</v>
      </c>
      <c r="Q21" s="7">
        <v>799.99</v>
      </c>
      <c r="R21" s="7">
        <v>799.99</v>
      </c>
      <c r="S21" s="108"/>
      <c r="T21" s="29">
        <v>1</v>
      </c>
      <c r="U21" s="7">
        <v>799.99</v>
      </c>
      <c r="V21" s="7">
        <v>799.99</v>
      </c>
      <c r="X21" s="29">
        <v>1</v>
      </c>
      <c r="Y21" s="7">
        <v>799.99000000000012</v>
      </c>
      <c r="Z21" s="7">
        <v>799.99000000000012</v>
      </c>
      <c r="AB21" s="29">
        <v>1</v>
      </c>
      <c r="AC21" s="7">
        <v>799.99000000000012</v>
      </c>
      <c r="AD21" s="7">
        <v>799.99000000000012</v>
      </c>
      <c r="AF21" s="29">
        <v>1</v>
      </c>
      <c r="AG21" s="7">
        <v>766.68000000000006</v>
      </c>
      <c r="AH21" s="7">
        <v>766.68000000000006</v>
      </c>
      <c r="AJ21" s="29">
        <v>1</v>
      </c>
      <c r="AK21" s="7">
        <v>766.68000000000006</v>
      </c>
      <c r="AL21" s="7">
        <v>766.68000000000006</v>
      </c>
      <c r="AN21" s="29">
        <v>1</v>
      </c>
      <c r="AO21" s="158">
        <v>766.68000000000006</v>
      </c>
      <c r="AP21" s="158">
        <v>766.68000000000006</v>
      </c>
      <c r="AQ21" s="148"/>
      <c r="AR21" s="29">
        <v>1</v>
      </c>
      <c r="AS21" s="158">
        <v>766.68000000000006</v>
      </c>
      <c r="AT21" s="158">
        <v>766.68000000000006</v>
      </c>
    </row>
    <row r="22" spans="1:46" ht="15" customHeight="1" outlineLevel="1">
      <c r="A22" s="34"/>
      <c r="B22" s="10" t="s">
        <v>14</v>
      </c>
      <c r="C22" s="10" t="s">
        <v>137</v>
      </c>
      <c r="D22" s="29" t="s">
        <v>87</v>
      </c>
      <c r="E22" s="26" t="s">
        <v>44</v>
      </c>
      <c r="F22" s="26" t="s">
        <v>56</v>
      </c>
      <c r="G22" s="1"/>
      <c r="H22" s="32">
        <v>1</v>
      </c>
      <c r="I22" s="7">
        <v>3142.87</v>
      </c>
      <c r="J22" s="7">
        <v>3142.87</v>
      </c>
      <c r="L22" s="32">
        <v>1</v>
      </c>
      <c r="M22" s="7">
        <v>3142.87</v>
      </c>
      <c r="N22" s="7">
        <v>3142.87</v>
      </c>
      <c r="P22" s="32">
        <v>1</v>
      </c>
      <c r="Q22" s="7">
        <v>3142.87</v>
      </c>
      <c r="R22" s="7">
        <v>3142.87</v>
      </c>
      <c r="S22" s="108"/>
      <c r="T22" s="32">
        <v>1</v>
      </c>
      <c r="U22" s="7">
        <v>3142.87</v>
      </c>
      <c r="V22" s="7">
        <v>3142.87</v>
      </c>
      <c r="X22" s="32">
        <v>1</v>
      </c>
      <c r="Y22" s="7">
        <v>3142.8700000000003</v>
      </c>
      <c r="Z22" s="7">
        <v>3142.8700000000003</v>
      </c>
      <c r="AB22" s="32">
        <v>1</v>
      </c>
      <c r="AC22" s="7">
        <v>3142.8700000000003</v>
      </c>
      <c r="AD22" s="7">
        <v>3142.8700000000003</v>
      </c>
      <c r="AF22" s="32">
        <v>1</v>
      </c>
      <c r="AG22" s="7">
        <v>3142.8700000000003</v>
      </c>
      <c r="AH22" s="7">
        <v>3142.8700000000003</v>
      </c>
      <c r="AJ22" s="32">
        <v>1</v>
      </c>
      <c r="AK22" s="7">
        <v>3142.8700000000003</v>
      </c>
      <c r="AL22" s="7">
        <v>3142.8700000000003</v>
      </c>
      <c r="AN22" s="32">
        <v>1</v>
      </c>
      <c r="AO22" s="158">
        <v>3142.8700000000003</v>
      </c>
      <c r="AP22" s="158">
        <v>3142.8700000000003</v>
      </c>
      <c r="AQ22" s="148"/>
      <c r="AR22" s="32">
        <v>1</v>
      </c>
      <c r="AS22" s="158">
        <v>3142.8700000000003</v>
      </c>
      <c r="AT22" s="158">
        <v>3142.8700000000003</v>
      </c>
    </row>
    <row r="23" spans="1:46" ht="15" customHeight="1" outlineLevel="1">
      <c r="A23" s="34"/>
      <c r="B23" s="10" t="s">
        <v>243</v>
      </c>
      <c r="C23" s="10" t="s">
        <v>138</v>
      </c>
      <c r="D23" s="29" t="s">
        <v>86</v>
      </c>
      <c r="E23" s="26" t="s">
        <v>44</v>
      </c>
      <c r="F23" s="26" t="s">
        <v>54</v>
      </c>
      <c r="G23" s="1"/>
      <c r="H23" s="29">
        <v>0.3</v>
      </c>
      <c r="I23" s="7">
        <v>2671.16</v>
      </c>
      <c r="J23" s="7">
        <v>801.34799999999996</v>
      </c>
      <c r="L23" s="29">
        <v>0.3</v>
      </c>
      <c r="M23" s="7">
        <v>2671.16</v>
      </c>
      <c r="N23" s="7">
        <v>801.34799999999996</v>
      </c>
      <c r="P23" s="29">
        <v>0.3</v>
      </c>
      <c r="Q23" s="7">
        <v>2583.75</v>
      </c>
      <c r="R23" s="7">
        <v>775.125</v>
      </c>
      <c r="S23" s="108"/>
      <c r="T23" s="29">
        <v>0.3</v>
      </c>
      <c r="U23" s="7">
        <v>2583.75</v>
      </c>
      <c r="V23" s="7">
        <v>775.125</v>
      </c>
      <c r="X23" s="29">
        <v>0.3</v>
      </c>
      <c r="Y23" s="7">
        <v>2583.75</v>
      </c>
      <c r="Z23" s="7">
        <v>775.125</v>
      </c>
      <c r="AB23" s="29">
        <v>0.3</v>
      </c>
      <c r="AC23" s="7">
        <v>2609.4300000000003</v>
      </c>
      <c r="AD23" s="7">
        <v>782.82900000000006</v>
      </c>
      <c r="AF23" s="29">
        <v>0.3</v>
      </c>
      <c r="AG23" s="7">
        <v>2609.4300000000003</v>
      </c>
      <c r="AH23" s="7">
        <v>782.82900000000006</v>
      </c>
      <c r="AJ23" s="29">
        <v>0.3</v>
      </c>
      <c r="AK23" s="7">
        <v>2609.4300000000003</v>
      </c>
      <c r="AL23" s="7">
        <v>782.82900000000006</v>
      </c>
      <c r="AN23" s="29">
        <v>0.3</v>
      </c>
      <c r="AO23" s="158">
        <v>2609.4300000000003</v>
      </c>
      <c r="AP23" s="158">
        <v>782.82900000000006</v>
      </c>
      <c r="AQ23" s="148"/>
      <c r="AR23" s="29">
        <v>0.3</v>
      </c>
      <c r="AS23" s="158">
        <v>2609.4300000000003</v>
      </c>
      <c r="AT23" s="158">
        <v>782.82900000000006</v>
      </c>
    </row>
    <row r="24" spans="1:46" ht="15" customHeight="1" outlineLevel="1">
      <c r="A24" s="34"/>
      <c r="B24" s="10" t="s">
        <v>238</v>
      </c>
      <c r="C24" s="10" t="s">
        <v>139</v>
      </c>
      <c r="D24" s="29" t="s">
        <v>94</v>
      </c>
      <c r="E24" s="26" t="s">
        <v>41</v>
      </c>
      <c r="F24" s="26" t="s">
        <v>57</v>
      </c>
      <c r="G24" s="1"/>
      <c r="H24" s="29">
        <v>1</v>
      </c>
      <c r="I24" s="7">
        <v>689.98</v>
      </c>
      <c r="J24" s="7">
        <v>689.98</v>
      </c>
      <c r="L24" s="29">
        <v>1</v>
      </c>
      <c r="M24" s="7">
        <v>689.98</v>
      </c>
      <c r="N24" s="7">
        <v>689.98</v>
      </c>
      <c r="P24" s="29">
        <v>1</v>
      </c>
      <c r="Q24" s="7">
        <v>689.98</v>
      </c>
      <c r="R24" s="7">
        <v>689.98</v>
      </c>
      <c r="S24" s="108"/>
      <c r="T24" s="29">
        <v>1</v>
      </c>
      <c r="U24" s="7">
        <v>689.98</v>
      </c>
      <c r="V24" s="7">
        <v>689.98</v>
      </c>
      <c r="X24" s="29">
        <v>1</v>
      </c>
      <c r="Y24" s="7">
        <v>689.98</v>
      </c>
      <c r="Z24" s="7">
        <v>689.98</v>
      </c>
      <c r="AB24" s="29">
        <v>1</v>
      </c>
      <c r="AC24" s="7">
        <v>689.98</v>
      </c>
      <c r="AD24" s="7">
        <v>689.98</v>
      </c>
      <c r="AF24" s="29">
        <v>1</v>
      </c>
      <c r="AG24" s="7">
        <v>689.98</v>
      </c>
      <c r="AH24" s="7">
        <v>689.98</v>
      </c>
      <c r="AJ24" s="29">
        <v>1</v>
      </c>
      <c r="AK24" s="7">
        <v>689.98</v>
      </c>
      <c r="AL24" s="7">
        <v>689.98</v>
      </c>
      <c r="AN24" s="29">
        <v>1</v>
      </c>
      <c r="AO24" s="158">
        <v>689.98</v>
      </c>
      <c r="AP24" s="158">
        <v>689.98</v>
      </c>
      <c r="AQ24" s="148"/>
      <c r="AR24" s="29">
        <v>1</v>
      </c>
      <c r="AS24" s="158">
        <v>689.98</v>
      </c>
      <c r="AT24" s="158">
        <v>689.98</v>
      </c>
    </row>
    <row r="25" spans="1:46" ht="15" customHeight="1" outlineLevel="1">
      <c r="A25" s="34"/>
      <c r="B25" s="10" t="s">
        <v>245</v>
      </c>
      <c r="C25" s="10" t="s">
        <v>140</v>
      </c>
      <c r="D25" s="29" t="s">
        <v>86</v>
      </c>
      <c r="E25" s="26" t="s">
        <v>44</v>
      </c>
      <c r="F25" s="26" t="s">
        <v>47</v>
      </c>
      <c r="G25" s="1"/>
      <c r="H25" s="29">
        <v>1</v>
      </c>
      <c r="I25" s="7">
        <v>352.32</v>
      </c>
      <c r="J25" s="7">
        <v>352.32</v>
      </c>
      <c r="L25" s="29">
        <v>1</v>
      </c>
      <c r="M25" s="7">
        <v>352.32</v>
      </c>
      <c r="N25" s="7">
        <v>352.32</v>
      </c>
      <c r="P25" s="29">
        <v>1</v>
      </c>
      <c r="Q25" s="7">
        <v>352.32</v>
      </c>
      <c r="R25" s="7">
        <v>352.32</v>
      </c>
      <c r="S25" s="108"/>
      <c r="T25" s="29">
        <v>1</v>
      </c>
      <c r="U25" s="7">
        <v>352.32</v>
      </c>
      <c r="V25" s="7">
        <v>352.32</v>
      </c>
      <c r="X25" s="29">
        <v>1</v>
      </c>
      <c r="Y25" s="7">
        <v>352.32</v>
      </c>
      <c r="Z25" s="7">
        <v>352.32</v>
      </c>
      <c r="AB25" s="29">
        <v>1</v>
      </c>
      <c r="AC25" s="7">
        <v>352.32</v>
      </c>
      <c r="AD25" s="7">
        <v>352.32</v>
      </c>
      <c r="AF25" s="29">
        <v>1</v>
      </c>
      <c r="AG25" s="7">
        <v>352.32</v>
      </c>
      <c r="AH25" s="7">
        <v>352.32</v>
      </c>
      <c r="AJ25" s="29">
        <v>1</v>
      </c>
      <c r="AK25" s="7">
        <v>352.32</v>
      </c>
      <c r="AL25" s="7">
        <v>352.32</v>
      </c>
      <c r="AN25" s="29">
        <v>1</v>
      </c>
      <c r="AO25" s="158">
        <v>352.32</v>
      </c>
      <c r="AP25" s="158">
        <v>352.32</v>
      </c>
      <c r="AQ25" s="148"/>
      <c r="AR25" s="29">
        <v>1</v>
      </c>
      <c r="AS25" s="158">
        <v>352.32</v>
      </c>
      <c r="AT25" s="158">
        <v>352.32</v>
      </c>
    </row>
    <row r="26" spans="1:46" ht="15" customHeight="1" outlineLevel="1">
      <c r="A26" s="34"/>
      <c r="B26" s="10" t="s">
        <v>15</v>
      </c>
      <c r="C26" s="10" t="s">
        <v>141</v>
      </c>
      <c r="D26" s="29" t="s">
        <v>86</v>
      </c>
      <c r="E26" s="26" t="s">
        <v>44</v>
      </c>
      <c r="F26" s="26" t="s">
        <v>56</v>
      </c>
      <c r="G26" s="1"/>
      <c r="H26" s="29">
        <v>1</v>
      </c>
      <c r="I26" s="7">
        <v>601.41999999999996</v>
      </c>
      <c r="J26" s="7">
        <v>601.41999999999996</v>
      </c>
      <c r="L26" s="29">
        <v>1</v>
      </c>
      <c r="M26" s="7">
        <v>601.41999999999996</v>
      </c>
      <c r="N26" s="7">
        <v>601.41999999999996</v>
      </c>
      <c r="P26" s="29">
        <v>1</v>
      </c>
      <c r="Q26" s="7">
        <v>601.41999999999996</v>
      </c>
      <c r="R26" s="7">
        <v>601.41999999999996</v>
      </c>
      <c r="S26" s="108"/>
      <c r="T26" s="29">
        <v>1</v>
      </c>
      <c r="U26" s="7">
        <v>601.41999999999996</v>
      </c>
      <c r="V26" s="7">
        <v>601.41999999999996</v>
      </c>
      <c r="X26" s="29">
        <v>1</v>
      </c>
      <c r="Y26" s="7">
        <v>674.22</v>
      </c>
      <c r="Z26" s="7">
        <v>674.22</v>
      </c>
      <c r="AB26" s="29">
        <v>1</v>
      </c>
      <c r="AC26" s="7">
        <v>672.22</v>
      </c>
      <c r="AD26" s="7">
        <v>672.22</v>
      </c>
      <c r="AF26" s="29">
        <v>1</v>
      </c>
      <c r="AG26" s="7">
        <v>672.22</v>
      </c>
      <c r="AH26" s="7">
        <v>672.22</v>
      </c>
      <c r="AJ26" s="29">
        <v>1</v>
      </c>
      <c r="AK26" s="7">
        <v>672.22</v>
      </c>
      <c r="AL26" s="7">
        <v>672.22</v>
      </c>
      <c r="AN26" s="29">
        <v>1</v>
      </c>
      <c r="AO26" s="158">
        <v>672.22</v>
      </c>
      <c r="AP26" s="158">
        <v>672.22</v>
      </c>
      <c r="AQ26" s="148"/>
      <c r="AR26" s="29">
        <v>1</v>
      </c>
      <c r="AS26" s="158">
        <v>672.22</v>
      </c>
      <c r="AT26" s="158">
        <v>672.22</v>
      </c>
    </row>
    <row r="27" spans="1:46" ht="15" customHeight="1" outlineLevel="1">
      <c r="A27" s="34"/>
      <c r="B27" s="10" t="s">
        <v>16</v>
      </c>
      <c r="C27" s="10" t="s">
        <v>142</v>
      </c>
      <c r="D27" s="29" t="s">
        <v>16</v>
      </c>
      <c r="E27" s="26" t="s">
        <v>44</v>
      </c>
      <c r="F27" s="26" t="s">
        <v>58</v>
      </c>
      <c r="G27" s="1"/>
      <c r="H27" s="29">
        <v>1</v>
      </c>
      <c r="I27" s="7">
        <v>934.44</v>
      </c>
      <c r="J27" s="7">
        <v>934.44</v>
      </c>
      <c r="L27" s="29">
        <v>1</v>
      </c>
      <c r="M27" s="7">
        <v>934.44</v>
      </c>
      <c r="N27" s="7">
        <v>934.44</v>
      </c>
      <c r="P27" s="29">
        <v>1</v>
      </c>
      <c r="Q27" s="7">
        <v>934.44</v>
      </c>
      <c r="R27" s="7">
        <v>934.44</v>
      </c>
      <c r="S27" s="108"/>
      <c r="T27" s="29">
        <v>1</v>
      </c>
      <c r="U27" s="7">
        <v>934.44</v>
      </c>
      <c r="V27" s="7">
        <v>934.44</v>
      </c>
      <c r="X27" s="29">
        <v>1</v>
      </c>
      <c r="Y27" s="7">
        <v>934.44</v>
      </c>
      <c r="Z27" s="7">
        <v>934.44</v>
      </c>
      <c r="AB27" s="29">
        <v>1</v>
      </c>
      <c r="AC27" s="7">
        <v>934.44</v>
      </c>
      <c r="AD27" s="7">
        <v>934.44</v>
      </c>
      <c r="AF27" s="29">
        <v>1</v>
      </c>
      <c r="AG27" s="7">
        <v>934.44</v>
      </c>
      <c r="AH27" s="7">
        <v>934.44</v>
      </c>
      <c r="AJ27" s="29">
        <v>1</v>
      </c>
      <c r="AK27" s="7">
        <v>934</v>
      </c>
      <c r="AL27" s="7">
        <v>934</v>
      </c>
      <c r="AN27" s="29">
        <v>1</v>
      </c>
      <c r="AO27" s="158">
        <v>933.01</v>
      </c>
      <c r="AP27" s="158">
        <v>933.01</v>
      </c>
      <c r="AQ27" s="148"/>
      <c r="AR27" s="29">
        <v>1</v>
      </c>
      <c r="AS27" s="158">
        <v>933.01</v>
      </c>
      <c r="AT27" s="158">
        <v>933.01</v>
      </c>
    </row>
    <row r="28" spans="1:46" ht="15" customHeight="1" outlineLevel="1">
      <c r="A28" s="34"/>
      <c r="B28" s="10" t="s">
        <v>241</v>
      </c>
      <c r="C28" s="10" t="s">
        <v>142</v>
      </c>
      <c r="D28" s="29" t="s">
        <v>95</v>
      </c>
      <c r="E28" s="26" t="s">
        <v>44</v>
      </c>
      <c r="F28" s="26" t="s">
        <v>46</v>
      </c>
      <c r="G28" s="1"/>
      <c r="H28" s="29">
        <v>1</v>
      </c>
      <c r="I28" s="7">
        <v>55.8</v>
      </c>
      <c r="J28" s="7">
        <v>55.8</v>
      </c>
      <c r="L28" s="29">
        <v>1</v>
      </c>
      <c r="M28" s="7">
        <v>55.8</v>
      </c>
      <c r="N28" s="7">
        <v>55.8</v>
      </c>
      <c r="P28" s="29">
        <v>1</v>
      </c>
      <c r="Q28" s="7">
        <v>55.8</v>
      </c>
      <c r="R28" s="7">
        <v>55.8</v>
      </c>
      <c r="S28" s="108"/>
      <c r="T28" s="29">
        <v>1</v>
      </c>
      <c r="U28" s="7">
        <v>55.8</v>
      </c>
      <c r="V28" s="7">
        <v>55.8</v>
      </c>
      <c r="X28" s="29">
        <v>1</v>
      </c>
      <c r="Y28" s="7">
        <v>55.8</v>
      </c>
      <c r="Z28" s="7">
        <v>55.79999999999999</v>
      </c>
      <c r="AB28" s="29">
        <v>1</v>
      </c>
      <c r="AC28" s="7">
        <v>55.79999999999999</v>
      </c>
      <c r="AD28" s="7">
        <v>55.79999999999999</v>
      </c>
      <c r="AF28" s="29">
        <v>1</v>
      </c>
      <c r="AG28" s="7">
        <v>55.79999999999999</v>
      </c>
      <c r="AH28" s="7">
        <v>55.79999999999999</v>
      </c>
      <c r="AJ28" s="29">
        <v>1</v>
      </c>
      <c r="AK28" s="7">
        <v>55.79999999999999</v>
      </c>
      <c r="AL28" s="7">
        <v>55.79999999999999</v>
      </c>
      <c r="AN28" s="29">
        <v>1</v>
      </c>
      <c r="AO28" s="158">
        <v>55.79999999999999</v>
      </c>
      <c r="AP28" s="158">
        <v>55.79999999999999</v>
      </c>
      <c r="AQ28" s="148"/>
      <c r="AR28" s="29">
        <v>1</v>
      </c>
      <c r="AS28" s="158">
        <v>55.79999999999999</v>
      </c>
      <c r="AT28" s="158">
        <v>55.79999999999999</v>
      </c>
    </row>
    <row r="29" spans="1:46" ht="15" customHeight="1" outlineLevel="1">
      <c r="A29" s="34"/>
      <c r="B29" s="10" t="s">
        <v>244</v>
      </c>
      <c r="C29" s="10" t="s">
        <v>142</v>
      </c>
      <c r="D29" s="29" t="s">
        <v>96</v>
      </c>
      <c r="E29" s="26" t="s">
        <v>44</v>
      </c>
      <c r="F29" s="26" t="s">
        <v>59</v>
      </c>
      <c r="G29" s="1"/>
      <c r="H29" s="29">
        <v>1</v>
      </c>
      <c r="I29" s="7">
        <v>403.87</v>
      </c>
      <c r="J29" s="7">
        <v>403.87</v>
      </c>
      <c r="L29" s="29">
        <v>1</v>
      </c>
      <c r="M29" s="7">
        <v>403.87</v>
      </c>
      <c r="N29" s="7">
        <v>403.87</v>
      </c>
      <c r="P29" s="29">
        <v>1</v>
      </c>
      <c r="Q29" s="7">
        <v>403.87</v>
      </c>
      <c r="R29" s="7">
        <v>403.87</v>
      </c>
      <c r="S29" s="108"/>
      <c r="T29" s="29">
        <v>1</v>
      </c>
      <c r="U29" s="7">
        <v>403.87</v>
      </c>
      <c r="V29" s="7">
        <v>403.87</v>
      </c>
      <c r="X29" s="29">
        <v>1</v>
      </c>
      <c r="Y29" s="7">
        <v>403.87000000000006</v>
      </c>
      <c r="Z29" s="7">
        <v>403.87000000000006</v>
      </c>
      <c r="AB29" s="29">
        <v>1</v>
      </c>
      <c r="AC29" s="7">
        <v>403.87</v>
      </c>
      <c r="AD29" s="7">
        <v>403.87</v>
      </c>
      <c r="AF29" s="29">
        <v>1</v>
      </c>
      <c r="AG29" s="7">
        <v>247.17000000000002</v>
      </c>
      <c r="AH29" s="7">
        <v>247.17000000000002</v>
      </c>
      <c r="AJ29" s="29">
        <v>1</v>
      </c>
      <c r="AK29" s="7">
        <v>247.17000000000002</v>
      </c>
      <c r="AL29" s="7">
        <v>247.17000000000002</v>
      </c>
      <c r="AN29" s="29">
        <v>1</v>
      </c>
      <c r="AO29" s="158">
        <v>247.17000000000002</v>
      </c>
      <c r="AP29" s="158">
        <v>247.17000000000002</v>
      </c>
      <c r="AQ29" s="148"/>
      <c r="AR29" s="29">
        <v>1</v>
      </c>
      <c r="AS29" s="158">
        <v>247.17000000000002</v>
      </c>
      <c r="AT29" s="158">
        <v>247.17000000000002</v>
      </c>
    </row>
    <row r="30" spans="1:46" ht="15" customHeight="1" outlineLevel="1">
      <c r="A30" s="34"/>
      <c r="B30" s="10" t="s">
        <v>246</v>
      </c>
      <c r="C30" s="10" t="s">
        <v>142</v>
      </c>
      <c r="D30" s="29" t="s">
        <v>97</v>
      </c>
      <c r="E30" s="26" t="s">
        <v>44</v>
      </c>
      <c r="F30" s="26" t="s">
        <v>45</v>
      </c>
      <c r="G30" s="1"/>
      <c r="H30" s="29">
        <v>1</v>
      </c>
      <c r="I30" s="7">
        <v>308.66000000000003</v>
      </c>
      <c r="J30" s="7">
        <v>308.66000000000003</v>
      </c>
      <c r="L30" s="29">
        <v>1</v>
      </c>
      <c r="M30" s="7">
        <v>308.66000000000003</v>
      </c>
      <c r="N30" s="7">
        <v>308.66000000000003</v>
      </c>
      <c r="P30" s="29">
        <v>1</v>
      </c>
      <c r="Q30" s="7">
        <v>308.66000000000003</v>
      </c>
      <c r="R30" s="7">
        <v>308.66000000000003</v>
      </c>
      <c r="S30" s="108"/>
      <c r="T30" s="29">
        <v>1</v>
      </c>
      <c r="U30" s="7">
        <v>308.66000000000003</v>
      </c>
      <c r="V30" s="7">
        <v>308.66000000000003</v>
      </c>
      <c r="X30" s="29">
        <v>1</v>
      </c>
      <c r="Y30" s="7">
        <v>308.66000000000003</v>
      </c>
      <c r="Z30" s="7">
        <v>308.66000000000003</v>
      </c>
      <c r="AB30" s="29">
        <v>1</v>
      </c>
      <c r="AC30" s="7">
        <v>308.66000000000003</v>
      </c>
      <c r="AD30" s="7">
        <v>308.66000000000003</v>
      </c>
      <c r="AF30" s="29">
        <v>1</v>
      </c>
      <c r="AG30" s="7">
        <v>308.66000000000003</v>
      </c>
      <c r="AH30" s="7">
        <v>308.66000000000003</v>
      </c>
      <c r="AJ30" s="29">
        <v>1</v>
      </c>
      <c r="AK30" s="7">
        <v>308.66000000000003</v>
      </c>
      <c r="AL30" s="7">
        <v>308.66000000000003</v>
      </c>
      <c r="AN30" s="29">
        <v>1</v>
      </c>
      <c r="AO30" s="158">
        <v>308.66000000000003</v>
      </c>
      <c r="AP30" s="158">
        <v>308.66000000000003</v>
      </c>
      <c r="AQ30" s="148"/>
      <c r="AR30" s="29">
        <v>1</v>
      </c>
      <c r="AS30" s="158">
        <v>308.66000000000003</v>
      </c>
      <c r="AT30" s="158">
        <v>308.66000000000003</v>
      </c>
    </row>
    <row r="31" spans="1:46" ht="15" customHeight="1" outlineLevel="1">
      <c r="A31" s="34"/>
      <c r="B31" s="10" t="s">
        <v>237</v>
      </c>
      <c r="C31" s="10" t="s">
        <v>142</v>
      </c>
      <c r="D31" s="29" t="s">
        <v>86</v>
      </c>
      <c r="E31" s="26" t="s">
        <v>44</v>
      </c>
      <c r="F31" s="26" t="s">
        <v>59</v>
      </c>
      <c r="G31" s="1"/>
      <c r="H31" s="29">
        <v>1</v>
      </c>
      <c r="I31" s="7">
        <v>246.46</v>
      </c>
      <c r="J31" s="7">
        <v>246.46</v>
      </c>
      <c r="L31" s="29">
        <v>1</v>
      </c>
      <c r="M31" s="7">
        <v>246.46</v>
      </c>
      <c r="N31" s="7">
        <v>246.46</v>
      </c>
      <c r="P31" s="29">
        <v>1</v>
      </c>
      <c r="Q31" s="7">
        <v>246.46</v>
      </c>
      <c r="R31" s="7">
        <v>246.46</v>
      </c>
      <c r="S31" s="108"/>
      <c r="T31" s="29">
        <v>1</v>
      </c>
      <c r="U31" s="7">
        <v>246.46</v>
      </c>
      <c r="V31" s="7">
        <v>246.46</v>
      </c>
      <c r="X31" s="29">
        <v>1</v>
      </c>
      <c r="Y31" s="7">
        <v>246.46</v>
      </c>
      <c r="Z31" s="7">
        <v>246.46</v>
      </c>
      <c r="AB31" s="29">
        <v>1</v>
      </c>
      <c r="AC31" s="7">
        <v>246.46</v>
      </c>
      <c r="AD31" s="7">
        <v>246.46</v>
      </c>
      <c r="AF31" s="29">
        <v>1</v>
      </c>
      <c r="AG31" s="7">
        <v>246.46</v>
      </c>
      <c r="AH31" s="7">
        <v>246.46</v>
      </c>
      <c r="AJ31" s="29">
        <v>1</v>
      </c>
      <c r="AK31" s="7">
        <v>246.46</v>
      </c>
      <c r="AL31" s="7">
        <v>246.46</v>
      </c>
      <c r="AN31" s="29">
        <v>1</v>
      </c>
      <c r="AO31" s="158">
        <v>246.46</v>
      </c>
      <c r="AP31" s="158">
        <v>246.46</v>
      </c>
      <c r="AQ31" s="148"/>
      <c r="AR31" s="29">
        <v>1</v>
      </c>
      <c r="AS31" s="158">
        <v>246.46</v>
      </c>
      <c r="AT31" s="158">
        <v>246.46</v>
      </c>
    </row>
    <row r="32" spans="1:46" s="151" customFormat="1" ht="15" customHeight="1" outlineLevel="1">
      <c r="A32" s="149"/>
      <c r="B32" s="10" t="s">
        <v>98</v>
      </c>
      <c r="C32" s="10" t="s">
        <v>142</v>
      </c>
      <c r="D32" s="37" t="s">
        <v>98</v>
      </c>
      <c r="E32" s="26" t="s">
        <v>40</v>
      </c>
      <c r="F32" s="26" t="s">
        <v>45</v>
      </c>
      <c r="G32" s="150"/>
      <c r="H32" s="37">
        <v>1</v>
      </c>
      <c r="I32" s="7">
        <v>964.38</v>
      </c>
      <c r="J32" s="7">
        <v>964.38</v>
      </c>
      <c r="L32" s="37">
        <v>1</v>
      </c>
      <c r="M32" s="7">
        <v>964.38</v>
      </c>
      <c r="N32" s="7">
        <v>964.38</v>
      </c>
      <c r="P32" s="37">
        <v>1</v>
      </c>
      <c r="Q32" s="7">
        <v>964.38</v>
      </c>
      <c r="R32" s="7">
        <v>964.38</v>
      </c>
      <c r="S32" s="154"/>
      <c r="T32" s="37">
        <v>1</v>
      </c>
      <c r="U32" s="7">
        <v>964.38</v>
      </c>
      <c r="V32" s="7">
        <v>964.38</v>
      </c>
      <c r="X32" s="37">
        <v>1</v>
      </c>
      <c r="Y32" s="7">
        <v>964.38</v>
      </c>
      <c r="Z32" s="7">
        <v>964.38</v>
      </c>
      <c r="AB32" s="37">
        <v>1</v>
      </c>
      <c r="AC32" s="7">
        <v>964.38</v>
      </c>
      <c r="AD32" s="7">
        <v>964.38</v>
      </c>
      <c r="AF32" s="37">
        <v>1</v>
      </c>
      <c r="AG32" s="7">
        <v>964.38</v>
      </c>
      <c r="AH32" s="7">
        <v>964.38</v>
      </c>
      <c r="AJ32" s="37">
        <v>1</v>
      </c>
      <c r="AK32" s="7">
        <v>964.38</v>
      </c>
      <c r="AL32" s="7">
        <v>964.38</v>
      </c>
      <c r="AN32" s="37">
        <v>1</v>
      </c>
      <c r="AO32" s="158">
        <v>745.74</v>
      </c>
      <c r="AP32" s="158">
        <v>745.74</v>
      </c>
      <c r="AQ32" s="152"/>
      <c r="AR32" s="37">
        <v>1</v>
      </c>
      <c r="AS32" s="158">
        <v>745.74</v>
      </c>
      <c r="AT32" s="158">
        <v>745.74</v>
      </c>
    </row>
    <row r="33" spans="1:46" ht="15" customHeight="1" outlineLevel="1">
      <c r="A33" s="34"/>
      <c r="B33" s="10" t="s">
        <v>239</v>
      </c>
      <c r="C33" s="10" t="s">
        <v>142</v>
      </c>
      <c r="D33" s="29" t="s">
        <v>97</v>
      </c>
      <c r="E33" s="26" t="s">
        <v>44</v>
      </c>
      <c r="F33" s="26" t="s">
        <v>50</v>
      </c>
      <c r="G33" s="1"/>
      <c r="H33" s="29">
        <v>1</v>
      </c>
      <c r="I33" s="7">
        <v>298.19</v>
      </c>
      <c r="J33" s="7">
        <v>298.19</v>
      </c>
      <c r="L33" s="29">
        <v>1</v>
      </c>
      <c r="M33" s="7">
        <v>298.19</v>
      </c>
      <c r="N33" s="7">
        <v>298.19</v>
      </c>
      <c r="P33" s="29">
        <v>1</v>
      </c>
      <c r="Q33" s="7">
        <v>298.19</v>
      </c>
      <c r="R33" s="7">
        <v>298.19</v>
      </c>
      <c r="S33" s="108"/>
      <c r="T33" s="29">
        <v>1</v>
      </c>
      <c r="U33" s="7">
        <v>298.19</v>
      </c>
      <c r="V33" s="7">
        <v>298.19</v>
      </c>
      <c r="X33" s="29">
        <v>1</v>
      </c>
      <c r="Y33" s="7">
        <v>298.19</v>
      </c>
      <c r="Z33" s="7">
        <v>298.19</v>
      </c>
      <c r="AB33" s="29">
        <v>1</v>
      </c>
      <c r="AC33" s="7">
        <v>298.19</v>
      </c>
      <c r="AD33" s="7">
        <v>298.19</v>
      </c>
      <c r="AF33" s="29">
        <v>1</v>
      </c>
      <c r="AG33" s="7">
        <v>171.33</v>
      </c>
      <c r="AH33" s="7">
        <v>171.33</v>
      </c>
      <c r="AJ33" s="29">
        <v>1</v>
      </c>
      <c r="AK33" s="7">
        <v>171.33</v>
      </c>
      <c r="AL33" s="7">
        <v>171.33</v>
      </c>
      <c r="AN33" s="29">
        <v>1</v>
      </c>
      <c r="AO33" s="158">
        <v>171.33</v>
      </c>
      <c r="AP33" s="158">
        <v>171.33</v>
      </c>
      <c r="AQ33" s="148"/>
      <c r="AR33" s="29">
        <v>1</v>
      </c>
      <c r="AS33" s="158">
        <v>171.33</v>
      </c>
      <c r="AT33" s="158">
        <v>171.33</v>
      </c>
    </row>
    <row r="34" spans="1:46" ht="15" customHeight="1" outlineLevel="1">
      <c r="A34" s="34"/>
      <c r="B34" s="10" t="s">
        <v>17</v>
      </c>
      <c r="C34" s="10" t="s">
        <v>143</v>
      </c>
      <c r="D34" s="29" t="s">
        <v>86</v>
      </c>
      <c r="E34" s="26" t="s">
        <v>44</v>
      </c>
      <c r="F34" s="26" t="s">
        <v>50</v>
      </c>
      <c r="G34" s="1"/>
      <c r="H34" s="29">
        <v>1</v>
      </c>
      <c r="I34" s="7">
        <v>905.46999999999991</v>
      </c>
      <c r="J34" s="7">
        <v>905.46999999999991</v>
      </c>
      <c r="L34" s="29">
        <v>1</v>
      </c>
      <c r="M34" s="7">
        <v>905.46999999999991</v>
      </c>
      <c r="N34" s="7">
        <v>905.46999999999991</v>
      </c>
      <c r="P34" s="29">
        <v>1</v>
      </c>
      <c r="Q34" s="7">
        <v>905.46999999999991</v>
      </c>
      <c r="R34" s="7">
        <v>905.46999999999991</v>
      </c>
      <c r="S34" s="108"/>
      <c r="T34" s="29">
        <v>1</v>
      </c>
      <c r="U34" s="7">
        <v>905.46999999999991</v>
      </c>
      <c r="V34" s="7">
        <v>905.46999999999991</v>
      </c>
      <c r="X34" s="29">
        <v>1</v>
      </c>
      <c r="Y34" s="7">
        <v>905.46999999999991</v>
      </c>
      <c r="Z34" s="7">
        <v>905.46999999999991</v>
      </c>
      <c r="AB34" s="29">
        <v>1</v>
      </c>
      <c r="AC34" s="7">
        <v>905.46999999999991</v>
      </c>
      <c r="AD34" s="7">
        <v>905.46999999999991</v>
      </c>
      <c r="AF34" s="29">
        <v>1</v>
      </c>
      <c r="AG34" s="7">
        <v>905.46999999999991</v>
      </c>
      <c r="AH34" s="7">
        <v>905.46999999999991</v>
      </c>
      <c r="AJ34" s="29">
        <v>1</v>
      </c>
      <c r="AK34" s="7">
        <v>905.46999999999991</v>
      </c>
      <c r="AL34" s="7">
        <v>905.46999999999991</v>
      </c>
      <c r="AN34" s="29">
        <v>1</v>
      </c>
      <c r="AO34" s="158">
        <v>905.46999999999991</v>
      </c>
      <c r="AP34" s="158">
        <v>905.46999999999991</v>
      </c>
      <c r="AQ34" s="148"/>
      <c r="AR34" s="29">
        <v>1</v>
      </c>
      <c r="AS34" s="158">
        <v>905.46999999999991</v>
      </c>
      <c r="AT34" s="158">
        <v>905.46999999999991</v>
      </c>
    </row>
    <row r="35" spans="1:46" ht="15" customHeight="1" outlineLevel="1">
      <c r="A35" s="34"/>
      <c r="B35" s="10" t="s">
        <v>117</v>
      </c>
      <c r="C35" s="10" t="s">
        <v>199</v>
      </c>
      <c r="D35" s="29" t="s">
        <v>94</v>
      </c>
      <c r="E35" s="26" t="s">
        <v>41</v>
      </c>
      <c r="F35" s="30" t="s">
        <v>69</v>
      </c>
      <c r="G35" s="1"/>
      <c r="H35" s="51">
        <v>0</v>
      </c>
      <c r="I35" s="7">
        <v>0</v>
      </c>
      <c r="J35" s="7">
        <v>0</v>
      </c>
      <c r="L35" s="29">
        <v>1</v>
      </c>
      <c r="M35" s="7">
        <v>409.46</v>
      </c>
      <c r="N35" s="7">
        <v>409.46</v>
      </c>
      <c r="P35" s="29">
        <v>1</v>
      </c>
      <c r="Q35" s="7">
        <v>409.46</v>
      </c>
      <c r="R35" s="7">
        <v>409.46</v>
      </c>
      <c r="S35" s="108"/>
      <c r="T35" s="29">
        <v>1</v>
      </c>
      <c r="U35" s="7">
        <v>409.46</v>
      </c>
      <c r="V35" s="7">
        <v>409.46</v>
      </c>
      <c r="X35" s="29">
        <v>1</v>
      </c>
      <c r="Y35" s="7">
        <v>409.46</v>
      </c>
      <c r="Z35" s="7">
        <v>409.46</v>
      </c>
      <c r="AB35" s="29">
        <v>1</v>
      </c>
      <c r="AC35" s="7">
        <v>409.46</v>
      </c>
      <c r="AD35" s="7">
        <v>409.46</v>
      </c>
      <c r="AF35" s="29">
        <v>1</v>
      </c>
      <c r="AG35" s="7">
        <v>409.46</v>
      </c>
      <c r="AH35" s="7">
        <v>409.46</v>
      </c>
      <c r="AJ35" s="29">
        <v>1</v>
      </c>
      <c r="AK35" s="7">
        <v>409.46</v>
      </c>
      <c r="AL35" s="7">
        <v>409.46</v>
      </c>
      <c r="AN35" s="29">
        <v>1</v>
      </c>
      <c r="AO35" s="158">
        <v>409.46</v>
      </c>
      <c r="AP35" s="158">
        <v>409.46</v>
      </c>
      <c r="AQ35" s="148"/>
      <c r="AR35" s="29">
        <v>1</v>
      </c>
      <c r="AS35" s="158">
        <v>409.46</v>
      </c>
      <c r="AT35" s="158">
        <v>409.46</v>
      </c>
    </row>
    <row r="36" spans="1:46" ht="15" customHeight="1" outlineLevel="1">
      <c r="A36" s="34"/>
      <c r="B36" s="10" t="s">
        <v>26</v>
      </c>
      <c r="C36" s="10" t="s">
        <v>144</v>
      </c>
      <c r="D36" s="29" t="s">
        <v>26</v>
      </c>
      <c r="E36" s="26" t="s">
        <v>42</v>
      </c>
      <c r="F36" s="30" t="s">
        <v>69</v>
      </c>
      <c r="G36" s="1"/>
      <c r="H36" s="51">
        <v>0</v>
      </c>
      <c r="I36" s="7">
        <v>0</v>
      </c>
      <c r="J36" s="7">
        <v>0</v>
      </c>
      <c r="L36" s="51">
        <v>0</v>
      </c>
      <c r="M36" s="7">
        <v>0</v>
      </c>
      <c r="N36" s="7">
        <v>0</v>
      </c>
      <c r="P36" s="29">
        <v>0.63019999999999998</v>
      </c>
      <c r="Q36" s="7">
        <v>1125.4000000000001</v>
      </c>
      <c r="R36" s="7">
        <v>709.22708</v>
      </c>
      <c r="S36" s="108"/>
      <c r="T36" s="29">
        <v>0.63019999999999998</v>
      </c>
      <c r="U36" s="7">
        <v>1125.4000000000001</v>
      </c>
      <c r="V36" s="7">
        <v>709.22708</v>
      </c>
      <c r="X36" s="29">
        <v>0.63019999999999998</v>
      </c>
      <c r="Y36" s="7">
        <v>3225.4</v>
      </c>
      <c r="Z36" s="7">
        <v>2032.64708</v>
      </c>
      <c r="AB36" s="29">
        <v>0.63019999999999998</v>
      </c>
      <c r="AC36" s="7">
        <v>3225.4</v>
      </c>
      <c r="AD36" s="7">
        <v>2032.64708</v>
      </c>
      <c r="AF36" s="29">
        <v>0.63019999999999998</v>
      </c>
      <c r="AG36" s="7">
        <v>3225.4</v>
      </c>
      <c r="AH36" s="7">
        <v>2032.64708</v>
      </c>
      <c r="AJ36" s="29">
        <v>0.63019999999999998</v>
      </c>
      <c r="AK36" s="7">
        <v>3225.4</v>
      </c>
      <c r="AL36" s="7">
        <v>2032.64708</v>
      </c>
      <c r="AN36" s="29">
        <v>0.63019999999999998</v>
      </c>
      <c r="AO36" s="158">
        <v>3225.4</v>
      </c>
      <c r="AP36" s="158">
        <v>2032.64708</v>
      </c>
      <c r="AQ36" s="148"/>
      <c r="AR36" s="29">
        <v>0.63019999999999998</v>
      </c>
      <c r="AS36" s="158">
        <v>3225.4</v>
      </c>
      <c r="AT36" s="158">
        <v>2032.64708</v>
      </c>
    </row>
    <row r="37" spans="1:46" ht="15" customHeight="1" outlineLevel="1">
      <c r="A37" s="34"/>
      <c r="B37" s="10" t="s">
        <v>118</v>
      </c>
      <c r="C37" s="10" t="s">
        <v>145</v>
      </c>
      <c r="D37" s="29" t="s">
        <v>86</v>
      </c>
      <c r="E37" s="26" t="s">
        <v>44</v>
      </c>
      <c r="F37" s="30" t="s">
        <v>69</v>
      </c>
      <c r="G37" s="1"/>
      <c r="H37" s="51">
        <v>0</v>
      </c>
      <c r="I37" s="7">
        <v>0</v>
      </c>
      <c r="J37" s="7">
        <v>0</v>
      </c>
      <c r="L37" s="51">
        <v>0</v>
      </c>
      <c r="M37" s="7">
        <v>0</v>
      </c>
      <c r="N37" s="7">
        <v>0</v>
      </c>
      <c r="P37" s="29">
        <v>1</v>
      </c>
      <c r="Q37" s="7">
        <v>2850.84</v>
      </c>
      <c r="R37" s="7">
        <v>2850.84</v>
      </c>
      <c r="S37" s="108"/>
      <c r="T37" s="29">
        <v>1</v>
      </c>
      <c r="U37" s="7">
        <v>2850.84</v>
      </c>
      <c r="V37" s="7">
        <v>2850.84</v>
      </c>
      <c r="X37" s="29">
        <v>1</v>
      </c>
      <c r="Y37" s="7">
        <v>2850.8400000000015</v>
      </c>
      <c r="Z37" s="7">
        <v>2850.8400000000015</v>
      </c>
      <c r="AB37" s="29">
        <v>1</v>
      </c>
      <c r="AC37" s="7">
        <v>2849.8400000000011</v>
      </c>
      <c r="AD37" s="7">
        <v>2849.8400000000011</v>
      </c>
      <c r="AF37" s="29">
        <v>1</v>
      </c>
      <c r="AG37" s="7">
        <v>2849.8400000000011</v>
      </c>
      <c r="AH37" s="7">
        <v>2849.8400000000011</v>
      </c>
      <c r="AJ37" s="29">
        <v>1</v>
      </c>
      <c r="AK37" s="7">
        <v>2849.8400000000011</v>
      </c>
      <c r="AL37" s="7">
        <v>2849.8400000000011</v>
      </c>
      <c r="AN37" s="29">
        <v>1</v>
      </c>
      <c r="AO37" s="158">
        <v>2849.8400000000011</v>
      </c>
      <c r="AP37" s="158">
        <v>2849.8400000000011</v>
      </c>
      <c r="AQ37" s="148"/>
      <c r="AR37" s="29">
        <v>1</v>
      </c>
      <c r="AS37" s="158">
        <v>2849.8400000000011</v>
      </c>
      <c r="AT37" s="158">
        <v>2849.8400000000011</v>
      </c>
    </row>
    <row r="38" spans="1:46" ht="15" customHeight="1" outlineLevel="1">
      <c r="A38" s="34"/>
      <c r="B38" s="10" t="s">
        <v>120</v>
      </c>
      <c r="C38" s="10" t="s">
        <v>146</v>
      </c>
      <c r="D38" s="29" t="s">
        <v>86</v>
      </c>
      <c r="E38" s="26" t="s">
        <v>44</v>
      </c>
      <c r="F38" s="30" t="s">
        <v>67</v>
      </c>
      <c r="G38" s="1"/>
      <c r="H38" s="106">
        <v>0</v>
      </c>
      <c r="I38" s="7">
        <v>0</v>
      </c>
      <c r="J38" s="7">
        <v>0</v>
      </c>
      <c r="L38" s="51">
        <v>0</v>
      </c>
      <c r="M38" s="7">
        <v>0</v>
      </c>
      <c r="N38" s="7">
        <v>0</v>
      </c>
      <c r="P38" s="106">
        <v>0</v>
      </c>
      <c r="Q38" s="7">
        <v>0</v>
      </c>
      <c r="R38" s="7">
        <v>0</v>
      </c>
      <c r="S38" s="108"/>
      <c r="T38" s="29">
        <v>0.66659999999999997</v>
      </c>
      <c r="U38" s="7">
        <v>82</v>
      </c>
      <c r="V38" s="7">
        <v>54.661200000000001</v>
      </c>
      <c r="X38" s="29">
        <v>0.66659999999999997</v>
      </c>
      <c r="Y38" s="7">
        <v>82</v>
      </c>
      <c r="Z38" s="7">
        <v>54.661200000000001</v>
      </c>
      <c r="AB38" s="29">
        <v>0.66659999999999997</v>
      </c>
      <c r="AC38" s="7">
        <v>185.97</v>
      </c>
      <c r="AD38" s="7">
        <v>123.967602</v>
      </c>
      <c r="AF38" s="29">
        <v>0.66659999999999997</v>
      </c>
      <c r="AG38" s="7">
        <v>185.97</v>
      </c>
      <c r="AH38" s="7">
        <v>123.967602</v>
      </c>
      <c r="AJ38" s="29">
        <v>0.66659999999999997</v>
      </c>
      <c r="AK38" s="7">
        <v>185.97</v>
      </c>
      <c r="AL38" s="7">
        <v>123.967602</v>
      </c>
      <c r="AN38" s="29">
        <v>0.66659999999999997</v>
      </c>
      <c r="AO38" s="158">
        <v>185.97</v>
      </c>
      <c r="AP38" s="158">
        <v>123.967602</v>
      </c>
      <c r="AQ38" s="148"/>
      <c r="AR38" s="29">
        <v>0.66659999999999997</v>
      </c>
      <c r="AS38" s="158">
        <v>185.97</v>
      </c>
      <c r="AT38" s="158">
        <v>123.967602</v>
      </c>
    </row>
    <row r="39" spans="1:46" ht="15" customHeight="1" outlineLevel="1">
      <c r="B39" s="10" t="s">
        <v>19</v>
      </c>
      <c r="C39" s="10" t="s">
        <v>147</v>
      </c>
      <c r="D39" s="29" t="s">
        <v>86</v>
      </c>
      <c r="E39" s="26" t="s">
        <v>44</v>
      </c>
      <c r="F39" s="26" t="s">
        <v>68</v>
      </c>
      <c r="G39" s="1"/>
      <c r="H39" s="51">
        <v>0</v>
      </c>
      <c r="I39" s="7">
        <v>0</v>
      </c>
      <c r="J39" s="7">
        <v>0</v>
      </c>
      <c r="L39" s="106">
        <v>0</v>
      </c>
      <c r="M39" s="7">
        <v>0</v>
      </c>
      <c r="N39" s="7">
        <v>0</v>
      </c>
      <c r="P39" s="106">
        <v>0</v>
      </c>
      <c r="Q39" s="7">
        <v>0</v>
      </c>
      <c r="R39" s="7">
        <v>0</v>
      </c>
      <c r="S39" s="109"/>
      <c r="T39" s="106">
        <v>0</v>
      </c>
      <c r="U39" s="7">
        <v>0</v>
      </c>
      <c r="V39" s="7">
        <v>0</v>
      </c>
      <c r="X39" s="106">
        <v>0</v>
      </c>
      <c r="Y39" s="7">
        <v>0</v>
      </c>
      <c r="Z39" s="7">
        <v>0</v>
      </c>
      <c r="AB39" s="106">
        <v>0</v>
      </c>
      <c r="AC39" s="7">
        <v>0</v>
      </c>
      <c r="AD39" s="7">
        <v>0</v>
      </c>
      <c r="AF39" s="29">
        <v>0.5</v>
      </c>
      <c r="AG39" s="7">
        <v>1365.5</v>
      </c>
      <c r="AH39" s="7">
        <v>682.75</v>
      </c>
      <c r="AJ39" s="29">
        <v>0.5</v>
      </c>
      <c r="AK39" s="7">
        <v>1365.5</v>
      </c>
      <c r="AL39" s="7">
        <v>682.75</v>
      </c>
      <c r="AN39" s="29">
        <v>0.5</v>
      </c>
      <c r="AO39" s="158">
        <v>1365.54</v>
      </c>
      <c r="AP39" s="158">
        <v>682.77</v>
      </c>
      <c r="AQ39" s="148"/>
      <c r="AR39" s="29">
        <v>0.5</v>
      </c>
      <c r="AS39" s="158">
        <v>1365.54</v>
      </c>
      <c r="AT39" s="158">
        <v>682.77</v>
      </c>
    </row>
    <row r="40" spans="1:46" ht="15" customHeight="1" outlineLevel="1">
      <c r="A40" s="34"/>
      <c r="B40" s="10" t="s">
        <v>20</v>
      </c>
      <c r="C40" s="10" t="s">
        <v>148</v>
      </c>
      <c r="D40" s="29" t="s">
        <v>86</v>
      </c>
      <c r="E40" s="26" t="s">
        <v>44</v>
      </c>
      <c r="F40" s="26" t="s">
        <v>68</v>
      </c>
      <c r="G40" s="1"/>
      <c r="H40" s="51">
        <v>0</v>
      </c>
      <c r="I40" s="7">
        <v>0</v>
      </c>
      <c r="J40" s="7">
        <v>0</v>
      </c>
      <c r="L40" s="106">
        <v>0</v>
      </c>
      <c r="M40" s="7">
        <v>0</v>
      </c>
      <c r="N40" s="7">
        <v>0</v>
      </c>
      <c r="P40" s="106">
        <v>0</v>
      </c>
      <c r="Q40" s="7">
        <v>0</v>
      </c>
      <c r="R40" s="7">
        <v>0</v>
      </c>
      <c r="S40" s="109"/>
      <c r="T40" s="106">
        <v>0</v>
      </c>
      <c r="U40" s="7">
        <v>0</v>
      </c>
      <c r="V40" s="7">
        <v>0</v>
      </c>
      <c r="X40" s="106">
        <v>0</v>
      </c>
      <c r="Y40" s="7">
        <v>0</v>
      </c>
      <c r="Z40" s="7">
        <v>0</v>
      </c>
      <c r="AB40" s="106">
        <v>0</v>
      </c>
      <c r="AC40" s="7">
        <v>0</v>
      </c>
      <c r="AD40" s="7">
        <v>0</v>
      </c>
      <c r="AF40" s="29">
        <v>0.5</v>
      </c>
      <c r="AG40" s="7">
        <v>1423.88</v>
      </c>
      <c r="AH40" s="7">
        <v>711.94</v>
      </c>
      <c r="AJ40" s="29">
        <v>0.5</v>
      </c>
      <c r="AK40" s="7">
        <v>1423.88</v>
      </c>
      <c r="AL40" s="7">
        <v>711.94</v>
      </c>
      <c r="AN40" s="29">
        <v>0.5</v>
      </c>
      <c r="AO40" s="158">
        <v>1423.88</v>
      </c>
      <c r="AP40" s="158">
        <v>711.94</v>
      </c>
      <c r="AQ40" s="148"/>
      <c r="AR40" s="29">
        <v>0.5</v>
      </c>
      <c r="AS40" s="158">
        <v>1423.88</v>
      </c>
      <c r="AT40" s="158">
        <v>711.94</v>
      </c>
    </row>
    <row r="41" spans="1:46" ht="15" customHeight="1" outlineLevel="1">
      <c r="A41" s="34"/>
      <c r="B41" s="10" t="s">
        <v>21</v>
      </c>
      <c r="C41" s="10" t="s">
        <v>149</v>
      </c>
      <c r="D41" s="29" t="s">
        <v>86</v>
      </c>
      <c r="E41" s="26" t="s">
        <v>44</v>
      </c>
      <c r="F41" s="26" t="s">
        <v>68</v>
      </c>
      <c r="G41" s="1"/>
      <c r="H41" s="51">
        <v>0</v>
      </c>
      <c r="I41" s="7">
        <v>0</v>
      </c>
      <c r="J41" s="7">
        <v>0</v>
      </c>
      <c r="L41" s="106">
        <v>0</v>
      </c>
      <c r="M41" s="7">
        <v>0</v>
      </c>
      <c r="N41" s="7">
        <v>0</v>
      </c>
      <c r="P41" s="106">
        <v>0</v>
      </c>
      <c r="Q41" s="7">
        <v>0</v>
      </c>
      <c r="R41" s="7">
        <v>0</v>
      </c>
      <c r="S41" s="109"/>
      <c r="T41" s="106">
        <v>0</v>
      </c>
      <c r="U41" s="7">
        <v>0</v>
      </c>
      <c r="V41" s="7">
        <v>0</v>
      </c>
      <c r="X41" s="106">
        <v>0</v>
      </c>
      <c r="Y41" s="7">
        <v>0</v>
      </c>
      <c r="Z41" s="7">
        <v>0</v>
      </c>
      <c r="AB41" s="106">
        <v>0</v>
      </c>
      <c r="AC41" s="7">
        <v>0</v>
      </c>
      <c r="AD41" s="7">
        <v>0</v>
      </c>
      <c r="AF41" s="29">
        <v>0.7</v>
      </c>
      <c r="AG41" s="7">
        <v>2799.19</v>
      </c>
      <c r="AH41" s="7">
        <v>1959.433</v>
      </c>
      <c r="AJ41" s="29">
        <v>0.7</v>
      </c>
      <c r="AK41" s="7">
        <v>2799.19</v>
      </c>
      <c r="AL41" s="7">
        <v>1959.433</v>
      </c>
      <c r="AN41" s="29">
        <v>0.7</v>
      </c>
      <c r="AO41" s="158">
        <v>2781.7300000000005</v>
      </c>
      <c r="AP41" s="158">
        <v>1947.2110000000002</v>
      </c>
      <c r="AQ41" s="148"/>
      <c r="AR41" s="29">
        <v>0.7</v>
      </c>
      <c r="AS41" s="158">
        <v>2781.7300000000005</v>
      </c>
      <c r="AT41" s="158">
        <v>1947.2110000000002</v>
      </c>
    </row>
    <row r="42" spans="1:46" ht="15" customHeight="1" outlineLevel="1">
      <c r="A42" s="34"/>
      <c r="B42" s="10" t="s">
        <v>30</v>
      </c>
      <c r="C42" s="10" t="s">
        <v>150</v>
      </c>
      <c r="D42" s="29" t="s">
        <v>86</v>
      </c>
      <c r="E42" s="26" t="s">
        <v>44</v>
      </c>
      <c r="F42" s="26" t="s">
        <v>64</v>
      </c>
      <c r="G42" s="1"/>
      <c r="H42" s="51">
        <v>0</v>
      </c>
      <c r="I42" s="7">
        <v>0</v>
      </c>
      <c r="J42" s="7">
        <v>0</v>
      </c>
      <c r="L42" s="106">
        <v>0</v>
      </c>
      <c r="M42" s="7">
        <v>0</v>
      </c>
      <c r="N42" s="7">
        <v>0</v>
      </c>
      <c r="P42" s="106">
        <v>0</v>
      </c>
      <c r="Q42" s="7">
        <v>0</v>
      </c>
      <c r="R42" s="7">
        <v>0</v>
      </c>
      <c r="S42" s="109"/>
      <c r="T42" s="106">
        <v>0</v>
      </c>
      <c r="U42" s="7">
        <v>0</v>
      </c>
      <c r="V42" s="7">
        <v>0</v>
      </c>
      <c r="X42" s="106">
        <v>0</v>
      </c>
      <c r="Y42" s="7">
        <v>0</v>
      </c>
      <c r="Z42" s="7">
        <v>0</v>
      </c>
      <c r="AB42" s="106">
        <v>0</v>
      </c>
      <c r="AC42" s="7">
        <v>0</v>
      </c>
      <c r="AD42" s="7">
        <v>0</v>
      </c>
      <c r="AF42" s="106">
        <v>0</v>
      </c>
      <c r="AG42" s="7">
        <v>0</v>
      </c>
      <c r="AH42" s="7">
        <v>0</v>
      </c>
      <c r="AJ42" s="29">
        <v>1</v>
      </c>
      <c r="AK42" s="7">
        <v>1481.47</v>
      </c>
      <c r="AL42" s="7">
        <v>1481.47</v>
      </c>
      <c r="AN42" s="29">
        <v>1</v>
      </c>
      <c r="AO42" s="158">
        <v>1481.47</v>
      </c>
      <c r="AP42" s="158">
        <v>1481.47</v>
      </c>
      <c r="AQ42" s="148"/>
      <c r="AR42" s="29">
        <v>1</v>
      </c>
      <c r="AS42" s="158">
        <v>1481.47</v>
      </c>
      <c r="AT42" s="158">
        <v>1481.47</v>
      </c>
    </row>
    <row r="43" spans="1:46" ht="15" customHeight="1" outlineLevel="1">
      <c r="A43" s="34"/>
      <c r="B43" s="10" t="s">
        <v>233</v>
      </c>
      <c r="C43" s="10" t="s">
        <v>152</v>
      </c>
      <c r="D43" s="29" t="s">
        <v>86</v>
      </c>
      <c r="E43" s="26" t="s">
        <v>44</v>
      </c>
      <c r="F43" s="26" t="s">
        <v>64</v>
      </c>
      <c r="G43" s="1"/>
      <c r="H43" s="51">
        <v>0</v>
      </c>
      <c r="I43" s="7">
        <v>0</v>
      </c>
      <c r="J43" s="7">
        <v>0</v>
      </c>
      <c r="L43" s="106">
        <v>0</v>
      </c>
      <c r="M43" s="7">
        <v>0</v>
      </c>
      <c r="N43" s="7">
        <v>0</v>
      </c>
      <c r="P43" s="106">
        <v>0</v>
      </c>
      <c r="Q43" s="7">
        <v>0</v>
      </c>
      <c r="R43" s="7">
        <v>0</v>
      </c>
      <c r="S43" s="109"/>
      <c r="T43" s="106">
        <v>0</v>
      </c>
      <c r="U43" s="7">
        <v>0</v>
      </c>
      <c r="V43" s="7">
        <v>0</v>
      </c>
      <c r="X43" s="106">
        <v>0</v>
      </c>
      <c r="Y43" s="7">
        <v>0</v>
      </c>
      <c r="Z43" s="7">
        <v>0</v>
      </c>
      <c r="AB43" s="106">
        <v>0</v>
      </c>
      <c r="AC43" s="7">
        <v>0</v>
      </c>
      <c r="AD43" s="7">
        <v>0</v>
      </c>
      <c r="AF43" s="106">
        <v>0</v>
      </c>
      <c r="AG43" s="7">
        <v>0</v>
      </c>
      <c r="AH43" s="7">
        <v>0</v>
      </c>
      <c r="AJ43" s="29">
        <v>1</v>
      </c>
      <c r="AK43" s="7">
        <v>384.95</v>
      </c>
      <c r="AL43" s="7">
        <v>384.95</v>
      </c>
      <c r="AN43" s="29">
        <v>1</v>
      </c>
      <c r="AO43" s="158">
        <v>384.95000000000005</v>
      </c>
      <c r="AP43" s="158">
        <v>384.95000000000005</v>
      </c>
      <c r="AQ43" s="148"/>
      <c r="AR43" s="29">
        <v>1</v>
      </c>
      <c r="AS43" s="158">
        <v>384.95000000000005</v>
      </c>
      <c r="AT43" s="158">
        <v>384.95000000000005</v>
      </c>
    </row>
    <row r="44" spans="1:46" ht="15" customHeight="1" outlineLevel="1">
      <c r="A44" s="34"/>
      <c r="B44" s="10" t="s">
        <v>27</v>
      </c>
      <c r="C44" s="10" t="s">
        <v>151</v>
      </c>
      <c r="D44" s="29" t="s">
        <v>86</v>
      </c>
      <c r="E44" s="26" t="s">
        <v>44</v>
      </c>
      <c r="F44" s="133" t="s">
        <v>208</v>
      </c>
      <c r="G44" s="1"/>
      <c r="H44" s="51">
        <v>0</v>
      </c>
      <c r="I44" s="7">
        <v>0</v>
      </c>
      <c r="J44" s="7">
        <v>0</v>
      </c>
      <c r="L44" s="106">
        <v>0</v>
      </c>
      <c r="M44" s="7">
        <v>0</v>
      </c>
      <c r="N44" s="7">
        <v>0</v>
      </c>
      <c r="P44" s="106">
        <v>0</v>
      </c>
      <c r="Q44" s="7">
        <v>0</v>
      </c>
      <c r="R44" s="7">
        <v>0</v>
      </c>
      <c r="S44" s="109"/>
      <c r="T44" s="106">
        <v>0</v>
      </c>
      <c r="U44" s="7">
        <v>0</v>
      </c>
      <c r="V44" s="7">
        <v>0</v>
      </c>
      <c r="X44" s="106">
        <v>0</v>
      </c>
      <c r="Y44" s="7">
        <v>0</v>
      </c>
      <c r="Z44" s="7">
        <v>0</v>
      </c>
      <c r="AB44" s="106">
        <v>0</v>
      </c>
      <c r="AC44" s="7">
        <v>0</v>
      </c>
      <c r="AD44" s="7">
        <v>0</v>
      </c>
      <c r="AF44" s="106">
        <v>0</v>
      </c>
      <c r="AG44" s="7">
        <v>0</v>
      </c>
      <c r="AH44" s="7">
        <v>0</v>
      </c>
      <c r="AJ44" s="106">
        <v>0</v>
      </c>
      <c r="AK44" s="7">
        <v>0</v>
      </c>
      <c r="AL44" s="7">
        <v>0</v>
      </c>
      <c r="AN44" s="106">
        <v>0</v>
      </c>
      <c r="AO44" s="7">
        <v>0</v>
      </c>
      <c r="AP44" s="7">
        <v>0</v>
      </c>
      <c r="AQ44" s="148"/>
      <c r="AR44" s="29">
        <v>0.6</v>
      </c>
      <c r="AS44" s="159">
        <v>1945</v>
      </c>
      <c r="AT44" s="158">
        <v>1167</v>
      </c>
    </row>
    <row r="45" spans="1:46" ht="15" customHeight="1">
      <c r="A45" s="35"/>
      <c r="B45" s="15" t="str">
        <f>IF(B3=1,COUNTA(B46:B71)&amp;" Ativos em desenvolvimento",COUNTA(B46:B71)&amp;" Assets under development")</f>
        <v>26 Ativos em desenvolvimento</v>
      </c>
      <c r="C45" s="15"/>
      <c r="D45" s="15"/>
      <c r="E45" s="25"/>
      <c r="F45" s="25"/>
      <c r="G45" s="1"/>
      <c r="H45" s="25"/>
      <c r="I45" s="16">
        <v>86132.93</v>
      </c>
      <c r="J45" s="16">
        <v>75784.757079999996</v>
      </c>
      <c r="K45" s="38"/>
      <c r="L45" s="25"/>
      <c r="M45" s="16">
        <v>89060.47</v>
      </c>
      <c r="N45" s="16">
        <v>78988.297079999989</v>
      </c>
      <c r="O45" s="38"/>
      <c r="P45" s="25"/>
      <c r="Q45" s="16">
        <v>89258.07</v>
      </c>
      <c r="R45" s="16">
        <v>79590.070000000007</v>
      </c>
      <c r="S45" s="105"/>
      <c r="T45" s="25"/>
      <c r="U45" s="16">
        <v>89258.07</v>
      </c>
      <c r="V45" s="16">
        <v>79590.070000000007</v>
      </c>
      <c r="X45" s="25"/>
      <c r="Y45" s="16">
        <v>79819</v>
      </c>
      <c r="Z45" s="16">
        <v>66571</v>
      </c>
      <c r="AB45" s="25"/>
      <c r="AC45" s="16">
        <v>74138.13</v>
      </c>
      <c r="AD45" s="16">
        <v>63156.99</v>
      </c>
      <c r="AF45" s="25"/>
      <c r="AG45" s="16">
        <v>73574.13</v>
      </c>
      <c r="AH45" s="16">
        <v>62592.99</v>
      </c>
      <c r="AJ45" s="25"/>
      <c r="AK45" s="16">
        <v>69751.179999999993</v>
      </c>
      <c r="AL45" s="16">
        <v>59548.039999999994</v>
      </c>
      <c r="AN45" s="25"/>
      <c r="AO45" s="157">
        <v>69805</v>
      </c>
      <c r="AP45" s="157">
        <v>59013</v>
      </c>
      <c r="AQ45" s="129"/>
      <c r="AR45" s="25"/>
      <c r="AS45" s="157">
        <v>65616</v>
      </c>
      <c r="AT45" s="157">
        <v>55827</v>
      </c>
    </row>
    <row r="46" spans="1:46" ht="15" customHeight="1" outlineLevel="1">
      <c r="A46" s="34"/>
      <c r="B46" s="10" t="s">
        <v>22</v>
      </c>
      <c r="C46" s="10" t="s">
        <v>153</v>
      </c>
      <c r="D46" s="29" t="s">
        <v>86</v>
      </c>
      <c r="E46" s="26" t="s">
        <v>44</v>
      </c>
      <c r="F46" s="26" t="s">
        <v>208</v>
      </c>
      <c r="G46" s="1"/>
      <c r="H46" s="29">
        <v>0.6</v>
      </c>
      <c r="I46" s="7">
        <v>3224</v>
      </c>
      <c r="J46" s="7">
        <v>1934.3999999999999</v>
      </c>
      <c r="L46" s="29">
        <v>0.6</v>
      </c>
      <c r="M46" s="7">
        <v>3224</v>
      </c>
      <c r="N46" s="7">
        <v>1934.3999999999999</v>
      </c>
      <c r="P46" s="29">
        <v>0.6</v>
      </c>
      <c r="Q46" s="7">
        <v>3224</v>
      </c>
      <c r="R46" s="7">
        <v>1934.3999999999999</v>
      </c>
      <c r="S46" s="109"/>
      <c r="T46" s="29">
        <v>0.6</v>
      </c>
      <c r="U46" s="7">
        <v>3224</v>
      </c>
      <c r="V46" s="7">
        <v>1934.3999999999999</v>
      </c>
      <c r="X46" s="29">
        <v>0.6</v>
      </c>
      <c r="Y46" s="7">
        <v>3224</v>
      </c>
      <c r="Z46" s="7">
        <v>1934.3999999999999</v>
      </c>
      <c r="AB46" s="29">
        <v>0.6</v>
      </c>
      <c r="AC46" s="7">
        <v>3224</v>
      </c>
      <c r="AD46" s="7">
        <v>1934.3999999999999</v>
      </c>
      <c r="AF46" s="29">
        <v>0.6</v>
      </c>
      <c r="AG46" s="7">
        <v>3224</v>
      </c>
      <c r="AH46" s="7">
        <v>1934.3999999999999</v>
      </c>
      <c r="AJ46" s="29">
        <v>0.6</v>
      </c>
      <c r="AK46" s="7">
        <v>3224</v>
      </c>
      <c r="AL46" s="7">
        <v>1934.3999999999999</v>
      </c>
      <c r="AN46" s="29">
        <v>0.6</v>
      </c>
      <c r="AO46" s="159">
        <v>3224</v>
      </c>
      <c r="AP46" s="158">
        <v>1934.3999999999999</v>
      </c>
      <c r="AQ46" s="148"/>
      <c r="AR46" s="29">
        <v>0.6</v>
      </c>
      <c r="AS46" s="159">
        <v>3224</v>
      </c>
      <c r="AT46" s="158">
        <v>1934.3999999999999</v>
      </c>
    </row>
    <row r="47" spans="1:46" ht="15" customHeight="1" outlineLevel="1">
      <c r="A47" s="34"/>
      <c r="B47" s="10" t="s">
        <v>76</v>
      </c>
      <c r="C47" s="10" t="s">
        <v>154</v>
      </c>
      <c r="D47" s="29" t="s">
        <v>87</v>
      </c>
      <c r="E47" s="26" t="s">
        <v>44</v>
      </c>
      <c r="F47" s="26" t="s">
        <v>122</v>
      </c>
      <c r="G47" s="1"/>
      <c r="H47" s="29">
        <v>1</v>
      </c>
      <c r="I47" s="7">
        <v>7401</v>
      </c>
      <c r="J47" s="7">
        <v>7401</v>
      </c>
      <c r="L47" s="29">
        <v>1</v>
      </c>
      <c r="M47" s="7">
        <v>2588</v>
      </c>
      <c r="N47" s="7">
        <v>2588</v>
      </c>
      <c r="P47" s="29">
        <v>1</v>
      </c>
      <c r="Q47" s="7">
        <v>2588</v>
      </c>
      <c r="R47" s="7">
        <v>2588</v>
      </c>
      <c r="S47" s="109"/>
      <c r="T47" s="29">
        <v>1</v>
      </c>
      <c r="U47" s="7">
        <v>2588</v>
      </c>
      <c r="V47" s="7">
        <v>2588</v>
      </c>
      <c r="X47" s="29">
        <v>0.5</v>
      </c>
      <c r="Y47" s="7">
        <v>2588</v>
      </c>
      <c r="Z47" s="7">
        <v>1294</v>
      </c>
      <c r="AB47" s="29">
        <v>0.5</v>
      </c>
      <c r="AC47" s="7">
        <v>2588</v>
      </c>
      <c r="AD47" s="7">
        <v>1294</v>
      </c>
      <c r="AF47" s="29">
        <v>0.5</v>
      </c>
      <c r="AG47" s="7">
        <v>2588</v>
      </c>
      <c r="AH47" s="7">
        <v>1294</v>
      </c>
      <c r="AJ47" s="29">
        <v>0.5</v>
      </c>
      <c r="AK47" s="7">
        <v>2588</v>
      </c>
      <c r="AL47" s="7">
        <v>1294</v>
      </c>
      <c r="AN47" s="29">
        <v>0.5</v>
      </c>
      <c r="AO47" s="159">
        <v>2588</v>
      </c>
      <c r="AP47" s="158">
        <v>1294</v>
      </c>
      <c r="AQ47" s="148"/>
      <c r="AR47" s="29">
        <v>0.5</v>
      </c>
      <c r="AS47" s="159">
        <v>2588</v>
      </c>
      <c r="AT47" s="158">
        <v>1294</v>
      </c>
    </row>
    <row r="48" spans="1:46" ht="15" customHeight="1" outlineLevel="1">
      <c r="A48" s="34"/>
      <c r="B48" s="10" t="s">
        <v>23</v>
      </c>
      <c r="C48" s="10" t="s">
        <v>155</v>
      </c>
      <c r="D48" s="29" t="s">
        <v>86</v>
      </c>
      <c r="E48" s="26" t="s">
        <v>44</v>
      </c>
      <c r="F48" s="26" t="s">
        <v>208</v>
      </c>
      <c r="G48" s="1"/>
      <c r="H48" s="29">
        <v>0.5</v>
      </c>
      <c r="I48" s="7">
        <v>7105.41</v>
      </c>
      <c r="J48" s="7">
        <v>3552.7049999999999</v>
      </c>
      <c r="L48" s="29">
        <v>0.5</v>
      </c>
      <c r="M48" s="7">
        <v>7105.41</v>
      </c>
      <c r="N48" s="7">
        <v>3552.7049999999999</v>
      </c>
      <c r="P48" s="29">
        <v>0.5</v>
      </c>
      <c r="Q48" s="7">
        <v>7105.41</v>
      </c>
      <c r="R48" s="7">
        <v>3552.7049999999999</v>
      </c>
      <c r="S48" s="109"/>
      <c r="T48" s="29">
        <v>0.5</v>
      </c>
      <c r="U48" s="7">
        <v>7105.41</v>
      </c>
      <c r="V48" s="7">
        <v>3552.7049999999999</v>
      </c>
      <c r="X48" s="29">
        <v>0.5</v>
      </c>
      <c r="Y48" s="7">
        <v>7105.41</v>
      </c>
      <c r="Z48" s="7">
        <v>3552.7049999999999</v>
      </c>
      <c r="AB48" s="29">
        <v>0.5</v>
      </c>
      <c r="AC48" s="7">
        <v>7105.41</v>
      </c>
      <c r="AD48" s="7">
        <v>3552.7049999999999</v>
      </c>
      <c r="AF48" s="29">
        <v>0.5</v>
      </c>
      <c r="AG48" s="7">
        <v>7105.41</v>
      </c>
      <c r="AH48" s="7">
        <v>3552.7049999999999</v>
      </c>
      <c r="AJ48" s="29">
        <v>0.5</v>
      </c>
      <c r="AK48" s="7">
        <v>7105.41</v>
      </c>
      <c r="AL48" s="7">
        <v>3552.7049999999999</v>
      </c>
      <c r="AN48" s="29">
        <v>0.5</v>
      </c>
      <c r="AO48" s="159">
        <v>7105.41</v>
      </c>
      <c r="AP48" s="158">
        <v>3552.7049999999999</v>
      </c>
      <c r="AQ48" s="148"/>
      <c r="AR48" s="29">
        <v>0.5</v>
      </c>
      <c r="AS48" s="159">
        <v>7105.41</v>
      </c>
      <c r="AT48" s="158">
        <v>3552.7049999999999</v>
      </c>
    </row>
    <row r="49" spans="1:46" ht="15" customHeight="1" outlineLevel="1">
      <c r="A49" s="34"/>
      <c r="B49" s="10" t="s">
        <v>31</v>
      </c>
      <c r="C49" s="10" t="s">
        <v>156</v>
      </c>
      <c r="D49" s="29" t="s">
        <v>93</v>
      </c>
      <c r="E49" s="26" t="s">
        <v>44</v>
      </c>
      <c r="F49" s="26" t="s">
        <v>71</v>
      </c>
      <c r="G49" s="1"/>
      <c r="H49" s="29">
        <v>1</v>
      </c>
      <c r="I49" s="7">
        <v>3260</v>
      </c>
      <c r="J49" s="7">
        <v>3260</v>
      </c>
      <c r="L49" s="29">
        <v>1</v>
      </c>
      <c r="M49" s="7">
        <v>4804</v>
      </c>
      <c r="N49" s="7">
        <v>4804</v>
      </c>
      <c r="P49" s="29">
        <v>1</v>
      </c>
      <c r="Q49" s="7">
        <v>4950.6899999999996</v>
      </c>
      <c r="R49" s="7">
        <v>4950.6899999999996</v>
      </c>
      <c r="S49" s="109"/>
      <c r="T49" s="29">
        <v>1</v>
      </c>
      <c r="U49" s="7">
        <v>4950.6899999999996</v>
      </c>
      <c r="V49" s="7">
        <v>4950.6899999999996</v>
      </c>
      <c r="X49" s="29">
        <v>1</v>
      </c>
      <c r="Y49" s="7">
        <v>4950.6899999999996</v>
      </c>
      <c r="Z49" s="7">
        <v>4950.6899999999996</v>
      </c>
      <c r="AB49" s="29">
        <v>1</v>
      </c>
      <c r="AC49" s="7">
        <v>4950.6899999999996</v>
      </c>
      <c r="AD49" s="7">
        <v>4950.6899999999996</v>
      </c>
      <c r="AF49" s="29">
        <v>1</v>
      </c>
      <c r="AG49" s="7">
        <v>4950.6899999999996</v>
      </c>
      <c r="AH49" s="7">
        <v>4950.6899999999996</v>
      </c>
      <c r="AJ49" s="29">
        <v>1</v>
      </c>
      <c r="AK49" s="7">
        <v>4950.6899999999996</v>
      </c>
      <c r="AL49" s="7">
        <v>4950.6899999999996</v>
      </c>
      <c r="AN49" s="29">
        <v>1</v>
      </c>
      <c r="AO49" s="159">
        <v>4950.6899999999996</v>
      </c>
      <c r="AP49" s="158">
        <v>4950.6899999999996</v>
      </c>
      <c r="AQ49" s="148"/>
      <c r="AR49" s="29">
        <v>1</v>
      </c>
      <c r="AS49" s="159">
        <v>4950.6899999999996</v>
      </c>
      <c r="AT49" s="158">
        <v>4950.6899999999996</v>
      </c>
    </row>
    <row r="50" spans="1:46" ht="15" customHeight="1" outlineLevel="1">
      <c r="A50" s="34"/>
      <c r="B50" s="10" t="s">
        <v>77</v>
      </c>
      <c r="C50" s="10" t="s">
        <v>158</v>
      </c>
      <c r="D50" s="29" t="s">
        <v>95</v>
      </c>
      <c r="E50" s="26" t="s">
        <v>44</v>
      </c>
      <c r="F50" s="26" t="s">
        <v>248</v>
      </c>
      <c r="G50" s="1"/>
      <c r="H50" s="29">
        <v>1</v>
      </c>
      <c r="I50" s="7">
        <v>4766.2</v>
      </c>
      <c r="J50" s="7">
        <v>4766.2</v>
      </c>
      <c r="L50" s="29">
        <v>1</v>
      </c>
      <c r="M50" s="7">
        <v>4868</v>
      </c>
      <c r="N50" s="7">
        <v>4868</v>
      </c>
      <c r="P50" s="29">
        <v>1</v>
      </c>
      <c r="Q50" s="7">
        <v>4868</v>
      </c>
      <c r="R50" s="7">
        <v>4868</v>
      </c>
      <c r="S50" s="109"/>
      <c r="T50" s="29">
        <v>1</v>
      </c>
      <c r="U50" s="7">
        <v>4868</v>
      </c>
      <c r="V50" s="7">
        <v>4868</v>
      </c>
      <c r="X50" s="29">
        <v>0.6</v>
      </c>
      <c r="Y50" s="7">
        <v>4868</v>
      </c>
      <c r="Z50" s="7">
        <v>2920.7999999999997</v>
      </c>
      <c r="AB50" s="29">
        <v>0.6</v>
      </c>
      <c r="AC50" s="7">
        <v>4868</v>
      </c>
      <c r="AD50" s="7">
        <v>2920.7999999999997</v>
      </c>
      <c r="AF50" s="29">
        <v>0.6</v>
      </c>
      <c r="AG50" s="7">
        <v>4868</v>
      </c>
      <c r="AH50" s="7">
        <v>2920.7999999999997</v>
      </c>
      <c r="AJ50" s="29">
        <v>0.6</v>
      </c>
      <c r="AK50" s="7">
        <v>4868</v>
      </c>
      <c r="AL50" s="7">
        <v>2920.7999999999997</v>
      </c>
      <c r="AN50" s="29">
        <v>0.6</v>
      </c>
      <c r="AO50" s="158">
        <v>4868</v>
      </c>
      <c r="AP50" s="158">
        <v>2920.7999999999997</v>
      </c>
      <c r="AQ50" s="148"/>
      <c r="AR50" s="29">
        <v>0.6</v>
      </c>
      <c r="AS50" s="158">
        <v>4868</v>
      </c>
      <c r="AT50" s="158">
        <v>2920.7999999999997</v>
      </c>
    </row>
    <row r="51" spans="1:46" ht="15" customHeight="1" outlineLevel="1">
      <c r="A51" s="34"/>
      <c r="B51" s="10" t="s">
        <v>24</v>
      </c>
      <c r="C51" s="10" t="s">
        <v>159</v>
      </c>
      <c r="D51" s="29" t="s">
        <v>24</v>
      </c>
      <c r="E51" s="26" t="s">
        <v>44</v>
      </c>
      <c r="F51" s="26" t="s">
        <v>62</v>
      </c>
      <c r="G51" s="1"/>
      <c r="H51" s="29">
        <v>1</v>
      </c>
      <c r="I51" s="7">
        <v>1678.07</v>
      </c>
      <c r="J51" s="7">
        <v>1678.07</v>
      </c>
      <c r="L51" s="29">
        <v>1</v>
      </c>
      <c r="M51" s="7">
        <v>1678.07</v>
      </c>
      <c r="N51" s="7">
        <v>1678.07</v>
      </c>
      <c r="P51" s="29">
        <v>1</v>
      </c>
      <c r="Q51" s="7">
        <v>1678.07</v>
      </c>
      <c r="R51" s="7">
        <v>1678.07</v>
      </c>
      <c r="S51" s="109"/>
      <c r="T51" s="29">
        <v>1</v>
      </c>
      <c r="U51" s="7">
        <v>1678.07</v>
      </c>
      <c r="V51" s="7">
        <v>1678.07</v>
      </c>
      <c r="X51" s="29">
        <v>1</v>
      </c>
      <c r="Y51" s="7">
        <v>1678.07</v>
      </c>
      <c r="Z51" s="7">
        <v>1678.07</v>
      </c>
      <c r="AB51" s="29">
        <v>1</v>
      </c>
      <c r="AC51" s="7">
        <v>1678.07</v>
      </c>
      <c r="AD51" s="7">
        <v>1678.07</v>
      </c>
      <c r="AF51" s="29">
        <v>1</v>
      </c>
      <c r="AG51" s="7">
        <v>1678.07</v>
      </c>
      <c r="AH51" s="7">
        <v>1678.07</v>
      </c>
      <c r="AJ51" s="29">
        <v>1</v>
      </c>
      <c r="AK51" s="7">
        <v>1678.07</v>
      </c>
      <c r="AL51" s="7">
        <v>1678.07</v>
      </c>
      <c r="AN51" s="29">
        <v>1</v>
      </c>
      <c r="AO51" s="158">
        <v>1678.07</v>
      </c>
      <c r="AP51" s="158">
        <v>1678.07</v>
      </c>
      <c r="AQ51" s="148"/>
      <c r="AR51" s="29">
        <v>1</v>
      </c>
      <c r="AS51" s="158">
        <v>1678.07</v>
      </c>
      <c r="AT51" s="158">
        <v>1678.07</v>
      </c>
    </row>
    <row r="52" spans="1:46" ht="15" customHeight="1" outlineLevel="1">
      <c r="A52" s="34"/>
      <c r="B52" s="10" t="s">
        <v>32</v>
      </c>
      <c r="C52" s="10" t="s">
        <v>160</v>
      </c>
      <c r="D52" s="29" t="s">
        <v>86</v>
      </c>
      <c r="E52" s="26" t="s">
        <v>44</v>
      </c>
      <c r="F52" s="26" t="s">
        <v>124</v>
      </c>
      <c r="G52" s="1"/>
      <c r="H52" s="29">
        <v>1</v>
      </c>
      <c r="I52" s="33">
        <v>2403</v>
      </c>
      <c r="J52" s="7">
        <v>2403</v>
      </c>
      <c r="L52" s="29">
        <v>1</v>
      </c>
      <c r="M52" s="7">
        <v>2403</v>
      </c>
      <c r="N52" s="7">
        <v>2403</v>
      </c>
      <c r="P52" s="29">
        <v>1</v>
      </c>
      <c r="Q52" s="7">
        <v>2403</v>
      </c>
      <c r="R52" s="7">
        <v>2403</v>
      </c>
      <c r="S52" s="109"/>
      <c r="T52" s="29">
        <v>1</v>
      </c>
      <c r="U52" s="7">
        <v>2403</v>
      </c>
      <c r="V52" s="7">
        <v>2403</v>
      </c>
      <c r="X52" s="29">
        <v>1</v>
      </c>
      <c r="Y52" s="7">
        <v>2403</v>
      </c>
      <c r="Z52" s="7">
        <v>2403</v>
      </c>
      <c r="AB52" s="29">
        <v>1</v>
      </c>
      <c r="AC52" s="7">
        <v>2403</v>
      </c>
      <c r="AD52" s="7">
        <v>2403</v>
      </c>
      <c r="AF52" s="29">
        <v>1</v>
      </c>
      <c r="AG52" s="7">
        <v>2403</v>
      </c>
      <c r="AH52" s="7">
        <v>2403</v>
      </c>
      <c r="AJ52" s="29">
        <v>1</v>
      </c>
      <c r="AK52" s="7">
        <v>2403</v>
      </c>
      <c r="AL52" s="7">
        <v>2403</v>
      </c>
      <c r="AN52" s="29">
        <v>1</v>
      </c>
      <c r="AO52" s="158">
        <v>2403</v>
      </c>
      <c r="AP52" s="158">
        <v>2403</v>
      </c>
      <c r="AQ52" s="148"/>
      <c r="AR52" s="29">
        <v>1</v>
      </c>
      <c r="AS52" s="158">
        <v>2403</v>
      </c>
      <c r="AT52" s="158">
        <v>2403</v>
      </c>
    </row>
    <row r="53" spans="1:46" ht="15" customHeight="1" outlineLevel="1">
      <c r="A53" s="34"/>
      <c r="B53" s="10" t="s">
        <v>83</v>
      </c>
      <c r="C53" s="10" t="s">
        <v>161</v>
      </c>
      <c r="D53" s="29" t="s">
        <v>86</v>
      </c>
      <c r="E53" s="26" t="s">
        <v>44</v>
      </c>
      <c r="F53" s="26" t="s">
        <v>71</v>
      </c>
      <c r="G53" s="1"/>
      <c r="H53" s="29">
        <v>1</v>
      </c>
      <c r="I53" s="7">
        <v>2256.89</v>
      </c>
      <c r="J53" s="7">
        <v>2256.89</v>
      </c>
      <c r="L53" s="29">
        <v>1</v>
      </c>
      <c r="M53" s="7">
        <v>2256.89</v>
      </c>
      <c r="N53" s="7">
        <v>2256.89</v>
      </c>
      <c r="P53" s="29">
        <v>1</v>
      </c>
      <c r="Q53" s="7">
        <v>2256.89</v>
      </c>
      <c r="R53" s="7">
        <v>2256.89</v>
      </c>
      <c r="S53" s="109"/>
      <c r="T53" s="29">
        <v>1</v>
      </c>
      <c r="U53" s="7">
        <v>2256.89</v>
      </c>
      <c r="V53" s="7">
        <v>2256.89</v>
      </c>
      <c r="X53" s="29">
        <v>0.85</v>
      </c>
      <c r="Y53" s="7">
        <v>2256.89</v>
      </c>
      <c r="Z53" s="7">
        <v>1918.3564999999999</v>
      </c>
      <c r="AB53" s="29">
        <v>0.85</v>
      </c>
      <c r="AC53" s="7">
        <v>2256.89</v>
      </c>
      <c r="AD53" s="7">
        <v>1918.3564999999999</v>
      </c>
      <c r="AF53" s="29">
        <v>0.85</v>
      </c>
      <c r="AG53" s="7">
        <v>2256.89</v>
      </c>
      <c r="AH53" s="7">
        <v>1918.3564999999999</v>
      </c>
      <c r="AJ53" s="29">
        <v>0.85</v>
      </c>
      <c r="AK53" s="7">
        <v>2256.89</v>
      </c>
      <c r="AL53" s="7">
        <v>1918.3564999999999</v>
      </c>
      <c r="AN53" s="29">
        <v>0.85</v>
      </c>
      <c r="AO53" s="159">
        <v>2256.89</v>
      </c>
      <c r="AP53" s="158">
        <v>1918.3564999999999</v>
      </c>
      <c r="AQ53" s="148"/>
      <c r="AR53" s="29">
        <v>0.85</v>
      </c>
      <c r="AS53" s="159">
        <v>2256.89</v>
      </c>
      <c r="AT53" s="158">
        <v>1918.3564999999999</v>
      </c>
    </row>
    <row r="54" spans="1:46" ht="15" customHeight="1" outlineLevel="1">
      <c r="A54" s="34"/>
      <c r="B54" s="10" t="s">
        <v>75</v>
      </c>
      <c r="C54" s="10" t="s">
        <v>162</v>
      </c>
      <c r="D54" s="29" t="s">
        <v>86</v>
      </c>
      <c r="E54" s="26" t="s">
        <v>44</v>
      </c>
      <c r="F54" s="26" t="s">
        <v>122</v>
      </c>
      <c r="G54" s="144"/>
      <c r="H54" s="103">
        <v>1</v>
      </c>
      <c r="I54" s="145">
        <v>496</v>
      </c>
      <c r="J54" s="104">
        <v>496</v>
      </c>
      <c r="K54" s="141"/>
      <c r="L54" s="103">
        <v>1</v>
      </c>
      <c r="M54" s="104">
        <v>496</v>
      </c>
      <c r="N54" s="104">
        <v>496</v>
      </c>
      <c r="O54" s="141"/>
      <c r="P54" s="103">
        <v>1</v>
      </c>
      <c r="Q54" s="104">
        <v>496</v>
      </c>
      <c r="R54" s="104">
        <v>496</v>
      </c>
      <c r="S54" s="146"/>
      <c r="T54" s="103">
        <v>1</v>
      </c>
      <c r="U54" s="104">
        <v>496</v>
      </c>
      <c r="V54" s="104">
        <v>496</v>
      </c>
      <c r="W54" s="141"/>
      <c r="X54" s="103">
        <v>1</v>
      </c>
      <c r="Y54" s="7">
        <v>496</v>
      </c>
      <c r="Z54" s="104">
        <v>496</v>
      </c>
      <c r="AA54" s="141"/>
      <c r="AB54" s="103">
        <v>1</v>
      </c>
      <c r="AC54" s="104">
        <v>496</v>
      </c>
      <c r="AD54" s="104">
        <v>496</v>
      </c>
      <c r="AE54" s="141"/>
      <c r="AF54" s="103">
        <v>1</v>
      </c>
      <c r="AG54" s="104">
        <v>496</v>
      </c>
      <c r="AH54" s="104">
        <v>496</v>
      </c>
      <c r="AI54" s="141"/>
      <c r="AJ54" s="103">
        <v>1</v>
      </c>
      <c r="AK54" s="104">
        <v>496</v>
      </c>
      <c r="AL54" s="104">
        <v>496</v>
      </c>
      <c r="AM54" s="141"/>
      <c r="AN54" s="29">
        <v>1</v>
      </c>
      <c r="AO54" s="159">
        <v>496</v>
      </c>
      <c r="AP54" s="159">
        <v>496</v>
      </c>
      <c r="AQ54" s="148"/>
      <c r="AR54" s="29">
        <v>1</v>
      </c>
      <c r="AS54" s="159">
        <v>496</v>
      </c>
      <c r="AT54" s="159">
        <v>496</v>
      </c>
    </row>
    <row r="55" spans="1:46" ht="15" customHeight="1" outlineLevel="1">
      <c r="A55" s="34"/>
      <c r="B55" s="10" t="s">
        <v>73</v>
      </c>
      <c r="C55" s="10" t="s">
        <v>163</v>
      </c>
      <c r="D55" s="29" t="s">
        <v>86</v>
      </c>
      <c r="E55" s="26" t="s">
        <v>44</v>
      </c>
      <c r="F55" s="26" t="s">
        <v>71</v>
      </c>
      <c r="G55" s="144"/>
      <c r="H55" s="103">
        <v>1</v>
      </c>
      <c r="I55" s="104">
        <v>280.85000000000002</v>
      </c>
      <c r="J55" s="104">
        <v>280.85000000000002</v>
      </c>
      <c r="K55" s="141"/>
      <c r="L55" s="103">
        <v>1</v>
      </c>
      <c r="M55" s="104">
        <v>280.85000000000002</v>
      </c>
      <c r="N55" s="104">
        <v>280.85000000000002</v>
      </c>
      <c r="O55" s="141"/>
      <c r="P55" s="103">
        <v>1</v>
      </c>
      <c r="Q55" s="104">
        <v>280.85000000000002</v>
      </c>
      <c r="R55" s="104">
        <v>280.85000000000002</v>
      </c>
      <c r="S55" s="146"/>
      <c r="T55" s="103">
        <v>1</v>
      </c>
      <c r="U55" s="104">
        <v>280.85000000000002</v>
      </c>
      <c r="V55" s="104">
        <v>280.85000000000002</v>
      </c>
      <c r="W55" s="141"/>
      <c r="X55" s="103">
        <v>1</v>
      </c>
      <c r="Y55" s="7">
        <v>280.85000000000002</v>
      </c>
      <c r="Z55" s="104">
        <v>280.85000000000002</v>
      </c>
      <c r="AA55" s="141"/>
      <c r="AB55" s="103">
        <v>1</v>
      </c>
      <c r="AC55" s="104">
        <v>280.85000000000002</v>
      </c>
      <c r="AD55" s="104">
        <v>280.85000000000002</v>
      </c>
      <c r="AE55" s="141"/>
      <c r="AF55" s="103">
        <v>1</v>
      </c>
      <c r="AG55" s="104">
        <v>280.85000000000002</v>
      </c>
      <c r="AH55" s="104">
        <v>280.85000000000002</v>
      </c>
      <c r="AI55" s="141"/>
      <c r="AJ55" s="103">
        <v>1</v>
      </c>
      <c r="AK55" s="104">
        <v>280.85000000000002</v>
      </c>
      <c r="AL55" s="104">
        <v>280.85000000000002</v>
      </c>
      <c r="AM55" s="141"/>
      <c r="AN55" s="29">
        <v>1</v>
      </c>
      <c r="AO55" s="159">
        <v>280.85000000000002</v>
      </c>
      <c r="AP55" s="159">
        <v>280.85000000000002</v>
      </c>
      <c r="AQ55" s="148"/>
      <c r="AR55" s="29">
        <v>1</v>
      </c>
      <c r="AS55" s="159">
        <v>280.85000000000002</v>
      </c>
      <c r="AT55" s="159">
        <v>280.85000000000002</v>
      </c>
    </row>
    <row r="56" spans="1:46" ht="15" customHeight="1" outlineLevel="1">
      <c r="A56" s="34"/>
      <c r="B56" s="10" t="s">
        <v>35</v>
      </c>
      <c r="C56" s="10" t="s">
        <v>164</v>
      </c>
      <c r="D56" s="29" t="s">
        <v>86</v>
      </c>
      <c r="E56" s="26" t="s">
        <v>44</v>
      </c>
      <c r="F56" s="26" t="s">
        <v>71</v>
      </c>
      <c r="G56" s="144"/>
      <c r="H56" s="103">
        <v>0.3</v>
      </c>
      <c r="I56" s="104">
        <v>692</v>
      </c>
      <c r="J56" s="104">
        <v>207.6</v>
      </c>
      <c r="K56" s="141"/>
      <c r="L56" s="103">
        <v>0.3</v>
      </c>
      <c r="M56" s="104">
        <v>692</v>
      </c>
      <c r="N56" s="104">
        <v>207.6</v>
      </c>
      <c r="O56" s="141"/>
      <c r="P56" s="103">
        <v>0.3</v>
      </c>
      <c r="Q56" s="104">
        <v>692</v>
      </c>
      <c r="R56" s="104">
        <v>207.6</v>
      </c>
      <c r="S56" s="146"/>
      <c r="T56" s="103">
        <v>0.3</v>
      </c>
      <c r="U56" s="104">
        <v>692</v>
      </c>
      <c r="V56" s="104">
        <v>207.6</v>
      </c>
      <c r="W56" s="141"/>
      <c r="X56" s="103">
        <v>0.3</v>
      </c>
      <c r="Y56" s="7">
        <v>692</v>
      </c>
      <c r="Z56" s="104">
        <v>207.6</v>
      </c>
      <c r="AA56" s="141"/>
      <c r="AB56" s="103">
        <v>0.3</v>
      </c>
      <c r="AC56" s="104">
        <v>692</v>
      </c>
      <c r="AD56" s="104">
        <v>207.6</v>
      </c>
      <c r="AE56" s="141"/>
      <c r="AF56" s="103">
        <v>0.3</v>
      </c>
      <c r="AG56" s="104">
        <v>692</v>
      </c>
      <c r="AH56" s="104">
        <v>207.6</v>
      </c>
      <c r="AI56" s="141"/>
      <c r="AJ56" s="103">
        <v>0.3</v>
      </c>
      <c r="AK56" s="104">
        <v>692</v>
      </c>
      <c r="AL56" s="104">
        <v>207.6</v>
      </c>
      <c r="AM56" s="141"/>
      <c r="AN56" s="29">
        <v>0.3</v>
      </c>
      <c r="AO56" s="159">
        <v>692</v>
      </c>
      <c r="AP56" s="159">
        <v>207.6</v>
      </c>
      <c r="AQ56" s="148"/>
      <c r="AR56" s="29">
        <v>0.3</v>
      </c>
      <c r="AS56" s="159">
        <v>692</v>
      </c>
      <c r="AT56" s="159">
        <v>207.6</v>
      </c>
    </row>
    <row r="57" spans="1:46" ht="15" customHeight="1" outlineLevel="1">
      <c r="A57" s="34"/>
      <c r="B57" s="10" t="s">
        <v>78</v>
      </c>
      <c r="C57" s="10" t="s">
        <v>166</v>
      </c>
      <c r="D57" s="29" t="s">
        <v>86</v>
      </c>
      <c r="E57" s="26" t="s">
        <v>44</v>
      </c>
      <c r="F57" s="26" t="s">
        <v>65</v>
      </c>
      <c r="G57" s="144"/>
      <c r="H57" s="103">
        <v>1</v>
      </c>
      <c r="I57" s="104">
        <v>519</v>
      </c>
      <c r="J57" s="104">
        <v>519</v>
      </c>
      <c r="K57" s="141"/>
      <c r="L57" s="103">
        <v>1</v>
      </c>
      <c r="M57" s="104">
        <v>519</v>
      </c>
      <c r="N57" s="104">
        <v>519</v>
      </c>
      <c r="O57" s="141"/>
      <c r="P57" s="103">
        <v>1</v>
      </c>
      <c r="Q57" s="104">
        <v>519</v>
      </c>
      <c r="R57" s="104">
        <v>519</v>
      </c>
      <c r="S57" s="146"/>
      <c r="T57" s="103">
        <v>1</v>
      </c>
      <c r="U57" s="104">
        <v>519</v>
      </c>
      <c r="V57" s="104">
        <v>519</v>
      </c>
      <c r="W57" s="141"/>
      <c r="X57" s="103">
        <v>1</v>
      </c>
      <c r="Y57" s="7">
        <v>519</v>
      </c>
      <c r="Z57" s="104">
        <v>519</v>
      </c>
      <c r="AA57" s="141"/>
      <c r="AB57" s="103">
        <v>1</v>
      </c>
      <c r="AC57" s="104">
        <v>519</v>
      </c>
      <c r="AD57" s="104">
        <v>519</v>
      </c>
      <c r="AE57" s="141"/>
      <c r="AF57" s="103">
        <v>1</v>
      </c>
      <c r="AG57" s="104">
        <v>519</v>
      </c>
      <c r="AH57" s="104">
        <v>519</v>
      </c>
      <c r="AI57" s="141"/>
      <c r="AJ57" s="103">
        <v>1</v>
      </c>
      <c r="AK57" s="104">
        <v>519</v>
      </c>
      <c r="AL57" s="104">
        <v>519</v>
      </c>
      <c r="AM57" s="141"/>
      <c r="AN57" s="29">
        <v>1</v>
      </c>
      <c r="AO57" s="159">
        <v>519</v>
      </c>
      <c r="AP57" s="159">
        <v>519</v>
      </c>
      <c r="AQ57" s="148"/>
      <c r="AR57" s="29">
        <v>1</v>
      </c>
      <c r="AS57" s="159">
        <v>519</v>
      </c>
      <c r="AT57" s="159">
        <v>519</v>
      </c>
    </row>
    <row r="58" spans="1:46" ht="15" customHeight="1" outlineLevel="1">
      <c r="A58" s="34"/>
      <c r="B58" s="10" t="s">
        <v>79</v>
      </c>
      <c r="C58" s="10" t="s">
        <v>168</v>
      </c>
      <c r="D58" s="29" t="s">
        <v>86</v>
      </c>
      <c r="E58" s="26" t="s">
        <v>44</v>
      </c>
      <c r="F58" s="26" t="s">
        <v>122</v>
      </c>
      <c r="G58" s="144"/>
      <c r="H58" s="103">
        <v>0.9</v>
      </c>
      <c r="I58" s="104">
        <v>2373.19</v>
      </c>
      <c r="J58" s="104">
        <v>2135.8710000000001</v>
      </c>
      <c r="K58" s="141"/>
      <c r="L58" s="103">
        <v>0.9</v>
      </c>
      <c r="M58" s="104">
        <v>2403</v>
      </c>
      <c r="N58" s="104">
        <v>2162.7000000000003</v>
      </c>
      <c r="O58" s="141"/>
      <c r="P58" s="103">
        <v>0.9</v>
      </c>
      <c r="Q58" s="104">
        <v>2373.1899999999996</v>
      </c>
      <c r="R58" s="104">
        <v>2135.8709999999996</v>
      </c>
      <c r="S58" s="146"/>
      <c r="T58" s="103">
        <v>0.9</v>
      </c>
      <c r="U58" s="104">
        <v>2373.1899999999996</v>
      </c>
      <c r="V58" s="104">
        <v>2135.8709999999996</v>
      </c>
      <c r="W58" s="141"/>
      <c r="X58" s="103">
        <v>0.9</v>
      </c>
      <c r="Y58" s="7">
        <v>2373.1899999999996</v>
      </c>
      <c r="Z58" s="104">
        <v>2135.8709999999996</v>
      </c>
      <c r="AA58" s="141"/>
      <c r="AB58" s="103">
        <v>0.9</v>
      </c>
      <c r="AC58" s="104">
        <v>2373.1899999999996</v>
      </c>
      <c r="AD58" s="104">
        <v>2135.8709999999996</v>
      </c>
      <c r="AE58" s="141"/>
      <c r="AF58" s="103">
        <v>0.9</v>
      </c>
      <c r="AG58" s="104">
        <v>2373.1899999999996</v>
      </c>
      <c r="AH58" s="104">
        <v>2135.8709999999996</v>
      </c>
      <c r="AI58" s="141"/>
      <c r="AJ58" s="103">
        <v>0.9</v>
      </c>
      <c r="AK58" s="104">
        <v>2373.1899999999996</v>
      </c>
      <c r="AL58" s="104">
        <v>2135.8709999999996</v>
      </c>
      <c r="AM58" s="141"/>
      <c r="AN58" s="29">
        <v>0.9</v>
      </c>
      <c r="AO58" s="159">
        <v>2373.1899999999996</v>
      </c>
      <c r="AP58" s="159">
        <v>2135.8709999999996</v>
      </c>
      <c r="AQ58" s="148"/>
      <c r="AR58" s="29">
        <v>0.9</v>
      </c>
      <c r="AS58" s="159">
        <v>2373.1899999999996</v>
      </c>
      <c r="AT58" s="159">
        <v>2135.8709999999996</v>
      </c>
    </row>
    <row r="59" spans="1:46" ht="15" customHeight="1" outlineLevel="1">
      <c r="A59" s="34"/>
      <c r="B59" s="10" t="s">
        <v>80</v>
      </c>
      <c r="C59" s="10" t="s">
        <v>169</v>
      </c>
      <c r="D59" s="29" t="s">
        <v>86</v>
      </c>
      <c r="E59" s="26" t="s">
        <v>44</v>
      </c>
      <c r="F59" s="26" t="s">
        <v>70</v>
      </c>
      <c r="G59" s="1"/>
      <c r="H59" s="29">
        <v>1</v>
      </c>
      <c r="I59" s="7">
        <v>3746.05</v>
      </c>
      <c r="J59" s="7">
        <v>3746.05</v>
      </c>
      <c r="L59" s="29">
        <v>1</v>
      </c>
      <c r="M59" s="7">
        <v>2602</v>
      </c>
      <c r="N59" s="7">
        <v>2602</v>
      </c>
      <c r="P59" s="29">
        <v>1</v>
      </c>
      <c r="Q59" s="7">
        <v>2640.14</v>
      </c>
      <c r="R59" s="7">
        <v>2640.14</v>
      </c>
      <c r="S59" s="109"/>
      <c r="T59" s="29">
        <v>1</v>
      </c>
      <c r="U59" s="7">
        <v>2640.14</v>
      </c>
      <c r="V59" s="7">
        <v>2640.14</v>
      </c>
      <c r="X59" s="29">
        <v>1</v>
      </c>
      <c r="Y59" s="7">
        <v>2640.14</v>
      </c>
      <c r="Z59" s="7">
        <v>2640.14</v>
      </c>
      <c r="AB59" s="29">
        <v>1</v>
      </c>
      <c r="AC59" s="7">
        <v>2640.14</v>
      </c>
      <c r="AD59" s="7">
        <v>2640.14</v>
      </c>
      <c r="AF59" s="29">
        <v>1</v>
      </c>
      <c r="AG59" s="7">
        <v>2640.14</v>
      </c>
      <c r="AH59" s="7">
        <v>2640.14</v>
      </c>
      <c r="AJ59" s="29">
        <v>1</v>
      </c>
      <c r="AK59" s="7">
        <v>2640.14</v>
      </c>
      <c r="AL59" s="7">
        <v>2640.14</v>
      </c>
      <c r="AN59" s="29">
        <v>1</v>
      </c>
      <c r="AO59" s="159">
        <v>2640.14</v>
      </c>
      <c r="AP59" s="158">
        <v>2640.14</v>
      </c>
      <c r="AQ59" s="148"/>
      <c r="AR59" s="29">
        <v>1</v>
      </c>
      <c r="AS59" s="159">
        <v>2640.14</v>
      </c>
      <c r="AT59" s="158">
        <v>2640.14</v>
      </c>
    </row>
    <row r="60" spans="1:46" ht="15" customHeight="1" outlineLevel="1">
      <c r="A60" s="34"/>
      <c r="B60" s="10" t="s">
        <v>81</v>
      </c>
      <c r="C60" s="10" t="s">
        <v>170</v>
      </c>
      <c r="D60" s="29" t="s">
        <v>86</v>
      </c>
      <c r="E60" s="26" t="s">
        <v>44</v>
      </c>
      <c r="F60" s="26" t="s">
        <v>123</v>
      </c>
      <c r="G60" s="1"/>
      <c r="H60" s="29">
        <v>1</v>
      </c>
      <c r="I60" s="7">
        <v>1698.88</v>
      </c>
      <c r="J60" s="7">
        <v>1698.88</v>
      </c>
      <c r="L60" s="29">
        <v>1</v>
      </c>
      <c r="M60" s="7">
        <v>831</v>
      </c>
      <c r="N60" s="7">
        <v>831</v>
      </c>
      <c r="P60" s="29">
        <v>1</v>
      </c>
      <c r="Q60" s="7">
        <v>831</v>
      </c>
      <c r="R60" s="7">
        <v>831</v>
      </c>
      <c r="S60" s="109"/>
      <c r="T60" s="29">
        <v>1</v>
      </c>
      <c r="U60" s="7">
        <v>831</v>
      </c>
      <c r="V60" s="7">
        <v>831</v>
      </c>
      <c r="X60" s="29">
        <v>1</v>
      </c>
      <c r="Y60" s="7">
        <v>831</v>
      </c>
      <c r="Z60" s="7">
        <v>831</v>
      </c>
      <c r="AB60" s="29">
        <v>1</v>
      </c>
      <c r="AC60" s="7">
        <v>831</v>
      </c>
      <c r="AD60" s="7">
        <v>831</v>
      </c>
      <c r="AF60" s="29">
        <v>1</v>
      </c>
      <c r="AG60" s="7">
        <v>831</v>
      </c>
      <c r="AH60" s="7">
        <v>831</v>
      </c>
      <c r="AJ60" s="29">
        <v>1</v>
      </c>
      <c r="AK60" s="7">
        <v>831</v>
      </c>
      <c r="AL60" s="7">
        <v>831</v>
      </c>
      <c r="AN60" s="29">
        <v>1</v>
      </c>
      <c r="AO60" s="159">
        <v>831</v>
      </c>
      <c r="AP60" s="158">
        <v>831</v>
      </c>
      <c r="AQ60" s="148"/>
      <c r="AR60" s="29">
        <v>1</v>
      </c>
      <c r="AS60" s="159">
        <v>831</v>
      </c>
      <c r="AT60" s="158">
        <v>831</v>
      </c>
    </row>
    <row r="61" spans="1:46" ht="15" customHeight="1" outlineLevel="1">
      <c r="A61" s="34"/>
      <c r="B61" s="10" t="s">
        <v>82</v>
      </c>
      <c r="C61" s="10" t="s">
        <v>171</v>
      </c>
      <c r="D61" s="29" t="s">
        <v>86</v>
      </c>
      <c r="E61" s="26" t="s">
        <v>44</v>
      </c>
      <c r="F61" s="26" t="s">
        <v>65</v>
      </c>
      <c r="G61" s="1"/>
      <c r="H61" s="29">
        <v>1</v>
      </c>
      <c r="I61" s="7">
        <v>1423</v>
      </c>
      <c r="J61" s="7">
        <v>1423</v>
      </c>
      <c r="L61" s="29">
        <v>1</v>
      </c>
      <c r="M61" s="7">
        <v>1423</v>
      </c>
      <c r="N61" s="7">
        <v>1423</v>
      </c>
      <c r="P61" s="29">
        <v>1</v>
      </c>
      <c r="Q61" s="7">
        <v>1423</v>
      </c>
      <c r="R61" s="7">
        <v>1423</v>
      </c>
      <c r="S61" s="109"/>
      <c r="T61" s="29">
        <v>1</v>
      </c>
      <c r="U61" s="7">
        <v>1423</v>
      </c>
      <c r="V61" s="7">
        <v>1423</v>
      </c>
      <c r="X61" s="29">
        <v>1</v>
      </c>
      <c r="Y61" s="7">
        <v>1423</v>
      </c>
      <c r="Z61" s="7">
        <v>1423</v>
      </c>
      <c r="AB61" s="29">
        <v>1</v>
      </c>
      <c r="AC61" s="7">
        <v>1423</v>
      </c>
      <c r="AD61" s="7">
        <v>1423</v>
      </c>
      <c r="AF61" s="29">
        <v>1</v>
      </c>
      <c r="AG61" s="7">
        <v>1423</v>
      </c>
      <c r="AH61" s="7">
        <v>1423</v>
      </c>
      <c r="AJ61" s="29">
        <v>1</v>
      </c>
      <c r="AK61" s="7">
        <v>1423</v>
      </c>
      <c r="AL61" s="7">
        <v>1423</v>
      </c>
      <c r="AN61" s="29">
        <v>1</v>
      </c>
      <c r="AO61" s="159">
        <v>1423</v>
      </c>
      <c r="AP61" s="158">
        <v>1423</v>
      </c>
      <c r="AQ61" s="148"/>
      <c r="AR61" s="29">
        <v>1</v>
      </c>
      <c r="AS61" s="159">
        <v>1423</v>
      </c>
      <c r="AT61" s="158">
        <v>1423</v>
      </c>
    </row>
    <row r="62" spans="1:46" ht="15" customHeight="1" outlineLevel="1">
      <c r="A62" s="34"/>
      <c r="B62" s="10" t="s">
        <v>72</v>
      </c>
      <c r="C62" s="10" t="s">
        <v>172</v>
      </c>
      <c r="D62" s="29" t="s">
        <v>86</v>
      </c>
      <c r="E62" s="26" t="s">
        <v>44</v>
      </c>
      <c r="F62" s="26" t="s">
        <v>63</v>
      </c>
      <c r="G62" s="1"/>
      <c r="H62" s="29">
        <v>1</v>
      </c>
      <c r="I62" s="7">
        <v>2656</v>
      </c>
      <c r="J62" s="7">
        <v>2656</v>
      </c>
      <c r="L62" s="29">
        <v>1</v>
      </c>
      <c r="M62" s="7">
        <v>2656</v>
      </c>
      <c r="N62" s="7">
        <v>2656</v>
      </c>
      <c r="P62" s="29">
        <v>1</v>
      </c>
      <c r="Q62" s="7">
        <v>2656</v>
      </c>
      <c r="R62" s="7">
        <v>2656</v>
      </c>
      <c r="S62" s="109"/>
      <c r="T62" s="29">
        <v>1</v>
      </c>
      <c r="U62" s="7">
        <v>2656</v>
      </c>
      <c r="V62" s="7">
        <v>2656</v>
      </c>
      <c r="X62" s="29">
        <v>1</v>
      </c>
      <c r="Y62" s="7">
        <v>2656</v>
      </c>
      <c r="Z62" s="7">
        <v>2656</v>
      </c>
      <c r="AB62" s="29">
        <v>1</v>
      </c>
      <c r="AC62" s="7">
        <v>2656</v>
      </c>
      <c r="AD62" s="7">
        <v>2656</v>
      </c>
      <c r="AF62" s="29">
        <v>1</v>
      </c>
      <c r="AG62" s="7">
        <v>2656</v>
      </c>
      <c r="AH62" s="7">
        <v>2656</v>
      </c>
      <c r="AJ62" s="29">
        <v>1</v>
      </c>
      <c r="AK62" s="7">
        <v>2656</v>
      </c>
      <c r="AL62" s="7">
        <v>2656</v>
      </c>
      <c r="AN62" s="29">
        <v>1</v>
      </c>
      <c r="AO62" s="158">
        <v>2656</v>
      </c>
      <c r="AP62" s="158">
        <v>2656</v>
      </c>
      <c r="AQ62" s="148"/>
      <c r="AR62" s="29">
        <v>1</v>
      </c>
      <c r="AS62" s="158">
        <v>2656</v>
      </c>
      <c r="AT62" s="158">
        <v>2656</v>
      </c>
    </row>
    <row r="63" spans="1:46" ht="15" customHeight="1" outlineLevel="1">
      <c r="A63" s="34"/>
      <c r="B63" s="10" t="s">
        <v>33</v>
      </c>
      <c r="C63" s="10" t="s">
        <v>173</v>
      </c>
      <c r="D63" s="29" t="s">
        <v>86</v>
      </c>
      <c r="E63" s="26" t="s">
        <v>44</v>
      </c>
      <c r="F63" s="26" t="s">
        <v>124</v>
      </c>
      <c r="G63" s="1"/>
      <c r="H63" s="29">
        <v>1</v>
      </c>
      <c r="I63" s="7">
        <v>3090.32</v>
      </c>
      <c r="J63" s="7">
        <v>3090.32</v>
      </c>
      <c r="L63" s="29">
        <v>1</v>
      </c>
      <c r="M63" s="7">
        <v>3090.32</v>
      </c>
      <c r="N63" s="7">
        <v>3090.32</v>
      </c>
      <c r="P63" s="29">
        <v>1</v>
      </c>
      <c r="Q63" s="7">
        <v>3090.32</v>
      </c>
      <c r="R63" s="7">
        <v>3090.32</v>
      </c>
      <c r="S63" s="109"/>
      <c r="T63" s="29">
        <v>1</v>
      </c>
      <c r="U63" s="7">
        <v>3090.32</v>
      </c>
      <c r="V63" s="7">
        <v>3090.32</v>
      </c>
      <c r="X63" s="29">
        <v>1</v>
      </c>
      <c r="Y63" s="7">
        <v>3090.32</v>
      </c>
      <c r="Z63" s="7">
        <v>3090.32</v>
      </c>
      <c r="AB63" s="29">
        <v>1</v>
      </c>
      <c r="AC63" s="7">
        <v>3090.32</v>
      </c>
      <c r="AD63" s="7">
        <v>3090.32</v>
      </c>
      <c r="AF63" s="29">
        <v>1</v>
      </c>
      <c r="AG63" s="7">
        <v>3090.32</v>
      </c>
      <c r="AH63" s="7">
        <v>3090.32</v>
      </c>
      <c r="AJ63" s="29">
        <v>1</v>
      </c>
      <c r="AK63" s="7">
        <v>3090.32</v>
      </c>
      <c r="AL63" s="7">
        <v>3090.32</v>
      </c>
      <c r="AN63" s="29">
        <v>1</v>
      </c>
      <c r="AO63" s="158">
        <v>3090.32</v>
      </c>
      <c r="AP63" s="158">
        <v>3090.32</v>
      </c>
      <c r="AQ63" s="148"/>
      <c r="AR63" s="29">
        <v>1</v>
      </c>
      <c r="AS63" s="158">
        <v>3090.32</v>
      </c>
      <c r="AT63" s="158">
        <v>3090.32</v>
      </c>
    </row>
    <row r="64" spans="1:46" ht="15" customHeight="1" outlineLevel="1">
      <c r="A64" s="34"/>
      <c r="B64" s="10" t="s">
        <v>25</v>
      </c>
      <c r="C64" s="10" t="s">
        <v>174</v>
      </c>
      <c r="D64" s="29" t="s">
        <v>86</v>
      </c>
      <c r="E64" s="26" t="s">
        <v>44</v>
      </c>
      <c r="F64" s="26" t="s">
        <v>63</v>
      </c>
      <c r="G64" s="1"/>
      <c r="H64" s="29">
        <v>1</v>
      </c>
      <c r="I64" s="7">
        <v>2405</v>
      </c>
      <c r="J64" s="7">
        <v>2405</v>
      </c>
      <c r="L64" s="29">
        <v>1</v>
      </c>
      <c r="M64" s="7">
        <v>2405</v>
      </c>
      <c r="N64" s="7">
        <v>2405</v>
      </c>
      <c r="P64" s="29">
        <v>1</v>
      </c>
      <c r="Q64" s="7">
        <v>2405</v>
      </c>
      <c r="R64" s="7">
        <v>2405</v>
      </c>
      <c r="S64" s="109"/>
      <c r="T64" s="29">
        <v>1</v>
      </c>
      <c r="U64" s="7">
        <v>2405</v>
      </c>
      <c r="V64" s="7">
        <v>2405</v>
      </c>
      <c r="X64" s="29">
        <v>1</v>
      </c>
      <c r="Y64" s="7">
        <v>2405</v>
      </c>
      <c r="Z64" s="7">
        <v>2405</v>
      </c>
      <c r="AB64" s="29">
        <v>1</v>
      </c>
      <c r="AC64" s="7">
        <v>2405</v>
      </c>
      <c r="AD64" s="7">
        <v>2405</v>
      </c>
      <c r="AF64" s="29">
        <v>1</v>
      </c>
      <c r="AG64" s="7">
        <v>2405</v>
      </c>
      <c r="AH64" s="7">
        <v>2405</v>
      </c>
      <c r="AJ64" s="29">
        <v>1</v>
      </c>
      <c r="AK64" s="7">
        <v>2405</v>
      </c>
      <c r="AL64" s="7">
        <v>2405</v>
      </c>
      <c r="AN64" s="29">
        <v>1</v>
      </c>
      <c r="AO64" s="158">
        <v>2405</v>
      </c>
      <c r="AP64" s="158">
        <v>2405</v>
      </c>
      <c r="AQ64" s="148"/>
      <c r="AR64" s="29">
        <v>1</v>
      </c>
      <c r="AS64" s="158">
        <v>2405</v>
      </c>
      <c r="AT64" s="158">
        <v>2405</v>
      </c>
    </row>
    <row r="65" spans="1:46" ht="15" customHeight="1" outlineLevel="1">
      <c r="A65" s="34"/>
      <c r="B65" s="10" t="s">
        <v>74</v>
      </c>
      <c r="C65" s="10" t="s">
        <v>175</v>
      </c>
      <c r="D65" s="29" t="s">
        <v>86</v>
      </c>
      <c r="E65" s="26" t="s">
        <v>44</v>
      </c>
      <c r="F65" s="26" t="s">
        <v>122</v>
      </c>
      <c r="G65" s="1"/>
      <c r="H65" s="29">
        <v>1</v>
      </c>
      <c r="I65" s="7">
        <v>4171.87</v>
      </c>
      <c r="J65" s="7">
        <v>4171.87</v>
      </c>
      <c r="L65" s="29">
        <v>1</v>
      </c>
      <c r="M65" s="7">
        <v>5972</v>
      </c>
      <c r="N65" s="7">
        <v>5972</v>
      </c>
      <c r="P65" s="29">
        <v>1</v>
      </c>
      <c r="Q65" s="7">
        <v>5972</v>
      </c>
      <c r="R65" s="7">
        <v>5972</v>
      </c>
      <c r="S65" s="109"/>
      <c r="T65" s="29">
        <v>1</v>
      </c>
      <c r="U65" s="7">
        <v>5972</v>
      </c>
      <c r="V65" s="7">
        <v>5972</v>
      </c>
      <c r="X65" s="29">
        <v>1</v>
      </c>
      <c r="Y65" s="7">
        <v>5972</v>
      </c>
      <c r="Z65" s="7">
        <v>5972</v>
      </c>
      <c r="AB65" s="29">
        <v>1</v>
      </c>
      <c r="AC65" s="7">
        <v>5972</v>
      </c>
      <c r="AD65" s="7">
        <v>5972</v>
      </c>
      <c r="AF65" s="29">
        <v>1</v>
      </c>
      <c r="AG65" s="7">
        <v>5972</v>
      </c>
      <c r="AH65" s="7">
        <v>5972</v>
      </c>
      <c r="AJ65" s="29">
        <v>1</v>
      </c>
      <c r="AK65" s="7">
        <v>5972</v>
      </c>
      <c r="AL65" s="7">
        <v>5972</v>
      </c>
      <c r="AN65" s="29">
        <v>1</v>
      </c>
      <c r="AO65" s="158">
        <v>5972</v>
      </c>
      <c r="AP65" s="158">
        <v>5972</v>
      </c>
      <c r="AQ65" s="148"/>
      <c r="AR65" s="29">
        <v>1</v>
      </c>
      <c r="AS65" s="158">
        <v>5972</v>
      </c>
      <c r="AT65" s="158">
        <v>5972</v>
      </c>
    </row>
    <row r="66" spans="1:46" ht="15" customHeight="1" outlineLevel="1">
      <c r="A66" s="34"/>
      <c r="B66" s="10" t="s">
        <v>34</v>
      </c>
      <c r="C66" s="10" t="s">
        <v>176</v>
      </c>
      <c r="D66" s="29" t="s">
        <v>86</v>
      </c>
      <c r="E66" s="26" t="s">
        <v>44</v>
      </c>
      <c r="F66" s="26" t="s">
        <v>70</v>
      </c>
      <c r="G66" s="1"/>
      <c r="H66" s="37">
        <v>0.75</v>
      </c>
      <c r="I66" s="7">
        <v>2525.0100000000002</v>
      </c>
      <c r="J66" s="7">
        <v>1893.7575000000002</v>
      </c>
      <c r="L66" s="37">
        <v>0.75</v>
      </c>
      <c r="M66" s="7">
        <v>2525.0100000000002</v>
      </c>
      <c r="N66" s="7">
        <v>1893.7575000000002</v>
      </c>
      <c r="P66" s="37">
        <v>0.75</v>
      </c>
      <c r="Q66" s="7">
        <v>2583.5300000000002</v>
      </c>
      <c r="R66" s="7">
        <v>1937.6475</v>
      </c>
      <c r="S66" s="109"/>
      <c r="T66" s="37">
        <v>0.75</v>
      </c>
      <c r="U66" s="7">
        <v>2583.5300000000002</v>
      </c>
      <c r="V66" s="7">
        <v>1937.6475</v>
      </c>
      <c r="X66" s="37">
        <v>0.75</v>
      </c>
      <c r="Y66" s="7">
        <v>2583.5300000000002</v>
      </c>
      <c r="Z66" s="7">
        <v>1937.6475</v>
      </c>
      <c r="AB66" s="37">
        <v>0.75</v>
      </c>
      <c r="AC66" s="7">
        <v>2583.5300000000002</v>
      </c>
      <c r="AD66" s="7">
        <v>1937.6475</v>
      </c>
      <c r="AF66" s="37">
        <v>0.75</v>
      </c>
      <c r="AG66" s="7">
        <v>2583.5300000000002</v>
      </c>
      <c r="AH66" s="7">
        <v>1937.6475</v>
      </c>
      <c r="AJ66" s="37">
        <v>0.75</v>
      </c>
      <c r="AK66" s="7">
        <v>2583.5300000000002</v>
      </c>
      <c r="AL66" s="7">
        <v>1937.6475</v>
      </c>
      <c r="AN66" s="37">
        <v>0.75</v>
      </c>
      <c r="AO66" s="158">
        <v>2583.5300000000002</v>
      </c>
      <c r="AP66" s="158">
        <v>1937.6475</v>
      </c>
      <c r="AQ66" s="148"/>
      <c r="AR66" s="37">
        <v>0.75</v>
      </c>
      <c r="AS66" s="158">
        <v>2583.5300000000002</v>
      </c>
      <c r="AT66" s="158">
        <v>1937.6475</v>
      </c>
    </row>
    <row r="67" spans="1:46" ht="15" customHeight="1" outlineLevel="1">
      <c r="A67" s="34"/>
      <c r="B67" s="10" t="s">
        <v>112</v>
      </c>
      <c r="C67" s="10" t="s">
        <v>177</v>
      </c>
      <c r="D67" s="29" t="s">
        <v>86</v>
      </c>
      <c r="E67" s="26" t="s">
        <v>44</v>
      </c>
      <c r="F67" s="26" t="s">
        <v>61</v>
      </c>
      <c r="G67" s="1"/>
      <c r="H67" s="37">
        <v>1</v>
      </c>
      <c r="I67" s="7">
        <v>0</v>
      </c>
      <c r="J67" s="7">
        <v>0</v>
      </c>
      <c r="L67" s="37">
        <v>1</v>
      </c>
      <c r="M67" s="7">
        <v>1456</v>
      </c>
      <c r="N67" s="7">
        <v>1456</v>
      </c>
      <c r="P67" s="37">
        <v>1</v>
      </c>
      <c r="Q67" s="7">
        <v>1583.85</v>
      </c>
      <c r="R67" s="7">
        <v>1583.85</v>
      </c>
      <c r="S67" s="109"/>
      <c r="T67" s="37">
        <v>1</v>
      </c>
      <c r="U67" s="7">
        <v>1583.85</v>
      </c>
      <c r="V67" s="7">
        <v>1583.85</v>
      </c>
      <c r="X67" s="37">
        <v>1</v>
      </c>
      <c r="Y67" s="7">
        <v>1583.8499999999997</v>
      </c>
      <c r="Z67" s="7">
        <v>1583.8499999999997</v>
      </c>
      <c r="AB67" s="37">
        <v>1</v>
      </c>
      <c r="AC67" s="7">
        <v>1583.8499999999997</v>
      </c>
      <c r="AD67" s="7">
        <v>1583.8499999999997</v>
      </c>
      <c r="AF67" s="37">
        <v>1</v>
      </c>
      <c r="AG67" s="7">
        <v>1583.8499999999997</v>
      </c>
      <c r="AH67" s="7">
        <v>1583.8499999999997</v>
      </c>
      <c r="AJ67" s="37">
        <v>1</v>
      </c>
      <c r="AK67" s="7">
        <v>1583.8499999999997</v>
      </c>
      <c r="AL67" s="7">
        <v>1583.8499999999997</v>
      </c>
      <c r="AN67" s="37">
        <v>1</v>
      </c>
      <c r="AO67" s="158">
        <v>1583.8499999999997</v>
      </c>
      <c r="AP67" s="158">
        <v>1583.8499999999997</v>
      </c>
      <c r="AQ67" s="148"/>
      <c r="AR67" s="37">
        <v>1</v>
      </c>
      <c r="AS67" s="158">
        <v>1583.8499999999997</v>
      </c>
      <c r="AT67" s="158">
        <v>1583.8499999999997</v>
      </c>
    </row>
    <row r="68" spans="1:46" ht="15" customHeight="1" outlineLevel="1">
      <c r="A68" s="34"/>
      <c r="B68" s="10" t="s">
        <v>113</v>
      </c>
      <c r="C68" s="10" t="s">
        <v>178</v>
      </c>
      <c r="D68" s="29" t="s">
        <v>86</v>
      </c>
      <c r="E68" s="26" t="s">
        <v>44</v>
      </c>
      <c r="F68" s="26" t="s">
        <v>232</v>
      </c>
      <c r="G68" s="1"/>
      <c r="H68" s="37">
        <v>1</v>
      </c>
      <c r="I68" s="7">
        <v>0</v>
      </c>
      <c r="J68" s="7">
        <v>0</v>
      </c>
      <c r="L68" s="103">
        <v>1</v>
      </c>
      <c r="M68" s="7">
        <v>820</v>
      </c>
      <c r="N68" s="7">
        <v>820</v>
      </c>
      <c r="P68" s="103">
        <v>1</v>
      </c>
      <c r="Q68" s="7">
        <v>1231.33</v>
      </c>
      <c r="R68" s="104">
        <v>1231.33</v>
      </c>
      <c r="S68" s="109"/>
      <c r="T68" s="103">
        <v>1</v>
      </c>
      <c r="U68" s="7">
        <v>1231.33</v>
      </c>
      <c r="V68" s="104">
        <v>1231.33</v>
      </c>
      <c r="X68" s="103">
        <v>1</v>
      </c>
      <c r="Y68" s="7">
        <v>1231.33</v>
      </c>
      <c r="Z68" s="104">
        <v>1231.33</v>
      </c>
      <c r="AB68" s="103">
        <v>1</v>
      </c>
      <c r="AC68" s="7">
        <v>1231.33</v>
      </c>
      <c r="AD68" s="7">
        <v>1231.33</v>
      </c>
      <c r="AF68" s="103">
        <v>1</v>
      </c>
      <c r="AG68" s="7">
        <v>1231.33</v>
      </c>
      <c r="AH68" s="7">
        <v>1231.33</v>
      </c>
      <c r="AJ68" s="103">
        <v>1</v>
      </c>
      <c r="AK68" s="7">
        <v>1231.33</v>
      </c>
      <c r="AL68" s="7">
        <v>1231.33</v>
      </c>
      <c r="AN68" s="103">
        <v>1</v>
      </c>
      <c r="AO68" s="158">
        <v>1231.33</v>
      </c>
      <c r="AP68" s="158">
        <v>1231.33</v>
      </c>
      <c r="AQ68" s="148"/>
      <c r="AR68" s="103">
        <v>1</v>
      </c>
      <c r="AS68" s="158">
        <v>1231.33</v>
      </c>
      <c r="AT68" s="158">
        <v>1231.33</v>
      </c>
    </row>
    <row r="69" spans="1:46" ht="15" customHeight="1" outlineLevel="1">
      <c r="A69" s="34"/>
      <c r="B69" s="10" t="s">
        <v>114</v>
      </c>
      <c r="C69" s="10" t="s">
        <v>179</v>
      </c>
      <c r="D69" s="29" t="s">
        <v>86</v>
      </c>
      <c r="E69" s="26" t="s">
        <v>44</v>
      </c>
      <c r="F69" s="26" t="s">
        <v>62</v>
      </c>
      <c r="G69" s="1"/>
      <c r="H69" s="37">
        <v>1</v>
      </c>
      <c r="I69" s="7">
        <v>0</v>
      </c>
      <c r="J69" s="7">
        <v>0</v>
      </c>
      <c r="L69" s="37">
        <v>1</v>
      </c>
      <c r="M69" s="7">
        <v>3820.7200000000007</v>
      </c>
      <c r="N69" s="7">
        <v>3820.7200000000007</v>
      </c>
      <c r="P69" s="37">
        <v>1</v>
      </c>
      <c r="Q69" s="7">
        <v>3820.7200000000007</v>
      </c>
      <c r="R69" s="7">
        <v>3820.7200000000007</v>
      </c>
      <c r="S69" s="109"/>
      <c r="T69" s="37">
        <v>1</v>
      </c>
      <c r="U69" s="7">
        <v>3820.7200000000007</v>
      </c>
      <c r="V69" s="7">
        <v>3820.7200000000007</v>
      </c>
      <c r="X69" s="37">
        <v>1</v>
      </c>
      <c r="Y69" s="7">
        <v>3820.7200000000007</v>
      </c>
      <c r="Z69" s="7">
        <v>3820.7200000000007</v>
      </c>
      <c r="AB69" s="37">
        <v>1</v>
      </c>
      <c r="AC69" s="7">
        <v>3820.7200000000007</v>
      </c>
      <c r="AD69" s="7">
        <v>3820.7200000000007</v>
      </c>
      <c r="AF69" s="37">
        <v>1</v>
      </c>
      <c r="AG69" s="7">
        <v>3820.7200000000007</v>
      </c>
      <c r="AH69" s="7">
        <v>3820.7200000000007</v>
      </c>
      <c r="AJ69" s="37">
        <v>1</v>
      </c>
      <c r="AK69" s="7">
        <v>3820.7200000000007</v>
      </c>
      <c r="AL69" s="7">
        <v>3820.7200000000007</v>
      </c>
      <c r="AN69" s="37">
        <v>1</v>
      </c>
      <c r="AO69" s="158">
        <v>3820.7200000000007</v>
      </c>
      <c r="AP69" s="158">
        <v>3820.7200000000007</v>
      </c>
      <c r="AQ69" s="148"/>
      <c r="AR69" s="37">
        <v>1</v>
      </c>
      <c r="AS69" s="158">
        <v>3820.7200000000007</v>
      </c>
      <c r="AT69" s="158">
        <v>3820.7200000000007</v>
      </c>
    </row>
    <row r="70" spans="1:46" ht="15" customHeight="1" outlineLevel="1">
      <c r="A70" s="34"/>
      <c r="B70" s="10" t="s">
        <v>116</v>
      </c>
      <c r="C70" s="10" t="s">
        <v>180</v>
      </c>
      <c r="D70" s="29" t="s">
        <v>86</v>
      </c>
      <c r="E70" s="26" t="s">
        <v>44</v>
      </c>
      <c r="F70" s="26" t="s">
        <v>124</v>
      </c>
      <c r="G70" s="1"/>
      <c r="H70" s="37">
        <v>1</v>
      </c>
      <c r="I70" s="7">
        <v>0</v>
      </c>
      <c r="J70" s="7">
        <v>0</v>
      </c>
      <c r="L70" s="37">
        <v>1</v>
      </c>
      <c r="M70" s="7">
        <v>1635</v>
      </c>
      <c r="N70" s="7">
        <v>1635</v>
      </c>
      <c r="P70" s="37">
        <v>1</v>
      </c>
      <c r="Q70" s="7">
        <v>1834.44</v>
      </c>
      <c r="R70" s="7">
        <v>1834.44</v>
      </c>
      <c r="S70" s="109"/>
      <c r="T70" s="37">
        <v>1</v>
      </c>
      <c r="U70" s="7">
        <v>1834.44</v>
      </c>
      <c r="V70" s="7">
        <v>1834.44</v>
      </c>
      <c r="X70" s="37">
        <v>1</v>
      </c>
      <c r="Y70" s="7">
        <v>1834.4399999999998</v>
      </c>
      <c r="Z70" s="7">
        <v>1834.4399999999998</v>
      </c>
      <c r="AB70" s="37">
        <v>1</v>
      </c>
      <c r="AC70" s="7">
        <v>1834.4399999999998</v>
      </c>
      <c r="AD70" s="7">
        <v>1834.4399999999998</v>
      </c>
      <c r="AF70" s="37">
        <v>1</v>
      </c>
      <c r="AG70" s="7">
        <v>1834.4399999999998</v>
      </c>
      <c r="AH70" s="7">
        <v>1834.4399999999998</v>
      </c>
      <c r="AJ70" s="37">
        <v>1</v>
      </c>
      <c r="AK70" s="7">
        <v>1834.4399999999998</v>
      </c>
      <c r="AL70" s="7">
        <v>1834.4399999999998</v>
      </c>
      <c r="AN70" s="37">
        <v>1</v>
      </c>
      <c r="AO70" s="158">
        <v>1834.4399999999998</v>
      </c>
      <c r="AP70" s="158">
        <v>1834.4399999999998</v>
      </c>
      <c r="AQ70" s="148"/>
      <c r="AR70" s="37">
        <v>1</v>
      </c>
      <c r="AS70" s="158">
        <v>1834.4399999999998</v>
      </c>
      <c r="AT70" s="158">
        <v>1834.4399999999998</v>
      </c>
    </row>
    <row r="71" spans="1:46" ht="15" customHeight="1" outlineLevel="1">
      <c r="A71" s="34"/>
      <c r="B71" s="10" t="s">
        <v>115</v>
      </c>
      <c r="C71" s="10" t="s">
        <v>181</v>
      </c>
      <c r="D71" s="29" t="s">
        <v>86</v>
      </c>
      <c r="E71" s="26" t="s">
        <v>44</v>
      </c>
      <c r="F71" s="26" t="s">
        <v>122</v>
      </c>
      <c r="G71" s="1"/>
      <c r="H71" s="37">
        <v>1</v>
      </c>
      <c r="I71" s="7">
        <v>0</v>
      </c>
      <c r="J71" s="7">
        <v>0</v>
      </c>
      <c r="L71" s="37">
        <v>1</v>
      </c>
      <c r="M71" s="7">
        <v>1738.9099999999999</v>
      </c>
      <c r="N71" s="7">
        <v>1738.9099999999999</v>
      </c>
      <c r="P71" s="37">
        <v>1</v>
      </c>
      <c r="Q71" s="7">
        <v>2109.75</v>
      </c>
      <c r="R71" s="7">
        <v>2109.75</v>
      </c>
      <c r="S71" s="109"/>
      <c r="T71" s="37">
        <v>1</v>
      </c>
      <c r="U71" s="7">
        <v>2109.75</v>
      </c>
      <c r="V71" s="7">
        <v>2109.75</v>
      </c>
      <c r="X71" s="37">
        <v>1</v>
      </c>
      <c r="Y71" s="7">
        <v>2109.75</v>
      </c>
      <c r="Z71" s="7">
        <v>2109.75</v>
      </c>
      <c r="AB71" s="37">
        <v>1</v>
      </c>
      <c r="AC71" s="7">
        <v>2109.75</v>
      </c>
      <c r="AD71" s="7">
        <v>2109.75</v>
      </c>
      <c r="AF71" s="37">
        <v>1</v>
      </c>
      <c r="AG71" s="7">
        <v>2109.75</v>
      </c>
      <c r="AH71" s="7">
        <v>2109.75</v>
      </c>
      <c r="AJ71" s="37">
        <v>1</v>
      </c>
      <c r="AK71" s="7">
        <v>2109.75</v>
      </c>
      <c r="AL71" s="7">
        <v>2109.75</v>
      </c>
      <c r="AN71" s="37">
        <v>1</v>
      </c>
      <c r="AO71" s="158">
        <v>2109.75</v>
      </c>
      <c r="AP71" s="158">
        <v>2109.75</v>
      </c>
      <c r="AQ71" s="148"/>
      <c r="AR71" s="37">
        <v>1</v>
      </c>
      <c r="AS71" s="158">
        <v>2109.75</v>
      </c>
      <c r="AT71" s="158">
        <v>2109.75</v>
      </c>
    </row>
    <row r="72" spans="1:46" ht="15" customHeight="1" outlineLevel="1">
      <c r="A72" s="34"/>
      <c r="B72" s="10" t="s">
        <v>251</v>
      </c>
      <c r="C72" s="10" t="s">
        <v>157</v>
      </c>
      <c r="D72" s="29" t="s">
        <v>95</v>
      </c>
      <c r="E72" s="26" t="s">
        <v>44</v>
      </c>
      <c r="F72" s="26" t="s">
        <v>70</v>
      </c>
      <c r="G72" s="1"/>
      <c r="H72" s="29">
        <v>1</v>
      </c>
      <c r="I72" s="7">
        <v>564</v>
      </c>
      <c r="J72" s="7">
        <v>564</v>
      </c>
      <c r="L72" s="29">
        <v>1</v>
      </c>
      <c r="M72" s="7">
        <v>564</v>
      </c>
      <c r="N72" s="7">
        <v>564</v>
      </c>
      <c r="P72" s="29">
        <v>1</v>
      </c>
      <c r="Q72" s="7">
        <v>564</v>
      </c>
      <c r="R72" s="7">
        <v>564</v>
      </c>
      <c r="S72" s="109"/>
      <c r="T72" s="29">
        <v>1</v>
      </c>
      <c r="U72" s="7">
        <v>564</v>
      </c>
      <c r="V72" s="7">
        <v>564</v>
      </c>
      <c r="X72" s="29">
        <v>1</v>
      </c>
      <c r="Y72" s="7">
        <v>564</v>
      </c>
      <c r="Z72" s="7">
        <v>564</v>
      </c>
      <c r="AB72" s="29">
        <v>1</v>
      </c>
      <c r="AC72" s="7">
        <v>564</v>
      </c>
      <c r="AD72" s="7">
        <v>564</v>
      </c>
      <c r="AF72" s="29" t="s">
        <v>247</v>
      </c>
      <c r="AG72" s="7" t="s">
        <v>247</v>
      </c>
      <c r="AH72" s="7" t="s">
        <v>247</v>
      </c>
      <c r="AJ72" s="29" t="s">
        <v>247</v>
      </c>
      <c r="AK72" s="7" t="s">
        <v>247</v>
      </c>
      <c r="AL72" s="7" t="s">
        <v>247</v>
      </c>
      <c r="AN72" s="29" t="s">
        <v>247</v>
      </c>
      <c r="AO72" s="158" t="s">
        <v>247</v>
      </c>
      <c r="AP72" s="158" t="s">
        <v>247</v>
      </c>
      <c r="AQ72" s="148"/>
      <c r="AR72" s="29" t="s">
        <v>247</v>
      </c>
      <c r="AS72" s="158" t="s">
        <v>247</v>
      </c>
      <c r="AT72" s="158" t="s">
        <v>247</v>
      </c>
    </row>
    <row r="73" spans="1:46" s="151" customFormat="1" ht="15" customHeight="1" outlineLevel="1">
      <c r="A73" s="149"/>
      <c r="B73" s="10" t="s">
        <v>249</v>
      </c>
      <c r="C73" s="10" t="s">
        <v>165</v>
      </c>
      <c r="D73" s="37" t="s">
        <v>86</v>
      </c>
      <c r="E73" s="26" t="s">
        <v>44</v>
      </c>
      <c r="F73" s="26" t="s">
        <v>123</v>
      </c>
      <c r="G73" s="150"/>
      <c r="H73" s="37">
        <v>0.9</v>
      </c>
      <c r="I73" s="7">
        <v>4514.6499999999996</v>
      </c>
      <c r="J73" s="7">
        <v>4063.1849999999999</v>
      </c>
      <c r="L73" s="37">
        <v>0.9</v>
      </c>
      <c r="M73" s="7">
        <v>1891</v>
      </c>
      <c r="N73" s="7">
        <v>1701.9</v>
      </c>
      <c r="P73" s="37">
        <v>0.9</v>
      </c>
      <c r="Q73" s="7">
        <v>1891</v>
      </c>
      <c r="R73" s="7">
        <v>1701.9</v>
      </c>
      <c r="S73" s="153"/>
      <c r="T73" s="37">
        <v>0.9</v>
      </c>
      <c r="U73" s="7">
        <v>1891</v>
      </c>
      <c r="V73" s="7">
        <v>1701.9</v>
      </c>
      <c r="X73" s="37">
        <v>0.9</v>
      </c>
      <c r="Y73" s="7">
        <v>1891</v>
      </c>
      <c r="Z73" s="7">
        <v>1701.9</v>
      </c>
      <c r="AB73" s="37">
        <v>0.9</v>
      </c>
      <c r="AC73" s="7">
        <v>1891</v>
      </c>
      <c r="AD73" s="7">
        <v>1701.9</v>
      </c>
      <c r="AF73" s="37">
        <v>0.9</v>
      </c>
      <c r="AG73" s="7">
        <v>1891</v>
      </c>
      <c r="AH73" s="7">
        <v>1701.9</v>
      </c>
      <c r="AJ73" s="37">
        <v>0.9</v>
      </c>
      <c r="AK73" s="7">
        <v>1891</v>
      </c>
      <c r="AL73" s="7">
        <v>1701.9</v>
      </c>
      <c r="AN73" s="37" t="s">
        <v>247</v>
      </c>
      <c r="AO73" s="158" t="s">
        <v>247</v>
      </c>
      <c r="AP73" s="158" t="s">
        <v>247</v>
      </c>
      <c r="AQ73" s="152"/>
      <c r="AR73" s="37" t="s">
        <v>247</v>
      </c>
      <c r="AS73" s="158" t="s">
        <v>247</v>
      </c>
      <c r="AT73" s="158" t="s">
        <v>247</v>
      </c>
    </row>
    <row r="74" spans="1:46" ht="15" customHeight="1" outlineLevel="1">
      <c r="A74" s="34"/>
      <c r="B74" s="10" t="s">
        <v>250</v>
      </c>
      <c r="C74" s="10" t="s">
        <v>167</v>
      </c>
      <c r="D74" s="29" t="s">
        <v>86</v>
      </c>
      <c r="E74" s="26" t="s">
        <v>44</v>
      </c>
      <c r="F74" s="133" t="s">
        <v>61</v>
      </c>
      <c r="G74" s="144"/>
      <c r="H74" s="103">
        <v>0.9</v>
      </c>
      <c r="I74" s="104">
        <v>2404.85</v>
      </c>
      <c r="J74" s="104">
        <v>2164.3649999999998</v>
      </c>
      <c r="K74" s="141"/>
      <c r="L74" s="103">
        <v>0.9</v>
      </c>
      <c r="M74" s="104">
        <v>2244</v>
      </c>
      <c r="N74" s="104">
        <v>2019.6000000000001</v>
      </c>
      <c r="O74" s="141"/>
      <c r="P74" s="103">
        <v>0.9</v>
      </c>
      <c r="Q74" s="104">
        <v>2244</v>
      </c>
      <c r="R74" s="104">
        <v>2019.6000000000001</v>
      </c>
      <c r="S74" s="146"/>
      <c r="T74" s="103">
        <v>0.9</v>
      </c>
      <c r="U74" s="104">
        <v>2244</v>
      </c>
      <c r="V74" s="104">
        <v>2019.6000000000001</v>
      </c>
      <c r="W74" s="141"/>
      <c r="X74" s="103">
        <v>0.9</v>
      </c>
      <c r="Y74" s="7">
        <v>2244</v>
      </c>
      <c r="Z74" s="104">
        <v>2019.6000000000001</v>
      </c>
      <c r="AA74" s="141"/>
      <c r="AB74" s="103">
        <v>0.9</v>
      </c>
      <c r="AC74" s="104">
        <v>2244</v>
      </c>
      <c r="AD74" s="104">
        <v>2019.6000000000001</v>
      </c>
      <c r="AE74" s="141"/>
      <c r="AF74" s="103">
        <v>0.9</v>
      </c>
      <c r="AG74" s="104">
        <v>2244</v>
      </c>
      <c r="AH74" s="104">
        <v>2019.6000000000001</v>
      </c>
      <c r="AI74" s="141"/>
      <c r="AJ74" s="103">
        <v>0.9</v>
      </c>
      <c r="AK74" s="104">
        <v>2244</v>
      </c>
      <c r="AL74" s="104">
        <v>2019.6000000000001</v>
      </c>
      <c r="AM74" s="141"/>
      <c r="AN74" s="29">
        <v>0.9</v>
      </c>
      <c r="AO74" s="159">
        <v>2244</v>
      </c>
      <c r="AP74" s="159">
        <v>2019.6000000000001</v>
      </c>
      <c r="AQ74" s="148"/>
      <c r="AR74" s="29" t="s">
        <v>247</v>
      </c>
      <c r="AS74" s="159" t="s">
        <v>247</v>
      </c>
      <c r="AT74" s="159" t="s">
        <v>247</v>
      </c>
    </row>
    <row r="75" spans="1:46" s="4" customFormat="1" ht="15" customHeight="1">
      <c r="B75" s="17" t="s">
        <v>2</v>
      </c>
      <c r="C75" s="17"/>
      <c r="D75" s="17"/>
      <c r="E75" s="23"/>
      <c r="F75" s="23"/>
      <c r="G75" s="1"/>
      <c r="H75" s="23"/>
      <c r="I75" s="18">
        <v>161455</v>
      </c>
      <c r="J75" s="18">
        <v>87809</v>
      </c>
      <c r="K75" s="38"/>
      <c r="L75" s="23"/>
      <c r="M75" s="18">
        <v>161455</v>
      </c>
      <c r="N75" s="18">
        <v>87809</v>
      </c>
      <c r="O75" s="38"/>
      <c r="P75" s="23"/>
      <c r="Q75" s="18">
        <v>99960</v>
      </c>
      <c r="R75" s="18">
        <v>55186</v>
      </c>
      <c r="S75" s="105"/>
      <c r="T75" s="23"/>
      <c r="U75" s="18">
        <v>99960</v>
      </c>
      <c r="V75" s="18">
        <v>55186</v>
      </c>
      <c r="X75" s="23"/>
      <c r="Y75" s="18">
        <v>99960</v>
      </c>
      <c r="Z75" s="18">
        <v>55186</v>
      </c>
      <c r="AB75" s="23"/>
      <c r="AC75" s="18">
        <v>99960</v>
      </c>
      <c r="AD75" s="18">
        <v>55186</v>
      </c>
      <c r="AF75" s="23"/>
      <c r="AG75" s="18">
        <v>99960.81</v>
      </c>
      <c r="AH75" s="18">
        <v>55186.561590000005</v>
      </c>
      <c r="AJ75" s="23"/>
      <c r="AK75" s="18">
        <v>103384.1</v>
      </c>
      <c r="AL75" s="138">
        <v>58610.281589999999</v>
      </c>
      <c r="AN75" s="23"/>
      <c r="AO75" s="156">
        <v>103384</v>
      </c>
      <c r="AP75" s="156">
        <v>58610</v>
      </c>
      <c r="AQ75" s="129"/>
      <c r="AR75" s="23"/>
      <c r="AS75" s="156">
        <v>103384</v>
      </c>
      <c r="AT75" s="156">
        <v>58610</v>
      </c>
    </row>
    <row r="76" spans="1:46" s="4" customFormat="1" ht="15" customHeight="1">
      <c r="B76" s="19" t="str">
        <f>IF(B3=1,"Ocupação 3A","3A Occupancy")</f>
        <v>Ocupação 3A</v>
      </c>
      <c r="C76" s="19"/>
      <c r="D76" s="19"/>
      <c r="E76" s="24"/>
      <c r="F76" s="24"/>
      <c r="G76" s="1"/>
      <c r="H76" s="24"/>
      <c r="I76" s="168">
        <v>1</v>
      </c>
      <c r="J76" s="169"/>
      <c r="L76" s="24"/>
      <c r="M76" s="168">
        <v>1</v>
      </c>
      <c r="N76" s="169"/>
      <c r="P76" s="24"/>
      <c r="Q76" s="168">
        <v>1</v>
      </c>
      <c r="R76" s="169"/>
      <c r="T76" s="24"/>
      <c r="U76" s="168">
        <v>1</v>
      </c>
      <c r="V76" s="169"/>
      <c r="X76" s="24"/>
      <c r="Y76" s="168">
        <v>1</v>
      </c>
      <c r="Z76" s="169"/>
      <c r="AB76" s="24"/>
      <c r="AC76" s="168">
        <v>1</v>
      </c>
      <c r="AD76" s="169"/>
      <c r="AF76" s="24"/>
      <c r="AG76" s="168">
        <v>1</v>
      </c>
      <c r="AH76" s="169"/>
      <c r="AJ76" s="24"/>
      <c r="AK76" s="168">
        <v>1</v>
      </c>
      <c r="AL76" s="169"/>
      <c r="AN76" s="24"/>
      <c r="AO76" s="168">
        <v>1</v>
      </c>
      <c r="AP76" s="169"/>
      <c r="AQ76" s="129"/>
      <c r="AR76" s="24"/>
      <c r="AS76" s="168">
        <v>1</v>
      </c>
      <c r="AT76" s="169"/>
    </row>
    <row r="77" spans="1:46" ht="15" customHeight="1">
      <c r="B77" s="15" t="str">
        <f>IF(B3=1,COUNTA(B78:B79)&amp;" Ativos em Operação",COUNTA(B78:B79)&amp;" Assets in operation")</f>
        <v>2 Ativos em Operação</v>
      </c>
      <c r="C77" s="15"/>
      <c r="D77" s="15"/>
      <c r="E77" s="25"/>
      <c r="F77" s="25"/>
      <c r="G77" s="1"/>
      <c r="H77" s="25"/>
      <c r="I77" s="16">
        <v>17533</v>
      </c>
      <c r="J77" s="16">
        <v>13037</v>
      </c>
      <c r="K77" s="38"/>
      <c r="L77" s="25"/>
      <c r="M77" s="16">
        <v>17533</v>
      </c>
      <c r="N77" s="16">
        <v>13037</v>
      </c>
      <c r="O77" s="38"/>
      <c r="P77" s="25"/>
      <c r="Q77" s="16">
        <v>17533</v>
      </c>
      <c r="R77" s="16">
        <v>13037</v>
      </c>
      <c r="S77" s="105"/>
      <c r="T77" s="25"/>
      <c r="U77" s="16">
        <v>17533</v>
      </c>
      <c r="V77" s="16">
        <v>13037</v>
      </c>
      <c r="X77" s="25"/>
      <c r="Y77" s="16">
        <v>17533</v>
      </c>
      <c r="Z77" s="16">
        <v>13037</v>
      </c>
      <c r="AB77" s="25"/>
      <c r="AC77" s="16">
        <v>17533.43</v>
      </c>
      <c r="AD77" s="16">
        <v>13037.14759</v>
      </c>
      <c r="AF77" s="25"/>
      <c r="AG77" s="16">
        <v>17533.43</v>
      </c>
      <c r="AH77" s="16">
        <v>13037.14759</v>
      </c>
      <c r="AJ77" s="25"/>
      <c r="AK77" s="16">
        <v>17533</v>
      </c>
      <c r="AL77" s="16">
        <v>13037.14759</v>
      </c>
      <c r="AN77" s="25"/>
      <c r="AO77" s="157">
        <v>17533</v>
      </c>
      <c r="AP77" s="157">
        <v>13037</v>
      </c>
      <c r="AQ77" s="129"/>
      <c r="AR77" s="25"/>
      <c r="AS77" s="157">
        <v>17533</v>
      </c>
      <c r="AT77" s="157">
        <v>13037</v>
      </c>
    </row>
    <row r="78" spans="1:46" ht="15" customHeight="1" outlineLevel="1">
      <c r="A78" s="34"/>
      <c r="B78" s="10" t="s">
        <v>28</v>
      </c>
      <c r="C78" s="10" t="s">
        <v>182</v>
      </c>
      <c r="D78" s="29" t="s">
        <v>86</v>
      </c>
      <c r="E78" s="26" t="s">
        <v>44</v>
      </c>
      <c r="F78" s="26" t="s">
        <v>60</v>
      </c>
      <c r="G78" s="1"/>
      <c r="H78" s="29">
        <v>0.66659999999999997</v>
      </c>
      <c r="I78" s="7">
        <v>13486.145534042356</v>
      </c>
      <c r="J78" s="7">
        <v>8989.8646129926346</v>
      </c>
      <c r="L78" s="29">
        <v>0.66659999999999997</v>
      </c>
      <c r="M78" s="7">
        <v>13486.145534042356</v>
      </c>
      <c r="N78" s="7">
        <v>8989.8646129926346</v>
      </c>
      <c r="P78" s="29">
        <v>0.66659999999999997</v>
      </c>
      <c r="Q78" s="7">
        <v>13486.145534042356</v>
      </c>
      <c r="R78" s="7">
        <v>8989.8646129926346</v>
      </c>
      <c r="T78" s="29">
        <v>0.66659999999999997</v>
      </c>
      <c r="U78" s="7">
        <v>13486.145534042356</v>
      </c>
      <c r="V78" s="7">
        <v>8989.8646129926346</v>
      </c>
      <c r="X78" s="29">
        <v>0.66659999999999997</v>
      </c>
      <c r="Y78" s="7">
        <v>13486.15</v>
      </c>
      <c r="Z78" s="7">
        <v>8989.8646129926346</v>
      </c>
      <c r="AB78" s="29">
        <v>0.66659999999999997</v>
      </c>
      <c r="AC78" s="7">
        <v>13486.15</v>
      </c>
      <c r="AD78" s="7">
        <v>8989.8675899999998</v>
      </c>
      <c r="AF78" s="29">
        <v>0.66659999999999997</v>
      </c>
      <c r="AG78" s="7">
        <v>13486.15</v>
      </c>
      <c r="AH78" s="7">
        <v>8989.8675899999998</v>
      </c>
      <c r="AJ78" s="29">
        <v>0.66659999999999997</v>
      </c>
      <c r="AK78" s="134">
        <v>13486.15</v>
      </c>
      <c r="AL78" s="7">
        <v>8989.8675899999998</v>
      </c>
      <c r="AN78" s="29">
        <v>0.66659999999999997</v>
      </c>
      <c r="AO78" s="158">
        <v>13486.15</v>
      </c>
      <c r="AP78" s="158">
        <v>8989.8675899999998</v>
      </c>
      <c r="AQ78" s="148"/>
      <c r="AR78" s="29">
        <v>0.66659999999999997</v>
      </c>
      <c r="AS78" s="158">
        <v>13486.15</v>
      </c>
      <c r="AT78" s="158">
        <v>8989.8675899999998</v>
      </c>
    </row>
    <row r="79" spans="1:46" ht="15" customHeight="1" outlineLevel="1">
      <c r="A79" s="34"/>
      <c r="B79" s="10" t="s">
        <v>29</v>
      </c>
      <c r="C79" s="10" t="s">
        <v>183</v>
      </c>
      <c r="D79" s="29" t="s">
        <v>87</v>
      </c>
      <c r="E79" s="26" t="s">
        <v>44</v>
      </c>
      <c r="F79" s="26" t="s">
        <v>56</v>
      </c>
      <c r="G79" s="1"/>
      <c r="H79" s="29">
        <v>1</v>
      </c>
      <c r="I79" s="7">
        <v>4047.2799999999997</v>
      </c>
      <c r="J79" s="7">
        <v>4047.2799999999997</v>
      </c>
      <c r="L79" s="29">
        <v>1</v>
      </c>
      <c r="M79" s="7">
        <v>4047.2799999999997</v>
      </c>
      <c r="N79" s="7">
        <v>4047.2799999999997</v>
      </c>
      <c r="P79" s="29">
        <v>1</v>
      </c>
      <c r="Q79" s="7">
        <v>4047.2799999999997</v>
      </c>
      <c r="R79" s="7">
        <v>4047.2799999999997</v>
      </c>
      <c r="T79" s="29">
        <v>1</v>
      </c>
      <c r="U79" s="7">
        <v>4047.2799999999997</v>
      </c>
      <c r="V79" s="7">
        <v>4047.2799999999997</v>
      </c>
      <c r="X79" s="29">
        <v>1</v>
      </c>
      <c r="Y79" s="7">
        <v>4047.2799999999997</v>
      </c>
      <c r="Z79" s="7">
        <v>4047.2799999999997</v>
      </c>
      <c r="AB79" s="29">
        <v>1</v>
      </c>
      <c r="AC79" s="7">
        <v>4047.2799999999997</v>
      </c>
      <c r="AD79" s="7">
        <v>4047.2799999999997</v>
      </c>
      <c r="AF79" s="29">
        <v>1</v>
      </c>
      <c r="AG79" s="7">
        <v>4047.2799999999997</v>
      </c>
      <c r="AH79" s="7">
        <v>4047.2799999999997</v>
      </c>
      <c r="AJ79" s="29">
        <v>1</v>
      </c>
      <c r="AK79" s="134">
        <v>4047.2799999999997</v>
      </c>
      <c r="AL79" s="7">
        <v>4047.2799999999997</v>
      </c>
      <c r="AN79" s="29">
        <v>1</v>
      </c>
      <c r="AO79" s="158">
        <v>4047.2799999999997</v>
      </c>
      <c r="AP79" s="158">
        <v>4047.2799999999997</v>
      </c>
      <c r="AQ79" s="148"/>
      <c r="AR79" s="29">
        <v>1</v>
      </c>
      <c r="AS79" s="158">
        <v>4047.2799999999997</v>
      </c>
      <c r="AT79" s="158">
        <v>4047.2799999999997</v>
      </c>
    </row>
    <row r="80" spans="1:46" ht="15" customHeight="1">
      <c r="B80" s="15" t="str">
        <f>IF(B3=1,COUNTA(B81:B88)&amp;" Ativos em desenvolvimento",COUNTA(B81:B88)&amp;" Assets under development")</f>
        <v>8 Ativos em desenvolvimento</v>
      </c>
      <c r="C80" s="15"/>
      <c r="D80" s="15"/>
      <c r="E80" s="25"/>
      <c r="F80" s="25"/>
      <c r="G80" s="1"/>
      <c r="H80" s="25"/>
      <c r="I80" s="16">
        <v>143922</v>
      </c>
      <c r="J80" s="16">
        <v>74772</v>
      </c>
      <c r="K80" s="38"/>
      <c r="L80" s="25"/>
      <c r="M80" s="16">
        <v>143922</v>
      </c>
      <c r="N80" s="16">
        <v>74772</v>
      </c>
      <c r="O80" s="38"/>
      <c r="P80" s="25"/>
      <c r="Q80" s="16">
        <v>82427</v>
      </c>
      <c r="R80" s="16">
        <v>42149</v>
      </c>
      <c r="S80" s="105"/>
      <c r="T80" s="25"/>
      <c r="U80" s="16">
        <v>82427</v>
      </c>
      <c r="V80" s="16">
        <v>42149</v>
      </c>
      <c r="X80" s="25"/>
      <c r="Y80" s="16">
        <v>82427</v>
      </c>
      <c r="Z80" s="16">
        <v>42149</v>
      </c>
      <c r="AB80" s="25"/>
      <c r="AC80" s="16">
        <v>82427.38</v>
      </c>
      <c r="AD80" s="16">
        <v>42149</v>
      </c>
      <c r="AF80" s="25"/>
      <c r="AG80" s="16">
        <v>82427.38</v>
      </c>
      <c r="AH80" s="16">
        <v>42149.414000000004</v>
      </c>
      <c r="AJ80" s="25"/>
      <c r="AK80" s="16">
        <v>85851.1</v>
      </c>
      <c r="AL80" s="16">
        <v>45573.133999999998</v>
      </c>
      <c r="AN80" s="25"/>
      <c r="AO80" s="157">
        <v>85851</v>
      </c>
      <c r="AP80" s="157">
        <v>45573</v>
      </c>
      <c r="AQ80" s="129"/>
      <c r="AR80" s="25"/>
      <c r="AS80" s="157">
        <v>85851</v>
      </c>
      <c r="AT80" s="157">
        <v>45573</v>
      </c>
    </row>
    <row r="81" spans="1:46" ht="15" customHeight="1" outlineLevel="1">
      <c r="A81" s="34"/>
      <c r="B81" s="10" t="s">
        <v>25</v>
      </c>
      <c r="C81" s="10" t="s">
        <v>184</v>
      </c>
      <c r="D81" s="29" t="s">
        <v>86</v>
      </c>
      <c r="E81" s="26" t="s">
        <v>44</v>
      </c>
      <c r="F81" s="26" t="s">
        <v>63</v>
      </c>
      <c r="G81" s="1"/>
      <c r="H81" s="29">
        <v>1</v>
      </c>
      <c r="I81" s="7">
        <v>4752</v>
      </c>
      <c r="J81" s="7">
        <v>4752</v>
      </c>
      <c r="L81" s="29">
        <v>1</v>
      </c>
      <c r="M81" s="7">
        <v>4752</v>
      </c>
      <c r="N81" s="7">
        <v>4752</v>
      </c>
      <c r="P81" s="29">
        <v>1</v>
      </c>
      <c r="Q81" s="7">
        <v>4752</v>
      </c>
      <c r="R81" s="7">
        <v>4752</v>
      </c>
      <c r="T81" s="29">
        <v>1</v>
      </c>
      <c r="U81" s="7">
        <v>4752</v>
      </c>
      <c r="V81" s="7">
        <v>4752</v>
      </c>
      <c r="X81" s="29">
        <v>1</v>
      </c>
      <c r="Y81" s="7">
        <v>4752</v>
      </c>
      <c r="Z81" s="7">
        <v>4752</v>
      </c>
      <c r="AB81" s="29">
        <v>1</v>
      </c>
      <c r="AC81" s="7">
        <v>4752</v>
      </c>
      <c r="AD81" s="7">
        <v>4752</v>
      </c>
      <c r="AF81" s="29">
        <v>1</v>
      </c>
      <c r="AG81" s="7">
        <v>4752</v>
      </c>
      <c r="AH81" s="7">
        <v>4752</v>
      </c>
      <c r="AJ81" s="29">
        <v>1</v>
      </c>
      <c r="AK81" s="7">
        <v>4752</v>
      </c>
      <c r="AL81" s="7">
        <v>4752</v>
      </c>
      <c r="AN81" s="29">
        <v>1</v>
      </c>
      <c r="AO81" s="159">
        <v>4752</v>
      </c>
      <c r="AP81" s="158">
        <v>4752</v>
      </c>
      <c r="AQ81" s="148"/>
      <c r="AR81" s="29">
        <v>1</v>
      </c>
      <c r="AS81" s="159">
        <v>4752</v>
      </c>
      <c r="AT81" s="158">
        <v>4752</v>
      </c>
    </row>
    <row r="82" spans="1:46" ht="15" customHeight="1" outlineLevel="1">
      <c r="A82" s="34"/>
      <c r="B82" s="10" t="s">
        <v>72</v>
      </c>
      <c r="C82" s="10" t="s">
        <v>185</v>
      </c>
      <c r="D82" s="29" t="s">
        <v>86</v>
      </c>
      <c r="E82" s="26" t="s">
        <v>44</v>
      </c>
      <c r="F82" s="26" t="s">
        <v>63</v>
      </c>
      <c r="G82" s="1"/>
      <c r="H82" s="29">
        <v>1</v>
      </c>
      <c r="I82" s="7">
        <v>5166</v>
      </c>
      <c r="J82" s="7">
        <v>5166</v>
      </c>
      <c r="L82" s="29">
        <v>1</v>
      </c>
      <c r="M82" s="7">
        <v>5166</v>
      </c>
      <c r="N82" s="7">
        <v>5166</v>
      </c>
      <c r="P82" s="29">
        <v>1</v>
      </c>
      <c r="Q82" s="7">
        <v>5166</v>
      </c>
      <c r="R82" s="7">
        <v>5166</v>
      </c>
      <c r="T82" s="29">
        <v>1</v>
      </c>
      <c r="U82" s="7">
        <v>5166</v>
      </c>
      <c r="V82" s="7">
        <v>5166</v>
      </c>
      <c r="X82" s="29">
        <v>1</v>
      </c>
      <c r="Y82" s="7">
        <v>5166</v>
      </c>
      <c r="Z82" s="7">
        <v>5166</v>
      </c>
      <c r="AB82" s="29">
        <v>1</v>
      </c>
      <c r="AC82" s="7">
        <v>5166</v>
      </c>
      <c r="AD82" s="7">
        <v>5166</v>
      </c>
      <c r="AF82" s="29">
        <v>1</v>
      </c>
      <c r="AG82" s="7">
        <v>5166</v>
      </c>
      <c r="AH82" s="7">
        <v>5166</v>
      </c>
      <c r="AJ82" s="29">
        <v>1</v>
      </c>
      <c r="AK82" s="7">
        <v>5166</v>
      </c>
      <c r="AL82" s="7">
        <v>5166</v>
      </c>
      <c r="AN82" s="29">
        <v>1</v>
      </c>
      <c r="AO82" s="159">
        <v>5166</v>
      </c>
      <c r="AP82" s="158">
        <v>5166</v>
      </c>
      <c r="AQ82" s="148"/>
      <c r="AR82" s="29">
        <v>1</v>
      </c>
      <c r="AS82" s="159">
        <v>5166</v>
      </c>
      <c r="AT82" s="158">
        <v>5166</v>
      </c>
    </row>
    <row r="83" spans="1:46" s="3" customFormat="1" ht="15" customHeight="1" outlineLevel="1">
      <c r="A83" s="34"/>
      <c r="B83" s="10" t="s">
        <v>35</v>
      </c>
      <c r="C83" s="10" t="s">
        <v>164</v>
      </c>
      <c r="D83" s="29" t="s">
        <v>86</v>
      </c>
      <c r="E83" s="26" t="s">
        <v>44</v>
      </c>
      <c r="F83" s="26" t="s">
        <v>71</v>
      </c>
      <c r="G83" s="1"/>
      <c r="H83" s="29">
        <v>0.3</v>
      </c>
      <c r="I83" s="7">
        <v>8627</v>
      </c>
      <c r="J83" s="7">
        <v>2588.1</v>
      </c>
      <c r="L83" s="29">
        <v>0.3</v>
      </c>
      <c r="M83" s="7">
        <v>8627</v>
      </c>
      <c r="N83" s="7">
        <v>2588.1</v>
      </c>
      <c r="P83" s="29">
        <v>0.3</v>
      </c>
      <c r="Q83" s="7">
        <v>8627</v>
      </c>
      <c r="R83" s="7">
        <v>2588.1</v>
      </c>
      <c r="T83" s="29">
        <v>0.3</v>
      </c>
      <c r="U83" s="7">
        <v>8627</v>
      </c>
      <c r="V83" s="7">
        <v>2588.1</v>
      </c>
      <c r="X83" s="29">
        <v>0.3</v>
      </c>
      <c r="Y83" s="7">
        <v>8627</v>
      </c>
      <c r="Z83" s="7">
        <v>2588.1</v>
      </c>
      <c r="AB83" s="29">
        <v>0.3</v>
      </c>
      <c r="AC83" s="7">
        <v>8627</v>
      </c>
      <c r="AD83" s="7">
        <v>2588.1</v>
      </c>
      <c r="AF83" s="29">
        <v>0.3</v>
      </c>
      <c r="AG83" s="7">
        <v>8627</v>
      </c>
      <c r="AH83" s="7">
        <v>2588.1</v>
      </c>
      <c r="AJ83" s="29">
        <v>0.3</v>
      </c>
      <c r="AK83" s="7">
        <v>8627</v>
      </c>
      <c r="AL83" s="7">
        <v>2588.1</v>
      </c>
      <c r="AN83" s="29">
        <v>0.3</v>
      </c>
      <c r="AO83" s="159">
        <v>8627</v>
      </c>
      <c r="AP83" s="158">
        <v>2588.1</v>
      </c>
      <c r="AQ83" s="148"/>
      <c r="AR83" s="29">
        <v>0.3</v>
      </c>
      <c r="AS83" s="159">
        <v>8627</v>
      </c>
      <c r="AT83" s="158">
        <v>2588.1</v>
      </c>
    </row>
    <row r="84" spans="1:46" s="151" customFormat="1" ht="15" customHeight="1" outlineLevel="1">
      <c r="A84" s="149"/>
      <c r="B84" s="10" t="s">
        <v>22</v>
      </c>
      <c r="C84" s="10" t="s">
        <v>153</v>
      </c>
      <c r="D84" s="37" t="s">
        <v>86</v>
      </c>
      <c r="E84" s="26" t="s">
        <v>44</v>
      </c>
      <c r="F84" s="26" t="s">
        <v>208</v>
      </c>
      <c r="G84" s="150"/>
      <c r="H84" s="37">
        <v>0.6</v>
      </c>
      <c r="I84" s="7">
        <v>14018</v>
      </c>
      <c r="J84" s="7">
        <v>8410.7999999999993</v>
      </c>
      <c r="L84" s="37">
        <v>0.6</v>
      </c>
      <c r="M84" s="7">
        <v>14018</v>
      </c>
      <c r="N84" s="7">
        <v>8410.7999999999993</v>
      </c>
      <c r="P84" s="37">
        <v>0.6</v>
      </c>
      <c r="Q84" s="7">
        <v>14018</v>
      </c>
      <c r="R84" s="7">
        <v>8410.7999999999993</v>
      </c>
      <c r="T84" s="37">
        <v>0.6</v>
      </c>
      <c r="U84" s="7">
        <v>14018</v>
      </c>
      <c r="V84" s="7">
        <v>8410.7999999999993</v>
      </c>
      <c r="X84" s="37">
        <v>0.6</v>
      </c>
      <c r="Y84" s="7">
        <v>14018</v>
      </c>
      <c r="Z84" s="7">
        <v>8410.7999999999993</v>
      </c>
      <c r="AB84" s="37">
        <v>0.6</v>
      </c>
      <c r="AC84" s="7">
        <v>14018</v>
      </c>
      <c r="AD84" s="7">
        <v>8410.7999999999993</v>
      </c>
      <c r="AF84" s="37">
        <v>0.6</v>
      </c>
      <c r="AG84" s="7">
        <v>14018</v>
      </c>
      <c r="AH84" s="7">
        <v>8410.7999999999993</v>
      </c>
      <c r="AJ84" s="37">
        <v>0.6</v>
      </c>
      <c r="AK84" s="7">
        <v>14018</v>
      </c>
      <c r="AL84" s="7">
        <v>8410.7999999999993</v>
      </c>
      <c r="AN84" s="37">
        <v>0.6</v>
      </c>
      <c r="AO84" s="159">
        <v>14018</v>
      </c>
      <c r="AP84" s="158">
        <v>8410.7999999999993</v>
      </c>
      <c r="AQ84" s="152"/>
      <c r="AR84" s="37">
        <v>0.6</v>
      </c>
      <c r="AS84" s="159">
        <v>14018</v>
      </c>
      <c r="AT84" s="158">
        <v>8410.7999999999993</v>
      </c>
    </row>
    <row r="85" spans="1:46" ht="15" customHeight="1" outlineLevel="1">
      <c r="A85" s="34"/>
      <c r="B85" s="10" t="s">
        <v>73</v>
      </c>
      <c r="C85" s="10" t="s">
        <v>163</v>
      </c>
      <c r="D85" s="29" t="s">
        <v>86</v>
      </c>
      <c r="E85" s="26" t="s">
        <v>44</v>
      </c>
      <c r="F85" s="26" t="s">
        <v>71</v>
      </c>
      <c r="G85" s="1"/>
      <c r="H85" s="29">
        <v>1</v>
      </c>
      <c r="I85" s="7">
        <v>2916</v>
      </c>
      <c r="J85" s="7">
        <v>2916</v>
      </c>
      <c r="L85" s="29">
        <v>1</v>
      </c>
      <c r="M85" s="7">
        <v>2916</v>
      </c>
      <c r="N85" s="7">
        <v>2916</v>
      </c>
      <c r="P85" s="29">
        <v>1</v>
      </c>
      <c r="Q85" s="7">
        <v>2916</v>
      </c>
      <c r="R85" s="7">
        <v>2916</v>
      </c>
      <c r="T85" s="29">
        <v>1</v>
      </c>
      <c r="U85" s="7">
        <v>2916</v>
      </c>
      <c r="V85" s="7">
        <v>2916</v>
      </c>
      <c r="X85" s="29">
        <v>1</v>
      </c>
      <c r="Y85" s="7">
        <v>2916</v>
      </c>
      <c r="Z85" s="7">
        <v>2916</v>
      </c>
      <c r="AB85" s="29">
        <v>1</v>
      </c>
      <c r="AC85" s="7">
        <v>2916</v>
      </c>
      <c r="AD85" s="7">
        <v>2916</v>
      </c>
      <c r="AF85" s="29">
        <v>1</v>
      </c>
      <c r="AG85" s="7">
        <v>2916</v>
      </c>
      <c r="AH85" s="7">
        <v>2916</v>
      </c>
      <c r="AJ85" s="29">
        <v>1</v>
      </c>
      <c r="AK85" s="7">
        <v>2916</v>
      </c>
      <c r="AL85" s="7">
        <v>2916</v>
      </c>
      <c r="AN85" s="29">
        <v>1</v>
      </c>
      <c r="AO85" s="159">
        <v>2916</v>
      </c>
      <c r="AP85" s="158">
        <v>2916</v>
      </c>
      <c r="AQ85" s="148"/>
      <c r="AR85" s="29">
        <v>1</v>
      </c>
      <c r="AS85" s="159">
        <v>2916</v>
      </c>
      <c r="AT85" s="158">
        <v>2916</v>
      </c>
    </row>
    <row r="86" spans="1:46" ht="15" customHeight="1" outlineLevel="1">
      <c r="A86" s="34"/>
      <c r="B86" s="10" t="s">
        <v>83</v>
      </c>
      <c r="C86" s="10" t="s">
        <v>186</v>
      </c>
      <c r="D86" s="29" t="s">
        <v>86</v>
      </c>
      <c r="E86" s="26" t="s">
        <v>44</v>
      </c>
      <c r="F86" s="26" t="s">
        <v>121</v>
      </c>
      <c r="G86" s="1"/>
      <c r="H86" s="29">
        <v>0.3</v>
      </c>
      <c r="I86" s="7">
        <v>38484.379999999997</v>
      </c>
      <c r="J86" s="7">
        <v>11545.313999999998</v>
      </c>
      <c r="L86" s="29">
        <v>0.3</v>
      </c>
      <c r="M86" s="7">
        <v>38484.379999999997</v>
      </c>
      <c r="N86" s="7">
        <v>11545.313999999998</v>
      </c>
      <c r="P86" s="29">
        <v>0.3</v>
      </c>
      <c r="Q86" s="7">
        <v>38484.379999999997</v>
      </c>
      <c r="R86" s="7">
        <v>11545.313999999998</v>
      </c>
      <c r="T86" s="29">
        <v>0.3</v>
      </c>
      <c r="U86" s="7">
        <v>38484.379999999997</v>
      </c>
      <c r="V86" s="7">
        <v>11545.313999999998</v>
      </c>
      <c r="X86" s="29">
        <v>0.3</v>
      </c>
      <c r="Y86" s="7">
        <v>38484.379999999997</v>
      </c>
      <c r="Z86" s="7">
        <v>11545.313999999998</v>
      </c>
      <c r="AB86" s="29">
        <v>0.3</v>
      </c>
      <c r="AC86" s="7">
        <v>38484.379999999997</v>
      </c>
      <c r="AD86" s="7">
        <v>11545.313999999998</v>
      </c>
      <c r="AF86" s="29">
        <v>0.3</v>
      </c>
      <c r="AG86" s="7">
        <v>38484.379999999997</v>
      </c>
      <c r="AH86" s="7">
        <v>11545.313999999998</v>
      </c>
      <c r="AJ86" s="29">
        <v>0.3</v>
      </c>
      <c r="AK86" s="7">
        <v>38484.379999999997</v>
      </c>
      <c r="AL86" s="7">
        <v>11545.313999999998</v>
      </c>
      <c r="AN86" s="29">
        <v>0.3</v>
      </c>
      <c r="AO86" s="159">
        <v>38484.379999999997</v>
      </c>
      <c r="AP86" s="158">
        <v>11545.313999999998</v>
      </c>
      <c r="AQ86" s="148"/>
      <c r="AR86" s="29">
        <v>0.3</v>
      </c>
      <c r="AS86" s="159">
        <v>38484.379999999997</v>
      </c>
      <c r="AT86" s="158">
        <v>11545.313999999998</v>
      </c>
    </row>
    <row r="87" spans="1:46" ht="15" customHeight="1" outlineLevel="1">
      <c r="A87" s="34"/>
      <c r="B87" s="10" t="s">
        <v>82</v>
      </c>
      <c r="C87" s="10" t="s">
        <v>187</v>
      </c>
      <c r="D87" s="29" t="s">
        <v>86</v>
      </c>
      <c r="E87" s="26" t="s">
        <v>44</v>
      </c>
      <c r="F87" s="26" t="s">
        <v>65</v>
      </c>
      <c r="G87" s="1"/>
      <c r="H87" s="29">
        <v>0.8</v>
      </c>
      <c r="I87" s="7">
        <v>8464</v>
      </c>
      <c r="J87" s="7">
        <v>6771.2000000000007</v>
      </c>
      <c r="L87" s="29">
        <v>0.8</v>
      </c>
      <c r="M87" s="7">
        <v>8464</v>
      </c>
      <c r="N87" s="7">
        <v>6771.2000000000007</v>
      </c>
      <c r="P87" s="29">
        <v>0.8</v>
      </c>
      <c r="Q87" s="7">
        <v>8464</v>
      </c>
      <c r="R87" s="7">
        <v>6771.2000000000007</v>
      </c>
      <c r="T87" s="29">
        <v>0.8</v>
      </c>
      <c r="U87" s="7">
        <v>8464</v>
      </c>
      <c r="V87" s="7">
        <v>6771.2000000000007</v>
      </c>
      <c r="X87" s="29">
        <v>0.8</v>
      </c>
      <c r="Y87" s="7">
        <v>8464</v>
      </c>
      <c r="Z87" s="7">
        <v>6771.2000000000007</v>
      </c>
      <c r="AB87" s="29">
        <v>0.8</v>
      </c>
      <c r="AC87" s="7">
        <v>8464</v>
      </c>
      <c r="AD87" s="7">
        <v>6771.2000000000007</v>
      </c>
      <c r="AF87" s="29">
        <v>0.8</v>
      </c>
      <c r="AG87" s="7">
        <v>8464</v>
      </c>
      <c r="AH87" s="7">
        <v>6771.2000000000007</v>
      </c>
      <c r="AJ87" s="29">
        <v>0.8</v>
      </c>
      <c r="AK87" s="7">
        <v>8464</v>
      </c>
      <c r="AL87" s="7">
        <v>6771.2</v>
      </c>
      <c r="AN87" s="29">
        <v>0.8</v>
      </c>
      <c r="AO87" s="159">
        <v>8464</v>
      </c>
      <c r="AP87" s="158">
        <v>6771.2</v>
      </c>
      <c r="AQ87" s="148"/>
      <c r="AR87" s="29">
        <v>0.8</v>
      </c>
      <c r="AS87" s="159">
        <v>8464</v>
      </c>
      <c r="AT87" s="158">
        <v>6771.2</v>
      </c>
    </row>
    <row r="88" spans="1:46" ht="15" customHeight="1" outlineLevel="1">
      <c r="A88" s="34"/>
      <c r="B88" s="10" t="s">
        <v>235</v>
      </c>
      <c r="C88" s="10" t="s">
        <v>236</v>
      </c>
      <c r="D88" s="29" t="s">
        <v>234</v>
      </c>
      <c r="E88" s="26" t="s">
        <v>44</v>
      </c>
      <c r="F88" s="26" t="s">
        <v>121</v>
      </c>
      <c r="G88" s="1"/>
      <c r="H88" s="29"/>
      <c r="I88" s="7"/>
      <c r="J88" s="7"/>
      <c r="L88" s="29"/>
      <c r="M88" s="7"/>
      <c r="N88" s="7"/>
      <c r="P88" s="29"/>
      <c r="Q88" s="7"/>
      <c r="R88" s="7"/>
      <c r="T88" s="29"/>
      <c r="U88" s="7"/>
      <c r="V88" s="7"/>
      <c r="X88" s="29"/>
      <c r="Y88" s="7"/>
      <c r="Z88" s="7"/>
      <c r="AB88" s="29"/>
      <c r="AC88" s="7"/>
      <c r="AD88" s="7"/>
      <c r="AF88" s="29"/>
      <c r="AG88" s="7"/>
      <c r="AH88" s="7"/>
      <c r="AJ88" s="29">
        <v>1</v>
      </c>
      <c r="AK88" s="7">
        <v>3423.72</v>
      </c>
      <c r="AL88" s="7">
        <v>3423.72</v>
      </c>
      <c r="AN88" s="29">
        <v>1</v>
      </c>
      <c r="AO88" s="159">
        <v>3423.72</v>
      </c>
      <c r="AP88" s="158">
        <v>3423.72</v>
      </c>
      <c r="AQ88" s="148"/>
      <c r="AR88" s="29">
        <v>1</v>
      </c>
      <c r="AS88" s="159">
        <v>3423.72</v>
      </c>
      <c r="AT88" s="158">
        <v>3423.72</v>
      </c>
    </row>
    <row r="89" spans="1:46" ht="15" customHeight="1">
      <c r="B89" s="17" t="s">
        <v>3</v>
      </c>
      <c r="C89" s="17"/>
      <c r="D89" s="17"/>
      <c r="E89" s="23"/>
      <c r="F89" s="23"/>
      <c r="G89" s="1"/>
      <c r="H89" s="23"/>
      <c r="I89" s="18">
        <v>128477</v>
      </c>
      <c r="J89" s="18">
        <v>66555</v>
      </c>
      <c r="K89" s="38"/>
      <c r="L89" s="23"/>
      <c r="M89" s="18">
        <v>128295</v>
      </c>
      <c r="N89" s="18">
        <v>66465</v>
      </c>
      <c r="O89" s="38"/>
      <c r="P89" s="23"/>
      <c r="Q89" s="18">
        <v>128295</v>
      </c>
      <c r="R89" s="18">
        <v>66465</v>
      </c>
      <c r="S89" s="105"/>
      <c r="T89" s="23"/>
      <c r="U89" s="18">
        <v>119295</v>
      </c>
      <c r="V89" s="18">
        <v>61990</v>
      </c>
      <c r="X89" s="23"/>
      <c r="Y89" s="18">
        <v>129103</v>
      </c>
      <c r="Z89" s="18">
        <v>70375.159326364141</v>
      </c>
      <c r="AB89" s="23"/>
      <c r="AC89" s="18">
        <v>129387.89002807619</v>
      </c>
      <c r="AD89" s="18">
        <v>70531</v>
      </c>
      <c r="AF89" s="23"/>
      <c r="AG89" s="18">
        <v>129387.89002807619</v>
      </c>
      <c r="AH89" s="18">
        <v>70532.253113897721</v>
      </c>
      <c r="AJ89" s="23"/>
      <c r="AK89" s="18">
        <v>129833.79000000001</v>
      </c>
      <c r="AL89" s="18">
        <v>70775.148113897725</v>
      </c>
      <c r="AN89" s="23"/>
      <c r="AO89" s="156">
        <v>129834</v>
      </c>
      <c r="AP89" s="156">
        <v>70775</v>
      </c>
      <c r="AQ89" s="129"/>
      <c r="AR89" s="23"/>
      <c r="AS89" s="156">
        <v>129834</v>
      </c>
      <c r="AT89" s="156">
        <v>70775</v>
      </c>
    </row>
    <row r="90" spans="1:46" ht="15" customHeight="1">
      <c r="B90" s="19" t="str">
        <f>IF(B3=1,"Ocupação Malls","Malls Occupancy")</f>
        <v>Ocupação Malls</v>
      </c>
      <c r="C90" s="19"/>
      <c r="D90" s="19"/>
      <c r="E90" s="24"/>
      <c r="F90" s="24"/>
      <c r="G90" s="1"/>
      <c r="H90" s="24"/>
      <c r="I90" s="168">
        <v>0.93</v>
      </c>
      <c r="J90" s="169"/>
      <c r="L90" s="24"/>
      <c r="M90" s="168">
        <v>0.93</v>
      </c>
      <c r="N90" s="169"/>
      <c r="P90" s="24"/>
      <c r="Q90" s="168">
        <v>0.93</v>
      </c>
      <c r="R90" s="169"/>
      <c r="T90" s="24"/>
      <c r="U90" s="168">
        <v>0.92</v>
      </c>
      <c r="V90" s="169"/>
      <c r="X90" s="24"/>
      <c r="Y90" s="168">
        <v>0.92</v>
      </c>
      <c r="Z90" s="169"/>
      <c r="AB90" s="24"/>
      <c r="AC90" s="168">
        <v>0.92</v>
      </c>
      <c r="AD90" s="169"/>
      <c r="AF90" s="24"/>
      <c r="AG90" s="168">
        <v>0.93</v>
      </c>
      <c r="AH90" s="169"/>
      <c r="AJ90" s="24"/>
      <c r="AK90" s="168">
        <v>0.93</v>
      </c>
      <c r="AL90" s="169"/>
      <c r="AN90" s="24"/>
      <c r="AO90" s="168"/>
      <c r="AP90" s="169"/>
      <c r="AR90" s="24"/>
      <c r="AS90" s="168">
        <v>0.92</v>
      </c>
      <c r="AT90" s="169"/>
    </row>
    <row r="91" spans="1:46" ht="15" customHeight="1">
      <c r="B91" s="15" t="str">
        <f>IF(B3=1,COUNTA(B92:B95)&amp;" Ativos em Operação",COUNTA(B92:B95)&amp;" Assets in operation")</f>
        <v>4 Ativos em Operação</v>
      </c>
      <c r="C91" s="15"/>
      <c r="D91" s="15"/>
      <c r="E91" s="25"/>
      <c r="F91" s="25"/>
      <c r="G91" s="1"/>
      <c r="H91" s="25"/>
      <c r="I91" s="16">
        <v>109477</v>
      </c>
      <c r="J91" s="16">
        <v>57100</v>
      </c>
      <c r="K91" s="38"/>
      <c r="L91" s="25"/>
      <c r="M91" s="16">
        <v>109295</v>
      </c>
      <c r="N91" s="16">
        <v>57010</v>
      </c>
      <c r="O91" s="38"/>
      <c r="P91" s="25"/>
      <c r="Q91" s="16">
        <v>109295</v>
      </c>
      <c r="R91" s="16">
        <v>57010</v>
      </c>
      <c r="S91" s="105"/>
      <c r="T91" s="25"/>
      <c r="U91" s="16">
        <v>109295</v>
      </c>
      <c r="V91" s="16">
        <v>57010</v>
      </c>
      <c r="X91" s="25"/>
      <c r="Y91" s="16">
        <v>119103</v>
      </c>
      <c r="Z91" s="16">
        <v>65395.159326364133</v>
      </c>
      <c r="AB91" s="25"/>
      <c r="AC91" s="16">
        <v>119387.89002807619</v>
      </c>
      <c r="AD91" s="16">
        <v>65551</v>
      </c>
      <c r="AF91" s="25"/>
      <c r="AG91" s="16">
        <v>119387.89002807619</v>
      </c>
      <c r="AH91" s="16">
        <v>65552.253113897721</v>
      </c>
      <c r="AJ91" s="25"/>
      <c r="AK91" s="16">
        <v>119388</v>
      </c>
      <c r="AL91" s="16">
        <v>65552.253113897721</v>
      </c>
      <c r="AN91" s="25"/>
      <c r="AO91" s="157">
        <v>119388</v>
      </c>
      <c r="AP91" s="157">
        <v>65552</v>
      </c>
      <c r="AR91" s="25"/>
      <c r="AS91" s="157">
        <v>119388</v>
      </c>
      <c r="AT91" s="157">
        <v>65552</v>
      </c>
    </row>
    <row r="92" spans="1:46" ht="15" customHeight="1" outlineLevel="1">
      <c r="B92" s="10" t="s">
        <v>36</v>
      </c>
      <c r="C92" s="10" t="s">
        <v>188</v>
      </c>
      <c r="D92" s="29" t="s">
        <v>87</v>
      </c>
      <c r="E92" s="26" t="s">
        <v>44</v>
      </c>
      <c r="F92" s="26" t="s">
        <v>53</v>
      </c>
      <c r="G92" s="1"/>
      <c r="H92" s="29">
        <v>0.5</v>
      </c>
      <c r="I92" s="7">
        <v>35052.398999999998</v>
      </c>
      <c r="J92" s="7">
        <v>17526.199499999999</v>
      </c>
      <c r="L92" s="29">
        <v>0.5</v>
      </c>
      <c r="M92" s="7">
        <v>35052.398999999998</v>
      </c>
      <c r="N92" s="7">
        <v>17526.199499999999</v>
      </c>
      <c r="P92" s="29">
        <v>0.5</v>
      </c>
      <c r="Q92" s="7">
        <v>35052.398999999998</v>
      </c>
      <c r="R92" s="7">
        <v>17526.199499999999</v>
      </c>
      <c r="T92" s="29">
        <v>0.5</v>
      </c>
      <c r="U92" s="7">
        <v>35052.398999999998</v>
      </c>
      <c r="V92" s="7">
        <v>17526.199499999999</v>
      </c>
      <c r="X92" s="29">
        <v>0.5</v>
      </c>
      <c r="Y92" s="7">
        <v>35193.036634197997</v>
      </c>
      <c r="Z92" s="7">
        <v>17596.518317098999</v>
      </c>
      <c r="AB92" s="29">
        <v>0.5</v>
      </c>
      <c r="AC92" s="7">
        <v>35259</v>
      </c>
      <c r="AD92" s="7">
        <v>17629.5</v>
      </c>
      <c r="AF92" s="29">
        <v>0.5</v>
      </c>
      <c r="AG92" s="7">
        <v>35259</v>
      </c>
      <c r="AH92" s="7">
        <v>17629.5</v>
      </c>
      <c r="AJ92" s="29">
        <v>0.5</v>
      </c>
      <c r="AK92" s="7">
        <v>35259</v>
      </c>
      <c r="AL92" s="7">
        <v>17629.5</v>
      </c>
      <c r="AN92" s="29">
        <v>0.5</v>
      </c>
      <c r="AO92" s="158">
        <v>35259</v>
      </c>
      <c r="AP92" s="158">
        <v>17629.5</v>
      </c>
      <c r="AQ92" s="148"/>
      <c r="AR92" s="29">
        <v>0.5</v>
      </c>
      <c r="AS92" s="158">
        <v>35259</v>
      </c>
      <c r="AT92" s="158">
        <v>17629.5</v>
      </c>
    </row>
    <row r="93" spans="1:46" ht="15" customHeight="1" outlineLevel="1">
      <c r="B93" s="10" t="s">
        <v>37</v>
      </c>
      <c r="C93" s="10" t="s">
        <v>189</v>
      </c>
      <c r="D93" s="29" t="s">
        <v>88</v>
      </c>
      <c r="E93" s="26" t="s">
        <v>44</v>
      </c>
      <c r="F93" s="26" t="s">
        <v>66</v>
      </c>
      <c r="G93" s="1"/>
      <c r="H93" s="29">
        <v>0.495</v>
      </c>
      <c r="I93" s="7">
        <v>24715.61</v>
      </c>
      <c r="J93" s="7">
        <v>12234.22695</v>
      </c>
      <c r="L93" s="29">
        <v>0.495</v>
      </c>
      <c r="M93" s="7">
        <v>24533.31</v>
      </c>
      <c r="N93" s="7">
        <v>12143.988450000001</v>
      </c>
      <c r="P93" s="29">
        <v>0.495</v>
      </c>
      <c r="Q93" s="7">
        <v>24533.31</v>
      </c>
      <c r="R93" s="7">
        <v>12143.988450000001</v>
      </c>
      <c r="T93" s="29">
        <v>0.495</v>
      </c>
      <c r="U93" s="7">
        <v>24533.31</v>
      </c>
      <c r="V93" s="7">
        <v>12143.988450000001</v>
      </c>
      <c r="X93" s="29">
        <v>0.495</v>
      </c>
      <c r="Y93" s="7">
        <v>24818.146685384116</v>
      </c>
      <c r="Z93" s="7">
        <v>12284.982609265136</v>
      </c>
      <c r="AB93" s="29">
        <v>0.495</v>
      </c>
      <c r="AC93" s="7">
        <v>24994.480028076177</v>
      </c>
      <c r="AD93" s="7">
        <v>12372.267613897708</v>
      </c>
      <c r="AF93" s="29">
        <v>0.495</v>
      </c>
      <c r="AG93" s="7">
        <v>24994.480028076177</v>
      </c>
      <c r="AH93" s="7">
        <v>12372.267613897708</v>
      </c>
      <c r="AJ93" s="29">
        <v>0.495</v>
      </c>
      <c r="AK93" s="7">
        <v>24994.480028076177</v>
      </c>
      <c r="AL93" s="7">
        <v>12372.267613897708</v>
      </c>
      <c r="AN93" s="29">
        <v>0.495</v>
      </c>
      <c r="AO93" s="158">
        <v>24994.480028076177</v>
      </c>
      <c r="AP93" s="158">
        <v>12372.267613897708</v>
      </c>
      <c r="AQ93" s="148"/>
      <c r="AR93" s="29">
        <v>0.495</v>
      </c>
      <c r="AS93" s="158">
        <v>24994.480028076177</v>
      </c>
      <c r="AT93" s="158">
        <v>12372.267613897708</v>
      </c>
    </row>
    <row r="94" spans="1:46" ht="15" customHeight="1" outlineLevel="1">
      <c r="B94" s="10" t="s">
        <v>38</v>
      </c>
      <c r="C94" s="10" t="s">
        <v>190</v>
      </c>
      <c r="D94" s="29" t="s">
        <v>26</v>
      </c>
      <c r="E94" s="26" t="s">
        <v>42</v>
      </c>
      <c r="F94" s="26" t="s">
        <v>52</v>
      </c>
      <c r="G94" s="1"/>
      <c r="H94" s="29">
        <v>0.55000000000000004</v>
      </c>
      <c r="I94" s="7">
        <v>49709.09</v>
      </c>
      <c r="J94" s="7">
        <v>27339.999500000002</v>
      </c>
      <c r="L94" s="29">
        <v>0.55000000000000004</v>
      </c>
      <c r="M94" s="7">
        <v>49709.09</v>
      </c>
      <c r="N94" s="7">
        <v>27339.999500000002</v>
      </c>
      <c r="P94" s="29">
        <v>0.55000000000000004</v>
      </c>
      <c r="Q94" s="7">
        <v>49709.09</v>
      </c>
      <c r="R94" s="7">
        <v>27339.999500000002</v>
      </c>
      <c r="T94" s="29">
        <v>0.55000000000000004</v>
      </c>
      <c r="U94" s="7">
        <v>49709.09</v>
      </c>
      <c r="V94" s="7">
        <v>27339.999500000002</v>
      </c>
      <c r="X94" s="29">
        <v>0.55000000000000004</v>
      </c>
      <c r="Y94" s="7">
        <v>49676.41</v>
      </c>
      <c r="Z94" s="7">
        <v>27322.025500000003</v>
      </c>
      <c r="AB94" s="29">
        <v>0.55000000000000004</v>
      </c>
      <c r="AC94" s="7">
        <v>49676.41</v>
      </c>
      <c r="AD94" s="7">
        <v>27322.025500000003</v>
      </c>
      <c r="AF94" s="29">
        <v>0.55000000000000004</v>
      </c>
      <c r="AG94" s="7">
        <v>49676.41</v>
      </c>
      <c r="AH94" s="7">
        <v>27322.025500000003</v>
      </c>
      <c r="AJ94" s="29">
        <v>0.55000000000000004</v>
      </c>
      <c r="AK94" s="7">
        <v>49676.41</v>
      </c>
      <c r="AL94" s="7">
        <v>27322.025500000003</v>
      </c>
      <c r="AN94" s="29">
        <v>0.55000000000000004</v>
      </c>
      <c r="AO94" s="158">
        <v>49676.41</v>
      </c>
      <c r="AP94" s="158">
        <v>27322.025500000003</v>
      </c>
      <c r="AQ94" s="148"/>
      <c r="AR94" s="29">
        <v>0.55000000000000004</v>
      </c>
      <c r="AS94" s="158">
        <v>49676.41</v>
      </c>
      <c r="AT94" s="158">
        <v>27322.025500000003</v>
      </c>
    </row>
    <row r="95" spans="1:46" ht="15" customHeight="1" outlineLevel="1">
      <c r="B95" s="10" t="s">
        <v>125</v>
      </c>
      <c r="C95" s="10" t="s">
        <v>191</v>
      </c>
      <c r="D95" s="29" t="s">
        <v>87</v>
      </c>
      <c r="E95" s="26" t="s">
        <v>44</v>
      </c>
      <c r="F95" s="26" t="s">
        <v>67</v>
      </c>
      <c r="G95" s="1"/>
      <c r="H95" s="29"/>
      <c r="I95" s="7"/>
      <c r="J95" s="7"/>
      <c r="L95" s="29"/>
      <c r="M95" s="7"/>
      <c r="N95" s="7"/>
      <c r="P95" s="29"/>
      <c r="Q95" s="7"/>
      <c r="R95" s="7"/>
      <c r="T95" s="29"/>
      <c r="U95" s="7"/>
      <c r="V95" s="7"/>
      <c r="X95" s="29">
        <v>0.87</v>
      </c>
      <c r="Y95" s="7">
        <v>9415.67</v>
      </c>
      <c r="Z95" s="7">
        <v>8191.6328999999996</v>
      </c>
      <c r="AB95" s="29">
        <v>0.87</v>
      </c>
      <c r="AC95" s="7">
        <v>9458</v>
      </c>
      <c r="AD95" s="7">
        <v>8228.4599999999991</v>
      </c>
      <c r="AF95" s="29">
        <v>0.87</v>
      </c>
      <c r="AG95" s="7">
        <v>9458</v>
      </c>
      <c r="AH95" s="7">
        <v>8228.4599999999991</v>
      </c>
      <c r="AJ95" s="29">
        <v>0.87</v>
      </c>
      <c r="AK95" s="7">
        <v>9458</v>
      </c>
      <c r="AL95" s="7">
        <v>8228.4599999999991</v>
      </c>
      <c r="AN95" s="29">
        <v>0.87</v>
      </c>
      <c r="AO95" s="158">
        <v>9458</v>
      </c>
      <c r="AP95" s="158">
        <v>8228.4599999999991</v>
      </c>
      <c r="AQ95" s="148"/>
      <c r="AR95" s="29">
        <v>0.87</v>
      </c>
      <c r="AS95" s="158">
        <v>9458</v>
      </c>
      <c r="AT95" s="158">
        <v>8228.4599999999991</v>
      </c>
    </row>
    <row r="96" spans="1:46" ht="15" customHeight="1">
      <c r="B96" s="15" t="str">
        <f>IF(B3=1,COUNTA(B97:B98)&amp;" Ativos em desenvolvimento",COUNTA(B97:B98)&amp;" Assets under development")</f>
        <v>2 Ativos em desenvolvimento</v>
      </c>
      <c r="C96" s="15"/>
      <c r="D96" s="15"/>
      <c r="E96" s="25"/>
      <c r="F96" s="25"/>
      <c r="G96" s="1"/>
      <c r="H96" s="25"/>
      <c r="I96" s="16">
        <v>19000</v>
      </c>
      <c r="J96" s="16">
        <v>9455</v>
      </c>
      <c r="K96" s="38"/>
      <c r="L96" s="25"/>
      <c r="M96" s="16">
        <v>19000</v>
      </c>
      <c r="N96" s="16">
        <v>9455</v>
      </c>
      <c r="O96" s="38"/>
      <c r="P96" s="25"/>
      <c r="Q96" s="16">
        <v>19000</v>
      </c>
      <c r="R96" s="16">
        <v>9455</v>
      </c>
      <c r="S96" s="105"/>
      <c r="T96" s="25"/>
      <c r="U96" s="16">
        <v>10000</v>
      </c>
      <c r="V96" s="16">
        <v>4980</v>
      </c>
      <c r="X96" s="25"/>
      <c r="Y96" s="16">
        <v>10000</v>
      </c>
      <c r="Z96" s="16">
        <v>4980</v>
      </c>
      <c r="AB96" s="25"/>
      <c r="AC96" s="16">
        <v>10000</v>
      </c>
      <c r="AD96" s="16">
        <v>4980</v>
      </c>
      <c r="AF96" s="25"/>
      <c r="AG96" s="16">
        <v>10000</v>
      </c>
      <c r="AH96" s="16">
        <v>4980</v>
      </c>
      <c r="AJ96" s="25"/>
      <c r="AK96" s="16">
        <v>10445.790000000001</v>
      </c>
      <c r="AL96" s="16">
        <v>5222.8950000000004</v>
      </c>
      <c r="AN96" s="25"/>
      <c r="AO96" s="157">
        <v>10446</v>
      </c>
      <c r="AP96" s="157">
        <v>5223</v>
      </c>
      <c r="AR96" s="25"/>
      <c r="AS96" s="157">
        <v>10446</v>
      </c>
      <c r="AT96" s="157">
        <v>5223</v>
      </c>
    </row>
    <row r="97" spans="1:46" ht="15" customHeight="1" outlineLevel="1">
      <c r="A97" s="34"/>
      <c r="B97" s="10" t="s">
        <v>211</v>
      </c>
      <c r="C97" s="10" t="s">
        <v>188</v>
      </c>
      <c r="D97" s="29" t="s">
        <v>87</v>
      </c>
      <c r="E97" s="26" t="s">
        <v>44</v>
      </c>
      <c r="F97" s="26" t="s">
        <v>61</v>
      </c>
      <c r="G97" s="1"/>
      <c r="H97" s="29">
        <v>0.5</v>
      </c>
      <c r="I97" s="7">
        <v>10000</v>
      </c>
      <c r="J97" s="7">
        <v>5000</v>
      </c>
      <c r="L97" s="29">
        <v>0.5</v>
      </c>
      <c r="M97" s="7">
        <v>10000</v>
      </c>
      <c r="N97" s="7">
        <v>5000</v>
      </c>
      <c r="P97" s="29">
        <v>0.5</v>
      </c>
      <c r="Q97" s="7">
        <v>10000</v>
      </c>
      <c r="R97" s="7">
        <v>5000</v>
      </c>
      <c r="T97" s="29">
        <v>0.5</v>
      </c>
      <c r="U97" s="7">
        <v>6000</v>
      </c>
      <c r="V97" s="7">
        <v>3000</v>
      </c>
      <c r="X97" s="29">
        <v>0.5</v>
      </c>
      <c r="Y97" s="7">
        <v>6000</v>
      </c>
      <c r="Z97" s="7">
        <v>3000</v>
      </c>
      <c r="AB97" s="29">
        <v>0.5</v>
      </c>
      <c r="AC97" s="7">
        <v>6000</v>
      </c>
      <c r="AD97" s="7">
        <v>3000</v>
      </c>
      <c r="AF97" s="29">
        <v>0.5</v>
      </c>
      <c r="AG97" s="7">
        <v>6000</v>
      </c>
      <c r="AH97" s="7">
        <v>3000</v>
      </c>
      <c r="AJ97" s="29">
        <v>0.5</v>
      </c>
      <c r="AK97" s="7">
        <v>6239.25</v>
      </c>
      <c r="AL97" s="7">
        <v>3119.625</v>
      </c>
      <c r="AN97" s="29">
        <v>0.5</v>
      </c>
      <c r="AO97" s="158">
        <v>6239.25</v>
      </c>
      <c r="AP97" s="158">
        <v>3119.625</v>
      </c>
      <c r="AQ97" s="148"/>
      <c r="AR97" s="29">
        <v>0.5</v>
      </c>
      <c r="AS97" s="158">
        <v>6239.25</v>
      </c>
      <c r="AT97" s="158">
        <v>3119.625</v>
      </c>
    </row>
    <row r="98" spans="1:46" ht="15" customHeight="1" outlineLevel="1">
      <c r="A98" s="34"/>
      <c r="B98" s="10" t="s">
        <v>210</v>
      </c>
      <c r="C98" s="10" t="s">
        <v>189</v>
      </c>
      <c r="D98" s="29" t="s">
        <v>88</v>
      </c>
      <c r="E98" s="26" t="s">
        <v>44</v>
      </c>
      <c r="F98" s="26" t="s">
        <v>71</v>
      </c>
      <c r="G98" s="1"/>
      <c r="H98" s="29">
        <v>0.495</v>
      </c>
      <c r="I98" s="7">
        <v>9000</v>
      </c>
      <c r="J98" s="7">
        <v>4455</v>
      </c>
      <c r="L98" s="29">
        <v>0.495</v>
      </c>
      <c r="M98" s="7">
        <v>9000</v>
      </c>
      <c r="N98" s="7">
        <v>4455</v>
      </c>
      <c r="P98" s="29">
        <v>0.495</v>
      </c>
      <c r="Q98" s="7">
        <v>9000</v>
      </c>
      <c r="R98" s="7">
        <v>4455</v>
      </c>
      <c r="T98" s="29">
        <v>0.495</v>
      </c>
      <c r="U98" s="7">
        <v>4000</v>
      </c>
      <c r="V98" s="7">
        <v>1980</v>
      </c>
      <c r="X98" s="29">
        <v>0.495</v>
      </c>
      <c r="Y98" s="7">
        <v>4000</v>
      </c>
      <c r="Z98" s="7">
        <v>1980</v>
      </c>
      <c r="AB98" s="29">
        <v>0.495</v>
      </c>
      <c r="AC98" s="7">
        <v>4000</v>
      </c>
      <c r="AD98" s="7">
        <v>1980</v>
      </c>
      <c r="AF98" s="29">
        <v>0.495</v>
      </c>
      <c r="AG98" s="7">
        <v>4000</v>
      </c>
      <c r="AH98" s="7">
        <v>1980</v>
      </c>
      <c r="AJ98" s="29">
        <v>0.495</v>
      </c>
      <c r="AK98" s="7">
        <v>4206.54</v>
      </c>
      <c r="AL98" s="7">
        <v>2103.27</v>
      </c>
      <c r="AN98" s="29">
        <v>0.495</v>
      </c>
      <c r="AO98" s="158">
        <v>4206.54</v>
      </c>
      <c r="AP98" s="158">
        <v>2103.27</v>
      </c>
      <c r="AQ98" s="148"/>
      <c r="AR98" s="29">
        <v>0.495</v>
      </c>
      <c r="AS98" s="158">
        <v>4206.54</v>
      </c>
      <c r="AT98" s="158">
        <v>2103.27</v>
      </c>
    </row>
    <row r="99" spans="1:46" s="3" customFormat="1" ht="15" customHeight="1">
      <c r="B99" s="17" t="s">
        <v>4</v>
      </c>
      <c r="C99" s="17"/>
      <c r="D99" s="17"/>
      <c r="E99" s="23"/>
      <c r="F99" s="23"/>
      <c r="G99" s="1"/>
      <c r="H99" s="23"/>
      <c r="I99" s="18">
        <v>98097</v>
      </c>
      <c r="J99" s="18">
        <v>69739</v>
      </c>
      <c r="K99" s="38"/>
      <c r="L99" s="23"/>
      <c r="M99" s="18">
        <v>97927</v>
      </c>
      <c r="N99" s="18">
        <v>69586</v>
      </c>
      <c r="O99" s="38"/>
      <c r="P99" s="23"/>
      <c r="Q99" s="18">
        <v>98097</v>
      </c>
      <c r="R99" s="18">
        <v>69739</v>
      </c>
      <c r="S99" s="105"/>
      <c r="T99" s="23"/>
      <c r="U99" s="18">
        <v>82776</v>
      </c>
      <c r="V99" s="18">
        <v>59780</v>
      </c>
      <c r="X99" s="23"/>
      <c r="Y99" s="18">
        <v>82776</v>
      </c>
      <c r="Z99" s="18">
        <v>59780</v>
      </c>
      <c r="AB99" s="23"/>
      <c r="AC99" s="18">
        <v>82776.340000000011</v>
      </c>
      <c r="AD99" s="18">
        <v>59780.484200000006</v>
      </c>
      <c r="AF99" s="23"/>
      <c r="AG99" s="18">
        <v>83018.58</v>
      </c>
      <c r="AH99" s="18">
        <v>60022.869200000001</v>
      </c>
      <c r="AJ99" s="23"/>
      <c r="AK99" s="18">
        <v>64539.16</v>
      </c>
      <c r="AL99" s="18">
        <v>50186.669200000004</v>
      </c>
      <c r="AN99" s="23"/>
      <c r="AO99" s="156">
        <v>66033</v>
      </c>
      <c r="AP99" s="156">
        <v>51530</v>
      </c>
      <c r="AR99" s="23"/>
      <c r="AS99" s="156">
        <v>64539</v>
      </c>
      <c r="AT99" s="156">
        <v>50186</v>
      </c>
    </row>
    <row r="100" spans="1:46" s="3" customFormat="1" ht="15" customHeight="1">
      <c r="B100" s="19" t="str">
        <f>IF(B3=1,"Ocupação Opportunities","Opportunities Occupancy")</f>
        <v>Ocupação Opportunities</v>
      </c>
      <c r="C100" s="19"/>
      <c r="D100" s="19"/>
      <c r="E100" s="24"/>
      <c r="F100" s="24"/>
      <c r="G100" s="1"/>
      <c r="H100" s="24"/>
      <c r="I100" s="168">
        <v>0.91</v>
      </c>
      <c r="J100" s="169"/>
      <c r="L100" s="24"/>
      <c r="M100" s="168">
        <v>0.89</v>
      </c>
      <c r="N100" s="169"/>
      <c r="P100" s="24"/>
      <c r="Q100" s="168">
        <v>0.88</v>
      </c>
      <c r="R100" s="169"/>
      <c r="T100" s="24"/>
      <c r="U100" s="168">
        <v>0.82</v>
      </c>
      <c r="V100" s="169"/>
      <c r="X100" s="24"/>
      <c r="Y100" s="168">
        <v>0.84</v>
      </c>
      <c r="Z100" s="169"/>
      <c r="AB100" s="24"/>
      <c r="AC100" s="168">
        <v>0.83</v>
      </c>
      <c r="AD100" s="169"/>
      <c r="AF100" s="24"/>
      <c r="AG100" s="168">
        <v>0.82</v>
      </c>
      <c r="AH100" s="169"/>
      <c r="AJ100" s="24"/>
      <c r="AK100" s="168">
        <v>0.82</v>
      </c>
      <c r="AL100" s="169"/>
      <c r="AN100" s="24"/>
      <c r="AO100" s="168">
        <v>0.83889999999999998</v>
      </c>
      <c r="AP100" s="169"/>
      <c r="AR100" s="24"/>
      <c r="AS100" s="168">
        <v>0.83889999999999998</v>
      </c>
      <c r="AT100" s="169"/>
    </row>
    <row r="101" spans="1:46" ht="15" customHeight="1">
      <c r="B101" s="15" t="str">
        <f>IF(B3=1,COUNTA(B102:B106)&amp;" Ativos em Operação",COUNTA(B102:B106)&amp;" Assets in operation")</f>
        <v>5 Ativos em Operação</v>
      </c>
      <c r="C101" s="15"/>
      <c r="D101" s="15"/>
      <c r="E101" s="25"/>
      <c r="F101" s="25"/>
      <c r="G101" s="1"/>
      <c r="H101" s="25"/>
      <c r="I101" s="16">
        <v>65658</v>
      </c>
      <c r="J101" s="16">
        <v>51398</v>
      </c>
      <c r="K101" s="38"/>
      <c r="L101" s="25"/>
      <c r="M101" s="16">
        <v>65658</v>
      </c>
      <c r="N101" s="16">
        <v>51398</v>
      </c>
      <c r="O101" s="38"/>
      <c r="P101" s="25"/>
      <c r="Q101" s="16">
        <v>65658</v>
      </c>
      <c r="R101" s="16">
        <v>51398</v>
      </c>
      <c r="S101" s="105"/>
      <c r="T101" s="25"/>
      <c r="U101" s="16">
        <v>50337</v>
      </c>
      <c r="V101" s="16">
        <v>41439</v>
      </c>
      <c r="X101" s="25"/>
      <c r="Y101" s="16">
        <v>50337</v>
      </c>
      <c r="Z101" s="16">
        <v>41439</v>
      </c>
      <c r="AB101" s="25"/>
      <c r="AC101" s="16">
        <v>50337.180000000008</v>
      </c>
      <c r="AD101" s="16">
        <v>41439.077000000005</v>
      </c>
      <c r="AF101" s="25"/>
      <c r="AG101" s="16">
        <v>50580.420000000006</v>
      </c>
      <c r="AH101" s="16">
        <v>41682.462</v>
      </c>
      <c r="AJ101" s="25"/>
      <c r="AK101" s="16">
        <v>50580</v>
      </c>
      <c r="AL101" s="16">
        <v>41682.462</v>
      </c>
      <c r="AN101" s="25"/>
      <c r="AO101" s="157">
        <v>50580</v>
      </c>
      <c r="AP101" s="157">
        <v>41682</v>
      </c>
      <c r="AR101" s="25"/>
      <c r="AS101" s="157">
        <v>50580</v>
      </c>
      <c r="AT101" s="157">
        <v>41682</v>
      </c>
    </row>
    <row r="102" spans="1:46" ht="15" customHeight="1" outlineLevel="1">
      <c r="A102" s="34"/>
      <c r="B102" s="10" t="s">
        <v>257</v>
      </c>
      <c r="C102" s="10" t="s">
        <v>192</v>
      </c>
      <c r="D102" s="29" t="s">
        <v>100</v>
      </c>
      <c r="E102" s="26" t="s">
        <v>44</v>
      </c>
      <c r="F102" s="26" t="s">
        <v>56</v>
      </c>
      <c r="G102" s="1"/>
      <c r="H102" s="29">
        <v>0.9</v>
      </c>
      <c r="I102" s="7">
        <v>31389.18</v>
      </c>
      <c r="J102" s="7">
        <v>28250.262000000002</v>
      </c>
      <c r="L102" s="29">
        <v>0.9</v>
      </c>
      <c r="M102" s="7">
        <v>31389.18</v>
      </c>
      <c r="N102" s="7">
        <v>28250.262000000002</v>
      </c>
      <c r="P102" s="29">
        <v>0.9</v>
      </c>
      <c r="Q102" s="7">
        <v>31389.18</v>
      </c>
      <c r="R102" s="7">
        <v>28250.262000000002</v>
      </c>
      <c r="T102" s="29">
        <v>0.9</v>
      </c>
      <c r="U102" s="7">
        <v>31389.18</v>
      </c>
      <c r="V102" s="7">
        <v>28250.262000000002</v>
      </c>
      <c r="X102" s="29">
        <v>0.9</v>
      </c>
      <c r="Y102" s="7">
        <v>31389.180000000004</v>
      </c>
      <c r="Z102" s="7">
        <v>28250.262000000002</v>
      </c>
      <c r="AB102" s="29">
        <v>0.9</v>
      </c>
      <c r="AC102" s="7">
        <v>31389.180000000004</v>
      </c>
      <c r="AD102" s="7">
        <v>28250.262000000002</v>
      </c>
      <c r="AF102" s="29">
        <v>0.9</v>
      </c>
      <c r="AG102" s="7">
        <v>31389.180000000004</v>
      </c>
      <c r="AH102" s="7">
        <v>28250.262000000002</v>
      </c>
      <c r="AJ102" s="29">
        <v>0.9</v>
      </c>
      <c r="AK102" s="7">
        <v>31389.180000000004</v>
      </c>
      <c r="AL102" s="7">
        <v>28250.262000000002</v>
      </c>
      <c r="AN102" s="29">
        <v>0.9</v>
      </c>
      <c r="AO102" s="158">
        <v>31389.180000000004</v>
      </c>
      <c r="AP102" s="158">
        <v>28250.262000000002</v>
      </c>
      <c r="AQ102" s="148"/>
      <c r="AR102" s="29">
        <v>0.9</v>
      </c>
      <c r="AS102" s="158">
        <v>31389.180000000004</v>
      </c>
      <c r="AT102" s="158">
        <v>28250.262000000002</v>
      </c>
    </row>
    <row r="103" spans="1:46" ht="15" customHeight="1" outlineLevel="1">
      <c r="A103" s="34"/>
      <c r="B103" s="10" t="s">
        <v>209</v>
      </c>
      <c r="C103" s="10" t="s">
        <v>198</v>
      </c>
      <c r="D103" s="29" t="s">
        <v>101</v>
      </c>
      <c r="E103" s="26" t="s">
        <v>44</v>
      </c>
      <c r="F103" s="26" t="s">
        <v>49</v>
      </c>
      <c r="G103" s="1"/>
      <c r="H103" s="32">
        <v>0.99990000000000001</v>
      </c>
      <c r="I103" s="7">
        <v>3850</v>
      </c>
      <c r="J103" s="7">
        <v>3849.6150000000002</v>
      </c>
      <c r="L103" s="32">
        <v>0.99990000000000001</v>
      </c>
      <c r="M103" s="7">
        <v>3850</v>
      </c>
      <c r="N103" s="7">
        <v>3849.6150000000002</v>
      </c>
      <c r="P103" s="32">
        <v>0.99990000000000001</v>
      </c>
      <c r="Q103" s="7">
        <v>3850</v>
      </c>
      <c r="R103" s="7">
        <v>3849.6150000000002</v>
      </c>
      <c r="T103" s="32">
        <v>0.99990000000000001</v>
      </c>
      <c r="U103" s="7">
        <v>3850</v>
      </c>
      <c r="V103" s="7">
        <v>3849.6150000000002</v>
      </c>
      <c r="X103" s="32">
        <v>0.99990000000000001</v>
      </c>
      <c r="Y103" s="7">
        <v>3850</v>
      </c>
      <c r="Z103" s="7">
        <v>3849.6150000000002</v>
      </c>
      <c r="AB103" s="32">
        <v>0.99990000000000001</v>
      </c>
      <c r="AC103" s="7">
        <v>3850</v>
      </c>
      <c r="AD103" s="7">
        <v>3849.6150000000002</v>
      </c>
      <c r="AF103" s="32">
        <v>0.99990000000000001</v>
      </c>
      <c r="AG103" s="7">
        <v>4093.24</v>
      </c>
      <c r="AH103" s="7">
        <v>4093</v>
      </c>
      <c r="AJ103" s="32">
        <v>0.99990000000000001</v>
      </c>
      <c r="AK103" s="7">
        <v>4093.24</v>
      </c>
      <c r="AL103" s="7">
        <v>4093</v>
      </c>
      <c r="AN103" s="32">
        <v>0.99990000000000001</v>
      </c>
      <c r="AO103" s="158">
        <v>4093.24</v>
      </c>
      <c r="AP103" s="158">
        <v>4092.830676</v>
      </c>
      <c r="AQ103" s="148"/>
      <c r="AR103" s="32">
        <v>0.99990000000000001</v>
      </c>
      <c r="AS103" s="158">
        <v>4093.24</v>
      </c>
      <c r="AT103" s="158">
        <v>4092.830676</v>
      </c>
    </row>
    <row r="104" spans="1:46" ht="15" customHeight="1" outlineLevel="1">
      <c r="A104" s="34"/>
      <c r="B104" s="10" t="s">
        <v>104</v>
      </c>
      <c r="C104" s="10" t="s">
        <v>193</v>
      </c>
      <c r="D104" s="29" t="s">
        <v>101</v>
      </c>
      <c r="E104" s="26" t="s">
        <v>44</v>
      </c>
      <c r="F104" s="26" t="s">
        <v>47</v>
      </c>
      <c r="G104" s="1"/>
      <c r="H104" s="29">
        <v>1</v>
      </c>
      <c r="I104" s="7">
        <v>5614.0000000000018</v>
      </c>
      <c r="J104" s="7">
        <v>5614.0000000000018</v>
      </c>
      <c r="L104" s="29">
        <v>1</v>
      </c>
      <c r="M104" s="7">
        <v>5614.0000000000018</v>
      </c>
      <c r="N104" s="7">
        <v>5614.0000000000018</v>
      </c>
      <c r="P104" s="29">
        <v>1</v>
      </c>
      <c r="Q104" s="7">
        <v>5614.0000000000018</v>
      </c>
      <c r="R104" s="7">
        <v>5614.0000000000018</v>
      </c>
      <c r="T104" s="29">
        <v>1</v>
      </c>
      <c r="U104" s="7">
        <v>5614.0000000000018</v>
      </c>
      <c r="V104" s="7">
        <v>5614.0000000000018</v>
      </c>
      <c r="X104" s="29">
        <v>1</v>
      </c>
      <c r="Y104" s="7">
        <v>5614</v>
      </c>
      <c r="Z104" s="7">
        <v>5614</v>
      </c>
      <c r="AB104" s="29">
        <v>1</v>
      </c>
      <c r="AC104" s="7">
        <v>5614</v>
      </c>
      <c r="AD104" s="7">
        <v>5614</v>
      </c>
      <c r="AF104" s="29">
        <v>1</v>
      </c>
      <c r="AG104" s="7">
        <v>5614</v>
      </c>
      <c r="AH104" s="7">
        <v>5614</v>
      </c>
      <c r="AJ104" s="29">
        <v>1</v>
      </c>
      <c r="AK104" s="7">
        <v>5614</v>
      </c>
      <c r="AL104" s="7">
        <v>5614</v>
      </c>
      <c r="AN104" s="29">
        <v>1</v>
      </c>
      <c r="AO104" s="158">
        <v>5614</v>
      </c>
      <c r="AP104" s="158">
        <v>5614</v>
      </c>
      <c r="AQ104" s="148"/>
      <c r="AR104" s="29">
        <v>1</v>
      </c>
      <c r="AS104" s="158">
        <v>5614</v>
      </c>
      <c r="AT104" s="158">
        <v>5614</v>
      </c>
    </row>
    <row r="105" spans="1:46" ht="15" customHeight="1" outlineLevel="1">
      <c r="A105" s="34"/>
      <c r="B105" s="10" t="s">
        <v>108</v>
      </c>
      <c r="C105" s="10" t="s">
        <v>138</v>
      </c>
      <c r="D105" s="29" t="s">
        <v>86</v>
      </c>
      <c r="E105" s="26" t="s">
        <v>44</v>
      </c>
      <c r="F105" s="26" t="s">
        <v>54</v>
      </c>
      <c r="G105" s="1"/>
      <c r="H105" s="29">
        <v>0.3</v>
      </c>
      <c r="I105" s="7">
        <v>5083.5</v>
      </c>
      <c r="J105" s="7">
        <v>1525.05</v>
      </c>
      <c r="L105" s="29">
        <v>0.3</v>
      </c>
      <c r="M105" s="7">
        <v>5083.5</v>
      </c>
      <c r="N105" s="7">
        <v>1525.05</v>
      </c>
      <c r="P105" s="29">
        <v>0.3</v>
      </c>
      <c r="Q105" s="7">
        <v>5083.5</v>
      </c>
      <c r="R105" s="7">
        <v>1525.05</v>
      </c>
      <c r="T105" s="29">
        <v>0.3</v>
      </c>
      <c r="U105" s="7">
        <v>5083.5</v>
      </c>
      <c r="V105" s="7">
        <v>1525.05</v>
      </c>
      <c r="X105" s="29">
        <v>0.3</v>
      </c>
      <c r="Y105" s="7">
        <v>5084</v>
      </c>
      <c r="Z105" s="7">
        <v>1525.2</v>
      </c>
      <c r="AB105" s="29">
        <v>0.3</v>
      </c>
      <c r="AC105" s="7">
        <v>5084</v>
      </c>
      <c r="AD105" s="7">
        <v>1525.2</v>
      </c>
      <c r="AF105" s="29">
        <v>0.3</v>
      </c>
      <c r="AG105" s="7">
        <v>5084</v>
      </c>
      <c r="AH105" s="7">
        <v>1525.2</v>
      </c>
      <c r="AJ105" s="29">
        <v>0.3</v>
      </c>
      <c r="AK105" s="7">
        <v>5084</v>
      </c>
      <c r="AL105" s="7">
        <v>1525.2</v>
      </c>
      <c r="AN105" s="29">
        <v>0.3</v>
      </c>
      <c r="AO105" s="158">
        <v>5084</v>
      </c>
      <c r="AP105" s="158">
        <v>1525.2</v>
      </c>
      <c r="AQ105" s="148"/>
      <c r="AR105" s="29">
        <v>0.3</v>
      </c>
      <c r="AS105" s="158">
        <v>5084</v>
      </c>
      <c r="AT105" s="158">
        <v>1525.2</v>
      </c>
    </row>
    <row r="106" spans="1:46" ht="15" customHeight="1" outlineLevel="1">
      <c r="A106" s="34"/>
      <c r="B106" s="10" t="s">
        <v>107</v>
      </c>
      <c r="C106" s="10" t="s">
        <v>194</v>
      </c>
      <c r="D106" s="29" t="s">
        <v>86</v>
      </c>
      <c r="E106" s="26" t="s">
        <v>44</v>
      </c>
      <c r="F106" s="26" t="s">
        <v>58</v>
      </c>
      <c r="G106" s="1"/>
      <c r="H106" s="29">
        <v>0.5</v>
      </c>
      <c r="I106" s="7">
        <v>4400</v>
      </c>
      <c r="J106" s="7">
        <v>2200</v>
      </c>
      <c r="L106" s="29">
        <v>0.5</v>
      </c>
      <c r="M106" s="7">
        <v>4400</v>
      </c>
      <c r="N106" s="7">
        <v>2200</v>
      </c>
      <c r="P106" s="29">
        <v>0.5</v>
      </c>
      <c r="Q106" s="7">
        <v>4400</v>
      </c>
      <c r="R106" s="7">
        <v>2200</v>
      </c>
      <c r="T106" s="29">
        <v>0.5</v>
      </c>
      <c r="U106" s="7">
        <v>4400</v>
      </c>
      <c r="V106" s="7">
        <v>2200</v>
      </c>
      <c r="X106" s="29">
        <v>0.5</v>
      </c>
      <c r="Y106" s="7">
        <v>4400</v>
      </c>
      <c r="Z106" s="7">
        <v>2200</v>
      </c>
      <c r="AB106" s="29">
        <v>0.5</v>
      </c>
      <c r="AC106" s="7">
        <v>4400</v>
      </c>
      <c r="AD106" s="7">
        <v>2200</v>
      </c>
      <c r="AF106" s="29">
        <v>0.5</v>
      </c>
      <c r="AG106" s="7">
        <v>4400</v>
      </c>
      <c r="AH106" s="7">
        <v>2200</v>
      </c>
      <c r="AJ106" s="29">
        <v>0.5</v>
      </c>
      <c r="AK106" s="7">
        <v>4400</v>
      </c>
      <c r="AL106" s="7">
        <v>2200</v>
      </c>
      <c r="AN106" s="29">
        <v>0.5</v>
      </c>
      <c r="AO106" s="158">
        <v>4400</v>
      </c>
      <c r="AP106" s="158">
        <v>2200</v>
      </c>
      <c r="AQ106" s="148"/>
      <c r="AR106" s="29">
        <v>0.5</v>
      </c>
      <c r="AS106" s="158">
        <v>4400</v>
      </c>
      <c r="AT106" s="158">
        <v>2200</v>
      </c>
    </row>
    <row r="107" spans="1:46" ht="15" customHeight="1" outlineLevel="1">
      <c r="A107" s="34"/>
      <c r="B107" s="10" t="s">
        <v>119</v>
      </c>
      <c r="C107" s="10" t="s">
        <v>197</v>
      </c>
      <c r="D107" s="29" t="s">
        <v>100</v>
      </c>
      <c r="E107" s="26" t="s">
        <v>44</v>
      </c>
      <c r="F107" s="26" t="s">
        <v>46</v>
      </c>
      <c r="G107" s="1"/>
      <c r="H107" s="29">
        <v>0.65</v>
      </c>
      <c r="I107" s="7">
        <v>15321</v>
      </c>
      <c r="J107" s="7">
        <v>9958.65</v>
      </c>
      <c r="L107" s="29">
        <v>0.65</v>
      </c>
      <c r="M107" s="7">
        <v>15321</v>
      </c>
      <c r="N107" s="7">
        <v>9958.65</v>
      </c>
      <c r="P107" s="29">
        <v>0.65</v>
      </c>
      <c r="Q107" s="7">
        <v>15321</v>
      </c>
      <c r="R107" s="7">
        <v>9958.65</v>
      </c>
      <c r="T107" s="29"/>
      <c r="U107" s="7"/>
      <c r="V107" s="7"/>
      <c r="W107" s="110"/>
      <c r="X107" s="29"/>
      <c r="Y107" s="7"/>
      <c r="Z107" s="7"/>
      <c r="AB107" s="29"/>
      <c r="AC107" s="7"/>
      <c r="AD107" s="7"/>
      <c r="AF107" s="29"/>
      <c r="AG107" s="7"/>
      <c r="AH107" s="7"/>
      <c r="AJ107" s="29"/>
      <c r="AK107" s="7"/>
      <c r="AL107" s="7"/>
      <c r="AN107" s="29"/>
      <c r="AO107" s="158"/>
      <c r="AP107" s="158"/>
      <c r="AR107" s="29"/>
      <c r="AS107" s="158"/>
      <c r="AT107" s="158"/>
    </row>
    <row r="108" spans="1:46" ht="15" customHeight="1">
      <c r="B108" s="15" t="str">
        <f>IF(B3=1,COUNTA(B109:B111)&amp;" Ativos em desenvolvimento",COUNTA(B109:B111)&amp;" Assets under development")</f>
        <v>3 Ativos em desenvolvimento</v>
      </c>
      <c r="C108" s="15"/>
      <c r="D108" s="15"/>
      <c r="E108" s="25"/>
      <c r="F108" s="25"/>
      <c r="G108" s="1"/>
      <c r="H108" s="25"/>
      <c r="I108" s="16">
        <v>32439</v>
      </c>
      <c r="J108" s="16">
        <v>18341</v>
      </c>
      <c r="K108" s="38"/>
      <c r="L108" s="25"/>
      <c r="M108" s="16">
        <v>32269</v>
      </c>
      <c r="N108" s="16">
        <v>18188</v>
      </c>
      <c r="O108" s="38"/>
      <c r="P108" s="25"/>
      <c r="Q108" s="16">
        <v>32439</v>
      </c>
      <c r="R108" s="16">
        <v>18341</v>
      </c>
      <c r="S108" s="105"/>
      <c r="T108" s="25"/>
      <c r="U108" s="16">
        <v>32439</v>
      </c>
      <c r="V108" s="16">
        <v>18341</v>
      </c>
      <c r="X108" s="25"/>
      <c r="Y108" s="16">
        <v>32439</v>
      </c>
      <c r="Z108" s="16">
        <v>18341</v>
      </c>
      <c r="AB108" s="25"/>
      <c r="AC108" s="16">
        <v>32439.16</v>
      </c>
      <c r="AD108" s="16">
        <v>18341</v>
      </c>
      <c r="AF108" s="25"/>
      <c r="AG108" s="16">
        <v>32439.16</v>
      </c>
      <c r="AH108" s="16">
        <v>18341.407199999998</v>
      </c>
      <c r="AJ108" s="25"/>
      <c r="AK108" s="16">
        <v>13959.16</v>
      </c>
      <c r="AL108" s="16">
        <v>8504.2072000000007</v>
      </c>
      <c r="AN108" s="25"/>
      <c r="AO108" s="157">
        <v>15452</v>
      </c>
      <c r="AP108" s="157">
        <v>9848</v>
      </c>
      <c r="AR108" s="25"/>
      <c r="AS108" s="157">
        <v>13959</v>
      </c>
      <c r="AT108" s="157">
        <v>8504</v>
      </c>
    </row>
    <row r="109" spans="1:46" ht="15" customHeight="1" outlineLevel="1">
      <c r="A109" s="34"/>
      <c r="B109" s="10" t="s">
        <v>109</v>
      </c>
      <c r="C109" s="10" t="s">
        <v>195</v>
      </c>
      <c r="D109" s="29" t="s">
        <v>86</v>
      </c>
      <c r="E109" s="26" t="s">
        <v>44</v>
      </c>
      <c r="F109" s="26" t="s">
        <v>208</v>
      </c>
      <c r="G109" s="1"/>
      <c r="H109" s="29">
        <v>0.60160000000000002</v>
      </c>
      <c r="I109" s="7">
        <v>9642.0099999999984</v>
      </c>
      <c r="J109" s="7">
        <v>5800.6332159999993</v>
      </c>
      <c r="L109" s="29">
        <v>0.60160000000000002</v>
      </c>
      <c r="M109" s="7">
        <v>9642.0099999999984</v>
      </c>
      <c r="N109" s="7">
        <v>5800.6332159999993</v>
      </c>
      <c r="P109" s="29">
        <v>0.60160000000000002</v>
      </c>
      <c r="Q109" s="7">
        <v>9642.01</v>
      </c>
      <c r="R109" s="7">
        <v>5800.6332160000002</v>
      </c>
      <c r="T109" s="29">
        <v>0.60160000000000002</v>
      </c>
      <c r="U109" s="7">
        <v>9642.01</v>
      </c>
      <c r="V109" s="7">
        <v>5800.6332160000002</v>
      </c>
      <c r="X109" s="29">
        <v>0.60160000000000002</v>
      </c>
      <c r="Y109" s="7">
        <v>9642</v>
      </c>
      <c r="Z109" s="7">
        <v>5800.6271999999999</v>
      </c>
      <c r="AB109" s="29">
        <v>0.60160000000000002</v>
      </c>
      <c r="AC109" s="7">
        <v>9642</v>
      </c>
      <c r="AD109" s="7">
        <v>5800.6271999999999</v>
      </c>
      <c r="AF109" s="29">
        <v>0.60160000000000002</v>
      </c>
      <c r="AG109" s="7">
        <v>9642</v>
      </c>
      <c r="AH109" s="7">
        <v>5800.6271999999999</v>
      </c>
      <c r="AJ109" s="29">
        <v>0.60160000000000002</v>
      </c>
      <c r="AK109" s="7">
        <v>9642</v>
      </c>
      <c r="AL109" s="7">
        <v>5800.6271999999999</v>
      </c>
      <c r="AN109" s="29">
        <v>0.60160000000000002</v>
      </c>
      <c r="AO109" s="158">
        <v>9642</v>
      </c>
      <c r="AP109" s="158">
        <v>5800.6271999999999</v>
      </c>
      <c r="AQ109" s="148"/>
      <c r="AR109" s="29">
        <v>0.60160000000000002</v>
      </c>
      <c r="AS109" s="158">
        <v>9642</v>
      </c>
      <c r="AT109" s="158">
        <v>5800.6271999999999</v>
      </c>
    </row>
    <row r="110" spans="1:46" s="141" customFormat="1" ht="15" customHeight="1" outlineLevel="1">
      <c r="A110" s="147"/>
      <c r="B110" s="136" t="s">
        <v>105</v>
      </c>
      <c r="C110" s="136" t="s">
        <v>148</v>
      </c>
      <c r="D110" s="103" t="s">
        <v>86</v>
      </c>
      <c r="E110" s="133" t="s">
        <v>44</v>
      </c>
      <c r="F110" s="26" t="s">
        <v>208</v>
      </c>
      <c r="G110" s="144"/>
      <c r="H110" s="103">
        <v>0.5</v>
      </c>
      <c r="I110" s="104">
        <v>3227.16</v>
      </c>
      <c r="J110" s="104">
        <f>I110*H110</f>
        <v>1613.58</v>
      </c>
      <c r="L110" s="103">
        <v>0.5</v>
      </c>
      <c r="M110" s="104">
        <v>3227.16</v>
      </c>
      <c r="N110" s="104">
        <f>M110*L110</f>
        <v>1613.58</v>
      </c>
      <c r="P110" s="103">
        <v>0.5</v>
      </c>
      <c r="Q110" s="104">
        <v>3227.16</v>
      </c>
      <c r="R110" s="104">
        <f>Q110*P110</f>
        <v>1613.58</v>
      </c>
      <c r="T110" s="103">
        <v>0.5</v>
      </c>
      <c r="U110" s="104">
        <v>3227.16</v>
      </c>
      <c r="V110" s="104">
        <f>U110*T110</f>
        <v>1613.58</v>
      </c>
      <c r="X110" s="103">
        <v>0.5</v>
      </c>
      <c r="Y110" s="104">
        <v>3227.16</v>
      </c>
      <c r="Z110" s="104">
        <f>Y110*X110</f>
        <v>1613.58</v>
      </c>
      <c r="AB110" s="103">
        <v>0.5</v>
      </c>
      <c r="AC110" s="104">
        <v>3227.16</v>
      </c>
      <c r="AD110" s="104">
        <f>AC110*AB110</f>
        <v>1613.58</v>
      </c>
      <c r="AF110" s="103">
        <v>0.5</v>
      </c>
      <c r="AG110" s="104">
        <v>3227.16</v>
      </c>
      <c r="AH110" s="104">
        <f>AG110*AF110</f>
        <v>1613.58</v>
      </c>
      <c r="AJ110" s="103">
        <v>0.5</v>
      </c>
      <c r="AK110" s="104">
        <v>3227.16</v>
      </c>
      <c r="AL110" s="104">
        <v>1613.58</v>
      </c>
      <c r="AN110" s="103">
        <v>0.5</v>
      </c>
      <c r="AO110" s="159">
        <v>3227.16</v>
      </c>
      <c r="AP110" s="159">
        <v>1613.58</v>
      </c>
      <c r="AQ110" s="148"/>
      <c r="AR110" s="103">
        <v>0.5</v>
      </c>
      <c r="AS110" s="159">
        <v>3227.16</v>
      </c>
      <c r="AT110" s="159">
        <v>1613.58</v>
      </c>
    </row>
    <row r="111" spans="1:46" ht="15" customHeight="1" outlineLevel="1">
      <c r="A111" s="34"/>
      <c r="B111" s="10" t="s">
        <v>106</v>
      </c>
      <c r="C111" s="10" t="s">
        <v>162</v>
      </c>
      <c r="D111" s="29" t="s">
        <v>86</v>
      </c>
      <c r="E111" s="26" t="s">
        <v>44</v>
      </c>
      <c r="F111" s="26" t="s">
        <v>122</v>
      </c>
      <c r="G111" s="1"/>
      <c r="H111" s="29">
        <v>1</v>
      </c>
      <c r="I111" s="7">
        <v>1090</v>
      </c>
      <c r="J111" s="7">
        <v>1090</v>
      </c>
      <c r="L111" s="29">
        <v>1</v>
      </c>
      <c r="M111" s="7">
        <v>1090</v>
      </c>
      <c r="N111" s="7">
        <v>1090</v>
      </c>
      <c r="P111" s="29">
        <v>1</v>
      </c>
      <c r="Q111" s="7">
        <v>1090</v>
      </c>
      <c r="R111" s="7">
        <v>1090</v>
      </c>
      <c r="T111" s="29">
        <v>1</v>
      </c>
      <c r="U111" s="7">
        <v>1090</v>
      </c>
      <c r="V111" s="7">
        <v>1090</v>
      </c>
      <c r="X111" s="29">
        <v>1</v>
      </c>
      <c r="Y111" s="7">
        <v>1090</v>
      </c>
      <c r="Z111" s="7">
        <v>1090</v>
      </c>
      <c r="AB111" s="29">
        <v>1</v>
      </c>
      <c r="AC111" s="7">
        <v>1090</v>
      </c>
      <c r="AD111" s="7">
        <v>1090</v>
      </c>
      <c r="AF111" s="29">
        <v>1</v>
      </c>
      <c r="AG111" s="7">
        <v>1090</v>
      </c>
      <c r="AH111" s="7">
        <v>1090</v>
      </c>
      <c r="AJ111" s="29">
        <v>1</v>
      </c>
      <c r="AK111" s="7">
        <v>1090</v>
      </c>
      <c r="AL111" s="7">
        <v>1090</v>
      </c>
      <c r="AN111" s="29">
        <v>1</v>
      </c>
      <c r="AO111" s="158">
        <v>1090</v>
      </c>
      <c r="AP111" s="158">
        <v>1090</v>
      </c>
      <c r="AQ111" s="148"/>
      <c r="AR111" s="29">
        <v>1</v>
      </c>
      <c r="AS111" s="158">
        <v>1090</v>
      </c>
      <c r="AT111" s="158">
        <v>1090</v>
      </c>
    </row>
    <row r="112" spans="1:46" ht="15" customHeight="1" outlineLevel="1">
      <c r="A112" s="34"/>
      <c r="B112" s="10" t="s">
        <v>253</v>
      </c>
      <c r="C112" s="10" t="s">
        <v>167</v>
      </c>
      <c r="D112" s="29" t="s">
        <v>86</v>
      </c>
      <c r="E112" s="26" t="s">
        <v>44</v>
      </c>
      <c r="F112" s="133" t="s">
        <v>61</v>
      </c>
      <c r="G112" s="1"/>
      <c r="H112" s="29">
        <v>0.9</v>
      </c>
      <c r="I112" s="7">
        <v>1493</v>
      </c>
      <c r="J112" s="7">
        <v>1343.7</v>
      </c>
      <c r="L112" s="29">
        <v>0.9</v>
      </c>
      <c r="M112" s="7">
        <v>1323</v>
      </c>
      <c r="N112" s="7">
        <v>1190.7</v>
      </c>
      <c r="P112" s="29">
        <v>0.9</v>
      </c>
      <c r="Q112" s="7">
        <v>1493</v>
      </c>
      <c r="R112" s="7">
        <v>1343.7</v>
      </c>
      <c r="T112" s="29">
        <v>0.9</v>
      </c>
      <c r="U112" s="7">
        <v>1493</v>
      </c>
      <c r="V112" s="7">
        <v>1343.7</v>
      </c>
      <c r="X112" s="29">
        <v>0.9</v>
      </c>
      <c r="Y112" s="7">
        <v>1493</v>
      </c>
      <c r="Z112" s="7">
        <v>1343.7</v>
      </c>
      <c r="AB112" s="29">
        <v>0.9</v>
      </c>
      <c r="AC112" s="7">
        <v>1493</v>
      </c>
      <c r="AD112" s="7">
        <v>1343.7</v>
      </c>
      <c r="AF112" s="29">
        <v>0.9</v>
      </c>
      <c r="AG112" s="7">
        <v>1493</v>
      </c>
      <c r="AH112" s="7">
        <v>1343.7</v>
      </c>
      <c r="AJ112" s="29">
        <v>0.9</v>
      </c>
      <c r="AK112" s="7">
        <v>1493</v>
      </c>
      <c r="AL112" s="7">
        <v>1343.7</v>
      </c>
      <c r="AN112" s="29">
        <v>0.9</v>
      </c>
      <c r="AO112" s="158">
        <v>1493</v>
      </c>
      <c r="AP112" s="158">
        <v>1343.7</v>
      </c>
      <c r="AQ112" s="148"/>
      <c r="AR112" s="29"/>
      <c r="AS112" s="158"/>
      <c r="AT112" s="158"/>
    </row>
    <row r="113" spans="1:46" ht="15" customHeight="1" outlineLevel="1" thickBot="1">
      <c r="A113" s="34"/>
      <c r="B113" s="10" t="s">
        <v>252</v>
      </c>
      <c r="C113" s="10" t="s">
        <v>196</v>
      </c>
      <c r="D113" s="29" t="s">
        <v>102</v>
      </c>
      <c r="E113" s="26" t="s">
        <v>43</v>
      </c>
      <c r="F113" s="133" t="s">
        <v>208</v>
      </c>
      <c r="G113" s="1"/>
      <c r="H113" s="29">
        <v>0.5</v>
      </c>
      <c r="I113" s="7">
        <v>16987</v>
      </c>
      <c r="J113" s="7">
        <v>8493.5</v>
      </c>
      <c r="L113" s="29">
        <v>0.5</v>
      </c>
      <c r="M113" s="7">
        <v>16987</v>
      </c>
      <c r="N113" s="7">
        <v>8493.5</v>
      </c>
      <c r="P113" s="29">
        <v>0.5</v>
      </c>
      <c r="Q113" s="7">
        <v>16987</v>
      </c>
      <c r="R113" s="7">
        <v>8493.5</v>
      </c>
      <c r="T113" s="29">
        <v>0.5</v>
      </c>
      <c r="U113" s="7">
        <v>16987</v>
      </c>
      <c r="V113" s="7">
        <v>8493.5</v>
      </c>
      <c r="X113" s="29">
        <v>0.5</v>
      </c>
      <c r="Y113" s="7">
        <v>16987</v>
      </c>
      <c r="Z113" s="7">
        <v>8493.5</v>
      </c>
      <c r="AB113" s="29">
        <v>0.5</v>
      </c>
      <c r="AC113" s="7">
        <v>16987</v>
      </c>
      <c r="AD113" s="7">
        <v>8493.5</v>
      </c>
      <c r="AF113" s="29">
        <v>0.5</v>
      </c>
      <c r="AG113" s="7">
        <v>16987</v>
      </c>
      <c r="AH113" s="7">
        <v>8493.5</v>
      </c>
      <c r="AJ113" s="29"/>
      <c r="AK113" s="7"/>
      <c r="AL113" s="7"/>
      <c r="AN113" s="29"/>
      <c r="AO113" s="158"/>
      <c r="AP113" s="158"/>
      <c r="AR113" s="29"/>
      <c r="AS113" s="158"/>
      <c r="AT113" s="158"/>
    </row>
    <row r="114" spans="1:46" s="3" customFormat="1" ht="15" customHeight="1" thickTop="1" thickBot="1">
      <c r="B114" s="11" t="str">
        <f>IF(B3=1,"Total (em Operação e em Desenvolvimento)","Total (in Operation and Under development)")</f>
        <v>Total (em Operação e em Desenvolvimento)</v>
      </c>
      <c r="C114" s="179"/>
      <c r="D114" s="180"/>
      <c r="E114" s="180"/>
      <c r="F114" s="181"/>
      <c r="G114" s="1"/>
      <c r="H114" s="27"/>
      <c r="I114" s="8">
        <v>501857.93</v>
      </c>
      <c r="J114" s="8">
        <v>323483.75708000001</v>
      </c>
      <c r="K114" s="38"/>
      <c r="L114" s="27"/>
      <c r="M114" s="8">
        <v>504842.47</v>
      </c>
      <c r="N114" s="8">
        <v>326853.29707999999</v>
      </c>
      <c r="O114" s="38"/>
      <c r="P114" s="27"/>
      <c r="Q114" s="8">
        <v>447604.07</v>
      </c>
      <c r="R114" s="8">
        <v>298519.07</v>
      </c>
      <c r="S114" s="105"/>
      <c r="T114" s="27"/>
      <c r="U114" s="8">
        <v>423365.07</v>
      </c>
      <c r="V114" s="8">
        <v>284140.07</v>
      </c>
      <c r="X114" s="27"/>
      <c r="Y114" s="8">
        <v>425907</v>
      </c>
      <c r="Z114" s="8">
        <v>282126</v>
      </c>
      <c r="AB114" s="27"/>
      <c r="AC114" s="8">
        <v>426308</v>
      </c>
      <c r="AD114" s="8">
        <v>281128</v>
      </c>
      <c r="AF114" s="27"/>
      <c r="AG114" s="8">
        <v>425577.74002807622</v>
      </c>
      <c r="AH114" s="8">
        <v>280430.07598589774</v>
      </c>
      <c r="AJ114" s="27"/>
      <c r="AK114" s="8">
        <v>409008.23</v>
      </c>
      <c r="AL114" s="8">
        <v>273080.65698589769</v>
      </c>
      <c r="AN114" s="27"/>
      <c r="AO114" s="160">
        <v>410318</v>
      </c>
      <c r="AP114" s="160">
        <v>273657</v>
      </c>
      <c r="AR114" s="27"/>
      <c r="AS114" s="160">
        <v>406581</v>
      </c>
      <c r="AT114" s="160">
        <v>270931</v>
      </c>
    </row>
    <row r="115" spans="1:46">
      <c r="X115" s="28"/>
      <c r="AB115" s="28"/>
      <c r="AF115" s="28"/>
      <c r="AJ115" s="28"/>
      <c r="AN115" s="28"/>
      <c r="AR115" s="28"/>
    </row>
    <row r="116" spans="1:46">
      <c r="B116" s="177" t="str">
        <f>IF(B3=1,"Portfólio HBR","HBR's Portfolio")</f>
        <v>Portfólio HBR</v>
      </c>
      <c r="C116" s="182"/>
      <c r="D116" s="182"/>
      <c r="E116" s="182"/>
      <c r="F116" s="178"/>
      <c r="H116" s="13"/>
      <c r="I116" s="170" t="s">
        <v>200</v>
      </c>
      <c r="J116" s="171"/>
      <c r="L116" s="13"/>
      <c r="M116" s="170" t="s">
        <v>201</v>
      </c>
      <c r="N116" s="171"/>
      <c r="P116" s="13"/>
      <c r="Q116" s="170" t="s">
        <v>202</v>
      </c>
      <c r="R116" s="171"/>
      <c r="T116" s="13"/>
      <c r="U116" s="170" t="s">
        <v>203</v>
      </c>
      <c r="V116" s="171"/>
      <c r="X116" s="13"/>
      <c r="Y116" s="170" t="s">
        <v>204</v>
      </c>
      <c r="Z116" s="171"/>
      <c r="AB116" s="13"/>
      <c r="AC116" s="170" t="s">
        <v>206</v>
      </c>
      <c r="AD116" s="171"/>
      <c r="AF116" s="13"/>
      <c r="AG116" s="170" t="s">
        <v>207</v>
      </c>
      <c r="AH116" s="171"/>
      <c r="AJ116" s="13"/>
      <c r="AK116" s="170" t="s">
        <v>254</v>
      </c>
      <c r="AL116" s="171"/>
      <c r="AN116" s="13"/>
      <c r="AO116" s="170" t="str">
        <f>IF($B$3=1,"2T24","2Q24")</f>
        <v>2T24</v>
      </c>
      <c r="AP116" s="171"/>
      <c r="AR116" s="13"/>
      <c r="AS116" s="170" t="str">
        <f>IF($B$3=1,"3T24","3Q24")</f>
        <v>3T24</v>
      </c>
      <c r="AT116" s="171"/>
    </row>
    <row r="117" spans="1:46">
      <c r="B117" s="183"/>
      <c r="C117" s="184"/>
      <c r="D117" s="184"/>
      <c r="E117" s="184"/>
      <c r="F117" s="185"/>
      <c r="H117" s="107"/>
      <c r="I117" s="31" t="s">
        <v>205</v>
      </c>
      <c r="J117" s="31" t="s">
        <v>84</v>
      </c>
      <c r="L117" s="107"/>
      <c r="M117" s="31" t="s">
        <v>205</v>
      </c>
      <c r="N117" s="31" t="s">
        <v>84</v>
      </c>
      <c r="P117" s="107"/>
      <c r="Q117" s="31" t="s">
        <v>205</v>
      </c>
      <c r="R117" s="31" t="s">
        <v>84</v>
      </c>
      <c r="T117" s="107"/>
      <c r="U117" s="31" t="s">
        <v>205</v>
      </c>
      <c r="V117" s="31" t="s">
        <v>84</v>
      </c>
      <c r="X117" s="107"/>
      <c r="Y117" s="31" t="s">
        <v>205</v>
      </c>
      <c r="Z117" s="31" t="s">
        <v>84</v>
      </c>
      <c r="AB117" s="107"/>
      <c r="AC117" s="31" t="s">
        <v>205</v>
      </c>
      <c r="AD117" s="31" t="s">
        <v>84</v>
      </c>
      <c r="AF117" s="107"/>
      <c r="AG117" s="31" t="s">
        <v>205</v>
      </c>
      <c r="AH117" s="31" t="s">
        <v>84</v>
      </c>
      <c r="AJ117" s="107"/>
      <c r="AK117" s="31" t="s">
        <v>205</v>
      </c>
      <c r="AL117" s="31" t="s">
        <v>84</v>
      </c>
      <c r="AN117" s="107"/>
      <c r="AO117" s="161" t="s">
        <v>205</v>
      </c>
      <c r="AP117" s="161" t="s">
        <v>84</v>
      </c>
      <c r="AR117" s="107"/>
      <c r="AS117" s="161" t="str">
        <f>IF($B$3=1,"ABL Total","Total GLA")</f>
        <v>ABL Total</v>
      </c>
      <c r="AT117" s="161" t="s">
        <v>84</v>
      </c>
    </row>
    <row r="118" spans="1:46">
      <c r="B118" s="36" t="str">
        <f>IF(B3=1,"Total em operação","Total in operation")</f>
        <v>Total em operação</v>
      </c>
      <c r="C118" s="174"/>
      <c r="D118" s="175"/>
      <c r="E118" s="175"/>
      <c r="F118" s="176"/>
      <c r="G118" s="38"/>
      <c r="H118" s="106"/>
      <c r="I118" s="7">
        <v>220364</v>
      </c>
      <c r="J118" s="7">
        <v>145131</v>
      </c>
      <c r="K118" s="38"/>
      <c r="L118" s="106"/>
      <c r="M118" s="7">
        <v>220591</v>
      </c>
      <c r="N118" s="7">
        <v>145450</v>
      </c>
      <c r="O118" s="38"/>
      <c r="P118" s="106"/>
      <c r="Q118" s="7">
        <v>224480</v>
      </c>
      <c r="R118" s="7">
        <v>148984</v>
      </c>
      <c r="S118" s="105"/>
      <c r="T118" s="106"/>
      <c r="U118" s="7">
        <v>209241</v>
      </c>
      <c r="V118" s="7">
        <v>139080</v>
      </c>
      <c r="X118" s="106"/>
      <c r="Y118" s="7">
        <v>221222</v>
      </c>
      <c r="Z118" s="7">
        <f>Z9+Z77+Z91+Z101</f>
        <v>148861.15932636414</v>
      </c>
      <c r="AB118" s="106"/>
      <c r="AC118" s="7">
        <v>221623.13002807618</v>
      </c>
      <c r="AD118" s="7">
        <v>149087.22459</v>
      </c>
      <c r="AF118" s="106"/>
      <c r="AG118" s="7">
        <v>227138.07002807621</v>
      </c>
      <c r="AH118" s="7">
        <v>152367.26478589771</v>
      </c>
      <c r="AJ118" s="106"/>
      <c r="AK118" s="7">
        <v>229001</v>
      </c>
      <c r="AL118" s="7">
        <v>154232.38078589772</v>
      </c>
      <c r="AN118" s="106"/>
      <c r="AO118" s="158">
        <v>228764</v>
      </c>
      <c r="AP118" s="158">
        <v>154000</v>
      </c>
      <c r="AQ118" s="148"/>
      <c r="AR118" s="106"/>
      <c r="AS118" s="158">
        <v>230709</v>
      </c>
      <c r="AT118" s="158">
        <v>155804</v>
      </c>
    </row>
    <row r="119" spans="1:46">
      <c r="B119" s="36" t="str">
        <f>IF(B3=1,"Total em desenvolvimento","Total Under development")</f>
        <v>Total em desenvolvimento</v>
      </c>
      <c r="C119" s="174"/>
      <c r="D119" s="175"/>
      <c r="E119" s="175"/>
      <c r="F119" s="176"/>
      <c r="G119" s="38"/>
      <c r="H119" s="106"/>
      <c r="I119" s="7">
        <v>281493.93</v>
      </c>
      <c r="J119" s="7">
        <v>178352.75708000001</v>
      </c>
      <c r="K119" s="38"/>
      <c r="L119" s="106"/>
      <c r="M119" s="7">
        <v>284251.46999999997</v>
      </c>
      <c r="N119" s="7">
        <v>181403.29707999999</v>
      </c>
      <c r="O119" s="38"/>
      <c r="P119" s="106"/>
      <c r="Q119" s="7">
        <v>223124.07</v>
      </c>
      <c r="R119" s="7">
        <v>149535.07</v>
      </c>
      <c r="S119" s="105"/>
      <c r="T119" s="106"/>
      <c r="U119" s="7">
        <v>214124.07</v>
      </c>
      <c r="V119" s="7">
        <v>145060.07</v>
      </c>
      <c r="X119" s="106"/>
      <c r="Y119" s="7">
        <v>204685</v>
      </c>
      <c r="Z119" s="7">
        <v>132041</v>
      </c>
      <c r="AB119" s="106"/>
      <c r="AC119" s="7">
        <v>199004.67</v>
      </c>
      <c r="AD119" s="7">
        <v>128626.98999999999</v>
      </c>
      <c r="AF119" s="106"/>
      <c r="AG119" s="7">
        <v>198439.67</v>
      </c>
      <c r="AH119" s="7">
        <v>128062.81120000001</v>
      </c>
      <c r="AJ119" s="106"/>
      <c r="AK119" s="7">
        <v>180007.23</v>
      </c>
      <c r="AL119" s="7">
        <v>118848.27620000001</v>
      </c>
      <c r="AN119" s="106"/>
      <c r="AO119" s="158">
        <v>181554</v>
      </c>
      <c r="AP119" s="158">
        <v>119657</v>
      </c>
      <c r="AQ119" s="148"/>
      <c r="AR119" s="106"/>
      <c r="AS119" s="158">
        <v>175872</v>
      </c>
      <c r="AT119" s="158">
        <v>115127</v>
      </c>
    </row>
    <row r="120" spans="1:46">
      <c r="B120" s="36" t="s">
        <v>85</v>
      </c>
      <c r="C120" s="174"/>
      <c r="D120" s="175"/>
      <c r="E120" s="175"/>
      <c r="F120" s="176"/>
      <c r="G120" s="38"/>
      <c r="H120" s="106"/>
      <c r="I120" s="7">
        <v>501857.93</v>
      </c>
      <c r="J120" s="7">
        <v>323483.75708000001</v>
      </c>
      <c r="K120" s="38"/>
      <c r="L120" s="106"/>
      <c r="M120" s="7">
        <v>504842.47</v>
      </c>
      <c r="N120" s="7">
        <v>326853.29707999999</v>
      </c>
      <c r="O120" s="38"/>
      <c r="P120" s="106"/>
      <c r="Q120" s="7">
        <v>447604.07</v>
      </c>
      <c r="R120" s="7">
        <v>298519.07</v>
      </c>
      <c r="S120" s="105"/>
      <c r="T120" s="106"/>
      <c r="U120" s="7">
        <v>423365.07</v>
      </c>
      <c r="V120" s="7">
        <v>284140.07</v>
      </c>
      <c r="X120" s="106"/>
      <c r="Y120" s="7">
        <f>SUM(Y118:Y119)</f>
        <v>425907</v>
      </c>
      <c r="Z120" s="7">
        <f>SUM(Z118:Z119)</f>
        <v>280902.15932636417</v>
      </c>
      <c r="AB120" s="106"/>
      <c r="AC120" s="7">
        <v>420627.80002807616</v>
      </c>
      <c r="AD120" s="7">
        <v>277714.21458999999</v>
      </c>
      <c r="AF120" s="106"/>
      <c r="AG120" s="7">
        <v>425577.74002807622</v>
      </c>
      <c r="AH120" s="7">
        <v>280430.07598589774</v>
      </c>
      <c r="AJ120" s="106"/>
      <c r="AK120" s="7">
        <v>409008.23</v>
      </c>
      <c r="AL120" s="7">
        <v>273080.65698589775</v>
      </c>
      <c r="AN120" s="106"/>
      <c r="AO120" s="158">
        <v>410318</v>
      </c>
      <c r="AP120" s="158">
        <v>273657</v>
      </c>
      <c r="AQ120" s="148"/>
      <c r="AR120" s="106"/>
      <c r="AS120" s="158">
        <v>406581</v>
      </c>
      <c r="AT120" s="158">
        <v>270931</v>
      </c>
    </row>
    <row r="122" spans="1:46">
      <c r="B122" s="189" t="str">
        <f>IF(B3=1,"¹ Ativo Reciclado","¹ Disinvested Asset")</f>
        <v>¹ Ativo Reciclado</v>
      </c>
      <c r="C122" s="189"/>
      <c r="D122" s="189"/>
      <c r="E122" s="189"/>
      <c r="F122" s="189"/>
      <c r="M122" s="102"/>
      <c r="N122" s="102"/>
    </row>
    <row r="123" spans="1:46">
      <c r="B123" s="188" t="str">
        <f>IF(B3=1,"² Patteo Urupema Shopping - permutante com 13%, ativo reclassificado para Malls, com a readequação da ABL para cinema.","² Patteo Urupema Shopping - exchange with 13%, asset reclassified to Malls, with the readjustment of the cinema GLA.")</f>
        <v>² Patteo Urupema Shopping - permutante com 13%, ativo reclassificado para Malls, com a readequação da ABL para cinema.</v>
      </c>
      <c r="C123" s="188"/>
      <c r="D123" s="188"/>
      <c r="E123" s="188"/>
      <c r="F123" s="188"/>
    </row>
    <row r="131" spans="29:30">
      <c r="AC131" s="110"/>
      <c r="AD131" s="110"/>
    </row>
    <row r="132" spans="29:30">
      <c r="AC132" s="110"/>
      <c r="AD132" s="110"/>
    </row>
    <row r="136" spans="29:30">
      <c r="AC136" s="129"/>
      <c r="AD136" s="129"/>
    </row>
  </sheetData>
  <mergeCells count="81">
    <mergeCell ref="B123:F123"/>
    <mergeCell ref="B122:F122"/>
    <mergeCell ref="AO100:AP100"/>
    <mergeCell ref="AO116:AP116"/>
    <mergeCell ref="AN5:AN6"/>
    <mergeCell ref="AO5:AP5"/>
    <mergeCell ref="AO8:AP8"/>
    <mergeCell ref="AO76:AP76"/>
    <mergeCell ref="AO90:AP90"/>
    <mergeCell ref="AK100:AL100"/>
    <mergeCell ref="AK116:AL116"/>
    <mergeCell ref="AJ5:AJ6"/>
    <mergeCell ref="AK5:AL5"/>
    <mergeCell ref="AK8:AL8"/>
    <mergeCell ref="AK76:AL76"/>
    <mergeCell ref="AK90:AL90"/>
    <mergeCell ref="AG100:AH100"/>
    <mergeCell ref="AG116:AH116"/>
    <mergeCell ref="AF5:AF6"/>
    <mergeCell ref="AG5:AH5"/>
    <mergeCell ref="AG8:AH8"/>
    <mergeCell ref="AG76:AH76"/>
    <mergeCell ref="AG90:AH90"/>
    <mergeCell ref="Q116:R116"/>
    <mergeCell ref="Q5:R5"/>
    <mergeCell ref="Q8:R8"/>
    <mergeCell ref="Q76:R76"/>
    <mergeCell ref="Q90:R90"/>
    <mergeCell ref="Q100:R100"/>
    <mergeCell ref="P5:P6"/>
    <mergeCell ref="L5:L6"/>
    <mergeCell ref="H5:H6"/>
    <mergeCell ref="M116:N116"/>
    <mergeCell ref="I5:J5"/>
    <mergeCell ref="I116:J116"/>
    <mergeCell ref="I100:J100"/>
    <mergeCell ref="M5:N5"/>
    <mergeCell ref="M8:N8"/>
    <mergeCell ref="M76:N76"/>
    <mergeCell ref="M90:N90"/>
    <mergeCell ref="M100:N100"/>
    <mergeCell ref="I8:J8"/>
    <mergeCell ref="I76:J76"/>
    <mergeCell ref="I90:J90"/>
    <mergeCell ref="U100:V100"/>
    <mergeCell ref="U116:V116"/>
    <mergeCell ref="T5:T6"/>
    <mergeCell ref="U5:V5"/>
    <mergeCell ref="U8:V8"/>
    <mergeCell ref="U76:V76"/>
    <mergeCell ref="U90:V90"/>
    <mergeCell ref="Y100:Z100"/>
    <mergeCell ref="Y116:Z116"/>
    <mergeCell ref="X5:X6"/>
    <mergeCell ref="Y5:Z5"/>
    <mergeCell ref="Y8:Z8"/>
    <mergeCell ref="Y76:Z76"/>
    <mergeCell ref="Y90:Z90"/>
    <mergeCell ref="C119:F119"/>
    <mergeCell ref="C120:F120"/>
    <mergeCell ref="B5:C5"/>
    <mergeCell ref="C114:F114"/>
    <mergeCell ref="B116:F116"/>
    <mergeCell ref="B117:F117"/>
    <mergeCell ref="C118:F118"/>
    <mergeCell ref="D5:E5"/>
    <mergeCell ref="F5:F6"/>
    <mergeCell ref="AC100:AD100"/>
    <mergeCell ref="AC116:AD116"/>
    <mergeCell ref="AB5:AB6"/>
    <mergeCell ref="AC5:AD5"/>
    <mergeCell ref="AC8:AD8"/>
    <mergeCell ref="AC76:AD76"/>
    <mergeCell ref="AC90:AD90"/>
    <mergeCell ref="AS100:AT100"/>
    <mergeCell ref="AS116:AT116"/>
    <mergeCell ref="AR5:AR6"/>
    <mergeCell ref="AS5:AT5"/>
    <mergeCell ref="AS8:AT8"/>
    <mergeCell ref="AS76:AT76"/>
    <mergeCell ref="AS90:AT90"/>
  </mergeCells>
  <phoneticPr fontId="15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Width="2" fitToHeight="2" orientation="landscape" r:id="rId1"/>
  <rowBreaks count="1" manualBreakCount="1">
    <brk id="58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O75"/>
  <sheetViews>
    <sheetView showGridLines="0" zoomScale="80" zoomScaleNormal="80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3" width="12.7109375" customWidth="1"/>
    <col min="14" max="14" width="12.28515625" bestFit="1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>
      <c r="B4" s="2"/>
    </row>
    <row r="5" spans="2:15" s="70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tr">
        <f>IF($B$3=1,"4T23","4Q23")</f>
        <v>4T23</v>
      </c>
      <c r="K5" s="13" t="str">
        <f>IF($B$3=1,"1T24","1Q24")</f>
        <v>1T24</v>
      </c>
      <c r="L5" s="13" t="str">
        <f>IF($B$3=1,"2T24","2Q24")</f>
        <v>2T24</v>
      </c>
      <c r="M5" s="13" t="str">
        <f>IF($B$3=1,"3T24","3Q24")</f>
        <v>3T24</v>
      </c>
    </row>
    <row r="6" spans="2:15" s="43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5" s="43" customFormat="1" ht="15" customHeight="1">
      <c r="B7" s="94" t="str">
        <f>IF(B3=1,"Vendas Totais","Total Sales")</f>
        <v>Vendas Totais</v>
      </c>
      <c r="C7" s="124">
        <v>33.299999999999997</v>
      </c>
      <c r="D7" s="124">
        <v>36</v>
      </c>
      <c r="E7" s="124">
        <v>41.5</v>
      </c>
      <c r="F7" s="124">
        <v>47</v>
      </c>
      <c r="G7" s="124">
        <v>54.4</v>
      </c>
      <c r="H7" s="124">
        <v>58.1</v>
      </c>
      <c r="I7" s="124">
        <v>62.1</v>
      </c>
      <c r="J7" s="124">
        <v>66</v>
      </c>
      <c r="K7" s="124">
        <v>65.7</v>
      </c>
      <c r="L7" s="124">
        <v>76.8</v>
      </c>
      <c r="M7" s="124">
        <v>81.3</v>
      </c>
      <c r="N7" s="162"/>
      <c r="O7" s="127"/>
    </row>
    <row r="8" spans="2:15" s="43" customFormat="1" ht="15" customHeight="1">
      <c r="B8" s="89" t="str">
        <f>IF(B3=1,"Vendas SSS (%)","Sales SSS (%)")</f>
        <v>Vendas SSS (%)</v>
      </c>
      <c r="C8" s="122">
        <v>0</v>
      </c>
      <c r="D8" s="122">
        <v>0</v>
      </c>
      <c r="E8" s="122">
        <v>0</v>
      </c>
      <c r="F8" s="122">
        <v>0</v>
      </c>
      <c r="G8" s="123">
        <v>0.16700000000000001</v>
      </c>
      <c r="H8" s="123">
        <v>0.14199999999999999</v>
      </c>
      <c r="I8" s="123">
        <v>0.49</v>
      </c>
      <c r="J8" s="125">
        <v>0.17199999999999999</v>
      </c>
      <c r="K8" s="125">
        <v>0.20799999999999999</v>
      </c>
      <c r="L8" s="125">
        <v>0.107</v>
      </c>
      <c r="M8" s="125">
        <v>8.3000000000000004E-2</v>
      </c>
      <c r="N8" s="163"/>
    </row>
    <row r="9" spans="2:15" s="43" customFormat="1" ht="15" customHeight="1">
      <c r="B9" s="94" t="str">
        <f>IF(B3=1,"Aluguéis Totais","Total Rents")</f>
        <v>Aluguéis Totais</v>
      </c>
      <c r="C9" s="122">
        <v>0</v>
      </c>
      <c r="D9" s="122">
        <v>0</v>
      </c>
      <c r="E9" s="122">
        <v>0</v>
      </c>
      <c r="F9" s="122">
        <v>0</v>
      </c>
      <c r="G9" s="124">
        <v>6.62105561</v>
      </c>
      <c r="H9" s="124">
        <v>6.5</v>
      </c>
      <c r="I9" s="124">
        <v>5.9</v>
      </c>
      <c r="J9" s="124">
        <v>6.2</v>
      </c>
      <c r="K9" s="124">
        <v>6.2317205700000002</v>
      </c>
      <c r="L9" s="124">
        <v>6.8</v>
      </c>
      <c r="M9" s="124">
        <v>7.2</v>
      </c>
    </row>
    <row r="10" spans="2:15" s="43" customFormat="1" ht="15" customHeight="1">
      <c r="B10" s="89" t="str">
        <f>IF(B3=1,"Aluguéis SSR (%)","Rents SSR (%)")</f>
        <v>Aluguéis SSR (%)</v>
      </c>
      <c r="C10" s="122">
        <v>0</v>
      </c>
      <c r="D10" s="122">
        <v>0</v>
      </c>
      <c r="E10" s="122">
        <v>0</v>
      </c>
      <c r="F10" s="122">
        <v>0</v>
      </c>
      <c r="G10" s="123">
        <v>5.3735376299999998E-2</v>
      </c>
      <c r="H10" s="123">
        <v>0.14299999999999999</v>
      </c>
      <c r="I10" s="123">
        <v>-0.09</v>
      </c>
      <c r="J10" s="125">
        <v>-0.108</v>
      </c>
      <c r="K10" s="125">
        <v>-8.2000000000000003E-2</v>
      </c>
      <c r="L10" s="125">
        <v>3.1E-2</v>
      </c>
      <c r="M10" s="125">
        <v>6.6000000000000003E-2</v>
      </c>
    </row>
    <row r="11" spans="2:15" s="43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5" s="43" customFormat="1" ht="15" customHeight="1">
      <c r="B12" s="94" t="str">
        <f>IF(B3=1,"Vendas Totais","Total Sales")</f>
        <v>Vendas Totais</v>
      </c>
      <c r="C12" s="124">
        <v>277.10000000000002</v>
      </c>
      <c r="D12" s="124">
        <v>347.2</v>
      </c>
      <c r="E12" s="124">
        <v>333.6</v>
      </c>
      <c r="F12" s="124">
        <v>436.9</v>
      </c>
      <c r="G12" s="124">
        <v>319.3</v>
      </c>
      <c r="H12" s="124">
        <v>367</v>
      </c>
      <c r="I12" s="124">
        <v>364.4</v>
      </c>
      <c r="J12" s="124">
        <v>488</v>
      </c>
      <c r="K12" s="124">
        <v>374.5</v>
      </c>
      <c r="L12" s="124">
        <v>411.3</v>
      </c>
      <c r="M12" s="124">
        <v>404.4</v>
      </c>
    </row>
    <row r="13" spans="2:15" s="43" customFormat="1" ht="15" customHeight="1">
      <c r="B13" s="89" t="str">
        <f>IF(B3=1,"Vendas SSS (%)","Sales SSS (%)")</f>
        <v>Vendas SSS (%)</v>
      </c>
      <c r="C13" s="122">
        <v>0</v>
      </c>
      <c r="D13" s="122">
        <v>0</v>
      </c>
      <c r="E13" s="122">
        <v>0</v>
      </c>
      <c r="F13" s="122">
        <v>0</v>
      </c>
      <c r="G13" s="123">
        <v>0.123</v>
      </c>
      <c r="H13" s="123">
        <v>7.0999999999999994E-2</v>
      </c>
      <c r="I13" s="123">
        <v>5.2999999999999999E-2</v>
      </c>
      <c r="J13" s="125">
        <v>4.2000000000000003E-2</v>
      </c>
      <c r="K13" s="125">
        <v>9.4E-2</v>
      </c>
      <c r="L13" s="125">
        <v>4.2000000000000003E-2</v>
      </c>
      <c r="M13" s="125">
        <v>0.06</v>
      </c>
    </row>
    <row r="14" spans="2:15" s="43" customFormat="1" ht="15" customHeight="1">
      <c r="B14" s="94" t="str">
        <f>IF(B3=1,"Aluguéis Totais","Total Rents")</f>
        <v>Aluguéis Totais</v>
      </c>
      <c r="C14" s="95">
        <v>0</v>
      </c>
      <c r="D14" s="95">
        <v>0</v>
      </c>
      <c r="E14" s="95">
        <v>0</v>
      </c>
      <c r="F14" s="95">
        <v>0</v>
      </c>
      <c r="G14" s="124">
        <v>28.803079060000005</v>
      </c>
      <c r="H14" s="124">
        <v>26</v>
      </c>
      <c r="I14" s="124">
        <v>27.1</v>
      </c>
      <c r="J14" s="124">
        <v>28.8</v>
      </c>
      <c r="K14" s="124">
        <v>30.188831520000004</v>
      </c>
      <c r="L14" s="124">
        <v>27.7</v>
      </c>
      <c r="M14" s="124">
        <v>27.6</v>
      </c>
    </row>
    <row r="15" spans="2:15" s="43" customFormat="1" ht="15" customHeight="1">
      <c r="B15" s="89" t="str">
        <f>IF(B3=1,"Aluguéis SSR (%)","Rents SSR (%)")</f>
        <v>Aluguéis SSR (%)</v>
      </c>
      <c r="C15" s="122">
        <v>0</v>
      </c>
      <c r="D15" s="122">
        <v>0</v>
      </c>
      <c r="E15" s="122">
        <v>0</v>
      </c>
      <c r="F15" s="122">
        <v>0</v>
      </c>
      <c r="G15" s="123">
        <v>9.98E-2</v>
      </c>
      <c r="H15" s="123">
        <v>7.0999999999999994E-2</v>
      </c>
      <c r="I15" s="123">
        <v>6.3E-2</v>
      </c>
      <c r="J15" s="125">
        <v>3.3000000000000002E-2</v>
      </c>
      <c r="K15" s="125">
        <v>4.3495878287373779E-2</v>
      </c>
      <c r="L15" s="125">
        <v>0.03</v>
      </c>
      <c r="M15" s="125">
        <v>3.2000000000000001E-2</v>
      </c>
    </row>
    <row r="16" spans="2:15" s="43" customFormat="1" ht="15" customHeight="1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2:13" s="43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 s="43" customFormat="1" ht="15" customHeight="1">
      <c r="B18" s="71" t="str">
        <f>IF(B3=1,"Receita Bruta (R$ mil)","Gross Revenue (R$ 000')")</f>
        <v>Receita Bruta (R$ mil)</v>
      </c>
      <c r="C18" s="72">
        <f>'DRE - IFRS'!C6</f>
        <v>39473</v>
      </c>
      <c r="D18" s="72">
        <f>'DRE - IFRS'!D6</f>
        <v>39009</v>
      </c>
      <c r="E18" s="72">
        <f>'DRE - IFRS'!E6</f>
        <v>39057</v>
      </c>
      <c r="F18" s="72">
        <f>'DRE - IFRS'!F6</f>
        <v>42305</v>
      </c>
      <c r="G18" s="72">
        <f>'DRE - IFRS'!G6</f>
        <v>40540</v>
      </c>
      <c r="H18" s="72">
        <f>'DRE - IFRS'!H6</f>
        <v>42687</v>
      </c>
      <c r="I18" s="72">
        <f>'DRE - IFRS'!I6</f>
        <v>43804</v>
      </c>
      <c r="J18" s="126">
        <v>44636</v>
      </c>
      <c r="K18" s="126">
        <v>42601</v>
      </c>
      <c r="L18" s="126">
        <v>43886</v>
      </c>
      <c r="M18" s="126">
        <v>45401</v>
      </c>
    </row>
    <row r="19" spans="2:13" s="43" customFormat="1" ht="15" customHeight="1">
      <c r="B19" s="71" t="str">
        <f>IF(B3=1,"Receita Líquida (R$ mil)","Net Revenue (R$ 000')")</f>
        <v>Receita Líquida (R$ mil)</v>
      </c>
      <c r="C19" s="72">
        <f>'DRE - IFRS'!C12</f>
        <v>34134</v>
      </c>
      <c r="D19" s="72">
        <f>'DRE - IFRS'!D12</f>
        <v>34302</v>
      </c>
      <c r="E19" s="72">
        <f>'DRE - IFRS'!E12</f>
        <v>34378</v>
      </c>
      <c r="F19" s="72">
        <f>'DRE - IFRS'!F12</f>
        <v>38052</v>
      </c>
      <c r="G19" s="72">
        <f>'DRE - IFRS'!G12</f>
        <v>36977</v>
      </c>
      <c r="H19" s="72">
        <f>'DRE - IFRS'!H12</f>
        <v>38998</v>
      </c>
      <c r="I19" s="72">
        <f>'DRE - IFRS'!I12</f>
        <v>38371</v>
      </c>
      <c r="J19" s="72">
        <v>39036</v>
      </c>
      <c r="K19" s="72">
        <v>37691</v>
      </c>
      <c r="L19" s="72">
        <v>39774</v>
      </c>
      <c r="M19" s="72">
        <v>41539</v>
      </c>
    </row>
    <row r="20" spans="2:13" s="73" customFormat="1" ht="15" customHeight="1">
      <c r="B20" s="74" t="str">
        <f>IF(B3=1,"NOI (R$ mil)","NOI (R$ 000')")</f>
        <v>NOI (R$ mil)</v>
      </c>
      <c r="C20" s="75">
        <f>'DRE - IFRS'!C20</f>
        <v>27130</v>
      </c>
      <c r="D20" s="75">
        <f>'DRE - IFRS'!D20</f>
        <v>29358</v>
      </c>
      <c r="E20" s="75">
        <f>'DRE - IFRS'!E20</f>
        <v>29919</v>
      </c>
      <c r="F20" s="75">
        <f>'DRE - IFRS'!F20</f>
        <v>32159.646280000001</v>
      </c>
      <c r="G20" s="75">
        <f>'DRE - IFRS'!G20</f>
        <v>31070</v>
      </c>
      <c r="H20" s="75">
        <f>'DRE - IFRS'!H20</f>
        <v>32134</v>
      </c>
      <c r="I20" s="75">
        <f>'DRE - IFRS'!I20</f>
        <v>30052</v>
      </c>
      <c r="J20" s="75">
        <v>31023</v>
      </c>
      <c r="K20" s="75">
        <v>30494</v>
      </c>
      <c r="L20" s="75">
        <v>31598.372370000001</v>
      </c>
      <c r="M20" s="75">
        <v>33409</v>
      </c>
    </row>
    <row r="21" spans="2:13" s="76" customFormat="1" ht="15" customHeight="1">
      <c r="B21" s="77" t="str">
        <f>IF(B3=1,"Margem NOI (%)","NOI Margin (%)")</f>
        <v>Margem NOI (%)</v>
      </c>
      <c r="C21" s="78">
        <f t="shared" ref="C21:H21" si="0">C20/C19</f>
        <v>0.79480869514267305</v>
      </c>
      <c r="D21" s="78">
        <f t="shared" si="0"/>
        <v>0.85586846248032189</v>
      </c>
      <c r="E21" s="78">
        <f t="shared" si="0"/>
        <v>0.8702949560765606</v>
      </c>
      <c r="F21" s="78">
        <f t="shared" si="0"/>
        <v>0.84514996005466203</v>
      </c>
      <c r="G21" s="78">
        <f t="shared" si="0"/>
        <v>0.84025204857073321</v>
      </c>
      <c r="H21" s="78">
        <f t="shared" si="0"/>
        <v>0.82399097389609721</v>
      </c>
      <c r="I21" s="78">
        <f>IFERROR(I20/I19,0)</f>
        <v>0.78319564254254515</v>
      </c>
      <c r="J21" s="78">
        <f>IFERROR(J20/J19,0)</f>
        <v>0.79472794343682751</v>
      </c>
      <c r="K21" s="78">
        <f>IFERROR(K20/K19,0)</f>
        <v>0.80905255896633144</v>
      </c>
      <c r="L21" s="78">
        <f t="shared" ref="L21" si="1">IFERROR(L20/L19,0)</f>
        <v>0.79444794011163078</v>
      </c>
      <c r="M21" s="78">
        <v>0.804280314884807</v>
      </c>
    </row>
    <row r="22" spans="2:13" s="79" customFormat="1" ht="15" customHeight="1">
      <c r="B22" s="74" t="str">
        <f>IF(B3=1,"EBITDA (R$ mil)","EBITDA (R$ 000')")</f>
        <v>EBITDA (R$ mil)</v>
      </c>
      <c r="C22" s="80">
        <f>'DRE - IFRS'!C36+(('DRE - IFRS'!C33+'DRE - IFRS'!C29)*-1)+DFC!C10</f>
        <v>15342.85224</v>
      </c>
      <c r="D22" s="80">
        <f>'DRE - IFRS'!D36+(('DRE - IFRS'!D33+'DRE - IFRS'!D29)*-1)+DFC!D10</f>
        <v>19213.858980000001</v>
      </c>
      <c r="E22" s="80">
        <f>'DRE - IFRS'!E36+(('DRE - IFRS'!E33+'DRE - IFRS'!E29)*-1)+DFC!E10</f>
        <v>19682.288779999999</v>
      </c>
      <c r="F22" s="80">
        <f>'DRE - IFRS'!F36+(('DRE - IFRS'!F33+'DRE - IFRS'!F29)*-1)+DFC!F10</f>
        <v>171254.64627999999</v>
      </c>
      <c r="G22" s="80">
        <f>'DRE - IFRS'!G36+(('DRE - IFRS'!G33+'DRE - IFRS'!G29)*-1)+DFC!G10</f>
        <v>36117.976430000002</v>
      </c>
      <c r="H22" s="80">
        <f>'DRE - IFRS'!H36+(('DRE - IFRS'!H33+'DRE - IFRS'!H29)*-1)+DFC!H10</f>
        <v>20296.022539999998</v>
      </c>
      <c r="I22" s="80">
        <f>'DRE - IFRS'!I36+(('DRE - IFRS'!I33+'DRE - IFRS'!I29)*-1)+DFC!I10</f>
        <v>19047.037049999999</v>
      </c>
      <c r="J22" s="80">
        <v>360173</v>
      </c>
      <c r="K22" s="80">
        <v>18692.790379999999</v>
      </c>
      <c r="L22" s="80">
        <v>17703.728620000002</v>
      </c>
      <c r="M22" s="80">
        <v>22711.999999999996</v>
      </c>
    </row>
    <row r="23" spans="2:13" s="43" customFormat="1" ht="15" customHeight="1">
      <c r="B23" s="71" t="str">
        <f>IF(B3=1,"Margem EBITDA (%)","EBITDA Margin (%)")</f>
        <v>Margem EBITDA (%)</v>
      </c>
      <c r="C23" s="78">
        <f t="shared" ref="C23:L23" si="2">C22/C19</f>
        <v>0.44948884513974335</v>
      </c>
      <c r="D23" s="78">
        <f t="shared" si="2"/>
        <v>0.56013815462655236</v>
      </c>
      <c r="E23" s="78">
        <f t="shared" si="2"/>
        <v>0.57252570772005351</v>
      </c>
      <c r="F23" s="78">
        <f t="shared" si="2"/>
        <v>4.5005425806790704</v>
      </c>
      <c r="G23" s="78">
        <f t="shared" si="2"/>
        <v>0.97676870568191043</v>
      </c>
      <c r="H23" s="78">
        <f t="shared" si="2"/>
        <v>0.52043752346274164</v>
      </c>
      <c r="I23" s="78">
        <f t="shared" si="2"/>
        <v>0.4963914688175966</v>
      </c>
      <c r="J23" s="78">
        <f t="shared" si="2"/>
        <v>9.2266881852648837</v>
      </c>
      <c r="K23" s="78">
        <f t="shared" si="2"/>
        <v>0.49594837971929634</v>
      </c>
      <c r="L23" s="78">
        <f t="shared" si="2"/>
        <v>0.44510807613013531</v>
      </c>
      <c r="M23" s="78">
        <v>0.54676328269818719</v>
      </c>
    </row>
    <row r="24" spans="2:13" s="79" customFormat="1" ht="15" customHeight="1">
      <c r="B24" s="74" t="str">
        <f>IF(B3=1,"EBITDA Ajustado (R$ mil)","Adjusted EBITDA (R$ 000')")</f>
        <v>EBITDA Ajustado (R$ mil)</v>
      </c>
      <c r="C24" s="80">
        <f>(('DRE - IFRS'!C25+'DRE - IFRS'!C26+'DRE - IFRS'!C27)*-1)+Indicadores!C22</f>
        <v>17750.85224</v>
      </c>
      <c r="D24" s="80">
        <f>(('DRE - IFRS'!D25+'DRE - IFRS'!D26+'DRE - IFRS'!D27)*-1)+Indicadores!D22</f>
        <v>21084.858980000001</v>
      </c>
      <c r="E24" s="80">
        <f>(('DRE - IFRS'!E25+'DRE - IFRS'!E26+'DRE - IFRS'!E27)*-1)+Indicadores!E22</f>
        <v>20557.288779999999</v>
      </c>
      <c r="F24" s="80">
        <f>(('DRE - IFRS'!F25+'DRE - IFRS'!F26+'DRE - IFRS'!F27)*-1)+Indicadores!F22</f>
        <v>26655.646279999986</v>
      </c>
      <c r="G24" s="80">
        <f>(('DRE - IFRS'!G25+'DRE - IFRS'!G26+'DRE - IFRS'!G27)*-1)+Indicadores!G22</f>
        <v>20792.976430000002</v>
      </c>
      <c r="H24" s="80">
        <f>(('DRE - IFRS'!H25+'DRE - IFRS'!H26+'DRE - IFRS'!H27)*-1)+Indicadores!H22</f>
        <v>20407.022539999998</v>
      </c>
      <c r="I24" s="80">
        <f>(('DRE - IFRS'!I25+'DRE - IFRS'!I26+'DRE - IFRS'!I27)*-1)+Indicadores!I22</f>
        <v>19092.037049999999</v>
      </c>
      <c r="J24" s="80">
        <v>19303</v>
      </c>
      <c r="K24" s="80">
        <v>17960.790379999999</v>
      </c>
      <c r="L24" s="80">
        <v>20713.728620000002</v>
      </c>
      <c r="M24" s="80">
        <v>23066.999999999996</v>
      </c>
    </row>
    <row r="25" spans="2:13" s="79" customFormat="1" ht="15" customHeight="1">
      <c r="B25" s="74" t="str">
        <f>IF(B3=1,"Margem EBITDA Ajustado (%)","Adjusted EBITDA Margin (%)")</f>
        <v>Margem EBITDA Ajustado (%)</v>
      </c>
      <c r="C25" s="81">
        <f t="shared" ref="C25:H25" si="3">C24/C19</f>
        <v>0.52003434229800205</v>
      </c>
      <c r="D25" s="81">
        <f t="shared" si="3"/>
        <v>0.61468307912075104</v>
      </c>
      <c r="E25" s="81">
        <f t="shared" si="3"/>
        <v>0.59797803188085397</v>
      </c>
      <c r="F25" s="81">
        <f t="shared" si="3"/>
        <v>0.70050578892042437</v>
      </c>
      <c r="G25" s="81">
        <f t="shared" si="3"/>
        <v>0.56232188738945843</v>
      </c>
      <c r="H25" s="81">
        <f t="shared" si="3"/>
        <v>0.52328382327298828</v>
      </c>
      <c r="I25" s="81">
        <f>IFERROR(I24/I19,0)</f>
        <v>0.49756422949623413</v>
      </c>
      <c r="J25" s="81">
        <f>IFERROR(J24/J19,0)</f>
        <v>0.49449226355159343</v>
      </c>
      <c r="K25" s="81">
        <f>IFERROR(K24/K19,0)</f>
        <v>0.47652729776339176</v>
      </c>
      <c r="L25" s="81">
        <f t="shared" ref="L25" si="4">IFERROR(L24/L19,0)</f>
        <v>0.52078565444762914</v>
      </c>
      <c r="M25" s="81">
        <v>0.55530946821059723</v>
      </c>
    </row>
    <row r="26" spans="2:13" s="73" customFormat="1" ht="15" customHeight="1">
      <c r="B26" s="82" t="str">
        <f>IF(B3=1,"Lucro/Prejuízo do Período (R$ mil)","Profit / Loss for the Period (R$ 000')")</f>
        <v>Lucro/Prejuízo do Período (R$ mil)</v>
      </c>
      <c r="C26" s="75">
        <f>'DRE - IFRS'!C36</f>
        <v>-4007</v>
      </c>
      <c r="D26" s="75">
        <f>'DRE - IFRS'!D36</f>
        <v>-5081</v>
      </c>
      <c r="E26" s="75">
        <f>'DRE - IFRS'!E36</f>
        <v>5471</v>
      </c>
      <c r="F26" s="75">
        <f>'DRE - IFRS'!F36</f>
        <v>124100.64627999999</v>
      </c>
      <c r="G26" s="75">
        <f>'DRE - IFRS'!G36</f>
        <v>5409</v>
      </c>
      <c r="H26" s="75">
        <f>'DRE - IFRS'!H36</f>
        <v>-8121</v>
      </c>
      <c r="I26" s="75">
        <f>'DRE - IFRS'!I36</f>
        <v>-4252</v>
      </c>
      <c r="J26" s="80">
        <v>274180</v>
      </c>
      <c r="K26" s="80">
        <v>-13049.209620000001</v>
      </c>
      <c r="L26" s="80">
        <v>-15366</v>
      </c>
      <c r="M26" s="80">
        <v>-13849.774059999996</v>
      </c>
    </row>
    <row r="27" spans="2:13" s="76" customFormat="1" ht="15" customHeight="1">
      <c r="B27" s="77" t="str">
        <f>IF(B3=1,"Margem Líquida (%)","Net Margin (%)")</f>
        <v>Margem Líquida (%)</v>
      </c>
      <c r="C27" s="78">
        <f t="shared" ref="C27:K27" si="5">C26/C19</f>
        <v>-0.11739028534598933</v>
      </c>
      <c r="D27" s="78">
        <f t="shared" si="5"/>
        <v>-0.14812547373331</v>
      </c>
      <c r="E27" s="78">
        <f t="shared" si="5"/>
        <v>0.15914247483855953</v>
      </c>
      <c r="F27" s="78">
        <f t="shared" si="5"/>
        <v>3.2613435898244503</v>
      </c>
      <c r="G27" s="78">
        <f t="shared" si="5"/>
        <v>0.146280120074641</v>
      </c>
      <c r="H27" s="78">
        <f t="shared" si="5"/>
        <v>-0.20824144827939894</v>
      </c>
      <c r="I27" s="78">
        <f t="shared" si="5"/>
        <v>-0.11081285345703787</v>
      </c>
      <c r="J27" s="78">
        <f t="shared" si="5"/>
        <v>7.0237729275540524</v>
      </c>
      <c r="K27" s="78">
        <f t="shared" si="5"/>
        <v>-0.34621553208988887</v>
      </c>
      <c r="L27" s="78">
        <f>L26/L19</f>
        <v>-0.38633278020817619</v>
      </c>
      <c r="M27" s="78">
        <v>-0.33341616456823697</v>
      </c>
    </row>
    <row r="28" spans="2:13" s="73" customFormat="1" ht="15" customHeight="1">
      <c r="B28" s="74" t="str">
        <f>IF(B3=1,"FFO Ajustado (R$ mil)","Adjusted FFO (R$ 000')")</f>
        <v>FFO Ajustado (R$ mil)</v>
      </c>
      <c r="C28" s="80">
        <f>'DRE - IFRS'!C36+('DRE - IFRS'!C27*-1)+DFC!C10-'DRE - IFRS'!C35</f>
        <v>-1720.1477600000001</v>
      </c>
      <c r="D28" s="80">
        <f>'DRE - IFRS'!D36+('DRE - IFRS'!D27*-1)+DFC!D10-'DRE - IFRS'!D35</f>
        <v>-2791.14102</v>
      </c>
      <c r="E28" s="80">
        <f>'DRE - IFRS'!E36+('DRE - IFRS'!E27*-1)+DFC!E10-'DRE - IFRS'!E35</f>
        <v>7236.2887799999999</v>
      </c>
      <c r="F28" s="80">
        <f>'DRE - IFRS'!F36-'DRE - IFRS'!F27+('DRE - IFRS'!F26*-1)+DFC!F10-'DRE - IFRS'!F35</f>
        <v>-485.35372000001371</v>
      </c>
      <c r="G28" s="80">
        <f>'DRE - IFRS'!G36-'DRE - IFRS'!G27+('DRE - IFRS'!G26*-1)+DFC!G10-'DRE - IFRS'!G35</f>
        <v>6315.9764299999997</v>
      </c>
      <c r="H28" s="80">
        <f>'DRE - IFRS'!H36-'DRE - IFRS'!H27+('DRE - IFRS'!H26*-1)+DFC!H10-'DRE - IFRS'!H35</f>
        <v>-7333.9774600000001</v>
      </c>
      <c r="I28" s="80">
        <f>'DRE - IFRS'!I36-'DRE - IFRS'!I27+('DRE - IFRS'!I26*-1)+DFC!I10-'DRE - IFRS'!I35</f>
        <v>-3671.9629499999996</v>
      </c>
      <c r="J28" s="80">
        <v>-6275</v>
      </c>
      <c r="K28" s="80">
        <v>-12726</v>
      </c>
      <c r="L28" s="80">
        <v>-13416.4347</v>
      </c>
      <c r="M28" s="80">
        <v>-13252</v>
      </c>
    </row>
    <row r="29" spans="2:13" s="43" customFormat="1" ht="15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2:13" s="43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s="43" customFormat="1" ht="15" customHeight="1">
      <c r="B31" s="71" t="str">
        <f>IF(B3=1,"Receita Bruta (R$ mil)","Gross Revenue (R$ 000')")</f>
        <v>Receita Bruta (R$ mil)</v>
      </c>
      <c r="C31" s="72">
        <f>'DRE - Gerencial'!C6</f>
        <v>38735</v>
      </c>
      <c r="D31" s="72">
        <f>'DRE - Gerencial'!D6</f>
        <v>38910</v>
      </c>
      <c r="E31" s="72">
        <f>'DRE - Gerencial'!E6</f>
        <v>38298</v>
      </c>
      <c r="F31" s="72">
        <f>'DRE - Gerencial'!F6</f>
        <v>41000</v>
      </c>
      <c r="G31" s="72">
        <f>'DRE - Gerencial'!G6</f>
        <v>39404</v>
      </c>
      <c r="H31" s="72">
        <f>'DRE - Gerencial'!H6</f>
        <v>41339</v>
      </c>
      <c r="I31" s="72">
        <f>'DRE - Gerencial'!I6</f>
        <v>41729</v>
      </c>
      <c r="J31" s="72">
        <v>42438</v>
      </c>
      <c r="K31" s="72">
        <v>40569</v>
      </c>
      <c r="L31" s="72">
        <v>41139</v>
      </c>
      <c r="M31" s="72">
        <v>42235</v>
      </c>
    </row>
    <row r="32" spans="2:13" s="43" customFormat="1" ht="15" customHeight="1">
      <c r="B32" s="71" t="str">
        <f>IF(B3=1,"Receita Líquida (R$ mil)","Net Revenue (R$ 000')")</f>
        <v>Receita Líquida (R$ mil)</v>
      </c>
      <c r="C32" s="72">
        <f>'DRE - Gerencial'!C8</f>
        <v>33128</v>
      </c>
      <c r="D32" s="72">
        <f>'DRE - Gerencial'!D8</f>
        <v>34014</v>
      </c>
      <c r="E32" s="72">
        <f>'DRE - Gerencial'!E8</f>
        <v>33310</v>
      </c>
      <c r="F32" s="72">
        <f>'DRE - Gerencial'!F8</f>
        <v>36363</v>
      </c>
      <c r="G32" s="72">
        <f>'DRE - Gerencial'!G8</f>
        <v>35261</v>
      </c>
      <c r="H32" s="72">
        <f>'DRE - Gerencial'!H8</f>
        <v>37071</v>
      </c>
      <c r="I32" s="72">
        <f>'DRE - Gerencial'!I8</f>
        <v>35827</v>
      </c>
      <c r="J32" s="72">
        <v>36495</v>
      </c>
      <c r="K32" s="72">
        <v>35367</v>
      </c>
      <c r="L32" s="72">
        <v>36634</v>
      </c>
      <c r="M32" s="72">
        <v>38051</v>
      </c>
    </row>
    <row r="33" spans="2:14" s="43" customFormat="1" ht="15" customHeight="1">
      <c r="B33" s="74" t="str">
        <f>IF(B3=1,"NOI (R$ mil)","NOI (R$ 000')")</f>
        <v>NOI (R$ mil)</v>
      </c>
      <c r="C33" s="75">
        <f>'DRE - Gerencial'!C10</f>
        <v>25556</v>
      </c>
      <c r="D33" s="75">
        <f>'DRE - Gerencial'!D10</f>
        <v>27453</v>
      </c>
      <c r="E33" s="75">
        <f>'DRE - Gerencial'!E10</f>
        <v>28001</v>
      </c>
      <c r="F33" s="75">
        <f>'DRE - Gerencial'!F10</f>
        <v>30058</v>
      </c>
      <c r="G33" s="75">
        <f>'DRE - Gerencial'!G10</f>
        <v>28936</v>
      </c>
      <c r="H33" s="75">
        <f>'DRE - Gerencial'!H10</f>
        <v>30090</v>
      </c>
      <c r="I33" s="75">
        <f>'DRE - Gerencial'!I10</f>
        <v>28688</v>
      </c>
      <c r="J33" s="75">
        <v>30949</v>
      </c>
      <c r="K33" s="75">
        <v>28525</v>
      </c>
      <c r="L33" s="75">
        <v>28830</v>
      </c>
      <c r="M33" s="75">
        <v>30514</v>
      </c>
    </row>
    <row r="34" spans="2:14" s="43" customFormat="1" ht="15" customHeight="1">
      <c r="B34" s="77" t="str">
        <f>IF(B3=1,"Margem NOI (%)","NOI Margin (%)")</f>
        <v>Margem NOI (%)</v>
      </c>
      <c r="C34" s="78">
        <f t="shared" ref="C34:H34" si="6">C33/C32</f>
        <v>0.7714320212509056</v>
      </c>
      <c r="D34" s="78">
        <f t="shared" si="6"/>
        <v>0.80710883753748452</v>
      </c>
      <c r="E34" s="78">
        <f t="shared" si="6"/>
        <v>0.84061843290303218</v>
      </c>
      <c r="F34" s="78">
        <f t="shared" si="6"/>
        <v>0.82660946566564919</v>
      </c>
      <c r="G34" s="78">
        <f t="shared" si="6"/>
        <v>0.82062335157823085</v>
      </c>
      <c r="H34" s="78">
        <f t="shared" si="6"/>
        <v>0.81168568422756338</v>
      </c>
      <c r="I34" s="78">
        <f>IFERROR(I33/I32,0)</f>
        <v>0.80073687442431685</v>
      </c>
      <c r="J34" s="78">
        <f>IFERROR(J33/J32,0)</f>
        <v>0.84803397725715857</v>
      </c>
      <c r="K34" s="78">
        <f>IFERROR(K33/K32,0)</f>
        <v>0.80654282240506692</v>
      </c>
      <c r="L34" s="78">
        <v>0.78697384942949178</v>
      </c>
      <c r="M34" s="78">
        <v>0.80192373393603322</v>
      </c>
    </row>
    <row r="35" spans="2:14" s="43" customFormat="1" ht="15" customHeight="1">
      <c r="B35" s="74" t="str">
        <f>IF(B3=1,"EBITDA (R$ mil)","EBITDA (R$ 000')")</f>
        <v>EBITDA (R$ mil)</v>
      </c>
      <c r="C35" s="80">
        <v>16190</v>
      </c>
      <c r="D35" s="120">
        <v>18043.400000000001</v>
      </c>
      <c r="E35" s="80">
        <v>18701</v>
      </c>
      <c r="F35" s="80">
        <v>105354</v>
      </c>
      <c r="G35" s="80">
        <v>30728</v>
      </c>
      <c r="H35" s="80">
        <v>18495</v>
      </c>
      <c r="I35" s="80">
        <v>17886</v>
      </c>
      <c r="J35" s="80">
        <v>225162</v>
      </c>
      <c r="K35" s="80">
        <v>16564</v>
      </c>
      <c r="L35" s="80">
        <v>13841</v>
      </c>
      <c r="M35" s="80">
        <v>19294</v>
      </c>
    </row>
    <row r="36" spans="2:14" s="43" customFormat="1" ht="15" customHeight="1">
      <c r="B36" s="71" t="str">
        <f>IF(B3=1,"Margem EBITDA (%)","EBITDA Margin (%)")</f>
        <v>Margem EBITDA (%)</v>
      </c>
      <c r="C36" s="78">
        <f t="shared" ref="C36:H36" si="7">C35/C32</f>
        <v>0.4887104564114948</v>
      </c>
      <c r="D36" s="121">
        <f t="shared" si="7"/>
        <v>0.53046980655024401</v>
      </c>
      <c r="E36" s="78">
        <f t="shared" si="7"/>
        <v>0.56142299609726809</v>
      </c>
      <c r="F36" s="78">
        <f t="shared" si="7"/>
        <v>2.8972857024997936</v>
      </c>
      <c r="G36" s="78">
        <f t="shared" si="7"/>
        <v>0.87144437196903091</v>
      </c>
      <c r="H36" s="78">
        <f t="shared" si="7"/>
        <v>0.49890750182083032</v>
      </c>
      <c r="I36" s="78">
        <f>IFERROR(I35/I32,0)</f>
        <v>0.49923242247466992</v>
      </c>
      <c r="J36" s="78">
        <f>IFERROR(J35/J32,0)</f>
        <v>6.1696670776818738</v>
      </c>
      <c r="K36" s="78">
        <f>IFERROR(K35/K32,0)</f>
        <v>0.46834619843356801</v>
      </c>
      <c r="L36" s="78">
        <v>0.37781842004695093</v>
      </c>
      <c r="M36" s="78">
        <v>0.50705631915061367</v>
      </c>
    </row>
    <row r="37" spans="2:14" s="43" customFormat="1" ht="15" customHeight="1">
      <c r="B37" s="74" t="str">
        <f>IF(B3=1,"EBITDA Ajustado (R$ mil)","Adjusted EBITDA (R$ 000')")</f>
        <v>EBITDA Ajustado (R$ mil)</v>
      </c>
      <c r="C37" s="80">
        <v>16506</v>
      </c>
      <c r="D37" s="120">
        <v>17854.400000000001</v>
      </c>
      <c r="E37" s="80">
        <v>18192</v>
      </c>
      <c r="F37" s="80">
        <v>24311</v>
      </c>
      <c r="G37" s="80">
        <v>18966</v>
      </c>
      <c r="H37" s="80">
        <v>18404</v>
      </c>
      <c r="I37" s="80">
        <v>18655</v>
      </c>
      <c r="J37" s="80">
        <v>20201</v>
      </c>
      <c r="K37" s="80">
        <v>16377</v>
      </c>
      <c r="L37" s="80">
        <v>18285</v>
      </c>
      <c r="M37" s="80">
        <v>20710</v>
      </c>
    </row>
    <row r="38" spans="2:14" s="43" customFormat="1" ht="15" customHeight="1">
      <c r="B38" s="71" t="str">
        <f>IF(B3=1,"Margem EBITDA Ajustado (%)","Adjusted EBITDA Margin (%)")</f>
        <v>Margem EBITDA Ajustado (%)</v>
      </c>
      <c r="C38" s="78">
        <f>C37/C32</f>
        <v>0.49824921516541898</v>
      </c>
      <c r="D38" s="78">
        <f t="shared" ref="D38:L38" si="8">D37/D32</f>
        <v>0.52491327100605634</v>
      </c>
      <c r="E38" s="78">
        <f t="shared" si="8"/>
        <v>0.54614229960972682</v>
      </c>
      <c r="F38" s="78">
        <f t="shared" si="8"/>
        <v>0.6685641998734978</v>
      </c>
      <c r="G38" s="78">
        <f t="shared" si="8"/>
        <v>0.53787470576557672</v>
      </c>
      <c r="H38" s="78">
        <f t="shared" si="8"/>
        <v>0.49645275282565887</v>
      </c>
      <c r="I38" s="78">
        <f t="shared" si="8"/>
        <v>0.52069668127389956</v>
      </c>
      <c r="J38" s="78">
        <f t="shared" si="8"/>
        <v>0.55352788053157964</v>
      </c>
      <c r="K38" s="78">
        <f t="shared" si="8"/>
        <v>0.46305878361184155</v>
      </c>
      <c r="L38" s="78">
        <f t="shared" si="8"/>
        <v>0.49912649451329366</v>
      </c>
      <c r="M38" s="78">
        <v>0.54426953299519065</v>
      </c>
    </row>
    <row r="39" spans="2:14" s="43" customFormat="1" ht="15" customHeight="1">
      <c r="B39" s="82" t="str">
        <f>IF(B3=1,"Lucro/Prejuízo do Período (R$ mil)","Profit / Loss for the Period (R$ 000')")</f>
        <v>Lucro/Prejuízo do Período (R$ mil)</v>
      </c>
      <c r="C39" s="75">
        <f>'DRE - Gerencial'!C24</f>
        <v>-5512</v>
      </c>
      <c r="D39" s="120">
        <f>'DRE - Gerencial'!D24</f>
        <v>-7415</v>
      </c>
      <c r="E39" s="75">
        <f>'DRE - Gerencial'!E24</f>
        <v>3852.0999999999985</v>
      </c>
      <c r="F39" s="75">
        <f>'DRE - Gerencial'!F24</f>
        <v>72114</v>
      </c>
      <c r="G39" s="75">
        <f>'DRE - Gerencial'!G24</f>
        <v>-1504</v>
      </c>
      <c r="H39" s="75">
        <f>'DRE - Gerencial'!H24</f>
        <v>-10773</v>
      </c>
      <c r="I39" s="75">
        <f>'DRE - Gerencial'!I24</f>
        <v>-6835</v>
      </c>
      <c r="J39" s="75">
        <v>150953</v>
      </c>
      <c r="K39" s="75">
        <v>-16017</v>
      </c>
      <c r="L39" s="75">
        <v>-19453</v>
      </c>
      <c r="M39" s="75">
        <v>-17253</v>
      </c>
    </row>
    <row r="40" spans="2:14" s="43" customFormat="1" ht="15" customHeight="1">
      <c r="B40" s="77" t="str">
        <f>IF(B3=1,"Margem Líquida (%)","Net Margin (%)")</f>
        <v>Margem Líquida (%)</v>
      </c>
      <c r="C40" s="78">
        <f t="shared" ref="C40:J40" si="9">IFERROR(C39/C32,0)</f>
        <v>-0.16638493117604444</v>
      </c>
      <c r="D40" s="78">
        <f t="shared" si="9"/>
        <v>-0.21799847121773389</v>
      </c>
      <c r="E40" s="78">
        <f t="shared" si="9"/>
        <v>0.11564395076553582</v>
      </c>
      <c r="F40" s="78">
        <f t="shared" si="9"/>
        <v>1.9831697054698456</v>
      </c>
      <c r="G40" s="78">
        <f t="shared" si="9"/>
        <v>-4.2653356399421458E-2</v>
      </c>
      <c r="H40" s="78">
        <f t="shared" si="9"/>
        <v>-0.29060451565914058</v>
      </c>
      <c r="I40" s="78">
        <f t="shared" si="9"/>
        <v>-0.1907779049320345</v>
      </c>
      <c r="J40" s="78">
        <f t="shared" si="9"/>
        <v>4.1362652418139474</v>
      </c>
      <c r="K40" s="78">
        <f>IFERROR(K39/K32,0)</f>
        <v>-0.45287980320637883</v>
      </c>
      <c r="L40" s="78">
        <v>-0.53100944477807499</v>
      </c>
      <c r="M40" s="78">
        <v>-0.45341778139864919</v>
      </c>
    </row>
    <row r="41" spans="2:14" s="128" customFormat="1" ht="15" customHeight="1">
      <c r="B41" s="74" t="str">
        <f>IF(B3=1,"FFO Ajustado (R$ mil)","Adjusted FFO (R$ 000')")</f>
        <v>FFO Ajustado (R$ mil)</v>
      </c>
      <c r="C41" s="80">
        <v>-5334</v>
      </c>
      <c r="D41" s="80">
        <v>-7137.5999999999985</v>
      </c>
      <c r="E41" s="80">
        <v>4117</v>
      </c>
      <c r="F41" s="80">
        <v>-5717.2</v>
      </c>
      <c r="G41" s="80">
        <v>-1072</v>
      </c>
      <c r="H41" s="80">
        <v>-10278</v>
      </c>
      <c r="I41" s="80">
        <v>-6406</v>
      </c>
      <c r="J41" s="80">
        <v>-6528</v>
      </c>
      <c r="K41" s="80">
        <v>-14806</v>
      </c>
      <c r="L41" s="80">
        <v>-15846</v>
      </c>
      <c r="M41" s="80">
        <v>-15568</v>
      </c>
    </row>
    <row r="42" spans="2:14" s="43" customFormat="1" ht="15" customHeight="1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2:14" s="43" customFormat="1" ht="18.75" customHeight="1">
      <c r="B43" s="9" t="str">
        <f>IF(B3=1,"Endividamento IFRS","IFRS Debt")</f>
        <v>Endividamento IFRS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2:14" s="73" customFormat="1" ht="15" customHeight="1">
      <c r="B44" s="74" t="str">
        <f>IF(B3=1,"Dívida Bruta","Gross Debt")</f>
        <v>Dívida Bruta</v>
      </c>
      <c r="C44" s="75">
        <f t="shared" ref="C44:H44" si="10">SUM(C45:C47)</f>
        <v>1081127</v>
      </c>
      <c r="D44" s="75">
        <f t="shared" si="10"/>
        <v>1090680</v>
      </c>
      <c r="E44" s="75">
        <f t="shared" si="10"/>
        <v>1094554</v>
      </c>
      <c r="F44" s="75">
        <f t="shared" si="10"/>
        <v>1169848</v>
      </c>
      <c r="G44" s="75">
        <f t="shared" si="10"/>
        <v>1170939</v>
      </c>
      <c r="H44" s="75">
        <f t="shared" si="10"/>
        <v>1167804</v>
      </c>
      <c r="I44" s="75">
        <f>SUM(I45:I47)</f>
        <v>1166618</v>
      </c>
      <c r="J44" s="75">
        <f>SUM(J45:J47)</f>
        <v>1246192</v>
      </c>
      <c r="K44" s="75">
        <f>SUM(K45:K47)</f>
        <v>1389375</v>
      </c>
      <c r="L44" s="75">
        <v>1447492</v>
      </c>
      <c r="M44" s="75">
        <v>1451399</v>
      </c>
      <c r="N44" s="166"/>
    </row>
    <row r="45" spans="2:14" s="43" customFormat="1" ht="15" customHeight="1">
      <c r="B45" s="62" t="str">
        <f>IF(B3=1,"Em Operação","In Operation")</f>
        <v>Em Operação</v>
      </c>
      <c r="C45" s="72">
        <v>961525</v>
      </c>
      <c r="D45" s="72">
        <v>969009</v>
      </c>
      <c r="E45" s="72">
        <v>956040</v>
      </c>
      <c r="F45" s="72">
        <v>992255</v>
      </c>
      <c r="G45" s="72">
        <v>979866</v>
      </c>
      <c r="H45" s="72">
        <v>1070929</v>
      </c>
      <c r="I45" s="72">
        <v>1058366</v>
      </c>
      <c r="J45" s="72">
        <v>1113029</v>
      </c>
      <c r="K45" s="72">
        <v>1188624</v>
      </c>
      <c r="L45" s="72">
        <v>1227937</v>
      </c>
      <c r="M45" s="72">
        <v>1217209</v>
      </c>
    </row>
    <row r="46" spans="2:14" s="43" customFormat="1" ht="15" customHeight="1">
      <c r="B46" s="62" t="str">
        <f>IF(B3=1,"Em Construção","Under Construction")</f>
        <v>Em Construção</v>
      </c>
      <c r="C46" s="72">
        <v>75555</v>
      </c>
      <c r="D46" s="72">
        <v>87554</v>
      </c>
      <c r="E46" s="72">
        <v>114863</v>
      </c>
      <c r="F46" s="72">
        <v>163298</v>
      </c>
      <c r="G46" s="72">
        <v>183930</v>
      </c>
      <c r="H46" s="72">
        <v>96875</v>
      </c>
      <c r="I46" s="72">
        <v>108252</v>
      </c>
      <c r="J46" s="72">
        <v>133163</v>
      </c>
      <c r="K46" s="72">
        <v>149784</v>
      </c>
      <c r="L46" s="72">
        <v>166957</v>
      </c>
      <c r="M46" s="72">
        <v>183234</v>
      </c>
    </row>
    <row r="47" spans="2:14" s="43" customFormat="1" ht="15" customHeight="1">
      <c r="B47" s="62" t="str">
        <f>IF(B3=1,"Corporativo","Corporate")</f>
        <v>Corporativo</v>
      </c>
      <c r="C47" s="72">
        <v>44047</v>
      </c>
      <c r="D47" s="72">
        <v>34117</v>
      </c>
      <c r="E47" s="72">
        <v>23651</v>
      </c>
      <c r="F47" s="72">
        <v>14295</v>
      </c>
      <c r="G47" s="72">
        <v>7143</v>
      </c>
      <c r="H47" s="72">
        <v>0</v>
      </c>
      <c r="I47" s="72">
        <v>0</v>
      </c>
      <c r="J47" s="72">
        <v>0</v>
      </c>
      <c r="K47" s="72">
        <v>50967</v>
      </c>
      <c r="L47" s="72">
        <v>52598</v>
      </c>
      <c r="M47" s="72">
        <v>50956</v>
      </c>
    </row>
    <row r="48" spans="2:14" s="73" customFormat="1" ht="15" customHeight="1">
      <c r="B48" s="74" t="str">
        <f>IF(B3=1,"Disponibilidades","Cash and Equivalents")</f>
        <v>Disponibilidades</v>
      </c>
      <c r="C48" s="75">
        <f t="shared" ref="C48:J48" si="11">C49</f>
        <v>-412401</v>
      </c>
      <c r="D48" s="75">
        <f t="shared" si="11"/>
        <v>-375166</v>
      </c>
      <c r="E48" s="75">
        <f t="shared" si="11"/>
        <v>-341402</v>
      </c>
      <c r="F48" s="75">
        <f t="shared" si="11"/>
        <v>-306005</v>
      </c>
      <c r="G48" s="75">
        <f t="shared" si="11"/>
        <v>-268505</v>
      </c>
      <c r="H48" s="75">
        <f t="shared" si="11"/>
        <v>-227635</v>
      </c>
      <c r="I48" s="75">
        <f t="shared" si="11"/>
        <v>-175817</v>
      </c>
      <c r="J48" s="75">
        <f t="shared" si="11"/>
        <v>-188582</v>
      </c>
      <c r="K48" s="75">
        <f>K49</f>
        <v>-229466</v>
      </c>
      <c r="L48" s="75">
        <v>-199482</v>
      </c>
      <c r="M48" s="75">
        <v>-137973</v>
      </c>
    </row>
    <row r="49" spans="2:14" s="43" customFormat="1" ht="15" customHeight="1">
      <c r="B49" s="62" t="str">
        <f>IF(B3=1,"Caixa, Investimentos e Valores Mobiliários","Cash and Equivalents")</f>
        <v>Caixa, Investimentos e Valores Mobiliários</v>
      </c>
      <c r="C49" s="72">
        <v>-412401</v>
      </c>
      <c r="D49" s="72">
        <v>-375166</v>
      </c>
      <c r="E49" s="72">
        <v>-341402</v>
      </c>
      <c r="F49" s="72">
        <v>-306005</v>
      </c>
      <c r="G49" s="72">
        <v>-268505</v>
      </c>
      <c r="H49" s="72">
        <v>-227635</v>
      </c>
      <c r="I49" s="72">
        <v>-175817</v>
      </c>
      <c r="J49" s="72">
        <v>-188582</v>
      </c>
      <c r="K49" s="72">
        <v>-229466</v>
      </c>
      <c r="L49" s="72">
        <v>-199482</v>
      </c>
      <c r="M49" s="72">
        <v>-137973</v>
      </c>
    </row>
    <row r="50" spans="2:14" s="73" customFormat="1" ht="15" customHeight="1">
      <c r="B50" s="74" t="str">
        <f>IF(B3=1,"Dívida Líquida Total","Net Debt")</f>
        <v>Dívida Líquida Total</v>
      </c>
      <c r="C50" s="85">
        <v>668726</v>
      </c>
      <c r="D50" s="85">
        <v>715514</v>
      </c>
      <c r="E50" s="85">
        <v>753152</v>
      </c>
      <c r="F50" s="85">
        <v>863843</v>
      </c>
      <c r="G50" s="85">
        <v>902434</v>
      </c>
      <c r="H50" s="85">
        <v>940169</v>
      </c>
      <c r="I50" s="85">
        <v>990801</v>
      </c>
      <c r="J50" s="85">
        <v>1057610</v>
      </c>
      <c r="K50" s="85">
        <v>1159909</v>
      </c>
      <c r="L50" s="85">
        <v>1248010</v>
      </c>
      <c r="M50" s="85">
        <v>1313426</v>
      </c>
      <c r="N50" s="167"/>
    </row>
    <row r="51" spans="2:14" s="43" customFormat="1" ht="15" customHeight="1">
      <c r="B51" s="62" t="str">
        <f>IF(B3=1,"PPI - Propriedades para Investimento","Properties for Investment - PPI")</f>
        <v>PPI - Propriedades para Investimento</v>
      </c>
      <c r="C51" s="86">
        <v>2796175</v>
      </c>
      <c r="D51" s="86">
        <v>2852444</v>
      </c>
      <c r="E51" s="86">
        <v>3123185</v>
      </c>
      <c r="F51" s="86">
        <v>3435286</v>
      </c>
      <c r="G51" s="86">
        <v>3453936</v>
      </c>
      <c r="H51" s="86">
        <v>3496179</v>
      </c>
      <c r="I51" s="86">
        <v>3559898</v>
      </c>
      <c r="J51" s="86">
        <v>3792753</v>
      </c>
      <c r="K51" s="86">
        <v>3814842</v>
      </c>
      <c r="L51" s="86">
        <v>3814365</v>
      </c>
      <c r="M51" s="86">
        <v>3865233</v>
      </c>
    </row>
    <row r="52" spans="2:14" s="73" customFormat="1" ht="15" customHeight="1">
      <c r="B52" s="74" t="str">
        <f>IF(B3=1,"Dívida Líquida / PPI","Net Debt / PPI")</f>
        <v>Dívida Líquida / PPI</v>
      </c>
      <c r="C52" s="87">
        <f t="shared" ref="C52:H52" si="12">C50/C51</f>
        <v>0.23915742040465993</v>
      </c>
      <c r="D52" s="87">
        <f t="shared" si="12"/>
        <v>0.2508424354693729</v>
      </c>
      <c r="E52" s="87">
        <f t="shared" si="12"/>
        <v>0.24114869916447473</v>
      </c>
      <c r="F52" s="87">
        <f t="shared" si="12"/>
        <v>0.25146174146781375</v>
      </c>
      <c r="G52" s="87">
        <f t="shared" si="12"/>
        <v>0.26127698949835781</v>
      </c>
      <c r="H52" s="87">
        <f t="shared" si="12"/>
        <v>0.26891329076686293</v>
      </c>
      <c r="I52" s="87">
        <f>IFERROR(I50/I51,0)</f>
        <v>0.27832286205953094</v>
      </c>
      <c r="J52" s="87">
        <f>IFERROR(J50/J51,0)</f>
        <v>0.27885021777057456</v>
      </c>
      <c r="K52" s="87">
        <f>IFERROR(K50/K51,0)</f>
        <v>0.30405164879698821</v>
      </c>
      <c r="L52" s="87">
        <v>0.32718683188420616</v>
      </c>
      <c r="M52" s="87">
        <v>0.33980512947084951</v>
      </c>
    </row>
    <row r="54" spans="2:14">
      <c r="B54" s="9" t="str">
        <f>IF(B3=1,"Endividamento Gerencial","Managerial Debt")</f>
        <v>Endividamento Gerencial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4">
      <c r="B55" s="74" t="str">
        <f>IF(B3=1,"Dívida Bruta","Gross Debt")</f>
        <v>Dívida Bruta</v>
      </c>
      <c r="C55" s="75">
        <f t="shared" ref="C55:K55" si="13">SUM(C56:C58)</f>
        <v>1124083</v>
      </c>
      <c r="D55" s="75">
        <f t="shared" si="13"/>
        <v>1127784</v>
      </c>
      <c r="E55" s="75">
        <f t="shared" si="13"/>
        <v>1118531</v>
      </c>
      <c r="F55" s="75">
        <f t="shared" si="13"/>
        <v>1182718</v>
      </c>
      <c r="G55" s="75">
        <f t="shared" si="13"/>
        <v>1182199</v>
      </c>
      <c r="H55" s="75">
        <f t="shared" si="13"/>
        <v>1175002</v>
      </c>
      <c r="I55" s="75">
        <f t="shared" si="13"/>
        <v>1169710</v>
      </c>
      <c r="J55" s="75">
        <f t="shared" si="13"/>
        <v>1241413</v>
      </c>
      <c r="K55" s="75">
        <f t="shared" si="13"/>
        <v>1369065</v>
      </c>
      <c r="L55" s="75">
        <v>1418549</v>
      </c>
      <c r="M55" s="75">
        <v>1415726</v>
      </c>
    </row>
    <row r="56" spans="2:14">
      <c r="B56" s="62" t="str">
        <f>IF(B3=1,"Em Operação","In Operation")</f>
        <v>Em Operação</v>
      </c>
      <c r="C56" s="72">
        <v>1006747</v>
      </c>
      <c r="D56" s="72">
        <v>1012706</v>
      </c>
      <c r="E56" s="72">
        <v>999548</v>
      </c>
      <c r="F56" s="72">
        <v>1035272</v>
      </c>
      <c r="G56" s="72">
        <v>1028672</v>
      </c>
      <c r="H56" s="72">
        <v>1119792</v>
      </c>
      <c r="I56" s="72">
        <v>1107712</v>
      </c>
      <c r="J56" s="72">
        <v>1162659</v>
      </c>
      <c r="K56" s="72">
        <v>1229978</v>
      </c>
      <c r="L56" s="72">
        <v>1267416</v>
      </c>
      <c r="M56" s="72">
        <v>1256675</v>
      </c>
    </row>
    <row r="57" spans="2:14">
      <c r="B57" s="62" t="str">
        <f>IF(B3=1,"Em Construção","Under Construction")</f>
        <v>Em Construção</v>
      </c>
      <c r="C57" s="72">
        <v>73289</v>
      </c>
      <c r="D57" s="72">
        <v>80961</v>
      </c>
      <c r="E57" s="72">
        <v>95332</v>
      </c>
      <c r="F57" s="72">
        <v>133151</v>
      </c>
      <c r="G57" s="72">
        <v>146384</v>
      </c>
      <c r="H57" s="72">
        <v>55210</v>
      </c>
      <c r="I57" s="72">
        <v>61998</v>
      </c>
      <c r="J57" s="72">
        <v>78754</v>
      </c>
      <c r="K57" s="72">
        <v>88120</v>
      </c>
      <c r="L57" s="72">
        <v>98535</v>
      </c>
      <c r="M57" s="72">
        <v>108095</v>
      </c>
    </row>
    <row r="58" spans="2:14">
      <c r="B58" s="62" t="str">
        <f>IF(B3=1,"Corporativo","Corporate")</f>
        <v>Corporativo</v>
      </c>
      <c r="C58" s="72">
        <v>44047</v>
      </c>
      <c r="D58" s="72">
        <v>34117</v>
      </c>
      <c r="E58" s="72">
        <v>23651</v>
      </c>
      <c r="F58" s="72">
        <v>14295</v>
      </c>
      <c r="G58" s="72">
        <v>7143</v>
      </c>
      <c r="H58" s="72">
        <v>0</v>
      </c>
      <c r="I58" s="72">
        <v>0</v>
      </c>
      <c r="J58" s="72">
        <v>0</v>
      </c>
      <c r="K58" s="72">
        <v>50967</v>
      </c>
      <c r="L58" s="72">
        <v>52598</v>
      </c>
      <c r="M58" s="72">
        <v>50956</v>
      </c>
    </row>
    <row r="59" spans="2:14">
      <c r="B59" s="74" t="str">
        <f>IF(B3=1,"Disponibilidades","Cash and Equivalents")</f>
        <v>Disponibilidades</v>
      </c>
      <c r="C59" s="75">
        <f t="shared" ref="C59:K59" si="14">C60</f>
        <v>403556</v>
      </c>
      <c r="D59" s="75">
        <f t="shared" si="14"/>
        <v>362190</v>
      </c>
      <c r="E59" s="75">
        <f t="shared" si="14"/>
        <v>318702</v>
      </c>
      <c r="F59" s="75">
        <f t="shared" si="14"/>
        <v>280923</v>
      </c>
      <c r="G59" s="75">
        <f t="shared" si="14"/>
        <v>265756</v>
      </c>
      <c r="H59" s="75">
        <f t="shared" si="14"/>
        <v>200506</v>
      </c>
      <c r="I59" s="75">
        <f t="shared" si="14"/>
        <v>174930</v>
      </c>
      <c r="J59" s="75">
        <f t="shared" si="14"/>
        <v>194878</v>
      </c>
      <c r="K59" s="75">
        <f t="shared" si="14"/>
        <v>209529</v>
      </c>
      <c r="L59" s="75">
        <v>-220070</v>
      </c>
      <c r="M59" s="75">
        <v>-127744</v>
      </c>
    </row>
    <row r="60" spans="2:14">
      <c r="B60" s="62" t="str">
        <f>IF(B3=1,"Caixa, Investimentos e Valores Mobiliários","Cash and Equivalents")</f>
        <v>Caixa, Investimentos e Valores Mobiliários</v>
      </c>
      <c r="C60" s="72">
        <v>403556</v>
      </c>
      <c r="D60" s="72">
        <v>362190</v>
      </c>
      <c r="E60" s="72">
        <v>318702</v>
      </c>
      <c r="F60" s="72">
        <v>280923</v>
      </c>
      <c r="G60" s="72">
        <v>265756</v>
      </c>
      <c r="H60" s="72">
        <v>200506</v>
      </c>
      <c r="I60" s="72">
        <v>174930</v>
      </c>
      <c r="J60" s="72">
        <v>194878</v>
      </c>
      <c r="K60" s="72">
        <v>209529</v>
      </c>
      <c r="L60" s="72">
        <v>-220070</v>
      </c>
      <c r="M60" s="72">
        <v>-127744</v>
      </c>
    </row>
    <row r="61" spans="2:14">
      <c r="B61" s="74" t="str">
        <f>IF(B3=1,"Dívida Líquida Total","Net Debt")</f>
        <v>Dívida Líquida Total</v>
      </c>
      <c r="C61" s="85">
        <f t="shared" ref="C61:K61" si="15">C55-C59</f>
        <v>720527</v>
      </c>
      <c r="D61" s="85">
        <f t="shared" si="15"/>
        <v>765594</v>
      </c>
      <c r="E61" s="85">
        <f t="shared" si="15"/>
        <v>799829</v>
      </c>
      <c r="F61" s="85">
        <f t="shared" si="15"/>
        <v>901795</v>
      </c>
      <c r="G61" s="85">
        <f t="shared" si="15"/>
        <v>916443</v>
      </c>
      <c r="H61" s="85">
        <f t="shared" si="15"/>
        <v>974496</v>
      </c>
      <c r="I61" s="85">
        <f t="shared" si="15"/>
        <v>994780</v>
      </c>
      <c r="J61" s="85">
        <f t="shared" si="15"/>
        <v>1046535</v>
      </c>
      <c r="K61" s="85">
        <f t="shared" si="15"/>
        <v>1159536</v>
      </c>
      <c r="L61" s="85">
        <v>1198479</v>
      </c>
      <c r="M61" s="85">
        <v>1287982</v>
      </c>
      <c r="N61" s="167"/>
    </row>
    <row r="62" spans="2:14">
      <c r="B62" s="62" t="str">
        <f>IF(B3=1,"PPI - Propriedades para Investimento","Properties for Investment - PPI")</f>
        <v>PPI - Propriedades para Investimento</v>
      </c>
      <c r="C62" s="86">
        <v>2619677</v>
      </c>
      <c r="D62" s="86">
        <v>2642709</v>
      </c>
      <c r="E62" s="86">
        <v>2912436</v>
      </c>
      <c r="F62" s="86">
        <v>3149880</v>
      </c>
      <c r="G62" s="86">
        <v>3212665</v>
      </c>
      <c r="H62" s="86">
        <v>3247131</v>
      </c>
      <c r="I62" s="86">
        <v>3273498</v>
      </c>
      <c r="J62" s="86">
        <v>3403806</v>
      </c>
      <c r="K62" s="86">
        <v>3384814</v>
      </c>
      <c r="L62" s="86">
        <v>3439659</v>
      </c>
      <c r="M62" s="86">
        <v>3406513</v>
      </c>
    </row>
    <row r="63" spans="2:14">
      <c r="B63" s="74" t="str">
        <f>IF(B3=1,"Dívida Líquida / PPI","Net Debt / PPI")</f>
        <v>Dívida Líquida / PPI</v>
      </c>
      <c r="C63" s="87">
        <f t="shared" ref="C63:H63" si="16">C61/C62</f>
        <v>0.27504421346601127</v>
      </c>
      <c r="D63" s="87">
        <f t="shared" si="16"/>
        <v>0.28970045510118592</v>
      </c>
      <c r="E63" s="87">
        <f t="shared" si="16"/>
        <v>0.27462543382927557</v>
      </c>
      <c r="F63" s="87">
        <f t="shared" si="16"/>
        <v>0.28629503346159219</v>
      </c>
      <c r="G63" s="87">
        <f t="shared" si="16"/>
        <v>0.28525943414579485</v>
      </c>
      <c r="H63" s="87">
        <f t="shared" si="16"/>
        <v>0.30010985081907693</v>
      </c>
      <c r="I63" s="87">
        <f>IFERROR(I61/I62,0)</f>
        <v>0.30388898969848155</v>
      </c>
      <c r="J63" s="87">
        <f>IFERROR(J61/J62,0)</f>
        <v>0.30746023715805187</v>
      </c>
      <c r="K63" s="87">
        <f>IFERROR(K61/K62,0)</f>
        <v>0.34257007918308069</v>
      </c>
      <c r="L63" s="87">
        <v>0.34842959723623768</v>
      </c>
      <c r="M63" s="87">
        <v>0.37809396294686093</v>
      </c>
    </row>
    <row r="74" spans="3:3" s="34" customFormat="1">
      <c r="C74" s="1"/>
    </row>
    <row r="75" spans="3:3" s="34" customFormat="1">
      <c r="C75" s="1"/>
    </row>
  </sheetData>
  <pageMargins left="0.511811024" right="0.511811024" top="0.78740157499999996" bottom="0.78740157499999996" header="0.31496062000000002" footer="0.31496062000000002"/>
  <ignoredErrors>
    <ignoredError sqref="I22 I24 I26 I39 I42:I43 I48" evalError="1"/>
    <ignoredError sqref="H5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S31"/>
  <sheetViews>
    <sheetView showGridLines="0" zoomScale="80" zoomScaleNormal="80" workbookViewId="0"/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10" width="13.140625" customWidth="1" outlineLevel="1"/>
    <col min="11" max="11" width="14.42578125" bestFit="1" customWidth="1"/>
    <col min="12" max="13" width="13.140625" customWidth="1"/>
  </cols>
  <sheetData>
    <row r="1" spans="1:19" ht="23.25" customHeight="1">
      <c r="B1" s="5" t="s">
        <v>1</v>
      </c>
      <c r="C1" s="5"/>
      <c r="D1" s="21"/>
      <c r="E1" s="21"/>
    </row>
    <row r="2" spans="1:19">
      <c r="B2" s="5" t="s">
        <v>0</v>
      </c>
      <c r="C2" s="5"/>
      <c r="D2" s="21"/>
      <c r="E2" s="21"/>
      <c r="F2" s="12"/>
      <c r="G2" s="12"/>
      <c r="H2" s="12"/>
      <c r="I2" s="12"/>
      <c r="J2" s="12"/>
    </row>
    <row r="3" spans="1:19">
      <c r="B3" s="6">
        <v>1</v>
      </c>
      <c r="C3" s="6"/>
      <c r="D3" s="21"/>
      <c r="E3" s="21"/>
    </row>
    <row r="4" spans="1:19" ht="12.75" customHeight="1">
      <c r="B4" s="20"/>
      <c r="C4" s="20"/>
      <c r="D4" s="22"/>
      <c r="E4" s="22"/>
    </row>
    <row r="5" spans="1:19" ht="18.75" customHeight="1">
      <c r="B5" s="13" t="s">
        <v>85</v>
      </c>
      <c r="C5" s="13" t="str">
        <f>IF($B$3=1,"Incorrido","Incurred")</f>
        <v>Incorrido</v>
      </c>
      <c r="D5" s="186" t="str">
        <f>IF($B$3=1,"A incorrer","To incur")</f>
        <v>A incorrer</v>
      </c>
      <c r="E5" s="190" t="str">
        <f t="shared" ref="E5:K5" si="0">IF($B$3=1,"Incorrido","Incurred")</f>
        <v>Incorrido</v>
      </c>
      <c r="F5" s="190" t="str">
        <f t="shared" si="0"/>
        <v>Incorrido</v>
      </c>
      <c r="G5" s="190" t="str">
        <f t="shared" si="0"/>
        <v>Incorrido</v>
      </c>
      <c r="H5" s="190" t="str">
        <f t="shared" si="0"/>
        <v>Incorrido</v>
      </c>
      <c r="I5" s="190" t="str">
        <f t="shared" si="0"/>
        <v>Incorrido</v>
      </c>
      <c r="J5" s="190" t="str">
        <f t="shared" si="0"/>
        <v>Incorrido</v>
      </c>
      <c r="K5" s="187" t="str">
        <f t="shared" si="0"/>
        <v>Incorrido</v>
      </c>
    </row>
    <row r="6" spans="1:19" s="1" customFormat="1" ht="18.75" customHeight="1">
      <c r="B6" s="119" t="str">
        <f>IF(B3=1,"Plataforma (R$ milhões)","Plataform (R$ million)")</f>
        <v>Plataforma (R$ milhões)</v>
      </c>
      <c r="C6" s="13" t="s">
        <v>256</v>
      </c>
      <c r="D6" s="13" t="s">
        <v>255</v>
      </c>
      <c r="E6" s="117">
        <v>2025</v>
      </c>
      <c r="F6" s="117">
        <v>2026</v>
      </c>
      <c r="G6" s="117">
        <v>2027</v>
      </c>
      <c r="H6" s="117">
        <v>2028</v>
      </c>
      <c r="I6" s="117">
        <v>2029</v>
      </c>
      <c r="J6" s="117">
        <v>2030</v>
      </c>
      <c r="K6" s="13" t="str">
        <f>IF($B$3=1,"Total a incorrer","Total to incur")</f>
        <v>Total a incorrer</v>
      </c>
    </row>
    <row r="7" spans="1:19" s="3" customFormat="1" ht="15" customHeight="1">
      <c r="B7" s="10" t="s">
        <v>18</v>
      </c>
      <c r="C7" s="111">
        <v>28.5</v>
      </c>
      <c r="D7" s="111">
        <v>40.841481384961781</v>
      </c>
      <c r="E7" s="111">
        <v>82.857770964367333</v>
      </c>
      <c r="F7" s="111">
        <v>115.07571863606731</v>
      </c>
      <c r="G7" s="111">
        <v>56.112654649267341</v>
      </c>
      <c r="H7" s="111">
        <v>61.528699546667347</v>
      </c>
      <c r="I7" s="111">
        <v>15.541949120403023</v>
      </c>
      <c r="J7" s="111">
        <v>15.066865131067336</v>
      </c>
      <c r="K7" s="118">
        <v>387.0251394328015</v>
      </c>
      <c r="M7" s="112"/>
      <c r="N7" s="112"/>
      <c r="O7" s="112"/>
      <c r="P7" s="112"/>
      <c r="Q7" s="112"/>
      <c r="R7" s="112"/>
    </row>
    <row r="8" spans="1:19" s="139" customFormat="1" ht="15" customHeight="1">
      <c r="B8" s="136" t="s">
        <v>2</v>
      </c>
      <c r="C8" s="137">
        <v>18.4118502808</v>
      </c>
      <c r="D8" s="137">
        <v>27.404388939400004</v>
      </c>
      <c r="E8" s="137">
        <v>280.28153646139998</v>
      </c>
      <c r="F8" s="137">
        <v>336.00292396370008</v>
      </c>
      <c r="G8" s="137">
        <v>122.86744177140001</v>
      </c>
      <c r="H8" s="137">
        <v>8.5947119599999997E-2</v>
      </c>
      <c r="I8" s="137">
        <v>8.5947119599999997E-2</v>
      </c>
      <c r="J8" s="137">
        <v>8.5947119599999997E-2</v>
      </c>
      <c r="K8" s="118">
        <v>766.81413249469995</v>
      </c>
      <c r="M8" s="140"/>
      <c r="N8" s="140"/>
      <c r="O8" s="140"/>
      <c r="P8" s="140"/>
      <c r="Q8" s="140"/>
      <c r="R8" s="140"/>
    </row>
    <row r="9" spans="1:19" s="141" customFormat="1" ht="15" customHeight="1">
      <c r="B9" s="136" t="s">
        <v>3</v>
      </c>
      <c r="C9" s="137">
        <v>3.7770543112999997</v>
      </c>
      <c r="D9" s="137">
        <v>48.834350586199996</v>
      </c>
      <c r="E9" s="137">
        <v>16.236496719999998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18">
        <v>65.070847306199994</v>
      </c>
      <c r="M9" s="142"/>
      <c r="N9" s="142"/>
      <c r="O9" s="142"/>
      <c r="P9" s="142"/>
      <c r="Q9" s="142"/>
      <c r="R9" s="142"/>
    </row>
    <row r="10" spans="1:19" ht="15" customHeight="1">
      <c r="A10" s="34"/>
      <c r="B10" s="10" t="s">
        <v>4</v>
      </c>
      <c r="C10" s="111">
        <v>23.241645156031403</v>
      </c>
      <c r="D10" s="111">
        <v>20.200571641138207</v>
      </c>
      <c r="E10" s="111">
        <v>4.6174481987326663</v>
      </c>
      <c r="F10" s="111">
        <v>0</v>
      </c>
      <c r="G10" s="111">
        <v>0</v>
      </c>
      <c r="H10" s="111">
        <v>0</v>
      </c>
      <c r="I10" s="111">
        <v>0.15019879189697971</v>
      </c>
      <c r="J10" s="111">
        <v>0</v>
      </c>
      <c r="K10" s="118">
        <v>24.968218631767854</v>
      </c>
      <c r="M10" s="113"/>
      <c r="N10" s="113"/>
      <c r="O10" s="113"/>
      <c r="P10" s="113"/>
      <c r="Q10" s="113"/>
      <c r="R10" s="113"/>
    </row>
    <row r="11" spans="1:19" ht="15" customHeight="1">
      <c r="B11" s="15" t="s">
        <v>85</v>
      </c>
      <c r="C11" s="114">
        <v>73.930549748131398</v>
      </c>
      <c r="D11" s="114">
        <v>137.28079255169999</v>
      </c>
      <c r="E11" s="114">
        <v>383.99325234449998</v>
      </c>
      <c r="F11" s="114">
        <v>451.07864259976736</v>
      </c>
      <c r="G11" s="114">
        <v>178.98009642066734</v>
      </c>
      <c r="H11" s="114">
        <v>61.614646666267348</v>
      </c>
      <c r="I11" s="114">
        <v>15.778095031900003</v>
      </c>
      <c r="J11" s="114">
        <v>15.152812250667337</v>
      </c>
      <c r="K11" s="114">
        <v>1243.8783378654693</v>
      </c>
    </row>
    <row r="14" spans="1:19" ht="18.75" customHeight="1">
      <c r="B14" s="13" t="s">
        <v>111</v>
      </c>
      <c r="C14" s="13" t="str">
        <f>IF($B$3=1,"Incorrido","Incurred")</f>
        <v>Incorrido</v>
      </c>
      <c r="D14" s="186" t="str">
        <f>IF($B$3=1,"A incorrer","To incur")</f>
        <v>A incorrer</v>
      </c>
      <c r="E14" s="190" t="str">
        <f t="shared" ref="E14:K14" si="1">IF($B$3=1,"Incorrido","Incurred")</f>
        <v>Incorrido</v>
      </c>
      <c r="F14" s="190" t="str">
        <f t="shared" si="1"/>
        <v>Incorrido</v>
      </c>
      <c r="G14" s="190" t="str">
        <f t="shared" si="1"/>
        <v>Incorrido</v>
      </c>
      <c r="H14" s="190" t="str">
        <f t="shared" si="1"/>
        <v>Incorrido</v>
      </c>
      <c r="I14" s="190" t="str">
        <f t="shared" si="1"/>
        <v>Incorrido</v>
      </c>
      <c r="J14" s="190" t="str">
        <f t="shared" si="1"/>
        <v>Incorrido</v>
      </c>
      <c r="K14" s="187" t="str">
        <f t="shared" si="1"/>
        <v>Incorrido</v>
      </c>
    </row>
    <row r="15" spans="1:19" ht="18.75" customHeight="1">
      <c r="B15" s="14" t="str">
        <f>IF(B3=1,"Plataforma (R$ milhões)","Plataform (R$ million)")</f>
        <v>Plataforma (R$ milhões)</v>
      </c>
      <c r="C15" s="13" t="s">
        <v>256</v>
      </c>
      <c r="D15" s="13" t="s">
        <v>255</v>
      </c>
      <c r="E15" s="13">
        <v>2025</v>
      </c>
      <c r="F15" s="13">
        <v>2026</v>
      </c>
      <c r="G15" s="13">
        <v>2027</v>
      </c>
      <c r="H15" s="13">
        <v>2028</v>
      </c>
      <c r="I15" s="117">
        <v>2029</v>
      </c>
      <c r="J15" s="117">
        <v>2030</v>
      </c>
      <c r="K15" s="13" t="str">
        <f>IF($B$3=1,"Total a incorrer","Total to incur")</f>
        <v>Total a incorrer</v>
      </c>
    </row>
    <row r="16" spans="1:19">
      <c r="B16" s="10" t="s">
        <v>18</v>
      </c>
      <c r="C16" s="111">
        <v>20.842450371136859</v>
      </c>
      <c r="D16" s="111">
        <v>26.598683351293158</v>
      </c>
      <c r="E16" s="111">
        <v>78.637075834896677</v>
      </c>
      <c r="F16" s="111">
        <v>111.34538909512167</v>
      </c>
      <c r="G16" s="111">
        <v>52.608662887601696</v>
      </c>
      <c r="H16" s="111">
        <v>56.374231191461703</v>
      </c>
      <c r="I16" s="111">
        <v>13.446476711692382</v>
      </c>
      <c r="J16" s="111">
        <v>9.187484939726696</v>
      </c>
      <c r="K16" s="118">
        <v>348.19800401179401</v>
      </c>
      <c r="L16" s="115"/>
      <c r="N16" s="116"/>
      <c r="O16" s="116"/>
      <c r="P16" s="116"/>
      <c r="Q16" s="116"/>
      <c r="R16" s="116"/>
      <c r="S16" s="116"/>
    </row>
    <row r="17" spans="2:19" s="141" customFormat="1">
      <c r="B17" s="136" t="s">
        <v>2</v>
      </c>
      <c r="C17" s="137">
        <v>13.016215923209998</v>
      </c>
      <c r="D17" s="137">
        <v>17.635717720319999</v>
      </c>
      <c r="E17" s="137">
        <v>199.77785076284999</v>
      </c>
      <c r="F17" s="137">
        <v>220.44988068955999</v>
      </c>
      <c r="G17" s="137">
        <v>53.171557836509997</v>
      </c>
      <c r="H17" s="137">
        <v>6.8932308279999993E-2</v>
      </c>
      <c r="I17" s="137">
        <v>6.8932308279999993E-2</v>
      </c>
      <c r="J17" s="137">
        <v>6.8932308279999993E-2</v>
      </c>
      <c r="K17" s="118">
        <v>491.24180393408</v>
      </c>
      <c r="N17" s="143"/>
      <c r="O17" s="143"/>
      <c r="P17" s="143"/>
      <c r="Q17" s="143"/>
      <c r="R17" s="143"/>
      <c r="S17" s="143"/>
    </row>
    <row r="18" spans="2:19" s="141" customFormat="1">
      <c r="B18" s="136" t="s">
        <v>3</v>
      </c>
      <c r="C18" s="137">
        <v>1.8885271556499998</v>
      </c>
      <c r="D18" s="137">
        <v>24.417175293099998</v>
      </c>
      <c r="E18" s="137">
        <v>8.1182483599999991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18">
        <v>32.535423653099997</v>
      </c>
      <c r="N18" s="143"/>
      <c r="O18" s="143"/>
      <c r="P18" s="143"/>
      <c r="Q18" s="143"/>
      <c r="R18" s="143"/>
      <c r="S18" s="143"/>
    </row>
    <row r="19" spans="2:19">
      <c r="B19" s="10" t="s">
        <v>4</v>
      </c>
      <c r="C19" s="111">
        <v>13.895356193413136</v>
      </c>
      <c r="D19" s="111">
        <v>12.002113357596835</v>
      </c>
      <c r="E19" s="111">
        <v>2.7737505661533066</v>
      </c>
      <c r="F19" s="111">
        <v>0</v>
      </c>
      <c r="G19" s="111">
        <v>0</v>
      </c>
      <c r="H19" s="111">
        <v>0</v>
      </c>
      <c r="I19" s="111">
        <v>0.14849031927761971</v>
      </c>
      <c r="J19" s="111">
        <v>0</v>
      </c>
      <c r="K19" s="118">
        <v>14.924354243027762</v>
      </c>
      <c r="N19" s="116"/>
      <c r="O19" s="116"/>
      <c r="P19" s="116"/>
      <c r="Q19" s="116"/>
      <c r="R19" s="116"/>
      <c r="S19" s="116"/>
    </row>
    <row r="20" spans="2:19">
      <c r="B20" s="15" t="s">
        <v>110</v>
      </c>
      <c r="C20" s="114">
        <v>49.64254964341</v>
      </c>
      <c r="D20" s="114">
        <v>80.653689722309991</v>
      </c>
      <c r="E20" s="114">
        <v>289.30692552389996</v>
      </c>
      <c r="F20" s="114">
        <v>331.79526978468164</v>
      </c>
      <c r="G20" s="114">
        <v>105.7802207241117</v>
      </c>
      <c r="H20" s="114">
        <v>56.5</v>
      </c>
      <c r="I20" s="114">
        <v>13.663899339250003</v>
      </c>
      <c r="J20" s="114">
        <v>9.2564172480066969</v>
      </c>
      <c r="K20" s="114">
        <v>886.95642234225988</v>
      </c>
    </row>
    <row r="23" spans="2:19">
      <c r="B23" s="82" t="s">
        <v>85</v>
      </c>
      <c r="C23" s="132">
        <v>1243.8783378654693</v>
      </c>
    </row>
    <row r="24" spans="2:19">
      <c r="B24" s="82" t="s">
        <v>111</v>
      </c>
      <c r="C24" s="132">
        <v>886.95642234225988</v>
      </c>
      <c r="D24" s="131"/>
      <c r="E24" s="131"/>
      <c r="F24" s="110"/>
      <c r="G24" s="110"/>
      <c r="H24" s="110"/>
      <c r="I24" s="110"/>
      <c r="J24" s="110"/>
    </row>
    <row r="25" spans="2:19">
      <c r="C25" s="110"/>
      <c r="D25" s="131"/>
      <c r="E25" s="131"/>
      <c r="F25" s="110"/>
      <c r="G25" s="110"/>
      <c r="H25" s="110"/>
      <c r="I25" s="110"/>
      <c r="J25" s="110"/>
    </row>
    <row r="26" spans="2:19">
      <c r="C26" s="110"/>
      <c r="D26" s="131"/>
      <c r="E26" s="131"/>
      <c r="F26" s="110"/>
      <c r="G26" s="110"/>
      <c r="H26" s="110"/>
      <c r="I26" s="110"/>
      <c r="J26" s="110"/>
    </row>
    <row r="27" spans="2:19">
      <c r="C27" s="110"/>
      <c r="D27" s="131"/>
      <c r="E27" s="131"/>
      <c r="F27" s="110"/>
      <c r="G27" s="110"/>
      <c r="H27" s="110"/>
      <c r="I27" s="110"/>
      <c r="J27" s="110"/>
    </row>
    <row r="28" spans="2:19">
      <c r="D28"/>
      <c r="E28"/>
    </row>
    <row r="29" spans="2:19">
      <c r="D29"/>
      <c r="E29"/>
    </row>
    <row r="30" spans="2:19">
      <c r="D30"/>
      <c r="E30"/>
    </row>
    <row r="31" spans="2:19">
      <c r="D31"/>
      <c r="E31"/>
    </row>
  </sheetData>
  <mergeCells count="2">
    <mergeCell ref="D5:K5"/>
    <mergeCell ref="D14:K14"/>
  </mergeCells>
  <pageMargins left="0.511811024" right="0.511811024" top="0.78740157499999996" bottom="0.78740157499999996" header="0.31496062000000002" footer="0.31496062000000002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M53"/>
  <sheetViews>
    <sheetView showGridLines="0" zoomScale="80" zoomScaleNormal="80" workbookViewId="0">
      <pane xSplit="2" topLeftCell="F1" activePane="topRight" state="frozen"/>
      <selection activeCell="AE101" sqref="AE101"/>
      <selection pane="topRight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3" width="13.28515625" customWidth="1"/>
  </cols>
  <sheetData>
    <row r="1" spans="1:13" ht="20.25" customHeight="1">
      <c r="B1" s="5" t="s">
        <v>1</v>
      </c>
    </row>
    <row r="2" spans="1:13">
      <c r="B2" s="5" t="s">
        <v>0</v>
      </c>
    </row>
    <row r="3" spans="1:13">
      <c r="B3" s="6">
        <v>1</v>
      </c>
    </row>
    <row r="4" spans="1:13" ht="3" customHeight="1">
      <c r="B4" s="2"/>
      <c r="C4" s="2"/>
    </row>
    <row r="5" spans="1:13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40" t="str">
        <f>IF($B$3=1,"1T24","1Q24")</f>
        <v>1T24</v>
      </c>
      <c r="L5" s="40" t="str">
        <f>IF($B$3=1,"2T24","2Q24")</f>
        <v>2T24</v>
      </c>
      <c r="M5" s="40" t="str">
        <f>IF($B$3=1,"3T24","3Q24")</f>
        <v>3T24</v>
      </c>
    </row>
    <row r="6" spans="1:13" s="43" customFormat="1" ht="15" customHeight="1">
      <c r="A6" s="44"/>
      <c r="B6" s="64" t="str">
        <f>IF(B3=1,"Receita Bruta ","Gross Revenues")</f>
        <v xml:space="preserve">Receita Bruta </v>
      </c>
      <c r="C6" s="53">
        <v>38735</v>
      </c>
      <c r="D6" s="53">
        <v>38910</v>
      </c>
      <c r="E6" s="53">
        <v>38298</v>
      </c>
      <c r="F6" s="53">
        <v>41000</v>
      </c>
      <c r="G6" s="53">
        <v>39404</v>
      </c>
      <c r="H6" s="53">
        <v>41339</v>
      </c>
      <c r="I6" s="53">
        <v>41729</v>
      </c>
      <c r="J6" s="53">
        <v>42438</v>
      </c>
      <c r="K6" s="53">
        <v>40569</v>
      </c>
      <c r="L6" s="53">
        <v>41139</v>
      </c>
      <c r="M6" s="53">
        <v>42235</v>
      </c>
    </row>
    <row r="7" spans="1:13" s="43" customFormat="1" ht="15" customHeight="1">
      <c r="A7" s="44"/>
      <c r="B7" s="45" t="str">
        <f>IF(B3=1,"(-) Deduções da receita","(-) Deductions from Revenues")</f>
        <v>(-) Deduções da receita</v>
      </c>
      <c r="C7" s="46">
        <v>-5607</v>
      </c>
      <c r="D7" s="46">
        <v>-4896</v>
      </c>
      <c r="E7" s="46">
        <v>-4988</v>
      </c>
      <c r="F7" s="46">
        <v>-4637</v>
      </c>
      <c r="G7" s="46">
        <v>-4143</v>
      </c>
      <c r="H7" s="46">
        <v>-4268</v>
      </c>
      <c r="I7" s="46">
        <v>-5902</v>
      </c>
      <c r="J7" s="46">
        <v>-5943</v>
      </c>
      <c r="K7" s="46">
        <v>-5202</v>
      </c>
      <c r="L7" s="46">
        <v>-4505</v>
      </c>
      <c r="M7" s="46">
        <v>-4184</v>
      </c>
    </row>
    <row r="8" spans="1:13" s="43" customFormat="1" ht="15" customHeight="1">
      <c r="A8"/>
      <c r="B8" s="41" t="str">
        <f>IF(B3=1,"Receita Líquida","Net Operating Revenues")</f>
        <v>Receita Líquida</v>
      </c>
      <c r="C8" s="42">
        <f t="shared" ref="C8:K8" si="0">SUM(C6:C7)</f>
        <v>33128</v>
      </c>
      <c r="D8" s="42">
        <f t="shared" si="0"/>
        <v>34014</v>
      </c>
      <c r="E8" s="42">
        <f t="shared" si="0"/>
        <v>33310</v>
      </c>
      <c r="F8" s="42">
        <f>SUM(F6:F7)</f>
        <v>36363</v>
      </c>
      <c r="G8" s="42">
        <f>SUM(G6:G7)</f>
        <v>35261</v>
      </c>
      <c r="H8" s="42">
        <f>SUM(H6:H7)</f>
        <v>37071</v>
      </c>
      <c r="I8" s="42">
        <f t="shared" si="0"/>
        <v>35827</v>
      </c>
      <c r="J8" s="42">
        <f t="shared" si="0"/>
        <v>36495</v>
      </c>
      <c r="K8" s="42">
        <f t="shared" si="0"/>
        <v>35367</v>
      </c>
      <c r="L8" s="42">
        <v>36634</v>
      </c>
      <c r="M8" s="42">
        <v>38051</v>
      </c>
    </row>
    <row r="9" spans="1:13" s="43" customFormat="1" ht="15" customHeight="1">
      <c r="A9" s="44"/>
      <c r="B9" s="45" t="str">
        <f>IF(B3=1,"(-) Custos","(-) Costs")</f>
        <v>(-) Custos</v>
      </c>
      <c r="C9" s="46">
        <v>-7572</v>
      </c>
      <c r="D9" s="46">
        <v>-6561</v>
      </c>
      <c r="E9" s="46">
        <v>-5309</v>
      </c>
      <c r="F9" s="46">
        <v>-6305</v>
      </c>
      <c r="G9" s="46">
        <v>-6325</v>
      </c>
      <c r="H9" s="46">
        <v>-6981</v>
      </c>
      <c r="I9" s="46">
        <v>-7139</v>
      </c>
      <c r="J9" s="46">
        <v>-5546</v>
      </c>
      <c r="K9" s="46">
        <v>-6842</v>
      </c>
      <c r="L9" s="46">
        <v>-7804</v>
      </c>
      <c r="M9" s="46">
        <v>-7537</v>
      </c>
    </row>
    <row r="10" spans="1:13" s="43" customFormat="1" ht="15" customHeight="1">
      <c r="A10"/>
      <c r="B10" s="41" t="str">
        <f>IF(B3=1,"Lucro Bruto","Gross Profit")</f>
        <v>Lucro Bruto</v>
      </c>
      <c r="C10" s="42">
        <f t="shared" ref="C10:K10" si="1">C8+C9</f>
        <v>25556</v>
      </c>
      <c r="D10" s="42">
        <f t="shared" si="1"/>
        <v>27453</v>
      </c>
      <c r="E10" s="42">
        <f t="shared" si="1"/>
        <v>28001</v>
      </c>
      <c r="F10" s="42">
        <f t="shared" si="1"/>
        <v>30058</v>
      </c>
      <c r="G10" s="42">
        <f t="shared" si="1"/>
        <v>28936</v>
      </c>
      <c r="H10" s="42">
        <f t="shared" si="1"/>
        <v>30090</v>
      </c>
      <c r="I10" s="42">
        <f t="shared" si="1"/>
        <v>28688</v>
      </c>
      <c r="J10" s="42">
        <f t="shared" si="1"/>
        <v>30949</v>
      </c>
      <c r="K10" s="42">
        <f t="shared" si="1"/>
        <v>28525</v>
      </c>
      <c r="L10" s="42">
        <v>28830</v>
      </c>
      <c r="M10" s="42">
        <v>30514</v>
      </c>
    </row>
    <row r="11" spans="1:13" s="43" customFormat="1" ht="15" customHeight="1">
      <c r="A11" s="47"/>
      <c r="B11" s="48" t="str">
        <f>IF(B3=1,"Despesas e Receitas","Expenses and Revenues")</f>
        <v>Despesas e Receitas</v>
      </c>
      <c r="C11" s="42">
        <f t="shared" ref="C11:H11" si="2">SUM(C12:C16)</f>
        <v>-9548</v>
      </c>
      <c r="D11" s="42">
        <f t="shared" si="2"/>
        <v>-9683</v>
      </c>
      <c r="E11" s="42">
        <f t="shared" si="2"/>
        <v>-9564.9</v>
      </c>
      <c r="F11" s="42">
        <f t="shared" si="2"/>
        <v>75010</v>
      </c>
      <c r="G11" s="42">
        <f t="shared" si="2"/>
        <v>1360</v>
      </c>
      <c r="H11" s="42">
        <f t="shared" si="2"/>
        <v>-12090</v>
      </c>
      <c r="I11" s="42">
        <f>SUM(I12:I16)</f>
        <v>-11231</v>
      </c>
      <c r="J11" s="42">
        <f>SUM(J12:J16)</f>
        <v>193805</v>
      </c>
      <c r="K11" s="42">
        <f>SUM(K12:K16)</f>
        <v>-13111</v>
      </c>
      <c r="L11" s="42">
        <v>-16114</v>
      </c>
      <c r="M11" s="42">
        <v>-12351</v>
      </c>
    </row>
    <row r="12" spans="1:13" s="43" customFormat="1" ht="15" customHeight="1">
      <c r="A12" s="47"/>
      <c r="B12" s="49" t="str">
        <f>IF(B3=1,"Despesas Administrativas","Administrative Expenses")</f>
        <v>Despesas Administrativas</v>
      </c>
      <c r="C12" s="46">
        <v>-8030</v>
      </c>
      <c r="D12" s="46">
        <v>-8903</v>
      </c>
      <c r="E12" s="46">
        <v>-9061</v>
      </c>
      <c r="F12" s="46">
        <v>-6940</v>
      </c>
      <c r="G12" s="46">
        <v>-8991</v>
      </c>
      <c r="H12" s="46">
        <v>-11082</v>
      </c>
      <c r="I12" s="46">
        <v>-9477</v>
      </c>
      <c r="J12" s="46">
        <v>-11425</v>
      </c>
      <c r="K12" s="46">
        <v>-12638</v>
      </c>
      <c r="L12" s="46">
        <v>-11024</v>
      </c>
      <c r="M12" s="46">
        <v>-10165</v>
      </c>
    </row>
    <row r="13" spans="1:13" s="43" customFormat="1" ht="15" customHeight="1">
      <c r="A13" s="47"/>
      <c r="B13" s="50" t="str">
        <f>IF(B3=1,"Despesas Comerciais ","Selling Expenses")</f>
        <v xml:space="preserve">Despesas Comerciais </v>
      </c>
      <c r="C13" s="51">
        <v>-440</v>
      </c>
      <c r="D13" s="51">
        <v>-221.5</v>
      </c>
      <c r="E13" s="51">
        <v>-346.4</v>
      </c>
      <c r="F13" s="51">
        <v>-632</v>
      </c>
      <c r="G13" s="51">
        <v>-374</v>
      </c>
      <c r="H13" s="51">
        <v>-829</v>
      </c>
      <c r="I13" s="51">
        <v>-882</v>
      </c>
      <c r="J13" s="51">
        <v>-792</v>
      </c>
      <c r="K13" s="51">
        <v>-451</v>
      </c>
      <c r="L13" s="51">
        <v>-558</v>
      </c>
      <c r="M13" s="51">
        <v>-598</v>
      </c>
    </row>
    <row r="14" spans="1:13" s="43" customFormat="1" ht="15" customHeight="1">
      <c r="A14" s="47"/>
      <c r="B14" s="50" t="str">
        <f>IF(B3=1,"Despesas tributárias","Tax Expenses")</f>
        <v>Despesas tributárias</v>
      </c>
      <c r="C14" s="46">
        <v>-762</v>
      </c>
      <c r="D14" s="46">
        <v>-747.5</v>
      </c>
      <c r="E14" s="46">
        <v>-666.5</v>
      </c>
      <c r="F14" s="46">
        <v>1539</v>
      </c>
      <c r="G14" s="46">
        <v>-1037</v>
      </c>
      <c r="H14" s="46">
        <v>-270</v>
      </c>
      <c r="I14" s="46">
        <v>-103</v>
      </c>
      <c r="J14" s="46">
        <v>1061</v>
      </c>
      <c r="K14" s="46">
        <v>-209</v>
      </c>
      <c r="L14" s="46">
        <v>-88</v>
      </c>
      <c r="M14" s="46">
        <v>-172</v>
      </c>
    </row>
    <row r="15" spans="1:13" s="43" customFormat="1" ht="15" customHeight="1">
      <c r="A15" s="47"/>
      <c r="B15" s="45" t="str">
        <f>IF(B3=1," Outras despesas e receitas","Other Expenses and Revenues")</f>
        <v xml:space="preserve"> Outras despesas e receitas</v>
      </c>
      <c r="C15" s="46">
        <v>-316</v>
      </c>
      <c r="D15" s="46">
        <v>189</v>
      </c>
      <c r="E15" s="46">
        <v>509</v>
      </c>
      <c r="F15" s="46">
        <v>-5282</v>
      </c>
      <c r="G15" s="46">
        <v>11762</v>
      </c>
      <c r="H15" s="46">
        <v>91</v>
      </c>
      <c r="I15" s="46">
        <v>-769</v>
      </c>
      <c r="J15" s="46">
        <v>-27011</v>
      </c>
      <c r="K15" s="46">
        <v>187</v>
      </c>
      <c r="L15" s="46">
        <v>-116</v>
      </c>
      <c r="M15" s="46">
        <v>-1416</v>
      </c>
    </row>
    <row r="16" spans="1:13" s="43" customFormat="1" ht="15" customHeight="1">
      <c r="A16" s="52"/>
      <c r="B16" s="45" t="str">
        <f>IF(B3=1,"Variação do valor justo de propriedades para Investimento","Change in Fair Value of Investment Properties")</f>
        <v>Variação do valor justo de propriedades para Investimento</v>
      </c>
      <c r="C16" s="46">
        <v>0</v>
      </c>
      <c r="D16" s="46">
        <v>0</v>
      </c>
      <c r="E16" s="46">
        <v>0</v>
      </c>
      <c r="F16" s="46">
        <v>86325</v>
      </c>
      <c r="G16" s="46">
        <v>0</v>
      </c>
      <c r="H16" s="46">
        <v>0</v>
      </c>
      <c r="I16" s="46">
        <v>0</v>
      </c>
      <c r="J16" s="46">
        <v>231972</v>
      </c>
      <c r="K16" s="46">
        <v>0</v>
      </c>
      <c r="L16" s="46">
        <v>-4328</v>
      </c>
      <c r="M16" s="46">
        <v>0</v>
      </c>
    </row>
    <row r="17" spans="1:13" s="43" customFormat="1" ht="15" customHeight="1">
      <c r="A17" s="47"/>
      <c r="B17" s="48" t="str">
        <f>IF(B3=1,"Resultado antes do resultado financeiro","Income (Loss) before Financial Income (Loss)")</f>
        <v>Resultado antes do resultado financeiro</v>
      </c>
      <c r="C17" s="53">
        <f t="shared" ref="C17:H17" si="3">SUM(C12:C16)+C10</f>
        <v>16008</v>
      </c>
      <c r="D17" s="53">
        <f t="shared" si="3"/>
        <v>17770</v>
      </c>
      <c r="E17" s="53">
        <f t="shared" si="3"/>
        <v>18436.099999999999</v>
      </c>
      <c r="F17" s="53">
        <f t="shared" si="3"/>
        <v>105068</v>
      </c>
      <c r="G17" s="53">
        <f t="shared" si="3"/>
        <v>30296</v>
      </c>
      <c r="H17" s="53">
        <f t="shared" si="3"/>
        <v>18000</v>
      </c>
      <c r="I17" s="53">
        <f>SUM(I12:I16)+I10</f>
        <v>17457</v>
      </c>
      <c r="J17" s="53">
        <f>SUM(J12:J16)+J10</f>
        <v>224754</v>
      </c>
      <c r="K17" s="53">
        <f>SUM(K12:K16)+K10</f>
        <v>15414</v>
      </c>
      <c r="L17" s="53">
        <v>12716</v>
      </c>
      <c r="M17" s="53">
        <v>18163</v>
      </c>
    </row>
    <row r="18" spans="1:13" s="43" customFormat="1" ht="15" customHeight="1">
      <c r="A18" s="47"/>
      <c r="B18" s="48" t="str">
        <f>IF(B3=1,"Resultado financeiro","Financial Income (Expenses)")</f>
        <v>Resultado financeiro</v>
      </c>
      <c r="C18" s="53">
        <f t="shared" ref="C18:H18" si="4">SUM(C19:C20)</f>
        <v>-20544</v>
      </c>
      <c r="D18" s="53">
        <f t="shared" si="4"/>
        <v>-24201</v>
      </c>
      <c r="E18" s="53">
        <f t="shared" si="4"/>
        <v>-13380</v>
      </c>
      <c r="F18" s="53">
        <f t="shared" si="4"/>
        <v>-24717</v>
      </c>
      <c r="G18" s="53">
        <f t="shared" si="4"/>
        <v>-29814</v>
      </c>
      <c r="H18" s="53">
        <f t="shared" si="4"/>
        <v>-27236</v>
      </c>
      <c r="I18" s="53">
        <f>SUM(I19:I20)</f>
        <v>-22251</v>
      </c>
      <c r="J18" s="53">
        <f>SUM(J19:J20)</f>
        <v>-24913</v>
      </c>
      <c r="K18" s="53">
        <f>SUM(K19:K20)</f>
        <v>-29575</v>
      </c>
      <c r="L18" s="53">
        <v>-32398</v>
      </c>
      <c r="M18" s="53">
        <v>-33775</v>
      </c>
    </row>
    <row r="19" spans="1:13" s="43" customFormat="1" ht="15" customHeight="1">
      <c r="A19" s="47"/>
      <c r="B19" s="45" t="str">
        <f>IF(B3=1,"Despesas financeiras","Financial Expenses")</f>
        <v>Despesas financeiras</v>
      </c>
      <c r="C19" s="46">
        <v>-31990</v>
      </c>
      <c r="D19" s="46">
        <v>-37384</v>
      </c>
      <c r="E19" s="46">
        <v>-25292</v>
      </c>
      <c r="F19" s="46">
        <v>-32588</v>
      </c>
      <c r="G19" s="46">
        <v>-38642</v>
      </c>
      <c r="H19" s="46">
        <v>-34764</v>
      </c>
      <c r="I19" s="46">
        <v>-28359</v>
      </c>
      <c r="J19" s="46">
        <v>-30088</v>
      </c>
      <c r="K19" s="46">
        <v>-33908</v>
      </c>
      <c r="L19" s="46">
        <v>-38164</v>
      </c>
      <c r="M19" s="46">
        <v>-38612</v>
      </c>
    </row>
    <row r="20" spans="1:13" s="43" customFormat="1" ht="15" customHeight="1">
      <c r="A20"/>
      <c r="B20" s="45" t="str">
        <f>IF(B3=1,"Receitas financeiras","Financial Revenues")</f>
        <v>Receitas financeiras</v>
      </c>
      <c r="C20" s="46">
        <v>11446</v>
      </c>
      <c r="D20" s="46">
        <v>13183</v>
      </c>
      <c r="E20" s="46">
        <v>11912</v>
      </c>
      <c r="F20" s="46">
        <v>7871</v>
      </c>
      <c r="G20" s="46">
        <v>8828</v>
      </c>
      <c r="H20" s="46">
        <v>7528</v>
      </c>
      <c r="I20" s="46">
        <v>6108</v>
      </c>
      <c r="J20" s="46">
        <v>5175</v>
      </c>
      <c r="K20" s="46">
        <v>4333</v>
      </c>
      <c r="L20" s="46">
        <v>5766</v>
      </c>
      <c r="M20" s="46">
        <v>4837</v>
      </c>
    </row>
    <row r="21" spans="1:13" s="43" customFormat="1" ht="15" customHeight="1">
      <c r="A21" s="54"/>
      <c r="B21" s="48" t="str">
        <f>IF(B3=1,"Resultado antes de IR e CSLL","Earnings before Income Tax and Social Contribution ")</f>
        <v>Resultado antes de IR e CSLL</v>
      </c>
      <c r="C21" s="53">
        <f t="shared" ref="C21:H21" si="5">SUM(C19:C20)+C17</f>
        <v>-4536</v>
      </c>
      <c r="D21" s="53">
        <f t="shared" si="5"/>
        <v>-6431</v>
      </c>
      <c r="E21" s="53">
        <f t="shared" si="5"/>
        <v>5056.0999999999985</v>
      </c>
      <c r="F21" s="53">
        <f t="shared" si="5"/>
        <v>80351</v>
      </c>
      <c r="G21" s="53">
        <f t="shared" si="5"/>
        <v>482</v>
      </c>
      <c r="H21" s="53">
        <f t="shared" si="5"/>
        <v>-9236</v>
      </c>
      <c r="I21" s="53">
        <f>SUM(I19:I20)+I17</f>
        <v>-4794</v>
      </c>
      <c r="J21" s="53">
        <f>SUM(J19:J20)+J17</f>
        <v>199841</v>
      </c>
      <c r="K21" s="53">
        <f>SUM(K19:K20)+K17</f>
        <v>-14161</v>
      </c>
      <c r="L21" s="53">
        <v>-19682</v>
      </c>
      <c r="M21" s="53">
        <v>-15612</v>
      </c>
    </row>
    <row r="22" spans="1:13" s="43" customFormat="1" ht="15" customHeight="1">
      <c r="A22"/>
      <c r="B22" s="49" t="str">
        <f>IF(B3=1,"Correntes","Current")</f>
        <v>Correntes</v>
      </c>
      <c r="C22" s="46">
        <v>-980</v>
      </c>
      <c r="D22" s="46">
        <v>-980</v>
      </c>
      <c r="E22" s="46">
        <v>-1204</v>
      </c>
      <c r="F22" s="46">
        <v>-29</v>
      </c>
      <c r="G22" s="46">
        <v>-1986</v>
      </c>
      <c r="H22" s="46">
        <v>-1537</v>
      </c>
      <c r="I22" s="46">
        <v>-2041</v>
      </c>
      <c r="J22" s="46">
        <v>-1816</v>
      </c>
      <c r="K22" s="46">
        <v>-1856</v>
      </c>
      <c r="L22" s="46">
        <v>-1733</v>
      </c>
      <c r="M22" s="46">
        <v>-1641</v>
      </c>
    </row>
    <row r="23" spans="1:13" s="43" customFormat="1" ht="15" customHeight="1">
      <c r="A23"/>
      <c r="B23" s="49" t="str">
        <f>IF(B3=1,"Diferidos","Deferred")</f>
        <v>Diferidos</v>
      </c>
      <c r="C23" s="46">
        <v>4</v>
      </c>
      <c r="D23" s="46">
        <v>-4</v>
      </c>
      <c r="E23" s="46">
        <v>0</v>
      </c>
      <c r="F23" s="46">
        <v>-8208</v>
      </c>
      <c r="G23" s="46">
        <v>0</v>
      </c>
      <c r="H23" s="46">
        <v>0</v>
      </c>
      <c r="I23" s="46">
        <v>0</v>
      </c>
      <c r="J23" s="46">
        <v>-47072</v>
      </c>
      <c r="K23" s="46">
        <v>0</v>
      </c>
      <c r="L23" s="46">
        <v>1962</v>
      </c>
      <c r="M23" s="46">
        <v>0</v>
      </c>
    </row>
    <row r="24" spans="1:13" s="43" customFormat="1" ht="15" customHeight="1">
      <c r="A24"/>
      <c r="B24" s="48" t="str">
        <f>IF(B3=1,"Lucro/Prejuízo do Período","Net Income (Loss) for the Period")</f>
        <v>Lucro/Prejuízo do Período</v>
      </c>
      <c r="C24" s="55">
        <f t="shared" ref="C24:H24" si="6">SUM(C22:C23)+C21</f>
        <v>-5512</v>
      </c>
      <c r="D24" s="55">
        <f t="shared" si="6"/>
        <v>-7415</v>
      </c>
      <c r="E24" s="55">
        <f t="shared" si="6"/>
        <v>3852.0999999999985</v>
      </c>
      <c r="F24" s="55">
        <f t="shared" si="6"/>
        <v>72114</v>
      </c>
      <c r="G24" s="55">
        <f t="shared" si="6"/>
        <v>-1504</v>
      </c>
      <c r="H24" s="55">
        <f t="shared" si="6"/>
        <v>-10773</v>
      </c>
      <c r="I24" s="55">
        <f>SUM(I22:I23)+I21</f>
        <v>-6835</v>
      </c>
      <c r="J24" s="55">
        <f>SUM(J22:J23)+J21</f>
        <v>150953</v>
      </c>
      <c r="K24" s="55">
        <f>SUM(K22:K23)+K21</f>
        <v>-16017</v>
      </c>
      <c r="L24" s="55">
        <v>-19453</v>
      </c>
      <c r="M24" s="55">
        <v>-17253</v>
      </c>
    </row>
    <row r="53" spans="3:3" s="34" customFormat="1">
      <c r="C53" s="5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N69"/>
  <sheetViews>
    <sheetView showGridLines="0" zoomScale="80" zoomScaleNormal="80" workbookViewId="0">
      <pane xSplit="2" topLeftCell="H1" activePane="topRight" state="frozen"/>
      <selection activeCell="AE101" sqref="AE101"/>
      <selection pane="topRight"/>
    </sheetView>
  </sheetViews>
  <sheetFormatPr defaultRowHeight="15"/>
  <cols>
    <col min="1" max="1" width="4" customWidth="1"/>
    <col min="2" max="2" width="60" bestFit="1" customWidth="1"/>
    <col min="3" max="3" width="13.28515625" style="57" customWidth="1"/>
    <col min="4" max="13" width="13.28515625" customWidth="1"/>
  </cols>
  <sheetData>
    <row r="1" spans="1:13">
      <c r="B1" s="5" t="s">
        <v>1</v>
      </c>
    </row>
    <row r="2" spans="1:13">
      <c r="B2" s="5" t="s">
        <v>0</v>
      </c>
    </row>
    <row r="3" spans="1:13">
      <c r="B3" s="6">
        <v>1</v>
      </c>
    </row>
    <row r="4" spans="1:13" ht="6" customHeight="1">
      <c r="B4" s="2"/>
      <c r="C4" s="58"/>
    </row>
    <row r="5" spans="1:13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9" t="str">
        <f>IF(B3=1,"1T22","1Q22")</f>
        <v>1T22</v>
      </c>
      <c r="D5" s="59" t="str">
        <f>IF($B$3=1,"2T22","2Q22")</f>
        <v>2T22</v>
      </c>
      <c r="E5" s="59" t="str">
        <f>IF($B$3=1,"3T22","3Q22")</f>
        <v>3T22</v>
      </c>
      <c r="F5" s="59" t="str">
        <f>IF($B$3=1,"4T22","4Q22")</f>
        <v>4T22</v>
      </c>
      <c r="G5" s="59" t="str">
        <f>IF($B$3=1,"1T23","1Q23")</f>
        <v>1T23</v>
      </c>
      <c r="H5" s="59" t="str">
        <f>IF($B$3=1,"2T23","2Q23")</f>
        <v>2T23</v>
      </c>
      <c r="I5" s="59" t="str">
        <f>IF($B$3=1,"3T23","3Q23")</f>
        <v>3T23</v>
      </c>
      <c r="J5" s="59" t="str">
        <f>IF($B$3=1,"4T23","4Q23")</f>
        <v>4T23</v>
      </c>
      <c r="K5" s="59" t="str">
        <f>IF($B$3=1,"1T24","1Q24")</f>
        <v>1T24</v>
      </c>
      <c r="L5" s="40" t="str">
        <f>IF($B$3=1,"2T24","2Q24")</f>
        <v>2T24</v>
      </c>
      <c r="M5" s="40" t="str">
        <f>IF($B$3=1,"3T24","3Q24")</f>
        <v>3T24</v>
      </c>
    </row>
    <row r="6" spans="1:13" s="43" customFormat="1" ht="15" customHeight="1">
      <c r="B6" s="41" t="str">
        <f>IF(B3=1,"Receita Bruta ","Gross Revenues")</f>
        <v xml:space="preserve">Receita Bruta </v>
      </c>
      <c r="C6" s="53">
        <f t="shared" ref="C6:K6" si="0">SUM(C7:C10)</f>
        <v>39473</v>
      </c>
      <c r="D6" s="53">
        <f t="shared" si="0"/>
        <v>39009</v>
      </c>
      <c r="E6" s="53">
        <f t="shared" si="0"/>
        <v>39057</v>
      </c>
      <c r="F6" s="53">
        <f t="shared" si="0"/>
        <v>42305</v>
      </c>
      <c r="G6" s="53">
        <f t="shared" si="0"/>
        <v>40540</v>
      </c>
      <c r="H6" s="53">
        <f t="shared" si="0"/>
        <v>42687</v>
      </c>
      <c r="I6" s="53">
        <f t="shared" si="0"/>
        <v>43804</v>
      </c>
      <c r="J6" s="53">
        <f t="shared" si="0"/>
        <v>44636</v>
      </c>
      <c r="K6" s="53">
        <f t="shared" si="0"/>
        <v>42601</v>
      </c>
      <c r="L6" s="53">
        <v>43886</v>
      </c>
      <c r="M6" s="53">
        <v>45401</v>
      </c>
    </row>
    <row r="7" spans="1:13" s="43" customFormat="1" ht="15" customHeight="1">
      <c r="B7" s="45" t="str">
        <f>IF(B3=1,"Aluguel de imóveis próprios","Own Properties for Lease")</f>
        <v>Aluguel de imóveis próprios</v>
      </c>
      <c r="C7" s="51">
        <v>35807</v>
      </c>
      <c r="D7" s="51">
        <v>33747</v>
      </c>
      <c r="E7" s="51">
        <v>33881</v>
      </c>
      <c r="F7" s="51">
        <v>35368</v>
      </c>
      <c r="G7" s="51">
        <v>32666</v>
      </c>
      <c r="H7" s="51">
        <v>33852</v>
      </c>
      <c r="I7" s="51">
        <v>34967</v>
      </c>
      <c r="J7" s="51">
        <v>35844</v>
      </c>
      <c r="K7" s="51">
        <v>34497</v>
      </c>
      <c r="L7" s="51">
        <v>34100</v>
      </c>
      <c r="M7" s="51">
        <v>35530</v>
      </c>
    </row>
    <row r="8" spans="1:13" s="43" customFormat="1" ht="15" customHeight="1">
      <c r="B8" s="45" t="str">
        <f>IF(B3=1,"Taxa de administração","Management Fee")</f>
        <v>Taxa de administração</v>
      </c>
      <c r="C8" s="51">
        <v>1402</v>
      </c>
      <c r="D8" s="51">
        <v>1640</v>
      </c>
      <c r="E8" s="51">
        <v>1479</v>
      </c>
      <c r="F8" s="51">
        <v>1467</v>
      </c>
      <c r="G8" s="51">
        <v>1508</v>
      </c>
      <c r="H8" s="51">
        <v>1450</v>
      </c>
      <c r="I8" s="51">
        <v>1466</v>
      </c>
      <c r="J8" s="51">
        <v>1444</v>
      </c>
      <c r="K8" s="51">
        <v>1320</v>
      </c>
      <c r="L8" s="51">
        <v>1149</v>
      </c>
      <c r="M8" s="51">
        <v>944</v>
      </c>
    </row>
    <row r="9" spans="1:13" s="43" customFormat="1" ht="15" customHeight="1">
      <c r="B9" s="45" t="str">
        <f>IF(B3=1,"Hospedagem","Accommodation")</f>
        <v>Hospedagem</v>
      </c>
      <c r="C9" s="51">
        <v>1685</v>
      </c>
      <c r="D9" s="51">
        <v>2914</v>
      </c>
      <c r="E9" s="51">
        <v>3087</v>
      </c>
      <c r="F9" s="51">
        <v>4660</v>
      </c>
      <c r="G9" s="51">
        <v>5721</v>
      </c>
      <c r="H9" s="51">
        <v>6670</v>
      </c>
      <c r="I9" s="51">
        <v>6784</v>
      </c>
      <c r="J9" s="51">
        <v>6674</v>
      </c>
      <c r="K9" s="51">
        <v>5978</v>
      </c>
      <c r="L9" s="51">
        <v>7719</v>
      </c>
      <c r="M9" s="51">
        <v>7988</v>
      </c>
    </row>
    <row r="10" spans="1:13" s="43" customFormat="1" ht="15" customHeight="1">
      <c r="B10" s="45" t="str">
        <f>IF(B3=1,"Outras receitas","Other Revenues")</f>
        <v>Outras receitas</v>
      </c>
      <c r="C10" s="51">
        <v>579</v>
      </c>
      <c r="D10" s="51">
        <v>708</v>
      </c>
      <c r="E10" s="51">
        <v>610</v>
      </c>
      <c r="F10" s="51">
        <v>810</v>
      </c>
      <c r="G10" s="51">
        <v>645</v>
      </c>
      <c r="H10" s="51">
        <v>715</v>
      </c>
      <c r="I10" s="51">
        <v>587</v>
      </c>
      <c r="J10" s="51">
        <v>674</v>
      </c>
      <c r="K10" s="51">
        <v>806</v>
      </c>
      <c r="L10" s="51">
        <v>918</v>
      </c>
      <c r="M10" s="51">
        <v>939</v>
      </c>
    </row>
    <row r="11" spans="1:13" s="43" customFormat="1" ht="15" customHeight="1">
      <c r="B11" s="45" t="str">
        <f>IF(B3=1,"(-) Deduções da receita","(-) Deductions from Revenues")</f>
        <v>(-) Deduções da receita</v>
      </c>
      <c r="C11" s="51">
        <v>-5339</v>
      </c>
      <c r="D11" s="51">
        <v>-4707</v>
      </c>
      <c r="E11" s="51">
        <v>-4679</v>
      </c>
      <c r="F11" s="51">
        <v>-4253</v>
      </c>
      <c r="G11" s="51">
        <v>-3563</v>
      </c>
      <c r="H11" s="51">
        <v>-3689</v>
      </c>
      <c r="I11" s="51">
        <v>-5433</v>
      </c>
      <c r="J11" s="51">
        <v>-5600</v>
      </c>
      <c r="K11" s="51">
        <v>-4910</v>
      </c>
      <c r="L11" s="51">
        <v>-4112</v>
      </c>
      <c r="M11" s="51">
        <v>-3862</v>
      </c>
    </row>
    <row r="12" spans="1:13" s="43" customFormat="1" ht="15" customHeight="1">
      <c r="A12"/>
      <c r="B12" s="60" t="str">
        <f>IF(B3=1,"Receita Líquida","Net Revenues")</f>
        <v>Receita Líquida</v>
      </c>
      <c r="C12" s="61">
        <f t="shared" ref="C12:K12" si="1">C6+C11</f>
        <v>34134</v>
      </c>
      <c r="D12" s="61">
        <f t="shared" si="1"/>
        <v>34302</v>
      </c>
      <c r="E12" s="61">
        <f t="shared" si="1"/>
        <v>34378</v>
      </c>
      <c r="F12" s="61">
        <f t="shared" si="1"/>
        <v>38052</v>
      </c>
      <c r="G12" s="61">
        <f t="shared" si="1"/>
        <v>36977</v>
      </c>
      <c r="H12" s="61">
        <f t="shared" si="1"/>
        <v>38998</v>
      </c>
      <c r="I12" s="61">
        <f t="shared" si="1"/>
        <v>38371</v>
      </c>
      <c r="J12" s="61">
        <f t="shared" si="1"/>
        <v>39036</v>
      </c>
      <c r="K12" s="61">
        <f t="shared" si="1"/>
        <v>37691</v>
      </c>
      <c r="L12" s="61">
        <v>39774</v>
      </c>
      <c r="M12" s="61">
        <v>41539</v>
      </c>
    </row>
    <row r="13" spans="1:13" s="43" customFormat="1" ht="15" customHeight="1">
      <c r="A13" s="44"/>
      <c r="B13" s="45" t="s">
        <v>103</v>
      </c>
      <c r="C13" s="46">
        <v>3799</v>
      </c>
      <c r="D13" s="46">
        <v>4345</v>
      </c>
      <c r="E13" s="46">
        <v>4263</v>
      </c>
      <c r="F13" s="46">
        <v>4845</v>
      </c>
      <c r="G13" s="46">
        <v>5383</v>
      </c>
      <c r="H13" s="46">
        <v>6445</v>
      </c>
      <c r="I13" s="46">
        <v>4847</v>
      </c>
      <c r="J13" s="46">
        <v>5228</v>
      </c>
      <c r="K13" s="46">
        <v>5301</v>
      </c>
      <c r="L13" s="46">
        <v>5429</v>
      </c>
      <c r="M13" s="46">
        <v>6314</v>
      </c>
    </row>
    <row r="14" spans="1:13" s="43" customFormat="1" ht="15" customHeight="1">
      <c r="A14" s="44"/>
      <c r="B14" s="45" t="s">
        <v>2</v>
      </c>
      <c r="C14" s="46">
        <v>7270</v>
      </c>
      <c r="D14" s="46">
        <v>7327</v>
      </c>
      <c r="E14" s="46">
        <v>7153</v>
      </c>
      <c r="F14" s="46">
        <v>7326</v>
      </c>
      <c r="G14" s="46">
        <v>7367</v>
      </c>
      <c r="H14" s="46">
        <v>7503</v>
      </c>
      <c r="I14" s="46">
        <v>7448</v>
      </c>
      <c r="J14" s="46">
        <v>7467</v>
      </c>
      <c r="K14" s="46">
        <v>7457</v>
      </c>
      <c r="L14" s="46">
        <v>7410</v>
      </c>
      <c r="M14" s="46">
        <v>7738</v>
      </c>
    </row>
    <row r="15" spans="1:13" s="43" customFormat="1" ht="15" customHeight="1">
      <c r="A15" s="44"/>
      <c r="B15" s="45" t="s">
        <v>3</v>
      </c>
      <c r="C15" s="46">
        <v>12474</v>
      </c>
      <c r="D15" s="46">
        <v>10770</v>
      </c>
      <c r="E15" s="46">
        <v>11108</v>
      </c>
      <c r="F15" s="46">
        <v>12888</v>
      </c>
      <c r="G15" s="46">
        <v>11449</v>
      </c>
      <c r="H15" s="46">
        <v>11315</v>
      </c>
      <c r="I15" s="46">
        <v>12059</v>
      </c>
      <c r="J15" s="46">
        <v>13249</v>
      </c>
      <c r="K15" s="46">
        <v>12843</v>
      </c>
      <c r="L15" s="46">
        <v>12509</v>
      </c>
      <c r="M15" s="46">
        <v>13054</v>
      </c>
    </row>
    <row r="16" spans="1:13" s="43" customFormat="1" ht="15" customHeight="1">
      <c r="A16" s="44"/>
      <c r="B16" s="45" t="s">
        <v>4</v>
      </c>
      <c r="C16" s="51">
        <v>9452</v>
      </c>
      <c r="D16" s="51">
        <v>10696</v>
      </c>
      <c r="E16" s="51">
        <v>10820</v>
      </c>
      <c r="F16" s="51">
        <v>11947</v>
      </c>
      <c r="G16" s="51">
        <v>11741</v>
      </c>
      <c r="H16" s="51">
        <v>12755</v>
      </c>
      <c r="I16" s="51">
        <v>13022</v>
      </c>
      <c r="J16" s="51">
        <v>12095</v>
      </c>
      <c r="K16" s="51">
        <v>11281</v>
      </c>
      <c r="L16" s="51">
        <v>13239</v>
      </c>
      <c r="M16" s="51">
        <v>13432</v>
      </c>
    </row>
    <row r="17" spans="1:14" s="43" customFormat="1" ht="15" customHeight="1">
      <c r="A17" s="44"/>
      <c r="B17" s="45" t="str">
        <f>IF(B3=1,"Outras Receitas Holding","Holding Other Revenues")</f>
        <v>Outras Receitas Holding</v>
      </c>
      <c r="C17" s="51">
        <v>1139</v>
      </c>
      <c r="D17" s="51">
        <v>1164</v>
      </c>
      <c r="E17" s="51">
        <v>1034</v>
      </c>
      <c r="F17" s="51">
        <v>1046</v>
      </c>
      <c r="G17" s="51">
        <v>1037</v>
      </c>
      <c r="H17" s="51">
        <v>980</v>
      </c>
      <c r="I17" s="51">
        <v>995</v>
      </c>
      <c r="J17" s="51">
        <v>997</v>
      </c>
      <c r="K17" s="51">
        <v>809</v>
      </c>
      <c r="L17" s="51">
        <v>1187</v>
      </c>
      <c r="M17" s="51">
        <v>1001</v>
      </c>
    </row>
    <row r="18" spans="1:14" s="43" customFormat="1" ht="15" customHeight="1">
      <c r="A18"/>
      <c r="B18" s="41" t="str">
        <f>IF(B3=1,"Receita Líquida por Plataforma","Net Operating Revenues by Plataform")</f>
        <v>Receita Líquida por Plataforma</v>
      </c>
      <c r="C18" s="42">
        <f t="shared" ref="C18:H18" si="2">SUM(C13:C17)</f>
        <v>34134</v>
      </c>
      <c r="D18" s="42">
        <f t="shared" si="2"/>
        <v>34302</v>
      </c>
      <c r="E18" s="42">
        <f t="shared" si="2"/>
        <v>34378</v>
      </c>
      <c r="F18" s="42">
        <f t="shared" si="2"/>
        <v>38052</v>
      </c>
      <c r="G18" s="42">
        <f t="shared" si="2"/>
        <v>36977</v>
      </c>
      <c r="H18" s="42">
        <f t="shared" si="2"/>
        <v>38998</v>
      </c>
      <c r="I18" s="42">
        <f>SUM(I13:I17)</f>
        <v>38371</v>
      </c>
      <c r="J18" s="42">
        <f>SUM(J13:J17)</f>
        <v>39036</v>
      </c>
      <c r="K18" s="42">
        <f>SUM(K13:K17)</f>
        <v>37691</v>
      </c>
      <c r="L18" s="42">
        <v>39774</v>
      </c>
      <c r="M18" s="42">
        <v>41539</v>
      </c>
    </row>
    <row r="19" spans="1:14" s="43" customFormat="1" ht="15" customHeight="1">
      <c r="B19" s="62" t="str">
        <f>IF(B3=1,"(-) Custos","(-) Costs")</f>
        <v>(-) Custos</v>
      </c>
      <c r="C19" s="51">
        <v>-7004</v>
      </c>
      <c r="D19" s="51">
        <v>-4944</v>
      </c>
      <c r="E19" s="51">
        <v>-4459</v>
      </c>
      <c r="F19" s="51">
        <v>-5892.3537200000001</v>
      </c>
      <c r="G19" s="51">
        <v>-5907</v>
      </c>
      <c r="H19" s="51">
        <v>-6864</v>
      </c>
      <c r="I19" s="51">
        <v>-8319</v>
      </c>
      <c r="J19" s="51">
        <v>-8013</v>
      </c>
      <c r="K19" s="51">
        <v>-7197</v>
      </c>
      <c r="L19" s="51">
        <v>-8176</v>
      </c>
      <c r="M19" s="51">
        <v>-8130</v>
      </c>
    </row>
    <row r="20" spans="1:14" s="43" customFormat="1" ht="15" customHeight="1">
      <c r="A20" s="54"/>
      <c r="B20" s="60" t="str">
        <f>IF(B3=1,"Lucro Bruto (NOI)","Gross Profit (NOI)")</f>
        <v>Lucro Bruto (NOI)</v>
      </c>
      <c r="C20" s="61">
        <f t="shared" ref="C20:I20" si="3">SUM(C18:C19)</f>
        <v>27130</v>
      </c>
      <c r="D20" s="61">
        <f t="shared" si="3"/>
        <v>29358</v>
      </c>
      <c r="E20" s="61">
        <f t="shared" si="3"/>
        <v>29919</v>
      </c>
      <c r="F20" s="61">
        <f t="shared" si="3"/>
        <v>32159.646280000001</v>
      </c>
      <c r="G20" s="61">
        <f t="shared" si="3"/>
        <v>31070</v>
      </c>
      <c r="H20" s="61">
        <f t="shared" si="3"/>
        <v>32134</v>
      </c>
      <c r="I20" s="61">
        <f t="shared" si="3"/>
        <v>30052</v>
      </c>
      <c r="J20" s="61">
        <f>SUM(J18:J19)</f>
        <v>31023</v>
      </c>
      <c r="K20" s="61">
        <f>SUM(K18:K19)</f>
        <v>30494</v>
      </c>
      <c r="L20" s="61">
        <v>31598</v>
      </c>
      <c r="M20" s="61">
        <v>33409</v>
      </c>
    </row>
    <row r="21" spans="1:14" s="43" customFormat="1" ht="15" customHeight="1">
      <c r="A21" s="52"/>
      <c r="B21" s="48" t="str">
        <f>IF(B3=1,"Despesas e Receitas","Expenses and Revenues")</f>
        <v>Despesas e Receitas</v>
      </c>
      <c r="C21" s="53">
        <f t="shared" ref="C21:I21" si="4">SUM(C22:C27)</f>
        <v>-11960</v>
      </c>
      <c r="D21" s="53">
        <f t="shared" si="4"/>
        <v>-10338</v>
      </c>
      <c r="E21" s="53">
        <f t="shared" si="4"/>
        <v>-10480</v>
      </c>
      <c r="F21" s="53">
        <f t="shared" si="4"/>
        <v>138790</v>
      </c>
      <c r="G21" s="53">
        <f t="shared" si="4"/>
        <v>4568</v>
      </c>
      <c r="H21" s="53">
        <f t="shared" si="4"/>
        <v>-12400</v>
      </c>
      <c r="I21" s="53">
        <f t="shared" si="4"/>
        <v>-11481</v>
      </c>
      <c r="J21" s="53">
        <f>SUM(J22:J27)</f>
        <v>328691</v>
      </c>
      <c r="K21" s="53">
        <f>SUM(K22:K27)</f>
        <v>-12856.209620000001</v>
      </c>
      <c r="L21" s="53">
        <v>-15013.209049999999</v>
      </c>
      <c r="M21" s="164">
        <v>-11886</v>
      </c>
    </row>
    <row r="22" spans="1:14" s="43" customFormat="1" ht="15" customHeight="1">
      <c r="A22" s="47"/>
      <c r="B22" s="49" t="str">
        <f>IF(B3=1,"Despesas Gerais e Administrativas","General and Administrative Expenses")</f>
        <v>Despesas Gerais e Administrativas</v>
      </c>
      <c r="C22" s="46">
        <v>-8107</v>
      </c>
      <c r="D22" s="46">
        <v>-7422</v>
      </c>
      <c r="E22" s="46">
        <v>-8473</v>
      </c>
      <c r="F22" s="46">
        <v>-6579</v>
      </c>
      <c r="G22" s="46">
        <v>-9193</v>
      </c>
      <c r="H22" s="46">
        <v>-11009</v>
      </c>
      <c r="I22" s="46">
        <v>-10205</v>
      </c>
      <c r="J22" s="46">
        <v>-11473</v>
      </c>
      <c r="K22" s="46">
        <v>-12861.209620000001</v>
      </c>
      <c r="L22" s="46">
        <v>-11159.209049999999</v>
      </c>
      <c r="M22" s="165">
        <v>-10505</v>
      </c>
      <c r="N22" s="127"/>
    </row>
    <row r="23" spans="1:14" s="43" customFormat="1" ht="15" customHeight="1">
      <c r="A23" s="47"/>
      <c r="B23" s="50" t="str">
        <f>IF(B3=1,"Despesas Comerciais ","Selling Expenses")</f>
        <v xml:space="preserve">Despesas Comerciais </v>
      </c>
      <c r="C23" s="46">
        <v>-710</v>
      </c>
      <c r="D23" s="46">
        <v>-307</v>
      </c>
      <c r="E23" s="46">
        <v>-446</v>
      </c>
      <c r="F23" s="46">
        <v>-768</v>
      </c>
      <c r="G23" s="46">
        <v>-523</v>
      </c>
      <c r="H23" s="46">
        <v>-978</v>
      </c>
      <c r="I23" s="46">
        <v>-1048</v>
      </c>
      <c r="J23" s="46">
        <v>-1563</v>
      </c>
      <c r="K23" s="46">
        <v>-618</v>
      </c>
      <c r="L23" s="46">
        <v>-759</v>
      </c>
      <c r="M23" s="165">
        <v>-884</v>
      </c>
    </row>
    <row r="24" spans="1:14" s="43" customFormat="1" ht="15" customHeight="1">
      <c r="A24" s="47"/>
      <c r="B24" s="50" t="str">
        <f>IF(B3=1,"Despesas tributárias","Tax Expenses")</f>
        <v>Despesas tributárias</v>
      </c>
      <c r="C24" s="46">
        <v>-735</v>
      </c>
      <c r="D24" s="46">
        <v>-738</v>
      </c>
      <c r="E24" s="46">
        <v>-686</v>
      </c>
      <c r="F24" s="46">
        <v>1538</v>
      </c>
      <c r="G24" s="46">
        <v>-1041</v>
      </c>
      <c r="H24" s="46">
        <v>-302</v>
      </c>
      <c r="I24" s="46">
        <v>-183</v>
      </c>
      <c r="J24" s="46">
        <v>857</v>
      </c>
      <c r="K24" s="46">
        <v>-109</v>
      </c>
      <c r="L24" s="46">
        <v>-85</v>
      </c>
      <c r="M24" s="46">
        <v>-142</v>
      </c>
    </row>
    <row r="25" spans="1:14" s="43" customFormat="1" ht="15" customHeight="1">
      <c r="A25" s="47"/>
      <c r="B25" s="45" t="str">
        <f>IF(B3=1," Outras despesas e receitas","Other Expenses and Revenues")</f>
        <v xml:space="preserve"> Outras despesas e receitas</v>
      </c>
      <c r="C25" s="46">
        <v>-290</v>
      </c>
      <c r="D25" s="46">
        <v>221</v>
      </c>
      <c r="E25" s="46">
        <v>647</v>
      </c>
      <c r="F25" s="46">
        <v>-984</v>
      </c>
      <c r="G25" s="46">
        <v>15752</v>
      </c>
      <c r="H25" s="46">
        <v>114</v>
      </c>
      <c r="I25" s="46">
        <v>59</v>
      </c>
      <c r="J25" s="46">
        <v>-29554</v>
      </c>
      <c r="K25" s="46">
        <v>259</v>
      </c>
      <c r="L25" s="46">
        <v>-9</v>
      </c>
      <c r="M25" s="46">
        <v>-1358</v>
      </c>
    </row>
    <row r="26" spans="1:14" s="43" customFormat="1" ht="15" customHeight="1">
      <c r="A26" s="47"/>
      <c r="B26" s="45" t="str">
        <f>IF(B3=1,"Variação do valor justo de propriedades para Investimento","Change in Fair Value of Investment Properties")</f>
        <v>Variação do valor justo de propriedades para Investimento</v>
      </c>
      <c r="C26" s="46">
        <v>0</v>
      </c>
      <c r="D26" s="46">
        <v>0</v>
      </c>
      <c r="E26" s="46">
        <v>0</v>
      </c>
      <c r="F26" s="46">
        <v>159134</v>
      </c>
      <c r="G26" s="46">
        <v>0</v>
      </c>
      <c r="H26" s="46">
        <v>0</v>
      </c>
      <c r="I26" s="46">
        <v>0</v>
      </c>
      <c r="J26" s="46">
        <v>388175</v>
      </c>
      <c r="K26" s="46">
        <v>0</v>
      </c>
      <c r="L26" s="46">
        <v>-3837</v>
      </c>
      <c r="M26" s="46">
        <v>1003</v>
      </c>
    </row>
    <row r="27" spans="1:14" s="43" customFormat="1" ht="15" customHeight="1">
      <c r="A27" s="47"/>
      <c r="B27" s="45" t="str">
        <f>IF(B3=1," Resultado de equivalência patrimonial","Equity Earnings (Loss)")</f>
        <v xml:space="preserve"> Resultado de equivalência patrimonial</v>
      </c>
      <c r="C27" s="46">
        <v>-2118</v>
      </c>
      <c r="D27" s="46">
        <v>-2092</v>
      </c>
      <c r="E27" s="46">
        <v>-1522</v>
      </c>
      <c r="F27" s="46">
        <v>-13551</v>
      </c>
      <c r="G27" s="46">
        <v>-427</v>
      </c>
      <c r="H27" s="46">
        <v>-225</v>
      </c>
      <c r="I27" s="46">
        <v>-104</v>
      </c>
      <c r="J27" s="46">
        <v>-17751</v>
      </c>
      <c r="K27" s="46">
        <v>473</v>
      </c>
      <c r="L27" s="46">
        <v>836</v>
      </c>
      <c r="M27" s="46">
        <v>0</v>
      </c>
    </row>
    <row r="28" spans="1:14" s="43" customFormat="1" ht="15" customHeight="1">
      <c r="A28" s="52"/>
      <c r="B28" s="63" t="str">
        <f>IF(B3=1,"Resultado antes do resultado financeiro","Income (Loss) before Financial Income (Loss)")</f>
        <v>Resultado antes do resultado financeiro</v>
      </c>
      <c r="C28" s="61">
        <f t="shared" ref="C28:I28" si="5">SUM(C22:C27)+C20</f>
        <v>15170</v>
      </c>
      <c r="D28" s="61">
        <f t="shared" si="5"/>
        <v>19020</v>
      </c>
      <c r="E28" s="61">
        <f t="shared" si="5"/>
        <v>19439</v>
      </c>
      <c r="F28" s="61">
        <f t="shared" si="5"/>
        <v>170949.64627999999</v>
      </c>
      <c r="G28" s="61">
        <f t="shared" si="5"/>
        <v>35638</v>
      </c>
      <c r="H28" s="61">
        <f t="shared" si="5"/>
        <v>19734</v>
      </c>
      <c r="I28" s="61">
        <f t="shared" si="5"/>
        <v>18571</v>
      </c>
      <c r="J28" s="61">
        <f>SUM(J22:J27)+J20</f>
        <v>359714</v>
      </c>
      <c r="K28" s="61">
        <f>SUM(K22:K27)+K20</f>
        <v>17637.790379999999</v>
      </c>
      <c r="L28" s="61">
        <v>16584.790950000002</v>
      </c>
      <c r="M28" s="61">
        <v>21523</v>
      </c>
    </row>
    <row r="29" spans="1:14" s="43" customFormat="1" ht="15" customHeight="1">
      <c r="A29" s="54"/>
      <c r="B29" s="64" t="str">
        <f>IF(B3=1,"Resultado financeiro","Financial Income (Expenses)")</f>
        <v>Resultado financeiro</v>
      </c>
      <c r="C29" s="53">
        <f t="shared" ref="C29:I29" si="6">SUM(C30:C31)</f>
        <v>-17909</v>
      </c>
      <c r="D29" s="53">
        <f t="shared" si="6"/>
        <v>-22845</v>
      </c>
      <c r="E29" s="53">
        <f t="shared" si="6"/>
        <v>-12397</v>
      </c>
      <c r="F29" s="53">
        <f t="shared" si="6"/>
        <v>-24229</v>
      </c>
      <c r="G29" s="53">
        <f t="shared" si="6"/>
        <v>-27619</v>
      </c>
      <c r="H29" s="53">
        <f t="shared" si="6"/>
        <v>-25742</v>
      </c>
      <c r="I29" s="53">
        <f t="shared" si="6"/>
        <v>-20089</v>
      </c>
      <c r="J29" s="53">
        <f>SUM(J30:J31)</f>
        <v>-23356</v>
      </c>
      <c r="K29" s="53">
        <f>SUM(K30:K31)</f>
        <v>-28354</v>
      </c>
      <c r="L29" s="53">
        <v>-31769.775719999998</v>
      </c>
      <c r="M29" s="164">
        <v>-33332.774059999996</v>
      </c>
    </row>
    <row r="30" spans="1:14" s="43" customFormat="1" ht="15" customHeight="1">
      <c r="A30" s="47"/>
      <c r="B30" s="45" t="str">
        <f>IF(B3=1,"Despesas financeiras","Financial Expenses")</f>
        <v>Despesas financeiras</v>
      </c>
      <c r="C30" s="46">
        <v>-28747</v>
      </c>
      <c r="D30" s="46">
        <v>-35460</v>
      </c>
      <c r="E30" s="46">
        <v>-24808</v>
      </c>
      <c r="F30" s="46">
        <v>-32730</v>
      </c>
      <c r="G30" s="51">
        <v>-37165</v>
      </c>
      <c r="H30" s="51">
        <v>-33994</v>
      </c>
      <c r="I30" s="51">
        <v>-26992</v>
      </c>
      <c r="J30" s="46">
        <v>-29041</v>
      </c>
      <c r="K30" s="46">
        <v>-33013</v>
      </c>
      <c r="L30" s="46">
        <v>-37886.4329</v>
      </c>
      <c r="M30" s="46">
        <v>-38106.837019999992</v>
      </c>
    </row>
    <row r="31" spans="1:14" s="43" customFormat="1" ht="15" customHeight="1">
      <c r="A31" s="47"/>
      <c r="B31" s="45" t="str">
        <f>IF(B3=1,"Receitas financeiras","Financial Revenues")</f>
        <v>Receitas financeiras</v>
      </c>
      <c r="C31" s="46">
        <v>10838</v>
      </c>
      <c r="D31" s="46">
        <v>12615</v>
      </c>
      <c r="E31" s="46">
        <v>12411</v>
      </c>
      <c r="F31" s="46">
        <v>8501</v>
      </c>
      <c r="G31" s="51">
        <v>9546</v>
      </c>
      <c r="H31" s="51">
        <v>8252</v>
      </c>
      <c r="I31" s="51">
        <v>6903</v>
      </c>
      <c r="J31" s="46">
        <v>5685</v>
      </c>
      <c r="K31" s="46">
        <v>4659</v>
      </c>
      <c r="L31" s="46">
        <v>6116.6571800000002</v>
      </c>
      <c r="M31" s="46">
        <v>4774.0629599999984</v>
      </c>
    </row>
    <row r="32" spans="1:14" s="43" customFormat="1" ht="15" customHeight="1">
      <c r="A32" s="54"/>
      <c r="B32" s="63" t="str">
        <f>IF(B3=1,"Resultado antes de IR e CSLL","Earnings before Income Tax and Social Contribution ")</f>
        <v>Resultado antes de IR e CSLL</v>
      </c>
      <c r="C32" s="61">
        <f t="shared" ref="C32:I32" si="7">SUM(C30:C31)+C28</f>
        <v>-2739</v>
      </c>
      <c r="D32" s="61">
        <f t="shared" si="7"/>
        <v>-3825</v>
      </c>
      <c r="E32" s="61">
        <f t="shared" si="7"/>
        <v>7042</v>
      </c>
      <c r="F32" s="61">
        <f>SUM(F30:F31)+F28</f>
        <v>146720.64627999999</v>
      </c>
      <c r="G32" s="61">
        <f t="shared" si="7"/>
        <v>8019</v>
      </c>
      <c r="H32" s="61">
        <f t="shared" si="7"/>
        <v>-6008</v>
      </c>
      <c r="I32" s="61">
        <f t="shared" si="7"/>
        <v>-1518</v>
      </c>
      <c r="J32" s="61">
        <f>SUM(J30:J31)+J28</f>
        <v>336358</v>
      </c>
      <c r="K32" s="61">
        <f>SUM(K30:K31)+K28</f>
        <v>-10716.209620000001</v>
      </c>
      <c r="L32" s="61">
        <v>-15183.984769999995</v>
      </c>
      <c r="M32" s="61">
        <v>-11809.77406</v>
      </c>
    </row>
    <row r="33" spans="1:14" s="43" customFormat="1" ht="15" customHeight="1">
      <c r="A33"/>
      <c r="B33" s="48" t="str">
        <f>IF(B3=1,"Imposto de Renda e Contribuição Social","Income and Social Contribution Taxes")</f>
        <v>Imposto de Renda e Contribuição Social</v>
      </c>
      <c r="C33" s="53">
        <f t="shared" ref="C33:I33" si="8">SUM(C34:C35)</f>
        <v>-1268</v>
      </c>
      <c r="D33" s="53">
        <f t="shared" si="8"/>
        <v>-1256</v>
      </c>
      <c r="E33" s="53">
        <f t="shared" si="8"/>
        <v>-1571</v>
      </c>
      <c r="F33" s="53">
        <f t="shared" si="8"/>
        <v>-22620</v>
      </c>
      <c r="G33" s="53">
        <f t="shared" si="8"/>
        <v>-2610</v>
      </c>
      <c r="H33" s="53">
        <f t="shared" si="8"/>
        <v>-2113</v>
      </c>
      <c r="I33" s="53">
        <f t="shared" si="8"/>
        <v>-2734</v>
      </c>
      <c r="J33" s="53">
        <f>SUM(J34:J35)</f>
        <v>-62178</v>
      </c>
      <c r="K33" s="53">
        <f>SUM(K34:K35)</f>
        <v>-2333</v>
      </c>
      <c r="L33" s="53">
        <v>-182</v>
      </c>
      <c r="M33" s="164">
        <v>-2040</v>
      </c>
    </row>
    <row r="34" spans="1:14" s="43" customFormat="1" ht="15" customHeight="1">
      <c r="A34"/>
      <c r="B34" s="49" t="str">
        <f>IF(B3=1,"Correntes","Current")</f>
        <v>Correntes</v>
      </c>
      <c r="C34" s="46">
        <v>-1272</v>
      </c>
      <c r="D34" s="46">
        <v>-1252</v>
      </c>
      <c r="E34" s="46">
        <v>-1571</v>
      </c>
      <c r="F34" s="46">
        <v>-1928</v>
      </c>
      <c r="G34" s="46">
        <v>-2610</v>
      </c>
      <c r="H34" s="46">
        <v>-2113</v>
      </c>
      <c r="I34" s="46">
        <v>-2734</v>
      </c>
      <c r="J34" s="46">
        <v>-2222</v>
      </c>
      <c r="K34" s="46">
        <v>-2333</v>
      </c>
      <c r="L34" s="46">
        <v>-2361</v>
      </c>
      <c r="M34" s="46">
        <v>-2040</v>
      </c>
    </row>
    <row r="35" spans="1:14" s="43" customFormat="1" ht="15" customHeight="1">
      <c r="A35"/>
      <c r="B35" s="49" t="str">
        <f>IF(B3=1,"Diferidos","Deferred")</f>
        <v>Diferidos</v>
      </c>
      <c r="C35" s="46">
        <v>4</v>
      </c>
      <c r="D35" s="46">
        <v>-4</v>
      </c>
      <c r="E35" s="46">
        <v>0</v>
      </c>
      <c r="F35" s="46">
        <v>-20692</v>
      </c>
      <c r="G35" s="46">
        <v>0</v>
      </c>
      <c r="H35" s="46">
        <v>0</v>
      </c>
      <c r="I35" s="46">
        <v>0</v>
      </c>
      <c r="J35" s="46">
        <v>-59956</v>
      </c>
      <c r="K35" s="46">
        <v>0</v>
      </c>
      <c r="L35" s="46">
        <v>2179</v>
      </c>
      <c r="M35" s="46">
        <v>0</v>
      </c>
    </row>
    <row r="36" spans="1:14" s="43" customFormat="1" ht="15" customHeight="1">
      <c r="A36"/>
      <c r="B36" s="63" t="str">
        <f>IF(B3=1,"Lucro/Prejuízo do Período","Net Income (Loss) for the Period")</f>
        <v>Lucro/Prejuízo do Período</v>
      </c>
      <c r="C36" s="65">
        <f t="shared" ref="C36:H36" si="9">SUM(C34:C35)+C32</f>
        <v>-4007</v>
      </c>
      <c r="D36" s="65">
        <f t="shared" si="9"/>
        <v>-5081</v>
      </c>
      <c r="E36" s="65">
        <f t="shared" si="9"/>
        <v>5471</v>
      </c>
      <c r="F36" s="65">
        <f t="shared" si="9"/>
        <v>124100.64627999999</v>
      </c>
      <c r="G36" s="65">
        <f t="shared" si="9"/>
        <v>5409</v>
      </c>
      <c r="H36" s="65">
        <f t="shared" si="9"/>
        <v>-8121</v>
      </c>
      <c r="I36" s="65">
        <f>SUM(I34:I35)+I32</f>
        <v>-4252</v>
      </c>
      <c r="J36" s="65">
        <f>SUM(J34:J35)+J32</f>
        <v>274180</v>
      </c>
      <c r="K36" s="65">
        <f>SUM(K34:K35)+K32</f>
        <v>-13049.209620000001</v>
      </c>
      <c r="L36" s="65">
        <v>-15365.984769999995</v>
      </c>
      <c r="M36" s="65">
        <v>-13850</v>
      </c>
      <c r="N36" s="127"/>
    </row>
    <row r="37" spans="1:14" s="43" customFormat="1" ht="15" customHeight="1">
      <c r="A37" s="54"/>
      <c r="B37" s="49" t="str">
        <f>IF(B3=1,"Acionistas controladores","Controlling Shareholders")</f>
        <v>Acionistas controladores</v>
      </c>
      <c r="C37" s="46">
        <v>-5516</v>
      </c>
      <c r="D37" s="46">
        <v>-7414.5</v>
      </c>
      <c r="E37" s="46">
        <v>3855.5</v>
      </c>
      <c r="F37" s="46">
        <v>72113</v>
      </c>
      <c r="G37" s="46">
        <v>-1504</v>
      </c>
      <c r="H37" s="46">
        <v>-10773</v>
      </c>
      <c r="I37" s="46">
        <v>-7099</v>
      </c>
      <c r="J37" s="46">
        <v>151193</v>
      </c>
      <c r="K37" s="46">
        <v>-16017</v>
      </c>
      <c r="L37" s="46">
        <v>-19450</v>
      </c>
      <c r="M37" s="46">
        <v>-17257</v>
      </c>
    </row>
    <row r="38" spans="1:14" s="43" customFormat="1" ht="15" customHeight="1">
      <c r="A38"/>
      <c r="B38" s="49" t="str">
        <f>IF(B3=1,"Acionistas Não Controladores","Minority Shareholders")</f>
        <v>Acionistas Não Controladores</v>
      </c>
      <c r="C38" s="46">
        <v>1509</v>
      </c>
      <c r="D38" s="46">
        <v>2333.5</v>
      </c>
      <c r="E38" s="46">
        <v>1615.5</v>
      </c>
      <c r="F38" s="46">
        <v>51988</v>
      </c>
      <c r="G38" s="46">
        <v>6913</v>
      </c>
      <c r="H38" s="46">
        <v>2652</v>
      </c>
      <c r="I38" s="46">
        <v>2847</v>
      </c>
      <c r="J38" s="46">
        <v>122987</v>
      </c>
      <c r="K38" s="46">
        <v>2968</v>
      </c>
      <c r="L38" s="46">
        <v>4084</v>
      </c>
      <c r="M38" s="46">
        <v>3407</v>
      </c>
    </row>
    <row r="39" spans="1:14" s="43" customFormat="1">
      <c r="A39" s="66"/>
      <c r="B39" s="49" t="str">
        <f>IF(B3=1,"Qtde de Ações","Stock quantity")</f>
        <v>Qtde de Ações</v>
      </c>
      <c r="C39" s="51">
        <v>103189</v>
      </c>
      <c r="D39" s="51">
        <v>103189</v>
      </c>
      <c r="E39" s="51">
        <v>103189</v>
      </c>
      <c r="F39" s="51">
        <v>103189</v>
      </c>
      <c r="G39" s="51">
        <v>103189</v>
      </c>
      <c r="H39" s="51">
        <v>103189</v>
      </c>
      <c r="I39" s="51">
        <v>103189</v>
      </c>
      <c r="J39" s="51">
        <v>103189</v>
      </c>
      <c r="K39" s="51">
        <v>103189</v>
      </c>
      <c r="L39" s="51">
        <v>103189</v>
      </c>
      <c r="M39" s="51">
        <v>103189</v>
      </c>
    </row>
    <row r="40" spans="1:14" s="43" customFormat="1">
      <c r="A40"/>
      <c r="B40" s="67" t="str">
        <f>IF(B3=1,"Lucro Líquido por ação","Net Income Per Share")</f>
        <v>Lucro Líquido por ação</v>
      </c>
      <c r="C40" s="68">
        <f t="shared" ref="C40:H40" si="10">C36/C39</f>
        <v>-3.8831658413202956E-2</v>
      </c>
      <c r="D40" s="68">
        <f t="shared" si="10"/>
        <v>-4.9239744546414832E-2</v>
      </c>
      <c r="E40" s="68">
        <f t="shared" si="10"/>
        <v>5.3019217164620262E-2</v>
      </c>
      <c r="F40" s="68">
        <f t="shared" si="10"/>
        <v>1.2026538320945062</v>
      </c>
      <c r="G40" s="68">
        <f t="shared" si="10"/>
        <v>5.2418377927879907E-2</v>
      </c>
      <c r="H40" s="68">
        <f t="shared" si="10"/>
        <v>-7.8700249057554586E-2</v>
      </c>
      <c r="I40" s="68">
        <f>IFERROR(I36/I39,0)</f>
        <v>-4.1205942493870468E-2</v>
      </c>
      <c r="J40" s="68">
        <f>IFERROR(J36/J39,0)</f>
        <v>2.6570661601527297</v>
      </c>
      <c r="K40" s="68">
        <f>IFERROR(K36/K39,0)</f>
        <v>-0.12645930884105866</v>
      </c>
      <c r="L40" s="68">
        <v>-0.14891107356404262</v>
      </c>
      <c r="M40" s="68">
        <v>-0.14891107356404262</v>
      </c>
    </row>
    <row r="69" spans="3:3" s="34" customFormat="1">
      <c r="C69" s="6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C6:D6 C7:E7 F6 G6:H6 I6:K6" formulaRange="1"/>
    <ignoredError sqref="E6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M55"/>
  <sheetViews>
    <sheetView showGridLines="0" zoomScale="80" zoomScaleNormal="80" workbookViewId="0">
      <pane xSplit="2" topLeftCell="D1" activePane="topRight" state="frozen"/>
      <selection activeCell="AE101" sqref="AE101"/>
      <selection pane="topRight"/>
    </sheetView>
  </sheetViews>
  <sheetFormatPr defaultRowHeight="15"/>
  <cols>
    <col min="1" max="1" width="3.42578125" customWidth="1"/>
    <col min="2" max="2" width="58.42578125" customWidth="1"/>
    <col min="3" max="13" width="15.85546875" customWidth="1"/>
    <col min="14" max="14" width="12.5703125" bestFit="1" customWidth="1"/>
  </cols>
  <sheetData>
    <row r="1" spans="2:13">
      <c r="B1" s="5" t="s">
        <v>1</v>
      </c>
    </row>
    <row r="2" spans="2:13">
      <c r="B2" s="5" t="s">
        <v>0</v>
      </c>
    </row>
    <row r="3" spans="2:13">
      <c r="B3" s="6">
        <v>1</v>
      </c>
    </row>
    <row r="4" spans="2:13" ht="3" customHeight="1">
      <c r="B4" s="2"/>
      <c r="C4" s="2"/>
    </row>
    <row r="5" spans="2:13" s="1" customFormat="1">
      <c r="B5" s="14" t="str">
        <f>IF(B3=1,"Balanço Patrimonial - IFRS (R$ Mil)","Balance Sheet - IFRS (R$ Thousands)")</f>
        <v>Balanço Patrimonial - IFRS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59" t="str">
        <f>IF($B$3=1,"1T24","1Q24")</f>
        <v>1T24</v>
      </c>
      <c r="L5" s="59" t="str">
        <f>IF($B$3=1,"2T24","2Q24")</f>
        <v>2T24</v>
      </c>
      <c r="M5" s="59" t="str">
        <f>IF($B$3=1,"3T24","3Q24")</f>
        <v>3T24</v>
      </c>
    </row>
    <row r="6" spans="2:13" ht="15" customHeight="1">
      <c r="B6" s="82" t="str">
        <f>IF(B3=1,"ATIVOS","ASSETS")</f>
        <v>ATIVOS</v>
      </c>
      <c r="C6" s="88">
        <f t="shared" ref="C6:H6" si="0">C7+C15</f>
        <v>3785695</v>
      </c>
      <c r="D6" s="88">
        <f t="shared" si="0"/>
        <v>3803913</v>
      </c>
      <c r="E6" s="88">
        <f t="shared" si="0"/>
        <v>4027977</v>
      </c>
      <c r="F6" s="88">
        <f t="shared" si="0"/>
        <v>4281969</v>
      </c>
      <c r="G6" s="88">
        <f t="shared" si="0"/>
        <v>4310432</v>
      </c>
      <c r="H6" s="88">
        <f t="shared" si="0"/>
        <v>4306721</v>
      </c>
      <c r="I6" s="88">
        <f>I7+I15</f>
        <v>4308741</v>
      </c>
      <c r="J6" s="88">
        <f>J7+J15</f>
        <v>4689030</v>
      </c>
      <c r="K6" s="88">
        <f>K7+K15</f>
        <v>4816140</v>
      </c>
      <c r="L6" s="88">
        <f>L7+L15</f>
        <v>4825492</v>
      </c>
      <c r="M6" s="88">
        <v>4832493</v>
      </c>
    </row>
    <row r="7" spans="2:13">
      <c r="B7" s="48" t="str">
        <f>IF(B3=1,"Total Circulante","Total Current Assets")</f>
        <v>Total Circulante</v>
      </c>
      <c r="C7" s="88">
        <f t="shared" ref="C7:H7" si="1">SUM(C8:C13)</f>
        <v>521138</v>
      </c>
      <c r="D7" s="88">
        <f t="shared" si="1"/>
        <v>485801</v>
      </c>
      <c r="E7" s="88">
        <f t="shared" si="1"/>
        <v>431020</v>
      </c>
      <c r="F7" s="88">
        <f t="shared" si="1"/>
        <v>376955</v>
      </c>
      <c r="G7" s="88">
        <f t="shared" si="1"/>
        <v>380165</v>
      </c>
      <c r="H7" s="88">
        <f t="shared" si="1"/>
        <v>335952</v>
      </c>
      <c r="I7" s="88">
        <f>SUM(I8:I13)</f>
        <v>267727</v>
      </c>
      <c r="J7" s="88">
        <f>SUM(J8:J13)</f>
        <v>469345</v>
      </c>
      <c r="K7" s="88">
        <f>SUM(K8:K13)</f>
        <v>536696</v>
      </c>
      <c r="L7" s="88">
        <f>SUM(L8:L13)</f>
        <v>537558</v>
      </c>
      <c r="M7" s="88">
        <v>480646</v>
      </c>
    </row>
    <row r="8" spans="2:13">
      <c r="B8" s="89" t="str">
        <f>IF(B3=1,"Caixa e equivalentes de caixa","Cash and Cash Equivalents")</f>
        <v>Caixa e equivalentes de caixa</v>
      </c>
      <c r="C8" s="90">
        <v>43854</v>
      </c>
      <c r="D8" s="90">
        <v>46264</v>
      </c>
      <c r="E8" s="90">
        <v>40483</v>
      </c>
      <c r="F8" s="90">
        <v>43307</v>
      </c>
      <c r="G8" s="90">
        <v>42873</v>
      </c>
      <c r="H8" s="90">
        <v>46430</v>
      </c>
      <c r="I8" s="90">
        <v>43264</v>
      </c>
      <c r="J8" s="90">
        <v>20876</v>
      </c>
      <c r="K8" s="90">
        <v>25651</v>
      </c>
      <c r="L8" s="90">
        <v>22969</v>
      </c>
      <c r="M8" s="90">
        <v>24232</v>
      </c>
    </row>
    <row r="9" spans="2:13">
      <c r="B9" s="89" t="str">
        <f>IF(B3=1,"Títulos e valores mobiliário","Securities")</f>
        <v>Títulos e valores mobiliário</v>
      </c>
      <c r="C9" s="90">
        <v>368547</v>
      </c>
      <c r="D9" s="90">
        <v>328902</v>
      </c>
      <c r="E9" s="90">
        <v>300919</v>
      </c>
      <c r="F9" s="90">
        <v>262698</v>
      </c>
      <c r="G9" s="90">
        <v>225632</v>
      </c>
      <c r="H9" s="90">
        <v>181205</v>
      </c>
      <c r="I9" s="90">
        <v>132553</v>
      </c>
      <c r="J9" s="90">
        <v>167706</v>
      </c>
      <c r="K9" s="90">
        <v>203815</v>
      </c>
      <c r="L9" s="90">
        <v>176514</v>
      </c>
      <c r="M9" s="90">
        <v>113741</v>
      </c>
    </row>
    <row r="10" spans="2:13">
      <c r="B10" s="89" t="str">
        <f>IF(B3=1,"Contas a receber","Trade Receivables")</f>
        <v>Contas a receber</v>
      </c>
      <c r="C10" s="90">
        <v>28924</v>
      </c>
      <c r="D10" s="90">
        <v>28321</v>
      </c>
      <c r="E10" s="90">
        <v>29152</v>
      </c>
      <c r="F10" s="90">
        <v>27790</v>
      </c>
      <c r="G10" s="90">
        <v>54757</v>
      </c>
      <c r="H10" s="90">
        <v>51281</v>
      </c>
      <c r="I10" s="90">
        <v>25937</v>
      </c>
      <c r="J10" s="90">
        <v>59369</v>
      </c>
      <c r="K10" s="90">
        <v>47413</v>
      </c>
      <c r="L10" s="90">
        <v>45172</v>
      </c>
      <c r="M10" s="90">
        <v>38842</v>
      </c>
    </row>
    <row r="11" spans="2:13">
      <c r="B11" s="89" t="str">
        <f>IF(B3=1,"Adiantamentos","Advances")</f>
        <v>Adiantamentos</v>
      </c>
      <c r="C11" s="90">
        <v>44823</v>
      </c>
      <c r="D11" s="90">
        <v>51294</v>
      </c>
      <c r="E11" s="90">
        <v>32699</v>
      </c>
      <c r="F11" s="90">
        <v>19443</v>
      </c>
      <c r="G11" s="90">
        <v>20815</v>
      </c>
      <c r="H11" s="90">
        <v>23113</v>
      </c>
      <c r="I11" s="90">
        <v>13546</v>
      </c>
      <c r="J11" s="90">
        <v>23684</v>
      </c>
      <c r="K11" s="90">
        <v>38527</v>
      </c>
      <c r="L11" s="90">
        <v>58654</v>
      </c>
      <c r="M11" s="90">
        <v>60598</v>
      </c>
    </row>
    <row r="12" spans="2:13">
      <c r="B12" s="89" t="str">
        <f>IF(B3=1,"Tributos a recuperar","Taxes recoverable")</f>
        <v>Tributos a recuperar</v>
      </c>
      <c r="C12" s="90">
        <v>7953</v>
      </c>
      <c r="D12" s="90">
        <v>8754</v>
      </c>
      <c r="E12" s="90">
        <v>9807</v>
      </c>
      <c r="F12" s="90">
        <v>9753</v>
      </c>
      <c r="G12" s="90">
        <v>15139</v>
      </c>
      <c r="H12" s="90">
        <v>15398</v>
      </c>
      <c r="I12" s="90">
        <v>16904</v>
      </c>
      <c r="J12" s="90">
        <v>15384</v>
      </c>
      <c r="K12" s="90">
        <v>17233</v>
      </c>
      <c r="L12" s="90">
        <v>17910</v>
      </c>
      <c r="M12" s="90">
        <v>13076</v>
      </c>
    </row>
    <row r="13" spans="2:13">
      <c r="B13" s="89" t="str">
        <f>IF(B3=1,"Outros ativos","Other Assets")</f>
        <v>Outros ativos</v>
      </c>
      <c r="C13" s="90">
        <v>27037</v>
      </c>
      <c r="D13" s="90">
        <v>22266</v>
      </c>
      <c r="E13" s="90">
        <v>17960</v>
      </c>
      <c r="F13" s="90">
        <v>13964</v>
      </c>
      <c r="G13" s="90">
        <v>20949</v>
      </c>
      <c r="H13" s="90">
        <v>18525</v>
      </c>
      <c r="I13" s="90">
        <v>35523</v>
      </c>
      <c r="J13" s="90">
        <v>182326</v>
      </c>
      <c r="K13" s="90">
        <v>204057</v>
      </c>
      <c r="L13" s="90">
        <v>216339</v>
      </c>
      <c r="M13" s="90">
        <v>230157</v>
      </c>
    </row>
    <row r="14" spans="2:13" ht="15" customHeight="1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2:13">
      <c r="B15" s="48" t="str">
        <f>IF(B3=1,"Total Não Circulante","Total Non Current Assets")</f>
        <v>Total Não Circulante</v>
      </c>
      <c r="C15" s="88">
        <f t="shared" ref="C15:I15" si="2">SUM(C16:C22)</f>
        <v>3264557</v>
      </c>
      <c r="D15" s="88">
        <f t="shared" si="2"/>
        <v>3318112</v>
      </c>
      <c r="E15" s="88">
        <f t="shared" si="2"/>
        <v>3596957</v>
      </c>
      <c r="F15" s="88">
        <f t="shared" si="2"/>
        <v>3905014</v>
      </c>
      <c r="G15" s="88">
        <f t="shared" si="2"/>
        <v>3930267</v>
      </c>
      <c r="H15" s="88">
        <f t="shared" si="2"/>
        <v>3970769</v>
      </c>
      <c r="I15" s="88">
        <f t="shared" si="2"/>
        <v>4041014</v>
      </c>
      <c r="J15" s="88">
        <f>SUM(J16:J22)</f>
        <v>4219685</v>
      </c>
      <c r="K15" s="88">
        <f>SUM(K16:K22)</f>
        <v>4279444</v>
      </c>
      <c r="L15" s="88">
        <f>SUM(L16:L22)</f>
        <v>4287934</v>
      </c>
      <c r="M15" s="88">
        <v>4351847</v>
      </c>
    </row>
    <row r="16" spans="2:13">
      <c r="B16" s="89" t="str">
        <f>IF(B3=1,"Tributos diferidos","Deferred Taxes")</f>
        <v>Tributos diferidos</v>
      </c>
      <c r="C16" s="91">
        <v>61088</v>
      </c>
      <c r="D16" s="91">
        <v>61088</v>
      </c>
      <c r="E16" s="91">
        <v>61088</v>
      </c>
      <c r="F16" s="91">
        <v>61088</v>
      </c>
      <c r="G16" s="91">
        <v>61088</v>
      </c>
      <c r="H16" s="91">
        <v>61088</v>
      </c>
      <c r="I16" s="91">
        <v>61088</v>
      </c>
      <c r="J16" s="91">
        <v>46854</v>
      </c>
      <c r="K16" s="91">
        <v>46854</v>
      </c>
      <c r="L16" s="91">
        <v>46854</v>
      </c>
      <c r="M16" s="91">
        <v>46854</v>
      </c>
    </row>
    <row r="17" spans="2:13">
      <c r="B17" s="89" t="str">
        <f>IF(B3=1,"Contas a receber","Trade Receivables")</f>
        <v>Contas a receber</v>
      </c>
      <c r="C17" s="90">
        <v>0</v>
      </c>
      <c r="D17" s="90">
        <v>0</v>
      </c>
      <c r="E17" s="90">
        <v>0</v>
      </c>
      <c r="F17" s="90">
        <v>0</v>
      </c>
      <c r="G17" s="90">
        <v>33</v>
      </c>
      <c r="H17" s="90">
        <v>348</v>
      </c>
      <c r="I17" s="90">
        <v>508</v>
      </c>
      <c r="J17" s="90">
        <v>4805</v>
      </c>
      <c r="K17" s="90">
        <v>9937</v>
      </c>
      <c r="L17" s="90">
        <v>8401</v>
      </c>
      <c r="M17" s="90">
        <v>8270</v>
      </c>
    </row>
    <row r="18" spans="2:13">
      <c r="B18" s="89" t="str">
        <f>IF(B3=1,"Partes Relacionadas","Related parties")</f>
        <v>Partes Relacionadas</v>
      </c>
      <c r="C18" s="90">
        <v>2721</v>
      </c>
      <c r="D18" s="90">
        <v>2705</v>
      </c>
      <c r="E18" s="90">
        <v>2695</v>
      </c>
      <c r="F18" s="90">
        <v>2710</v>
      </c>
      <c r="G18" s="90">
        <v>2741</v>
      </c>
      <c r="H18" s="90">
        <v>2741</v>
      </c>
      <c r="I18" s="90">
        <v>2819</v>
      </c>
      <c r="J18" s="90">
        <v>2862</v>
      </c>
      <c r="K18" s="90">
        <v>2914</v>
      </c>
      <c r="L18" s="90">
        <v>15442</v>
      </c>
      <c r="M18" s="90">
        <v>13173</v>
      </c>
    </row>
    <row r="19" spans="2:13">
      <c r="B19" s="89" t="str">
        <f>IF(B3=1,"Outros ativos","Other Assets")</f>
        <v>Outros ativos</v>
      </c>
      <c r="C19" s="90">
        <v>90102</v>
      </c>
      <c r="D19" s="90">
        <v>91118</v>
      </c>
      <c r="E19" s="90">
        <v>93861</v>
      </c>
      <c r="F19" s="90">
        <v>93600</v>
      </c>
      <c r="G19" s="90">
        <v>88804</v>
      </c>
      <c r="H19" s="90">
        <v>85035</v>
      </c>
      <c r="I19" s="90">
        <v>77764</v>
      </c>
      <c r="J19" s="90">
        <v>68931</v>
      </c>
      <c r="K19" s="90">
        <v>54762</v>
      </c>
      <c r="L19" s="90">
        <v>48873</v>
      </c>
      <c r="M19" s="90">
        <v>54774</v>
      </c>
    </row>
    <row r="20" spans="2:13">
      <c r="B20" s="89" t="str">
        <f>IF(B3=1,"Investimentos","Investments")</f>
        <v>Investimentos</v>
      </c>
      <c r="C20" s="90">
        <v>308960</v>
      </c>
      <c r="D20" s="90">
        <v>305229</v>
      </c>
      <c r="E20" s="90">
        <v>307532</v>
      </c>
      <c r="F20" s="90">
        <v>300052</v>
      </c>
      <c r="G20" s="90">
        <v>313233</v>
      </c>
      <c r="H20" s="90">
        <v>315184</v>
      </c>
      <c r="I20" s="90">
        <v>329195</v>
      </c>
      <c r="J20" s="90">
        <v>294168</v>
      </c>
      <c r="K20" s="90">
        <v>317548</v>
      </c>
      <c r="L20" s="90">
        <v>320363</v>
      </c>
      <c r="M20" s="90">
        <v>324893</v>
      </c>
    </row>
    <row r="21" spans="2:13">
      <c r="B21" s="89" t="str">
        <f>IF(B3=1,"Propriedades para investimento","Properties for Investment")</f>
        <v>Propriedades para investimento</v>
      </c>
      <c r="C21" s="90">
        <v>2796175</v>
      </c>
      <c r="D21" s="90">
        <v>2852444</v>
      </c>
      <c r="E21" s="90">
        <v>3123185</v>
      </c>
      <c r="F21" s="90">
        <v>3435286</v>
      </c>
      <c r="G21" s="90">
        <v>3453936</v>
      </c>
      <c r="H21" s="90">
        <v>3496179</v>
      </c>
      <c r="I21" s="90">
        <v>3559898</v>
      </c>
      <c r="J21" s="90">
        <v>3792753</v>
      </c>
      <c r="K21" s="36">
        <v>3814842</v>
      </c>
      <c r="L21" s="36">
        <v>3814365</v>
      </c>
      <c r="M21" s="36">
        <v>3865233</v>
      </c>
    </row>
    <row r="22" spans="2:13">
      <c r="B22" s="89" t="str">
        <f>IF(B3=1,"Imobilizado e intangível líquido","Property, Plant &amp; Equipment, and Intangible Assets - Net")</f>
        <v>Imobilizado e intangível líquido</v>
      </c>
      <c r="C22" s="90">
        <v>5511</v>
      </c>
      <c r="D22" s="90">
        <v>5528</v>
      </c>
      <c r="E22" s="90">
        <v>8596</v>
      </c>
      <c r="F22" s="90">
        <v>12278</v>
      </c>
      <c r="G22" s="90">
        <v>10432</v>
      </c>
      <c r="H22" s="90">
        <v>10194</v>
      </c>
      <c r="I22" s="90">
        <v>9742</v>
      </c>
      <c r="J22" s="90">
        <v>9312</v>
      </c>
      <c r="K22" s="90">
        <v>32587</v>
      </c>
      <c r="L22" s="90">
        <v>33636</v>
      </c>
      <c r="M22" s="90">
        <v>38650</v>
      </c>
    </row>
    <row r="23" spans="2:13" ht="15" customHeight="1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2:13">
      <c r="B24" s="92" t="str">
        <f>IF(B3=1,"PASSIVOS ","Liabilities")</f>
        <v xml:space="preserve">PASSIVOS </v>
      </c>
      <c r="C24" s="88">
        <f t="shared" ref="C24:H24" si="3">SUM(C25,C36)</f>
        <v>1430237</v>
      </c>
      <c r="D24" s="88">
        <f t="shared" si="3"/>
        <v>1434270</v>
      </c>
      <c r="E24" s="88">
        <f t="shared" si="3"/>
        <v>1640707</v>
      </c>
      <c r="F24" s="88">
        <f t="shared" si="3"/>
        <v>1808505</v>
      </c>
      <c r="G24" s="88">
        <f t="shared" si="3"/>
        <v>1819303</v>
      </c>
      <c r="H24" s="88">
        <f t="shared" si="3"/>
        <v>1816862</v>
      </c>
      <c r="I24" s="88">
        <f>SUM(I25,I36)</f>
        <v>1802605</v>
      </c>
      <c r="J24" s="88">
        <f>SUM(J25,J36)</f>
        <v>1957532</v>
      </c>
      <c r="K24" s="88">
        <f>SUM(K25,K36)</f>
        <v>2068157</v>
      </c>
      <c r="L24" s="88">
        <f>SUM(L25,L36)</f>
        <v>2088557</v>
      </c>
      <c r="M24" s="88">
        <v>2093960</v>
      </c>
    </row>
    <row r="25" spans="2:13">
      <c r="B25" s="48" t="str">
        <f>IF(B3=1,"Total Passivo Circulante","Current Liabilities")</f>
        <v>Total Passivo Circulante</v>
      </c>
      <c r="C25" s="88">
        <f t="shared" ref="C25:K25" si="4">SUM(C26:C34)</f>
        <v>233628</v>
      </c>
      <c r="D25" s="88">
        <f t="shared" si="4"/>
        <v>224735</v>
      </c>
      <c r="E25" s="88">
        <f t="shared" si="4"/>
        <v>268819</v>
      </c>
      <c r="F25" s="88">
        <f t="shared" si="4"/>
        <v>315419</v>
      </c>
      <c r="G25" s="88">
        <f t="shared" si="4"/>
        <v>314829</v>
      </c>
      <c r="H25" s="88">
        <f t="shared" si="4"/>
        <v>288346</v>
      </c>
      <c r="I25" s="88">
        <f t="shared" si="4"/>
        <v>263533</v>
      </c>
      <c r="J25" s="88">
        <f t="shared" si="4"/>
        <v>284631</v>
      </c>
      <c r="K25" s="88">
        <f t="shared" si="4"/>
        <v>290466</v>
      </c>
      <c r="L25" s="88">
        <f t="shared" ref="L25" si="5">SUM(L26:L34)</f>
        <v>285314</v>
      </c>
      <c r="M25" s="88">
        <v>318733</v>
      </c>
    </row>
    <row r="26" spans="2:13">
      <c r="B26" s="89" t="str">
        <f>IF(B3=1,"Empréstimos e financiamentos","Loans and Financing")</f>
        <v>Empréstimos e financiamentos</v>
      </c>
      <c r="C26" s="90">
        <v>57087</v>
      </c>
      <c r="D26" s="90">
        <v>56420</v>
      </c>
      <c r="E26" s="90">
        <v>47757</v>
      </c>
      <c r="F26" s="90">
        <v>58619</v>
      </c>
      <c r="G26" s="90">
        <v>57261</v>
      </c>
      <c r="H26" s="90">
        <v>41127</v>
      </c>
      <c r="I26" s="90">
        <v>43477</v>
      </c>
      <c r="J26" s="90">
        <v>36660</v>
      </c>
      <c r="K26" s="90">
        <v>62027</v>
      </c>
      <c r="L26" s="90">
        <v>59395</v>
      </c>
      <c r="M26" s="90">
        <v>71253</v>
      </c>
    </row>
    <row r="27" spans="2:13">
      <c r="B27" s="89" t="str">
        <f>IF(B3=1,"Debêntures","Debentures")</f>
        <v>Debêntures</v>
      </c>
      <c r="C27" s="90">
        <v>40774</v>
      </c>
      <c r="D27" s="90">
        <v>40109</v>
      </c>
      <c r="E27" s="90">
        <v>36884</v>
      </c>
      <c r="F27" s="90">
        <v>43059</v>
      </c>
      <c r="G27" s="90">
        <v>42891</v>
      </c>
      <c r="H27" s="90">
        <v>43621</v>
      </c>
      <c r="I27" s="90">
        <v>43582</v>
      </c>
      <c r="J27" s="90">
        <v>52582</v>
      </c>
      <c r="K27" s="90">
        <v>60151</v>
      </c>
      <c r="L27" s="90">
        <v>54071</v>
      </c>
      <c r="M27" s="90">
        <v>55930</v>
      </c>
    </row>
    <row r="28" spans="2:13">
      <c r="B28" s="89" t="str">
        <f>IF(B3=1,"Fornecedores ","Suppliers")</f>
        <v xml:space="preserve">Fornecedores </v>
      </c>
      <c r="C28" s="90">
        <v>14893</v>
      </c>
      <c r="D28" s="90">
        <v>12053</v>
      </c>
      <c r="E28" s="90">
        <v>11184</v>
      </c>
      <c r="F28" s="90">
        <v>9700</v>
      </c>
      <c r="G28" s="90">
        <v>17483</v>
      </c>
      <c r="H28" s="90">
        <v>17661</v>
      </c>
      <c r="I28" s="90">
        <v>16910</v>
      </c>
      <c r="J28" s="90">
        <v>14511</v>
      </c>
      <c r="K28" s="90">
        <v>16881</v>
      </c>
      <c r="L28" s="90">
        <v>15555</v>
      </c>
      <c r="M28" s="90">
        <v>16936</v>
      </c>
    </row>
    <row r="29" spans="2:13">
      <c r="B29" s="89" t="str">
        <f>IF(B3=1,"Obrigações trabalhistas e tributárias","Labor and Tax Obligations")</f>
        <v>Obrigações trabalhistas e tributárias</v>
      </c>
      <c r="C29" s="90">
        <v>6136</v>
      </c>
      <c r="D29" s="90">
        <v>6376</v>
      </c>
      <c r="E29" s="90">
        <v>8824</v>
      </c>
      <c r="F29" s="90">
        <v>6399</v>
      </c>
      <c r="G29" s="90">
        <v>10055</v>
      </c>
      <c r="H29" s="90">
        <v>9891</v>
      </c>
      <c r="I29" s="90">
        <v>11792</v>
      </c>
      <c r="J29" s="90">
        <v>9311</v>
      </c>
      <c r="K29" s="90">
        <v>20016</v>
      </c>
      <c r="L29" s="90">
        <v>16630</v>
      </c>
      <c r="M29" s="90">
        <v>15650</v>
      </c>
    </row>
    <row r="30" spans="2:13">
      <c r="B30" s="89" t="str">
        <f>IF(B3=1,"Partes relacionadas","Related Parties")</f>
        <v>Partes relacionadas</v>
      </c>
      <c r="C30" s="90">
        <v>58694</v>
      </c>
      <c r="D30" s="90">
        <v>54231</v>
      </c>
      <c r="E30" s="90">
        <v>64249</v>
      </c>
      <c r="F30" s="90">
        <v>62003</v>
      </c>
      <c r="G30" s="90">
        <v>63922</v>
      </c>
      <c r="H30" s="90">
        <v>68913</v>
      </c>
      <c r="I30" s="90">
        <v>68777</v>
      </c>
      <c r="J30" s="90">
        <v>69139</v>
      </c>
      <c r="K30" s="90">
        <v>30860</v>
      </c>
      <c r="L30" s="90">
        <v>24652</v>
      </c>
      <c r="M30" s="90">
        <v>14149</v>
      </c>
    </row>
    <row r="31" spans="2:13">
      <c r="B31" s="89" t="str">
        <f>IF(B3=1,"Outros passivos","Other Liabilities")</f>
        <v>Outros passivos</v>
      </c>
      <c r="C31" s="90">
        <v>20729</v>
      </c>
      <c r="D31" s="90">
        <v>23922</v>
      </c>
      <c r="E31" s="90">
        <v>28342</v>
      </c>
      <c r="F31" s="90">
        <v>29804</v>
      </c>
      <c r="G31" s="90">
        <v>30865</v>
      </c>
      <c r="H31" s="90">
        <v>40425</v>
      </c>
      <c r="I31" s="90">
        <v>9271</v>
      </c>
      <c r="J31" s="90">
        <v>11833</v>
      </c>
      <c r="K31" s="90">
        <v>15142</v>
      </c>
      <c r="L31" s="90">
        <v>16003</v>
      </c>
      <c r="M31" s="90">
        <v>24847</v>
      </c>
    </row>
    <row r="32" spans="2:13">
      <c r="B32" s="89" t="str">
        <f>IF(B3=1,"Dividendos a pagar","Dividends Payable")</f>
        <v>Dividendos a pagar</v>
      </c>
      <c r="C32" s="90">
        <v>39</v>
      </c>
      <c r="D32" s="90">
        <v>39</v>
      </c>
      <c r="E32" s="90">
        <v>39</v>
      </c>
      <c r="F32" s="90">
        <v>39</v>
      </c>
      <c r="G32" s="90">
        <v>39</v>
      </c>
      <c r="H32" s="90">
        <v>39</v>
      </c>
      <c r="I32" s="90">
        <v>39</v>
      </c>
      <c r="J32" s="90">
        <v>2739</v>
      </c>
      <c r="K32" s="90">
        <v>2700</v>
      </c>
      <c r="L32" s="90">
        <v>2700</v>
      </c>
      <c r="M32" s="90">
        <v>2700</v>
      </c>
    </row>
    <row r="33" spans="2:13">
      <c r="B33" s="89" t="str">
        <f>IF(B3=1,"Provisão para perda de investimentos","Provision for Investment Losses")</f>
        <v>Provisão para perda de investimentos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</row>
    <row r="34" spans="2:13">
      <c r="B34" s="89" t="str">
        <f>IF(B3=1,"Contas a pagar de aquisição de imóveis","Payables due to the Acquisition of Properties")</f>
        <v>Contas a pagar de aquisição de imóveis</v>
      </c>
      <c r="C34" s="90">
        <v>35276</v>
      </c>
      <c r="D34" s="90">
        <v>31585</v>
      </c>
      <c r="E34" s="90">
        <v>71540</v>
      </c>
      <c r="F34" s="90">
        <v>105796</v>
      </c>
      <c r="G34" s="90">
        <v>92313</v>
      </c>
      <c r="H34" s="90">
        <v>66669</v>
      </c>
      <c r="I34" s="90">
        <v>69685</v>
      </c>
      <c r="J34" s="90">
        <v>87856</v>
      </c>
      <c r="K34" s="90">
        <v>82689</v>
      </c>
      <c r="L34" s="90">
        <v>96308</v>
      </c>
      <c r="M34" s="90">
        <v>117268</v>
      </c>
    </row>
    <row r="35" spans="2:13" ht="15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2:13">
      <c r="B36" s="48" t="str">
        <f>IF(B3=1,"Total Passivo Não Circulante","Non Current Liabilities")</f>
        <v>Total Passivo Não Circulante</v>
      </c>
      <c r="C36" s="88">
        <f t="shared" ref="C36:I36" si="6">SUM(C37:C42)</f>
        <v>1196609</v>
      </c>
      <c r="D36" s="88">
        <f t="shared" si="6"/>
        <v>1209535</v>
      </c>
      <c r="E36" s="88">
        <f t="shared" si="6"/>
        <v>1371888</v>
      </c>
      <c r="F36" s="88">
        <f t="shared" si="6"/>
        <v>1493086</v>
      </c>
      <c r="G36" s="88">
        <f t="shared" si="6"/>
        <v>1504474</v>
      </c>
      <c r="H36" s="88">
        <f t="shared" si="6"/>
        <v>1528516</v>
      </c>
      <c r="I36" s="88">
        <f t="shared" si="6"/>
        <v>1539072</v>
      </c>
      <c r="J36" s="88">
        <f>SUM(J37:J42)</f>
        <v>1672901</v>
      </c>
      <c r="K36" s="88">
        <f>SUM(K37:K42)</f>
        <v>1777691</v>
      </c>
      <c r="L36" s="88">
        <f>SUM(L37:L42)</f>
        <v>1803243</v>
      </c>
      <c r="M36" s="88">
        <v>1775227</v>
      </c>
    </row>
    <row r="37" spans="2:13">
      <c r="B37" s="89" t="str">
        <f>IF(B3=1,"Empréstimos e financiamentos","Loans and Financing")</f>
        <v>Empréstimos e financiamentos</v>
      </c>
      <c r="C37" s="90">
        <v>505313</v>
      </c>
      <c r="D37" s="90">
        <v>508118</v>
      </c>
      <c r="E37" s="90">
        <v>531352</v>
      </c>
      <c r="F37" s="90">
        <v>596566</v>
      </c>
      <c r="G37" s="90">
        <v>610432</v>
      </c>
      <c r="H37" s="90">
        <v>627241</v>
      </c>
      <c r="I37" s="90">
        <v>634320</v>
      </c>
      <c r="J37" s="90">
        <v>660794</v>
      </c>
      <c r="K37" s="90">
        <v>734047</v>
      </c>
      <c r="L37" s="90">
        <v>849306</v>
      </c>
      <c r="M37" s="90">
        <v>851882</v>
      </c>
    </row>
    <row r="38" spans="2:13">
      <c r="B38" s="89" t="str">
        <f>IF(B3=1,"Debêntures","Debentures")</f>
        <v>Debêntures</v>
      </c>
      <c r="C38" s="90">
        <v>477953</v>
      </c>
      <c r="D38" s="90">
        <v>486033</v>
      </c>
      <c r="E38" s="90">
        <v>478561</v>
      </c>
      <c r="F38" s="90">
        <v>471605</v>
      </c>
      <c r="G38" s="90">
        <v>460355</v>
      </c>
      <c r="H38" s="90">
        <v>455815</v>
      </c>
      <c r="I38" s="90">
        <v>445239</v>
      </c>
      <c r="J38" s="90">
        <v>496157</v>
      </c>
      <c r="K38" s="90">
        <v>533150</v>
      </c>
      <c r="L38" s="90">
        <v>484720</v>
      </c>
      <c r="M38" s="90">
        <v>472334</v>
      </c>
    </row>
    <row r="39" spans="2:13">
      <c r="B39" s="89" t="str">
        <f>IF(B3=1,"Contas a pagar de aquisição de imóveis","Payables due to the Acquisition of Properties")</f>
        <v>Contas a pagar de aquisição de imóveis</v>
      </c>
      <c r="C39" s="90">
        <v>58133</v>
      </c>
      <c r="D39" s="90">
        <v>58406</v>
      </c>
      <c r="E39" s="90">
        <v>203814</v>
      </c>
      <c r="F39" s="90">
        <v>269011</v>
      </c>
      <c r="G39" s="90">
        <v>277450</v>
      </c>
      <c r="H39" s="90">
        <v>293183</v>
      </c>
      <c r="I39" s="90">
        <v>306528</v>
      </c>
      <c r="J39" s="90">
        <v>317519</v>
      </c>
      <c r="K39" s="90">
        <v>313829</v>
      </c>
      <c r="L39" s="90">
        <v>274137</v>
      </c>
      <c r="M39" s="90">
        <v>249799</v>
      </c>
    </row>
    <row r="40" spans="2:13">
      <c r="B40" s="89" t="str">
        <f>IF(B3=1,"Provisão para tributos diferidos","Provision for Deferred Taxes")</f>
        <v>Provisão para tributos diferidos</v>
      </c>
      <c r="C40" s="90">
        <v>144833</v>
      </c>
      <c r="D40" s="90">
        <v>146455</v>
      </c>
      <c r="E40" s="90">
        <v>146455</v>
      </c>
      <c r="F40" s="90">
        <v>143287</v>
      </c>
      <c r="G40" s="90">
        <v>143287</v>
      </c>
      <c r="H40" s="90">
        <v>143287</v>
      </c>
      <c r="I40" s="90">
        <v>143287</v>
      </c>
      <c r="J40" s="90">
        <v>189483</v>
      </c>
      <c r="K40" s="90">
        <v>187878</v>
      </c>
      <c r="L40" s="90">
        <v>185699</v>
      </c>
      <c r="M40" s="90">
        <v>185699</v>
      </c>
    </row>
    <row r="41" spans="2:13">
      <c r="B41" s="89" t="str">
        <f>IF(B3=1,"Provisão para demandas judiciais","Provision for Lawsuits")</f>
        <v>Provisão para demandas judiciais</v>
      </c>
      <c r="C41" s="90">
        <v>6</v>
      </c>
      <c r="D41" s="90">
        <v>6</v>
      </c>
      <c r="E41" s="90">
        <v>127</v>
      </c>
      <c r="F41" s="90">
        <v>96</v>
      </c>
      <c r="G41" s="90">
        <v>5</v>
      </c>
      <c r="H41" s="90">
        <v>215</v>
      </c>
      <c r="I41" s="90">
        <v>215</v>
      </c>
      <c r="J41" s="90">
        <v>325</v>
      </c>
      <c r="K41" s="90">
        <v>325</v>
      </c>
      <c r="L41" s="90">
        <v>336</v>
      </c>
      <c r="M41" s="90">
        <v>756</v>
      </c>
    </row>
    <row r="42" spans="2:13">
      <c r="B42" s="89" t="str">
        <f>IF(B3=1,"Outros passivos","Other Liabilities")</f>
        <v>Outros passivos</v>
      </c>
      <c r="C42" s="36">
        <v>10371</v>
      </c>
      <c r="D42" s="36">
        <v>10517</v>
      </c>
      <c r="E42" s="36">
        <v>11579</v>
      </c>
      <c r="F42" s="36">
        <v>12521</v>
      </c>
      <c r="G42" s="36">
        <v>12945</v>
      </c>
      <c r="H42" s="36">
        <v>8775</v>
      </c>
      <c r="I42" s="36">
        <v>9483</v>
      </c>
      <c r="J42" s="36">
        <v>8623</v>
      </c>
      <c r="K42" s="36">
        <v>8462</v>
      </c>
      <c r="L42" s="36">
        <v>9045</v>
      </c>
      <c r="M42" s="36">
        <v>14757</v>
      </c>
    </row>
    <row r="43" spans="2:13" ht="15" customHeight="1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2:13">
      <c r="B44" s="48" t="str">
        <f>IF(B3=1,"Patrimônio Líquido","Shareholder's Equity")</f>
        <v>Patrimônio Líquido</v>
      </c>
      <c r="C44" s="88">
        <f t="shared" ref="C44:I44" si="7">SUM(C45:C53)</f>
        <v>2355458.44</v>
      </c>
      <c r="D44" s="88">
        <f t="shared" si="7"/>
        <v>2369643.44</v>
      </c>
      <c r="E44" s="88">
        <f t="shared" si="7"/>
        <v>2387270</v>
      </c>
      <c r="F44" s="88">
        <f t="shared" si="7"/>
        <v>2473464</v>
      </c>
      <c r="G44" s="88">
        <f t="shared" si="7"/>
        <v>2491129</v>
      </c>
      <c r="H44" s="88">
        <f t="shared" si="7"/>
        <v>2489859</v>
      </c>
      <c r="I44" s="88">
        <f t="shared" si="7"/>
        <v>2506136</v>
      </c>
      <c r="J44" s="88">
        <f>SUM(J45:J53)</f>
        <v>2731498</v>
      </c>
      <c r="K44" s="88">
        <f>SUM(K45:K53)</f>
        <v>2747983</v>
      </c>
      <c r="L44" s="88">
        <f>SUM(L45:L53)</f>
        <v>2736935</v>
      </c>
      <c r="M44" s="88">
        <v>2738533</v>
      </c>
    </row>
    <row r="45" spans="2:13">
      <c r="B45" s="89" t="str">
        <f>IF(B3=1,"Capital social","Share Capital")</f>
        <v>Capital social</v>
      </c>
      <c r="C45" s="90">
        <v>1321142</v>
      </c>
      <c r="D45" s="90">
        <v>1321142</v>
      </c>
      <c r="E45" s="90">
        <v>1321142</v>
      </c>
      <c r="F45" s="90">
        <v>1321142</v>
      </c>
      <c r="G45" s="90">
        <v>1321142</v>
      </c>
      <c r="H45" s="90">
        <v>1321142</v>
      </c>
      <c r="I45" s="90">
        <v>1321142</v>
      </c>
      <c r="J45" s="90">
        <v>1321142</v>
      </c>
      <c r="K45" s="90">
        <v>1286691</v>
      </c>
      <c r="L45" s="90">
        <v>1286691</v>
      </c>
      <c r="M45" s="90">
        <v>1286691</v>
      </c>
    </row>
    <row r="46" spans="2:13">
      <c r="B46" s="89" t="str">
        <f>IF(B3=1,"Gastos com oferta pública de ações","Expenses with Public Offering of Shares")</f>
        <v>Gastos com oferta pública de ações</v>
      </c>
      <c r="C46" s="90">
        <v>-34451</v>
      </c>
      <c r="D46" s="90">
        <v>-34451</v>
      </c>
      <c r="E46" s="90">
        <v>-34451</v>
      </c>
      <c r="F46" s="90">
        <v>-34451</v>
      </c>
      <c r="G46" s="90">
        <v>-34451</v>
      </c>
      <c r="H46" s="90">
        <v>-34451</v>
      </c>
      <c r="I46" s="90">
        <v>-34451</v>
      </c>
      <c r="J46" s="90">
        <v>-34451</v>
      </c>
      <c r="K46" s="90">
        <v>0</v>
      </c>
      <c r="L46" s="90">
        <v>0</v>
      </c>
      <c r="M46" s="90">
        <v>0</v>
      </c>
    </row>
    <row r="47" spans="2:13">
      <c r="B47" s="89" t="str">
        <f>IF(B3=1,"Programa de opção compra de ações","Call Option Program")</f>
        <v>Programa de opção compra de ações</v>
      </c>
      <c r="C47" s="90">
        <v>2137</v>
      </c>
      <c r="D47" s="90">
        <v>2501</v>
      </c>
      <c r="E47" s="90">
        <v>2744</v>
      </c>
      <c r="F47" s="90">
        <v>2744</v>
      </c>
      <c r="G47" s="90">
        <v>2744</v>
      </c>
      <c r="H47" s="90">
        <v>2744</v>
      </c>
      <c r="I47" s="90">
        <v>3119</v>
      </c>
      <c r="J47" s="90">
        <v>3472</v>
      </c>
      <c r="K47" s="90">
        <v>5304</v>
      </c>
      <c r="L47" s="90">
        <v>2660</v>
      </c>
      <c r="M47" s="90">
        <v>2660</v>
      </c>
    </row>
    <row r="48" spans="2:13">
      <c r="B48" s="89" t="str">
        <f>IF(B3=1,"Ajuste de avaliação patrimonial","Adjustment from Property Appraisals")</f>
        <v>Ajuste de avaliação patrimonial</v>
      </c>
      <c r="C48" s="90">
        <v>106854.13</v>
      </c>
      <c r="D48" s="90">
        <v>106854.13</v>
      </c>
      <c r="E48" s="90">
        <v>106854</v>
      </c>
      <c r="F48" s="90">
        <v>84427</v>
      </c>
      <c r="G48" s="90">
        <v>84427</v>
      </c>
      <c r="H48" s="90">
        <v>84427</v>
      </c>
      <c r="I48" s="90">
        <v>84427</v>
      </c>
      <c r="J48" s="90">
        <v>74181</v>
      </c>
      <c r="K48" s="90">
        <v>74181</v>
      </c>
      <c r="L48" s="90">
        <v>74181</v>
      </c>
      <c r="M48" s="90">
        <v>74181</v>
      </c>
    </row>
    <row r="49" spans="2:13">
      <c r="B49" s="89" t="str">
        <f>IF(B3=1,"Transações de capital","Capital Transactions")</f>
        <v>Transações de capital</v>
      </c>
      <c r="C49" s="90">
        <v>12733</v>
      </c>
      <c r="D49" s="90">
        <v>12733</v>
      </c>
      <c r="E49" s="90">
        <v>12739</v>
      </c>
      <c r="F49" s="90">
        <v>12739</v>
      </c>
      <c r="G49" s="90">
        <v>12734</v>
      </c>
      <c r="H49" s="90">
        <v>12734</v>
      </c>
      <c r="I49" s="90">
        <v>12734</v>
      </c>
      <c r="J49" s="90">
        <v>12734</v>
      </c>
      <c r="K49" s="90">
        <v>34047</v>
      </c>
      <c r="L49" s="90">
        <v>37204</v>
      </c>
      <c r="M49" s="90">
        <v>36506</v>
      </c>
    </row>
    <row r="50" spans="2:13">
      <c r="B50" s="89" t="str">
        <f>IF(B3=1,"Reserva de lucros","Profit Reserve")</f>
        <v>Reserva de lucros</v>
      </c>
      <c r="C50" s="90">
        <v>485380.31</v>
      </c>
      <c r="D50" s="90">
        <v>485380.31</v>
      </c>
      <c r="E50" s="90">
        <v>485380</v>
      </c>
      <c r="F50" s="90">
        <v>541989</v>
      </c>
      <c r="G50" s="90">
        <v>532789</v>
      </c>
      <c r="H50" s="90">
        <v>532553</v>
      </c>
      <c r="I50" s="90">
        <v>541003</v>
      </c>
      <c r="J50" s="90">
        <v>650703</v>
      </c>
      <c r="K50" s="90">
        <v>649147</v>
      </c>
      <c r="L50" s="90">
        <v>647269</v>
      </c>
      <c r="M50" s="90">
        <v>647269</v>
      </c>
    </row>
    <row r="51" spans="2:13" s="130" customFormat="1" ht="15.75">
      <c r="B51" s="89" t="s">
        <v>230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-3230</v>
      </c>
      <c r="L51" s="90">
        <v>-1574</v>
      </c>
      <c r="M51" s="90">
        <v>-1574</v>
      </c>
    </row>
    <row r="52" spans="2:13">
      <c r="B52" s="89" t="str">
        <f>IF(B3=1,"Prejuízos acumulados","Accumulated Losses")</f>
        <v>Prejuízos acumulados</v>
      </c>
      <c r="C52" s="90">
        <v>-5516</v>
      </c>
      <c r="D52" s="90">
        <v>-12931</v>
      </c>
      <c r="E52" s="90">
        <v>-9075</v>
      </c>
      <c r="F52" s="90">
        <v>0</v>
      </c>
      <c r="G52" s="90">
        <v>-1504</v>
      </c>
      <c r="H52" s="90">
        <v>-12277</v>
      </c>
      <c r="I52" s="90">
        <v>-19376</v>
      </c>
      <c r="J52" s="90">
        <v>-3230</v>
      </c>
      <c r="K52" s="90">
        <v>-16017</v>
      </c>
      <c r="L52" s="90">
        <v>-35467</v>
      </c>
      <c r="M52" s="90">
        <v>-52724</v>
      </c>
    </row>
    <row r="53" spans="2:13" s="4" customFormat="1">
      <c r="B53" s="89" t="str">
        <f>IF(B3=1,"Participação de acionistas não controladores","Minority Shareholders")</f>
        <v>Participação de acionistas não controladores</v>
      </c>
      <c r="C53" s="90">
        <v>467179</v>
      </c>
      <c r="D53" s="90">
        <v>488415</v>
      </c>
      <c r="E53" s="90">
        <v>501937</v>
      </c>
      <c r="F53" s="90">
        <v>544874</v>
      </c>
      <c r="G53" s="90">
        <v>573248</v>
      </c>
      <c r="H53" s="90">
        <v>582987</v>
      </c>
      <c r="I53" s="90">
        <v>597538</v>
      </c>
      <c r="J53" s="90">
        <v>706947</v>
      </c>
      <c r="K53" s="90">
        <v>717860</v>
      </c>
      <c r="L53" s="90">
        <v>725971</v>
      </c>
      <c r="M53" s="90">
        <v>745524</v>
      </c>
    </row>
    <row r="54" spans="2:13" s="4" customFormat="1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2:13">
      <c r="B55" s="48" t="str">
        <f>IF(B3=1,"Total do Passivo e do Patrimônio Líquido","Total Shareholders' Equity and Liabilities")</f>
        <v>Total do Passivo e do Patrimônio Líquido</v>
      </c>
      <c r="C55" s="88">
        <f t="shared" ref="C55:I55" si="8">C44+C36+C25</f>
        <v>3785695.44</v>
      </c>
      <c r="D55" s="88">
        <f t="shared" si="8"/>
        <v>3803913.44</v>
      </c>
      <c r="E55" s="88">
        <f t="shared" si="8"/>
        <v>4027977</v>
      </c>
      <c r="F55" s="88">
        <f t="shared" si="8"/>
        <v>4281969</v>
      </c>
      <c r="G55" s="88">
        <f t="shared" si="8"/>
        <v>4310432</v>
      </c>
      <c r="H55" s="88">
        <f t="shared" si="8"/>
        <v>4306721</v>
      </c>
      <c r="I55" s="88">
        <f t="shared" si="8"/>
        <v>4308741</v>
      </c>
      <c r="J55" s="88">
        <f>J44+J36+J25</f>
        <v>4689030</v>
      </c>
      <c r="K55" s="88">
        <f>K44+K36+K25</f>
        <v>4816140</v>
      </c>
      <c r="L55" s="88">
        <f>L44+L36+L25</f>
        <v>4825492</v>
      </c>
      <c r="M55" s="88">
        <v>4832493</v>
      </c>
    </row>
  </sheetData>
  <pageMargins left="0.511811024" right="0.511811024" top="0.78740157499999996" bottom="0.78740157499999996" header="0.31496062000000002" footer="0.31496062000000002"/>
  <ignoredErrors>
    <ignoredError sqref="C25:H25" formulaRange="1"/>
    <ignoredError sqref="I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M66"/>
  <sheetViews>
    <sheetView showGridLines="0" zoomScale="80" zoomScaleNormal="80" workbookViewId="0">
      <pane xSplit="2" topLeftCell="K1" activePane="topRight" state="frozen"/>
      <selection activeCell="AE101" sqref="AE101"/>
      <selection pane="topRight"/>
    </sheetView>
  </sheetViews>
  <sheetFormatPr defaultRowHeight="15" outlineLevelCol="1"/>
  <cols>
    <col min="1" max="1" width="4.7109375" customWidth="1"/>
    <col min="2" max="2" width="80.42578125" customWidth="1"/>
    <col min="3" max="4" width="14.28515625" style="34" hidden="1" customWidth="1" outlineLevel="1"/>
    <col min="5" max="5" width="14.28515625" hidden="1" customWidth="1" outlineLevel="1"/>
    <col min="6" max="6" width="15.28515625" hidden="1" customWidth="1" outlineLevel="1"/>
    <col min="7" max="7" width="14.28515625" customWidth="1" collapsed="1"/>
    <col min="8" max="12" width="15.28515625" customWidth="1"/>
    <col min="13" max="13" width="15.28515625" bestFit="1" customWidth="1"/>
    <col min="14" max="14" width="67.7109375" bestFit="1" customWidth="1"/>
    <col min="16" max="16" width="12.5703125" bestFit="1" customWidth="1"/>
  </cols>
  <sheetData>
    <row r="1" spans="2:13">
      <c r="B1" s="5" t="s">
        <v>1</v>
      </c>
    </row>
    <row r="2" spans="2:13">
      <c r="B2" s="5" t="s">
        <v>0</v>
      </c>
    </row>
    <row r="3" spans="2:13">
      <c r="B3" s="6">
        <v>1</v>
      </c>
    </row>
    <row r="4" spans="2:13" ht="6.75" customHeight="1">
      <c r="B4" s="2"/>
    </row>
    <row r="5" spans="2:13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3" t="str">
        <f>IF(B3=1,"1T22","1Q22")</f>
        <v>1T22</v>
      </c>
      <c r="D5" s="93" t="str">
        <f>IF($B$3=1,"2T22","2Q22")</f>
        <v>2T22</v>
      </c>
      <c r="E5" s="93" t="str">
        <f>IF($B$3=1,"3T22","3Q22")</f>
        <v>3T22</v>
      </c>
      <c r="F5" s="93" t="str">
        <f>IF($B$3=1,"4T22","4Q22")</f>
        <v>4T22</v>
      </c>
      <c r="G5" s="93" t="str">
        <f>IF($B$3=1,"1T23","1Q23")</f>
        <v>1T23</v>
      </c>
      <c r="H5" s="93" t="str">
        <f>IF($B$3=1,"2T23","2Q23")</f>
        <v>2T23</v>
      </c>
      <c r="I5" s="93" t="str">
        <f>IF($B$3=1,"3T23","3Q23")</f>
        <v>3T23</v>
      </c>
      <c r="J5" s="93" t="str">
        <f>IF($B$3=1,"4T23","4Q23")</f>
        <v>4T23</v>
      </c>
      <c r="K5" s="93" t="str">
        <f>IF($B$3=1,"1T24","1Q24")</f>
        <v>1T24</v>
      </c>
      <c r="L5" s="93" t="str">
        <f>IF($B$3=1,"2T24","2Q24")</f>
        <v>2T24</v>
      </c>
      <c r="M5" s="93" t="str">
        <f>IF($B$3=1,"3T24","3Q24")</f>
        <v>3T24</v>
      </c>
    </row>
    <row r="6" spans="2:13" s="1" customFormat="1" ht="18.75" customHeight="1">
      <c r="B6" s="94" t="str">
        <f>IF(B3=1,"Das atividades operacionais","Cash and Cash Equivalents")</f>
        <v>Das atividades operacionais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2:13" s="4" customFormat="1" ht="17.25" customHeight="1">
      <c r="B7" s="89" t="str">
        <f>IF(B3=1,"Lucro (Prejuízo) antes do imposto de renda e contribuição social","Earnings/(Loss) before Income Tax and Social Contribution")</f>
        <v>Lucro (Prejuízo) antes do imposto de renda e contribuição social</v>
      </c>
      <c r="C7" s="91">
        <v>-2739</v>
      </c>
      <c r="D7" s="91">
        <v>-3825</v>
      </c>
      <c r="E7" s="91">
        <v>7042</v>
      </c>
      <c r="F7" s="91">
        <v>146721</v>
      </c>
      <c r="G7" s="91">
        <v>8019</v>
      </c>
      <c r="H7" s="91">
        <v>-6008</v>
      </c>
      <c r="I7" s="91">
        <v>-1518</v>
      </c>
      <c r="J7" s="91">
        <v>336851</v>
      </c>
      <c r="K7" s="91">
        <v>-10716</v>
      </c>
      <c r="L7" s="91">
        <v>-25900</v>
      </c>
      <c r="M7" s="91">
        <v>-37710</v>
      </c>
    </row>
    <row r="8" spans="2:13" s="4" customFormat="1" ht="17.25" customHeight="1"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2:13" s="4" customFormat="1" ht="30" customHeight="1">
      <c r="B9" s="97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2:13">
      <c r="B10" s="89" t="str">
        <f>IF(B3=1,"Depreciações e amortizações","Depreciation and Amortization")</f>
        <v>Depreciações e amortizações</v>
      </c>
      <c r="C10" s="91">
        <v>172.85223999999999</v>
      </c>
      <c r="D10" s="91">
        <v>193.85898000000003</v>
      </c>
      <c r="E10" s="91">
        <v>243.28877999999997</v>
      </c>
      <c r="F10" s="91">
        <v>305</v>
      </c>
      <c r="G10" s="91">
        <v>479.97643000000005</v>
      </c>
      <c r="H10" s="91">
        <v>562.02253999999982</v>
      </c>
      <c r="I10" s="91">
        <v>476.03705000000036</v>
      </c>
      <c r="J10" s="91">
        <v>1977</v>
      </c>
      <c r="K10" s="91">
        <v>1055</v>
      </c>
      <c r="L10" s="91">
        <v>2174</v>
      </c>
      <c r="M10" s="91">
        <v>3363</v>
      </c>
    </row>
    <row r="11" spans="2:13">
      <c r="B11" s="89" t="str">
        <f>IF(B3=1,"Resultado de equivalência patrimonial","Equity Earnings (Loss)")</f>
        <v>Resultado de equivalência patrimonial</v>
      </c>
      <c r="C11" s="91">
        <v>2118</v>
      </c>
      <c r="D11" s="91">
        <v>2092</v>
      </c>
      <c r="E11" s="91">
        <v>1522</v>
      </c>
      <c r="F11" s="91">
        <v>13551</v>
      </c>
      <c r="G11" s="91">
        <v>427</v>
      </c>
      <c r="H11" s="91">
        <v>225</v>
      </c>
      <c r="I11" s="91">
        <v>104</v>
      </c>
      <c r="J11" s="91">
        <v>18507</v>
      </c>
      <c r="K11" s="91">
        <v>-473</v>
      </c>
      <c r="L11" s="91">
        <v>-1309</v>
      </c>
      <c r="M11" s="91">
        <v>-2312</v>
      </c>
    </row>
    <row r="12" spans="2:13">
      <c r="B12" s="89" t="str">
        <f>IF(B3=1,"Encargos e atualizações sobre financiamentos não liquidados","Charges and Updated on Unpaid Financing")</f>
        <v>Encargos e atualizações sobre financiamentos não liquidados</v>
      </c>
      <c r="C12" s="91">
        <v>30211</v>
      </c>
      <c r="D12" s="91">
        <v>28078.223290000002</v>
      </c>
      <c r="E12" s="91">
        <v>14854.853589999992</v>
      </c>
      <c r="F12" s="91">
        <v>29096.923120000007</v>
      </c>
      <c r="G12" s="91">
        <v>25712</v>
      </c>
      <c r="H12" s="91">
        <v>23690</v>
      </c>
      <c r="I12" s="91">
        <v>29142</v>
      </c>
      <c r="J12" s="91">
        <v>19097</v>
      </c>
      <c r="K12" s="91">
        <v>2439</v>
      </c>
      <c r="L12" s="91">
        <v>8431</v>
      </c>
      <c r="M12" s="91">
        <v>14327</v>
      </c>
    </row>
    <row r="13" spans="2:13">
      <c r="B13" s="89" t="s">
        <v>212</v>
      </c>
      <c r="C13" s="91"/>
      <c r="D13" s="91"/>
      <c r="E13" s="91"/>
      <c r="F13" s="91"/>
      <c r="G13" s="91"/>
      <c r="H13" s="91"/>
      <c r="I13" s="91"/>
      <c r="J13" s="91">
        <v>53924</v>
      </c>
      <c r="K13" s="91">
        <v>14590</v>
      </c>
      <c r="L13" s="91">
        <v>33015</v>
      </c>
      <c r="M13" s="91">
        <v>41408</v>
      </c>
    </row>
    <row r="14" spans="2:13">
      <c r="B14" s="89" t="str">
        <f>IF(B3=1,"Provisão para perda esperada com créditos de liquidação duvidosa","Allowance for Loan Losses")</f>
        <v>Provisão para perda esperada com créditos de liquidação duvidosa</v>
      </c>
      <c r="C14" s="91">
        <v>98</v>
      </c>
      <c r="D14" s="91">
        <v>-1266</v>
      </c>
      <c r="E14" s="91">
        <v>-1883</v>
      </c>
      <c r="F14" s="91">
        <v>451</v>
      </c>
      <c r="G14" s="91">
        <v>-666</v>
      </c>
      <c r="H14" s="91">
        <v>1034</v>
      </c>
      <c r="I14" s="91">
        <v>142</v>
      </c>
      <c r="J14" s="91">
        <v>1270</v>
      </c>
      <c r="K14" s="91">
        <v>194</v>
      </c>
      <c r="L14" s="91">
        <v>956</v>
      </c>
      <c r="M14" s="91">
        <v>1029</v>
      </c>
    </row>
    <row r="15" spans="2:13">
      <c r="B15" s="89" t="s">
        <v>213</v>
      </c>
      <c r="C15" s="91"/>
      <c r="D15" s="91"/>
      <c r="E15" s="91"/>
      <c r="F15" s="91"/>
      <c r="G15" s="91"/>
      <c r="H15" s="91"/>
      <c r="I15" s="91"/>
      <c r="J15" s="91">
        <v>35916</v>
      </c>
      <c r="K15" s="91">
        <v>2384</v>
      </c>
      <c r="L15" s="91">
        <v>5834</v>
      </c>
      <c r="M15" s="91">
        <v>15009</v>
      </c>
    </row>
    <row r="16" spans="2:13">
      <c r="B16" s="89" t="s">
        <v>214</v>
      </c>
      <c r="C16" s="91"/>
      <c r="D16" s="91"/>
      <c r="E16" s="91"/>
      <c r="F16" s="91"/>
      <c r="G16" s="91"/>
      <c r="H16" s="91"/>
      <c r="I16" s="91"/>
      <c r="J16" s="91">
        <v>229</v>
      </c>
      <c r="K16" s="91">
        <v>0</v>
      </c>
      <c r="L16" s="91">
        <v>11</v>
      </c>
      <c r="M16" s="91">
        <v>431</v>
      </c>
    </row>
    <row r="17" spans="2:13">
      <c r="B17" s="89" t="s">
        <v>215</v>
      </c>
      <c r="C17" s="91"/>
      <c r="D17" s="91"/>
      <c r="E17" s="91"/>
      <c r="F17" s="91"/>
      <c r="G17" s="91"/>
      <c r="H17" s="91"/>
      <c r="I17" s="91"/>
      <c r="J17" s="91">
        <v>728</v>
      </c>
      <c r="K17" s="91">
        <v>1832</v>
      </c>
      <c r="L17" s="91">
        <v>-812</v>
      </c>
      <c r="M17" s="91">
        <v>-812</v>
      </c>
    </row>
    <row r="18" spans="2:13">
      <c r="B18" s="89" t="str">
        <f>IF(B3=1,"Baixas e Reduções de Capital","Write-off and Capital Reduction (Spin-off)")</f>
        <v>Baixas e Reduções de Capital</v>
      </c>
      <c r="C18" s="91">
        <v>3244</v>
      </c>
      <c r="D18" s="91">
        <v>8093</v>
      </c>
      <c r="E18" s="91">
        <v>243</v>
      </c>
      <c r="F18" s="91">
        <v>175</v>
      </c>
      <c r="G18" s="91">
        <v>191</v>
      </c>
      <c r="H18" s="91">
        <v>0</v>
      </c>
      <c r="I18" s="91">
        <v>376</v>
      </c>
      <c r="J18" s="91"/>
      <c r="K18" s="91">
        <v>0</v>
      </c>
      <c r="L18" s="91">
        <v>0</v>
      </c>
      <c r="M18" s="91">
        <v>0</v>
      </c>
    </row>
    <row r="19" spans="2:13">
      <c r="B19" s="89" t="s">
        <v>216</v>
      </c>
      <c r="C19" s="91"/>
      <c r="D19" s="91"/>
      <c r="E19" s="91"/>
      <c r="F19" s="91"/>
      <c r="G19" s="91"/>
      <c r="H19" s="91"/>
      <c r="I19" s="91"/>
      <c r="J19" s="91">
        <v>691</v>
      </c>
      <c r="K19" s="91">
        <v>0</v>
      </c>
      <c r="L19" s="91">
        <v>0</v>
      </c>
      <c r="M19" s="91">
        <v>0</v>
      </c>
    </row>
    <row r="20" spans="2:13">
      <c r="B20" s="89" t="str">
        <f>IF(B3=1,"Variação do valor justo de propriedades para investimento","Variation in the fair value of investment properties")</f>
        <v>Variação do valor justo de propriedades para investimento</v>
      </c>
      <c r="C20" s="91">
        <v>3575</v>
      </c>
      <c r="D20" s="91">
        <v>-3575</v>
      </c>
      <c r="E20" s="91">
        <v>0</v>
      </c>
      <c r="F20" s="91">
        <v>-127849</v>
      </c>
      <c r="G20" s="91">
        <v>0</v>
      </c>
      <c r="H20" s="91">
        <v>0</v>
      </c>
      <c r="I20" s="91">
        <v>10973</v>
      </c>
      <c r="J20" s="91">
        <v>-388175</v>
      </c>
      <c r="K20" s="91">
        <v>4719</v>
      </c>
      <c r="L20" s="91">
        <v>11810</v>
      </c>
      <c r="M20" s="91">
        <v>11810</v>
      </c>
    </row>
    <row r="21" spans="2:13">
      <c r="B21" s="89" t="s">
        <v>217</v>
      </c>
      <c r="C21" s="91"/>
      <c r="D21" s="91"/>
      <c r="E21" s="91"/>
      <c r="F21" s="91"/>
      <c r="G21" s="91"/>
      <c r="H21" s="91"/>
      <c r="I21" s="91"/>
      <c r="J21" s="91">
        <v>7168</v>
      </c>
      <c r="K21" s="91">
        <v>-1557</v>
      </c>
      <c r="L21" s="91">
        <v>-3434</v>
      </c>
      <c r="M21" s="91">
        <v>-3434</v>
      </c>
    </row>
    <row r="22" spans="2:13">
      <c r="B22" s="89" t="s">
        <v>231</v>
      </c>
      <c r="C22" s="91"/>
      <c r="D22" s="91"/>
      <c r="E22" s="91"/>
      <c r="F22" s="91"/>
      <c r="G22" s="91"/>
      <c r="H22" s="91"/>
      <c r="I22" s="91"/>
      <c r="J22" s="91"/>
      <c r="K22" s="91">
        <v>21313</v>
      </c>
      <c r="L22" s="91">
        <v>0</v>
      </c>
      <c r="M22" s="91">
        <v>0</v>
      </c>
    </row>
    <row r="23" spans="2:13">
      <c r="B23" s="98" t="str">
        <f>IF(B3=1,"Resultado do período ajustado","Result for the Adjusted Period")</f>
        <v>Resultado do período ajustado</v>
      </c>
      <c r="C23" s="101">
        <f t="shared" ref="C23:J23" si="0">SUM(C7:C22)</f>
        <v>36679.85224</v>
      </c>
      <c r="D23" s="101">
        <f t="shared" si="0"/>
        <v>29791.082269999999</v>
      </c>
      <c r="E23" s="101">
        <f t="shared" si="0"/>
        <v>22022.14236999999</v>
      </c>
      <c r="F23" s="101">
        <f t="shared" si="0"/>
        <v>62450.923119999992</v>
      </c>
      <c r="G23" s="101">
        <f t="shared" si="0"/>
        <v>34162.976430000002</v>
      </c>
      <c r="H23" s="101">
        <f t="shared" si="0"/>
        <v>19503.022539999998</v>
      </c>
      <c r="I23" s="101">
        <f t="shared" si="0"/>
        <v>39695.037049999999</v>
      </c>
      <c r="J23" s="101">
        <f t="shared" si="0"/>
        <v>88183</v>
      </c>
      <c r="K23" s="101">
        <f>SUM(K7:K22)</f>
        <v>35780</v>
      </c>
      <c r="L23" s="101">
        <f>SUM(L7:L22)</f>
        <v>30776</v>
      </c>
      <c r="M23" s="101">
        <v>43109</v>
      </c>
    </row>
    <row r="24" spans="2:13">
      <c r="B24" s="99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2:13">
      <c r="B25" s="98" t="str">
        <f>IF(B3=1,"Decréscimo/(Acréscimo) em ativos e passivos","Decrease/(Increase) in Assets and Liabilities")</f>
        <v>Decréscimo/(Acréscimo) em ativos e passivos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2:13">
      <c r="B26" s="89" t="str">
        <f>IF(B3=1,"Contas a receber","Trade Receivables")</f>
        <v>Contas a receber</v>
      </c>
      <c r="C26" s="91">
        <v>-640</v>
      </c>
      <c r="D26" s="91">
        <v>1885</v>
      </c>
      <c r="E26" s="91">
        <v>1173</v>
      </c>
      <c r="F26" s="91">
        <v>880</v>
      </c>
      <c r="G26" s="91">
        <v>-26425</v>
      </c>
      <c r="H26" s="91">
        <v>2337</v>
      </c>
      <c r="I26" s="91">
        <v>25042</v>
      </c>
      <c r="J26" s="91">
        <v>-37654</v>
      </c>
      <c r="K26" s="7">
        <v>3902</v>
      </c>
      <c r="L26" s="91">
        <v>9645</v>
      </c>
      <c r="M26" s="91">
        <v>16033</v>
      </c>
    </row>
    <row r="27" spans="2:13">
      <c r="B27" s="89" t="str">
        <f>IF(B3=1,"Adiantamentos","Advances")</f>
        <v>Adiantamentos</v>
      </c>
      <c r="C27" s="91">
        <v>-30749</v>
      </c>
      <c r="D27" s="91">
        <v>-6471</v>
      </c>
      <c r="E27" s="91">
        <v>18595</v>
      </c>
      <c r="F27" s="91">
        <v>13256</v>
      </c>
      <c r="G27" s="91">
        <v>-1372</v>
      </c>
      <c r="H27" s="91">
        <v>-2298</v>
      </c>
      <c r="I27" s="91">
        <v>9567</v>
      </c>
      <c r="J27" s="91">
        <v>-4241</v>
      </c>
      <c r="K27" s="7">
        <v>-14843</v>
      </c>
      <c r="L27" s="91">
        <v>-34970</v>
      </c>
      <c r="M27" s="91">
        <v>-36914</v>
      </c>
    </row>
    <row r="28" spans="2:13">
      <c r="B28" s="89" t="str">
        <f>IF(B3=1,"Outros ativos","Other Assets")</f>
        <v>Outros ativos</v>
      </c>
      <c r="C28" s="91">
        <v>-4462</v>
      </c>
      <c r="D28" s="91">
        <v>2954</v>
      </c>
      <c r="E28" s="91">
        <v>520</v>
      </c>
      <c r="F28" s="91">
        <v>4296</v>
      </c>
      <c r="G28" s="91">
        <v>-7605</v>
      </c>
      <c r="H28" s="91">
        <v>5934</v>
      </c>
      <c r="I28" s="91">
        <v>-11312</v>
      </c>
      <c r="J28" s="91">
        <v>-143693</v>
      </c>
      <c r="K28" s="7">
        <v>-7562</v>
      </c>
      <c r="L28" s="91">
        <v>-13955</v>
      </c>
      <c r="M28" s="91">
        <v>-33674</v>
      </c>
    </row>
    <row r="29" spans="2:13">
      <c r="B29" s="89" t="str">
        <f>IF(B3=1,"Fornecedores","Suppliers")</f>
        <v>Fornecedores</v>
      </c>
      <c r="C29" s="91">
        <v>7118</v>
      </c>
      <c r="D29" s="91">
        <v>-2840</v>
      </c>
      <c r="E29" s="91">
        <v>-869</v>
      </c>
      <c r="F29" s="91">
        <v>-1484</v>
      </c>
      <c r="G29" s="91">
        <v>7783</v>
      </c>
      <c r="H29" s="91">
        <v>178</v>
      </c>
      <c r="I29" s="91">
        <v>-751</v>
      </c>
      <c r="J29" s="91">
        <v>4811</v>
      </c>
      <c r="K29" s="7">
        <v>2370</v>
      </c>
      <c r="L29" s="91">
        <v>1044</v>
      </c>
      <c r="M29" s="91">
        <v>2425</v>
      </c>
    </row>
    <row r="30" spans="2:13">
      <c r="B30" s="89" t="str">
        <f>IF(B3=1,"Outros passivos","Other Liabilities")</f>
        <v>Outros passivos</v>
      </c>
      <c r="C30" s="91">
        <v>-4423</v>
      </c>
      <c r="D30" s="91">
        <v>-885</v>
      </c>
      <c r="E30" s="91">
        <v>17949</v>
      </c>
      <c r="F30" s="91">
        <v>-2267</v>
      </c>
      <c r="G30" s="91">
        <v>7060</v>
      </c>
      <c r="H30" s="91">
        <v>10218</v>
      </c>
      <c r="I30" s="91">
        <v>-28681</v>
      </c>
      <c r="J30" s="91">
        <v>-19169</v>
      </c>
      <c r="K30" s="7">
        <v>3110</v>
      </c>
      <c r="L30" s="91">
        <v>4552</v>
      </c>
      <c r="M30" s="91">
        <v>19108</v>
      </c>
    </row>
    <row r="31" spans="2:13">
      <c r="B31" s="89" t="s">
        <v>222</v>
      </c>
      <c r="C31" s="91"/>
      <c r="D31" s="91"/>
      <c r="E31" s="91"/>
      <c r="F31" s="91"/>
      <c r="G31" s="91"/>
      <c r="H31" s="91"/>
      <c r="I31" s="91"/>
      <c r="J31" s="91">
        <v>7136</v>
      </c>
      <c r="K31" s="7">
        <v>-52</v>
      </c>
      <c r="L31" s="91">
        <v>-12580</v>
      </c>
      <c r="M31" s="91">
        <v>-10311</v>
      </c>
    </row>
    <row r="32" spans="2:13">
      <c r="B32" s="89" t="s">
        <v>219</v>
      </c>
      <c r="C32" s="91"/>
      <c r="D32" s="91"/>
      <c r="E32" s="91"/>
      <c r="F32" s="91"/>
      <c r="G32" s="91"/>
      <c r="H32" s="91"/>
      <c r="I32" s="91"/>
      <c r="J32" s="91">
        <v>2912</v>
      </c>
      <c r="K32" s="7">
        <v>10705</v>
      </c>
      <c r="L32" s="91">
        <v>7319</v>
      </c>
      <c r="M32" s="91">
        <v>6339</v>
      </c>
    </row>
    <row r="33" spans="2:13">
      <c r="B33" s="89" t="s">
        <v>220</v>
      </c>
      <c r="C33" s="91"/>
      <c r="D33" s="91"/>
      <c r="E33" s="91"/>
      <c r="F33" s="91"/>
      <c r="G33" s="91"/>
      <c r="H33" s="91"/>
      <c r="I33" s="91"/>
      <c r="J33" s="91">
        <v>-59175</v>
      </c>
      <c r="K33" s="7">
        <v>-22327</v>
      </c>
      <c r="L33" s="91">
        <v>-51850</v>
      </c>
      <c r="M33" s="91">
        <v>-78556</v>
      </c>
    </row>
    <row r="34" spans="2:13">
      <c r="B34" s="89" t="s">
        <v>221</v>
      </c>
      <c r="C34" s="91"/>
      <c r="D34" s="91"/>
      <c r="E34" s="91"/>
      <c r="F34" s="91"/>
      <c r="G34" s="91"/>
      <c r="H34" s="91"/>
      <c r="I34" s="91"/>
      <c r="J34" s="91">
        <v>-5631</v>
      </c>
      <c r="K34" s="7">
        <v>-1849</v>
      </c>
      <c r="L34" s="91">
        <v>-2526</v>
      </c>
      <c r="M34" s="91">
        <v>2308</v>
      </c>
    </row>
    <row r="35" spans="2:13">
      <c r="B35" s="89" t="s">
        <v>218</v>
      </c>
      <c r="C35" s="91"/>
      <c r="D35" s="91"/>
      <c r="E35" s="91"/>
      <c r="F35" s="91"/>
      <c r="G35" s="91"/>
      <c r="H35" s="91"/>
      <c r="I35" s="91"/>
      <c r="J35" s="91">
        <v>-152</v>
      </c>
      <c r="K35" s="7">
        <v>-38279</v>
      </c>
      <c r="L35" s="91">
        <v>-44487</v>
      </c>
      <c r="M35" s="91">
        <v>-54990</v>
      </c>
    </row>
    <row r="36" spans="2:13">
      <c r="B36" s="92" t="str">
        <f>IF(B3=1,"Caixa líquido gerados pelas atividades operacionais","Net Cash from Operating Activities")</f>
        <v>Caixa líquido gerados pelas atividades operacionais</v>
      </c>
      <c r="C36" s="101">
        <f t="shared" ref="C36:I36" si="1">SUM(C23:C30)</f>
        <v>3523.8522400000002</v>
      </c>
      <c r="D36" s="101">
        <f t="shared" si="1"/>
        <v>24434.082269999999</v>
      </c>
      <c r="E36" s="101">
        <f t="shared" si="1"/>
        <v>59390.142369999987</v>
      </c>
      <c r="F36" s="101">
        <f t="shared" si="1"/>
        <v>77131.923119999992</v>
      </c>
      <c r="G36" s="101">
        <f t="shared" si="1"/>
        <v>13603.976430000002</v>
      </c>
      <c r="H36" s="101">
        <f t="shared" si="1"/>
        <v>35872.022539999998</v>
      </c>
      <c r="I36" s="101">
        <f t="shared" si="1"/>
        <v>33560.037049999999</v>
      </c>
      <c r="J36" s="101">
        <f>SUM(J23:J35)</f>
        <v>-166673</v>
      </c>
      <c r="K36" s="135">
        <f>SUM(K23:K35)</f>
        <v>-29045</v>
      </c>
      <c r="L36" s="135">
        <f>SUM(L23:L35)</f>
        <v>-107032</v>
      </c>
      <c r="M36" s="135">
        <v>-125123</v>
      </c>
    </row>
    <row r="37" spans="2:13">
      <c r="B37" s="99"/>
      <c r="C37" s="91"/>
      <c r="D37" s="91"/>
      <c r="E37" s="91"/>
      <c r="F37" s="91"/>
      <c r="G37" s="91"/>
      <c r="H37" s="91"/>
      <c r="I37" s="91"/>
      <c r="J37" s="91"/>
      <c r="K37" s="7"/>
      <c r="L37" s="7"/>
      <c r="M37" s="7"/>
    </row>
    <row r="38" spans="2:13">
      <c r="B38" s="89" t="str">
        <f>IF(B3=1,"Imposto de renda e contribuição social pagos","Current Income Tax and Social Contribution")</f>
        <v>Imposto de renda e contribuição social pagos</v>
      </c>
      <c r="C38" s="91">
        <v>-2484</v>
      </c>
      <c r="D38" s="91">
        <v>366</v>
      </c>
      <c r="E38" s="91">
        <v>-1571</v>
      </c>
      <c r="F38" s="91">
        <v>-25788</v>
      </c>
      <c r="G38" s="91">
        <v>-2610</v>
      </c>
      <c r="H38" s="91">
        <v>-2113</v>
      </c>
      <c r="I38" s="91">
        <v>-2734</v>
      </c>
      <c r="J38" s="91">
        <v>-9205</v>
      </c>
      <c r="K38" s="7">
        <v>-3938</v>
      </c>
      <c r="L38" s="91">
        <v>-6299</v>
      </c>
      <c r="M38" s="91">
        <v>-8339</v>
      </c>
    </row>
    <row r="39" spans="2:13">
      <c r="B39" s="96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2:13">
      <c r="B40" s="92" t="str">
        <f>IF(B3=1,"Fluxo de caixa das atividades de investimentos","Cash Flow from Investment Activities")</f>
        <v>Fluxo de caixa das atividades de investimentos</v>
      </c>
      <c r="C40" s="91"/>
      <c r="D40" s="91"/>
      <c r="E40" s="91"/>
      <c r="F40" s="91"/>
      <c r="G40" s="91"/>
      <c r="H40" s="91"/>
      <c r="I40" s="91"/>
      <c r="J40" s="91"/>
      <c r="K40" s="7"/>
      <c r="L40" s="7"/>
      <c r="M40" s="7"/>
    </row>
    <row r="41" spans="2:13">
      <c r="B41" s="89" t="str">
        <f>IF(B3=1,"Investimentos","Investments")</f>
        <v>Investimentos</v>
      </c>
      <c r="C41" s="91">
        <v>-5443</v>
      </c>
      <c r="D41" s="91">
        <v>-7566</v>
      </c>
      <c r="E41" s="91">
        <v>-5293</v>
      </c>
      <c r="F41" s="91">
        <v>-7859</v>
      </c>
      <c r="G41" s="91">
        <v>-15754</v>
      </c>
      <c r="H41" s="91">
        <v>-3923</v>
      </c>
      <c r="I41" s="91">
        <v>-15838</v>
      </c>
      <c r="J41" s="91">
        <v>-20406</v>
      </c>
      <c r="K41" s="7">
        <v>-24882</v>
      </c>
      <c r="L41" s="91">
        <v>-28542</v>
      </c>
      <c r="M41" s="91">
        <v>-33902</v>
      </c>
    </row>
    <row r="42" spans="2:13">
      <c r="B42" s="89" t="s">
        <v>223</v>
      </c>
      <c r="C42" s="91"/>
      <c r="D42" s="91"/>
      <c r="E42" s="91"/>
      <c r="F42" s="91"/>
      <c r="G42" s="91"/>
      <c r="H42" s="91"/>
      <c r="I42" s="91"/>
      <c r="J42" s="91">
        <v>-5</v>
      </c>
      <c r="K42" s="7">
        <v>0</v>
      </c>
      <c r="L42" s="91">
        <v>24470</v>
      </c>
      <c r="M42" s="91">
        <v>23772</v>
      </c>
    </row>
    <row r="43" spans="2:13">
      <c r="B43" s="89" t="s">
        <v>224</v>
      </c>
      <c r="C43" s="91"/>
      <c r="D43" s="91"/>
      <c r="E43" s="91"/>
      <c r="F43" s="91"/>
      <c r="G43" s="91"/>
      <c r="H43" s="91"/>
      <c r="I43" s="91"/>
      <c r="J43" s="91">
        <v>7092</v>
      </c>
      <c r="K43" s="7">
        <v>1975</v>
      </c>
      <c r="L43" s="91">
        <v>3656</v>
      </c>
      <c r="M43" s="91">
        <v>5489</v>
      </c>
    </row>
    <row r="44" spans="2:13">
      <c r="B44" s="89" t="s">
        <v>225</v>
      </c>
      <c r="C44" s="91"/>
      <c r="D44" s="91"/>
      <c r="E44" s="91"/>
      <c r="F44" s="91"/>
      <c r="G44" s="91"/>
      <c r="H44" s="91"/>
      <c r="I44" s="91"/>
      <c r="J44" s="91">
        <v>989</v>
      </c>
      <c r="K44" s="7">
        <v>-24330</v>
      </c>
      <c r="L44" s="91">
        <v>-26498</v>
      </c>
      <c r="M44" s="91">
        <v>-32701</v>
      </c>
    </row>
    <row r="45" spans="2:13">
      <c r="B45" s="89" t="s">
        <v>226</v>
      </c>
      <c r="C45" s="91"/>
      <c r="D45" s="91"/>
      <c r="E45" s="91"/>
      <c r="F45" s="91"/>
      <c r="G45" s="91"/>
      <c r="H45" s="91"/>
      <c r="I45" s="91"/>
      <c r="J45" s="91">
        <v>53827</v>
      </c>
      <c r="K45" s="7">
        <v>11086</v>
      </c>
      <c r="L45" s="91">
        <v>11086</v>
      </c>
      <c r="M45" s="91">
        <v>25239</v>
      </c>
    </row>
    <row r="46" spans="2:13">
      <c r="B46" s="89" t="s">
        <v>227</v>
      </c>
      <c r="C46" s="91"/>
      <c r="D46" s="91"/>
      <c r="E46" s="91"/>
      <c r="F46" s="91"/>
      <c r="G46" s="91"/>
      <c r="H46" s="91"/>
      <c r="I46" s="91"/>
      <c r="J46" s="91">
        <v>-3230</v>
      </c>
      <c r="K46" s="7">
        <v>0</v>
      </c>
      <c r="L46" s="91">
        <v>1656</v>
      </c>
      <c r="M46" s="91">
        <v>1656</v>
      </c>
    </row>
    <row r="47" spans="2:13">
      <c r="B47" s="89" t="str">
        <f>IF(B3=1,"Títulos e valores mobiliários","Securities")</f>
        <v>Títulos e valores mobiliários</v>
      </c>
      <c r="C47" s="91">
        <v>75963</v>
      </c>
      <c r="D47" s="91">
        <v>41121</v>
      </c>
      <c r="E47" s="91">
        <v>29457</v>
      </c>
      <c r="F47" s="91">
        <v>39834</v>
      </c>
      <c r="G47" s="91">
        <v>39016</v>
      </c>
      <c r="H47" s="91">
        <v>46174</v>
      </c>
      <c r="I47" s="91">
        <v>50374</v>
      </c>
      <c r="J47" s="91">
        <v>94992</v>
      </c>
      <c r="K47" s="7">
        <v>-33381</v>
      </c>
      <c r="L47" s="91">
        <v>-8808</v>
      </c>
      <c r="M47" s="91">
        <v>53965</v>
      </c>
    </row>
    <row r="48" spans="2:13">
      <c r="B48" s="89" t="str">
        <f>IF(B3=1,"Propriedade para investimento","Property for Investment ")</f>
        <v>Propriedade para investimento</v>
      </c>
      <c r="C48" s="91">
        <v>-66394</v>
      </c>
      <c r="D48" s="91">
        <v>-52905.275000000001</v>
      </c>
      <c r="E48" s="91">
        <v>-51794.725000000006</v>
      </c>
      <c r="F48" s="91">
        <v>-97731</v>
      </c>
      <c r="G48" s="91">
        <v>-26485</v>
      </c>
      <c r="H48" s="91">
        <v>-35624</v>
      </c>
      <c r="I48" s="91">
        <v>-51066</v>
      </c>
      <c r="J48" s="91">
        <v>-9809</v>
      </c>
      <c r="K48" s="7">
        <v>-26808</v>
      </c>
      <c r="L48" s="91">
        <v>-33422</v>
      </c>
      <c r="M48" s="91">
        <v>-84290</v>
      </c>
    </row>
    <row r="49" spans="2:13">
      <c r="B49" s="98" t="str">
        <f>IF(B3=1,"Caixa líquido aplicados nas atividades de investimentos","Net Cash used in Investment Activities")</f>
        <v>Caixa líquido aplicados nas atividades de investimentos</v>
      </c>
      <c r="C49" s="101">
        <f t="shared" ref="C49:L49" si="2">SUM(C41:C48)</f>
        <v>4126</v>
      </c>
      <c r="D49" s="101">
        <f t="shared" si="2"/>
        <v>-19350.275000000001</v>
      </c>
      <c r="E49" s="101">
        <f t="shared" si="2"/>
        <v>-27630.725000000006</v>
      </c>
      <c r="F49" s="101">
        <f t="shared" si="2"/>
        <v>-65756</v>
      </c>
      <c r="G49" s="101">
        <f t="shared" si="2"/>
        <v>-3223</v>
      </c>
      <c r="H49" s="101">
        <f t="shared" si="2"/>
        <v>6627</v>
      </c>
      <c r="I49" s="101">
        <f t="shared" si="2"/>
        <v>-16530</v>
      </c>
      <c r="J49" s="101">
        <f t="shared" si="2"/>
        <v>123450</v>
      </c>
      <c r="K49" s="135">
        <f t="shared" si="2"/>
        <v>-96340</v>
      </c>
      <c r="L49" s="135">
        <f t="shared" si="2"/>
        <v>-56402</v>
      </c>
      <c r="M49" s="135">
        <v>-40772</v>
      </c>
    </row>
    <row r="50" spans="2:13" s="4" customFormat="1">
      <c r="B50" s="100"/>
      <c r="C50" s="91"/>
      <c r="D50" s="91"/>
      <c r="E50" s="91"/>
      <c r="F50" s="91"/>
      <c r="G50" s="91"/>
      <c r="H50" s="91"/>
      <c r="I50" s="91"/>
      <c r="J50" s="91"/>
      <c r="K50" s="7"/>
      <c r="L50" s="7"/>
      <c r="M50" s="7"/>
    </row>
    <row r="51" spans="2:13">
      <c r="B51" s="100" t="str">
        <f>IF(B3=1,"Fluxo de caixa de financiamento","Financing Cash Flow")</f>
        <v>Fluxo de caixa de financiamento</v>
      </c>
      <c r="C51" s="91"/>
      <c r="D51" s="91"/>
      <c r="E51" s="91"/>
      <c r="F51" s="91"/>
      <c r="G51" s="91"/>
      <c r="H51" s="91"/>
      <c r="I51" s="91"/>
      <c r="J51" s="91"/>
      <c r="K51" s="7"/>
      <c r="L51" s="7"/>
      <c r="M51" s="7"/>
    </row>
    <row r="52" spans="2:13">
      <c r="B52" s="89" t="str">
        <f>IF(B3=1,"Captação de empréstimos e financiamentos","Funding - Loans and Financing")</f>
        <v>Captação de empréstimos e financiamentos</v>
      </c>
      <c r="C52" s="91">
        <v>17157</v>
      </c>
      <c r="D52" s="91">
        <v>17588.910790000002</v>
      </c>
      <c r="E52" s="91">
        <v>27137.089209999998</v>
      </c>
      <c r="F52" s="91">
        <v>82385</v>
      </c>
      <c r="G52" s="91">
        <v>19135</v>
      </c>
      <c r="H52" s="91">
        <v>8318</v>
      </c>
      <c r="I52" s="91">
        <v>10709</v>
      </c>
      <c r="J52" s="91">
        <v>62850</v>
      </c>
      <c r="K52" s="7">
        <v>105043</v>
      </c>
      <c r="L52" s="91">
        <v>219570</v>
      </c>
      <c r="M52" s="91">
        <v>241064</v>
      </c>
    </row>
    <row r="53" spans="2:13">
      <c r="B53" s="89" t="str">
        <f>IF(B3=1,"Pagamentos de Emp. e Fin. e Debêntures","Payments - Loans and Financing")</f>
        <v>Pagamentos de Emp. e Fin. e Debêntures</v>
      </c>
      <c r="C53" s="91">
        <v>-36718</v>
      </c>
      <c r="D53" s="91">
        <v>-39531.68389</v>
      </c>
      <c r="E53" s="91">
        <v>-75012.606660000005</v>
      </c>
      <c r="F53" s="91">
        <v>-56097.709449999995</v>
      </c>
      <c r="G53" s="91">
        <v>-48801</v>
      </c>
      <c r="H53" s="91">
        <v>-51997</v>
      </c>
      <c r="I53" s="91">
        <v>-37353</v>
      </c>
      <c r="J53" s="91">
        <v>-39678</v>
      </c>
      <c r="K53" s="91">
        <v>-8862</v>
      </c>
      <c r="L53" s="91">
        <v>-16754</v>
      </c>
      <c r="M53" s="91">
        <v>-29710</v>
      </c>
    </row>
    <row r="54" spans="2:13">
      <c r="B54" s="89" t="s">
        <v>228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70000</v>
      </c>
      <c r="K54" s="91">
        <v>50000</v>
      </c>
      <c r="L54" s="91">
        <v>0</v>
      </c>
      <c r="M54" s="91">
        <v>0</v>
      </c>
    </row>
    <row r="55" spans="2:13">
      <c r="B55" s="89" t="s">
        <v>229</v>
      </c>
      <c r="C55" s="91"/>
      <c r="D55" s="91"/>
      <c r="E55" s="91"/>
      <c r="F55" s="91"/>
      <c r="G55" s="91"/>
      <c r="H55" s="91"/>
      <c r="I55" s="91"/>
      <c r="J55" s="91">
        <v>-89849</v>
      </c>
      <c r="K55" s="91">
        <v>-20028</v>
      </c>
      <c r="L55" s="91">
        <v>-42963</v>
      </c>
      <c r="M55" s="91">
        <v>-61883</v>
      </c>
    </row>
    <row r="56" spans="2:13">
      <c r="B56" s="89" t="str">
        <f>IF(B3=1,"Efeito das participações acionistas não controladores","Effect of Non-Controlling Shareholders")</f>
        <v>Efeito das participações acionistas não controladores</v>
      </c>
      <c r="C56" s="91">
        <v>7604</v>
      </c>
      <c r="D56" s="91">
        <v>18903</v>
      </c>
      <c r="E56" s="91">
        <v>11906</v>
      </c>
      <c r="F56" s="91">
        <v>-9051</v>
      </c>
      <c r="G56" s="91">
        <v>21461</v>
      </c>
      <c r="H56" s="91">
        <v>7087</v>
      </c>
      <c r="I56" s="91">
        <v>11704</v>
      </c>
      <c r="J56" s="91">
        <v>26674</v>
      </c>
      <c r="K56" s="91">
        <v>7945</v>
      </c>
      <c r="L56" s="91">
        <v>11973</v>
      </c>
      <c r="M56" s="91">
        <v>28119</v>
      </c>
    </row>
    <row r="57" spans="2:13">
      <c r="B57" s="8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2:13">
      <c r="B58" s="100" t="str">
        <f>IF(B3=1,"Caixa líquido gerados nas atividades de financiamentos","Net Cash from Financing Activities")</f>
        <v>Caixa líquido gerados nas atividades de financiamentos</v>
      </c>
      <c r="C58" s="101">
        <f t="shared" ref="C58:I58" si="3">SUM(C52:C53)</f>
        <v>-19561</v>
      </c>
      <c r="D58" s="101">
        <f t="shared" si="3"/>
        <v>-21942.773099999999</v>
      </c>
      <c r="E58" s="101">
        <f t="shared" si="3"/>
        <v>-47875.517450000007</v>
      </c>
      <c r="F58" s="101">
        <f t="shared" si="3"/>
        <v>26287.290550000005</v>
      </c>
      <c r="G58" s="101">
        <f t="shared" si="3"/>
        <v>-29666</v>
      </c>
      <c r="H58" s="101">
        <f t="shared" si="3"/>
        <v>-43679</v>
      </c>
      <c r="I58" s="101">
        <f t="shared" si="3"/>
        <v>-26644</v>
      </c>
      <c r="J58" s="101">
        <f>SUM(J52:J56)</f>
        <v>29997</v>
      </c>
      <c r="K58" s="101">
        <f>SUM(K52:K56)</f>
        <v>134098</v>
      </c>
      <c r="L58" s="101">
        <f>SUM(L52:L56)</f>
        <v>171826</v>
      </c>
      <c r="M58" s="101">
        <v>177590</v>
      </c>
    </row>
    <row r="59" spans="2:13">
      <c r="B59" s="10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>
      <c r="B60" s="100" t="str">
        <f>IF(B3=1,"Variação líquida do caixa e equivalentes de caixa","Net Change - Cash and Cash Equivalents")</f>
        <v>Variação líquida do caixa e equivalentes de caixa</v>
      </c>
      <c r="C60" s="101">
        <f>C58+C49+C36+C38</f>
        <v>-14395.14776</v>
      </c>
      <c r="D60" s="101">
        <f>D58+D49+D36+D38</f>
        <v>-16492.965830000001</v>
      </c>
      <c r="E60" s="101">
        <f>E58+E49+E36+E38</f>
        <v>-17687.100080000033</v>
      </c>
      <c r="F60" s="101">
        <f>F58+F49+F36+F38</f>
        <v>11875.213669999997</v>
      </c>
      <c r="G60" s="101">
        <f>G58+G49+G36+G38</f>
        <v>-21895.023569999998</v>
      </c>
      <c r="H60" s="101">
        <v>3557.0225399999981</v>
      </c>
      <c r="I60" s="101">
        <v>-3166.0629500000068</v>
      </c>
      <c r="J60" s="101">
        <f>J64-J63</f>
        <v>-22431</v>
      </c>
      <c r="K60" s="101">
        <f>K64-K63</f>
        <v>4775</v>
      </c>
      <c r="L60" s="101">
        <v>2093</v>
      </c>
      <c r="M60" s="101">
        <v>3356</v>
      </c>
    </row>
    <row r="61" spans="2:13">
      <c r="B61" s="10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2:13">
      <c r="B62" s="100" t="str">
        <f>IF(B3=1,"Caixa e equivalentes de caixa ","Cash and Cash Equivalents")</f>
        <v xml:space="preserve">Caixa e equivalentes de caixa 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2:13">
      <c r="B63" s="89" t="str">
        <f>IF(B3=1,"No início do período ","On the Beginning of the Period")</f>
        <v xml:space="preserve">No início do período </v>
      </c>
      <c r="C63" s="91">
        <v>50645</v>
      </c>
      <c r="D63" s="91">
        <f>C64</f>
        <v>43854</v>
      </c>
      <c r="E63" s="91">
        <f>D64</f>
        <v>27361.034169999999</v>
      </c>
      <c r="F63" s="91">
        <v>40482.934089999973</v>
      </c>
      <c r="G63" s="91">
        <v>43307</v>
      </c>
      <c r="H63" s="91">
        <v>42873</v>
      </c>
      <c r="I63" s="91">
        <v>46430</v>
      </c>
      <c r="J63" s="91">
        <v>43307</v>
      </c>
      <c r="K63" s="91">
        <v>20876</v>
      </c>
      <c r="L63" s="91">
        <v>20876</v>
      </c>
      <c r="M63" s="91">
        <v>20876</v>
      </c>
    </row>
    <row r="64" spans="2:13">
      <c r="B64" s="89" t="str">
        <f>IF(B3=1,"No final do período","At the End of the Period")</f>
        <v>No final do período</v>
      </c>
      <c r="C64" s="91">
        <v>43854</v>
      </c>
      <c r="D64" s="91">
        <f>C64+D60</f>
        <v>27361.034169999999</v>
      </c>
      <c r="E64" s="91">
        <f>D64+E60</f>
        <v>9673.9340899999661</v>
      </c>
      <c r="F64" s="91">
        <v>43307</v>
      </c>
      <c r="G64" s="91">
        <v>42873</v>
      </c>
      <c r="H64" s="91">
        <v>46430</v>
      </c>
      <c r="I64" s="91">
        <v>43264</v>
      </c>
      <c r="J64" s="91">
        <v>20876</v>
      </c>
      <c r="K64" s="91">
        <v>25651</v>
      </c>
      <c r="L64" s="91">
        <v>22969</v>
      </c>
      <c r="M64" s="91">
        <v>24232</v>
      </c>
    </row>
    <row r="65" spans="2:13">
      <c r="B65" s="10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2:13">
      <c r="B66" s="100" t="str">
        <f>IF(B3=1,"Variação líquida do caixa e equivalentes de caixa","Net Change - Cash and Cash Equivalents")</f>
        <v>Variação líquida do caixa e equivalentes de caixa</v>
      </c>
      <c r="C66" s="101">
        <f t="shared" ref="C66:I66" si="4">C64-C63</f>
        <v>-6791</v>
      </c>
      <c r="D66" s="101">
        <f t="shared" si="4"/>
        <v>-16492.965830000001</v>
      </c>
      <c r="E66" s="101">
        <f t="shared" si="4"/>
        <v>-17687.100080000033</v>
      </c>
      <c r="F66" s="101">
        <f t="shared" si="4"/>
        <v>2824.0659100000266</v>
      </c>
      <c r="G66" s="101">
        <f t="shared" si="4"/>
        <v>-434</v>
      </c>
      <c r="H66" s="101">
        <f t="shared" si="4"/>
        <v>3557</v>
      </c>
      <c r="I66" s="101">
        <f t="shared" si="4"/>
        <v>-3166</v>
      </c>
      <c r="J66" s="101">
        <f>J60</f>
        <v>-22431</v>
      </c>
      <c r="K66" s="101">
        <f>K60</f>
        <v>4775</v>
      </c>
      <c r="L66" s="101">
        <f>L60</f>
        <v>2093</v>
      </c>
      <c r="M66" s="101">
        <v>3356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0" verticalDpi="0" r:id="rId1"/>
  <ignoredErrors>
    <ignoredError sqref="C58:L5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Nayara de Souza Aparecido Vieira</cp:lastModifiedBy>
  <cp:lastPrinted>2023-02-28T18:39:03Z</cp:lastPrinted>
  <dcterms:created xsi:type="dcterms:W3CDTF">2010-05-21T20:26:20Z</dcterms:created>
  <dcterms:modified xsi:type="dcterms:W3CDTF">2024-12-09T13:40:04Z</dcterms:modified>
</cp:coreProperties>
</file>