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Guia de Modelagem/2022/3º T/"/>
    </mc:Choice>
  </mc:AlternateContent>
  <xr:revisionPtr revIDLastSave="388" documentId="8_{346FF1C4-E16B-44C9-B979-DE789B332511}" xr6:coauthVersionLast="46" xr6:coauthVersionMax="47" xr10:uidLastSave="{99A44B47-E738-4CD7-985A-8A231788382E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 Físic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1">'1 - Premissas'!$A$1:$Q$29</definedName>
    <definedName name="_xlnm.Print_Area" localSheetId="10">'10 - Custos'!$B$1:$AQ$52</definedName>
    <definedName name="_xlnm.Print_Area" localSheetId="2">'2 - Processo de produção'!$A$1:$M$58</definedName>
    <definedName name="_xlnm.Print_Area" localSheetId="3">'3 - Histórico de Cap de Prod'!$A$1:$X$27</definedName>
    <definedName name="_xlnm.Print_Area" localSheetId="4">'4 - Produção'!$A$1:$AS$21</definedName>
    <definedName name="_xlnm.Print_Area" localSheetId="5">'5 - Vendas Físicas'!$A$1:$AQ$22</definedName>
    <definedName name="_xlnm.Print_Area" localSheetId="6">'6 - Investimentos'!$A$5:$AV$12</definedName>
    <definedName name="_xlnm.Print_Area" localSheetId="7">'7 - Dívida'!$A$1:$AV$43</definedName>
    <definedName name="_xlnm.Print_Area" localSheetId="8">'8 - Demonstrativos Financeiros'!$A$1:$AT$74</definedName>
    <definedName name="_xlnm.Print_Area" localSheetId="9">'9 - Resultados por operação'!$A$1:$AQ$49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32" l="1"/>
  <c r="V23" i="32" l="1"/>
  <c r="V25" i="32" l="1"/>
  <c r="BJ59" i="20" l="1"/>
  <c r="BK21" i="12" l="1"/>
  <c r="BK22" i="12" s="1"/>
  <c r="BK23" i="12"/>
  <c r="V7" i="32" l="1"/>
  <c r="BK20" i="5" l="1"/>
  <c r="BK19" i="5"/>
  <c r="BK18" i="5"/>
  <c r="BK12" i="5"/>
  <c r="BK11" i="5"/>
  <c r="BK10" i="5"/>
  <c r="BK21" i="5" l="1"/>
  <c r="BK13" i="5"/>
  <c r="BL74" i="20" l="1"/>
  <c r="BL73" i="20"/>
  <c r="BL59" i="20"/>
  <c r="BM8" i="12" s="1"/>
  <c r="BL69" i="20"/>
  <c r="BL68" i="20"/>
  <c r="BL67" i="20"/>
  <c r="BL65" i="20"/>
  <c r="BL64" i="20"/>
  <c r="BL63" i="20"/>
  <c r="BL62" i="20"/>
  <c r="BM13" i="12" s="1"/>
  <c r="BM17" i="12" s="1"/>
  <c r="BL60" i="20"/>
  <c r="BL58" i="20"/>
  <c r="BL46" i="20" a="1"/>
  <c r="BL46" i="20" s="1"/>
  <c r="BL48" i="20"/>
  <c r="BL53" i="20"/>
  <c r="BL52" i="20"/>
  <c r="BL51" i="20"/>
  <c r="BL50" i="20"/>
  <c r="BL49" i="20"/>
  <c r="BL45" i="20"/>
  <c r="BL44" i="20"/>
  <c r="BL43" i="20" a="1"/>
  <c r="BL43" i="20" s="1"/>
  <c r="BM21" i="12" s="1"/>
  <c r="BM23" i="12" s="1"/>
  <c r="BM22" i="12" s="1"/>
  <c r="BH46" i="21"/>
  <c r="BH45" i="21"/>
  <c r="BH44" i="21"/>
  <c r="BH43" i="21"/>
  <c r="BH42" i="21"/>
  <c r="BH41" i="21"/>
  <c r="BH38" i="21"/>
  <c r="BH37" i="21"/>
  <c r="BH36" i="21"/>
  <c r="BH35" i="21"/>
  <c r="BH34" i="21"/>
  <c r="BH33" i="21"/>
  <c r="BH30" i="21"/>
  <c r="BH29" i="21"/>
  <c r="BH28" i="21"/>
  <c r="BH27" i="21"/>
  <c r="BH26" i="21"/>
  <c r="BH25" i="21"/>
  <c r="BH22" i="21"/>
  <c r="BH21" i="21"/>
  <c r="BH20" i="21"/>
  <c r="BH19" i="21"/>
  <c r="BH18" i="21"/>
  <c r="BH17" i="21"/>
  <c r="BH14" i="21"/>
  <c r="BH13" i="21"/>
  <c r="BH12" i="21"/>
  <c r="BH11" i="21"/>
  <c r="BH10" i="21"/>
  <c r="BH9" i="21"/>
  <c r="BI46" i="28"/>
  <c r="BI45" i="28"/>
  <c r="BI44" i="28"/>
  <c r="BI43" i="28"/>
  <c r="BI38" i="28"/>
  <c r="BI37" i="28"/>
  <c r="BI36" i="28"/>
  <c r="BI35" i="28"/>
  <c r="BI30" i="28"/>
  <c r="BI29" i="28"/>
  <c r="BI28" i="28"/>
  <c r="BI27" i="28"/>
  <c r="BI22" i="28"/>
  <c r="BI21" i="28"/>
  <c r="BI20" i="28"/>
  <c r="BI19" i="28"/>
  <c r="BI18" i="28"/>
  <c r="BI12" i="28"/>
  <c r="BI11" i="28"/>
  <c r="BI10" i="28"/>
  <c r="BI9" i="28"/>
  <c r="BH46" i="28"/>
  <c r="BH45" i="28"/>
  <c r="BH44" i="28"/>
  <c r="BH43" i="28"/>
  <c r="BH38" i="28"/>
  <c r="BH37" i="28"/>
  <c r="BH36" i="28"/>
  <c r="BH35" i="28"/>
  <c r="BH30" i="28"/>
  <c r="BH29" i="28"/>
  <c r="BH28" i="28"/>
  <c r="BH27" i="28"/>
  <c r="BH22" i="28"/>
  <c r="BH21" i="28"/>
  <c r="BH20" i="28"/>
  <c r="BH19" i="28"/>
  <c r="BH18" i="28"/>
  <c r="BH12" i="28"/>
  <c r="BH11" i="28"/>
  <c r="BH10" i="28"/>
  <c r="BH9" i="28"/>
  <c r="BM31" i="12" l="1"/>
  <c r="BM29" i="12"/>
  <c r="BM28" i="12"/>
  <c r="BM25" i="12"/>
  <c r="BL47" i="20"/>
  <c r="BI17" i="28"/>
  <c r="BH17" i="28"/>
  <c r="BL24" i="20" l="1"/>
  <c r="BL7" i="20" l="1"/>
  <c r="BL37" i="20"/>
  <c r="BL36" i="20"/>
  <c r="BL35" i="20"/>
  <c r="BK22" i="20"/>
  <c r="BL32" i="20"/>
  <c r="BL21" i="20"/>
  <c r="BL19" i="20"/>
  <c r="BL18" i="20"/>
  <c r="BL17" i="20"/>
  <c r="BL15" i="20"/>
  <c r="BL13" i="20"/>
  <c r="BL11" i="20"/>
  <c r="BK11" i="20"/>
  <c r="BL10" i="20"/>
  <c r="BL9" i="20"/>
  <c r="BL8" i="20"/>
  <c r="BK74" i="20"/>
  <c r="BK73" i="20"/>
  <c r="BK69" i="20"/>
  <c r="BK68" i="20"/>
  <c r="BK67" i="20"/>
  <c r="BK65" i="20"/>
  <c r="BK64" i="20"/>
  <c r="BK63" i="20"/>
  <c r="BK62" i="20"/>
  <c r="BL13" i="12" s="1"/>
  <c r="BK59" i="20" a="1"/>
  <c r="BK59" i="20" s="1"/>
  <c r="BL8" i="12" s="1"/>
  <c r="BL17" i="12" s="1"/>
  <c r="BK58" i="20"/>
  <c r="BK53" i="20"/>
  <c r="BK52" i="20"/>
  <c r="BK51" i="20"/>
  <c r="BK50" i="20"/>
  <c r="BK49" i="20"/>
  <c r="BK48" i="20"/>
  <c r="BK46" i="20" a="1"/>
  <c r="BK46" i="20" s="1"/>
  <c r="BK45" i="20"/>
  <c r="BK44" i="20"/>
  <c r="BK43" i="20" a="1"/>
  <c r="BK43" i="20" s="1"/>
  <c r="BL21" i="12" s="1"/>
  <c r="BK37" i="20"/>
  <c r="BK36" i="20"/>
  <c r="BK35" i="20"/>
  <c r="BK32" i="20"/>
  <c r="BK30" i="20"/>
  <c r="BK29" i="20"/>
  <c r="BK27" i="20"/>
  <c r="BK24" i="20"/>
  <c r="BK21" i="20"/>
  <c r="BK19" i="20"/>
  <c r="BK18" i="20"/>
  <c r="BK17" i="20"/>
  <c r="BK15" i="20"/>
  <c r="BK13" i="20"/>
  <c r="BK8" i="20"/>
  <c r="BK7" i="20"/>
  <c r="BK9" i="20" s="1"/>
  <c r="BK10" i="20" s="1"/>
  <c r="BN13" i="10"/>
  <c r="BN12" i="10"/>
  <c r="BN11" i="10"/>
  <c r="BN10" i="10"/>
  <c r="BN9" i="10"/>
  <c r="BL22" i="12" l="1"/>
  <c r="BL23" i="12"/>
  <c r="BL25" i="12"/>
  <c r="BK20" i="20"/>
  <c r="BK42" i="20"/>
  <c r="BK61" i="20"/>
  <c r="BK57" i="20"/>
  <c r="BK66" i="20"/>
  <c r="BK47" i="20"/>
  <c r="BK70" i="20" l="1"/>
  <c r="BK54" i="20"/>
  <c r="BM13" i="10"/>
  <c r="BM12" i="10"/>
  <c r="BM11" i="10"/>
  <c r="BM10" i="10"/>
  <c r="BM9" i="10"/>
  <c r="BI9" i="7"/>
  <c r="BI14" i="28" s="1"/>
  <c r="BI15" i="7"/>
  <c r="BI14" i="7"/>
  <c r="BI40" i="28" s="1"/>
  <c r="BI13" i="7"/>
  <c r="BI32" i="28" s="1"/>
  <c r="BI12" i="7"/>
  <c r="BI11" i="7"/>
  <c r="BH15" i="7"/>
  <c r="BH48" i="28" s="1"/>
  <c r="BH14" i="7"/>
  <c r="BH40" i="28" s="1"/>
  <c r="BH13" i="7"/>
  <c r="BH32" i="28" s="1"/>
  <c r="BH12" i="7"/>
  <c r="BH11" i="7"/>
  <c r="BH9" i="7"/>
  <c r="BH14" i="28" s="1"/>
  <c r="BJ21" i="5"/>
  <c r="BJ20" i="5"/>
  <c r="BJ19" i="5"/>
  <c r="BJ18" i="5"/>
  <c r="BJ13" i="5"/>
  <c r="BJ12" i="5"/>
  <c r="BJ11" i="5"/>
  <c r="BJ10" i="5"/>
  <c r="BJ17" i="5" l="1"/>
  <c r="BH10" i="7"/>
  <c r="BM8" i="10"/>
  <c r="BJ9" i="5"/>
  <c r="BI10" i="7"/>
  <c r="BI16" i="7" l="1"/>
  <c r="BI24" i="28"/>
  <c r="BH16" i="7"/>
  <c r="BH24" i="28"/>
  <c r="U25" i="32" l="1"/>
  <c r="U24" i="32"/>
  <c r="U23" i="32"/>
  <c r="U22" i="32"/>
  <c r="U15" i="32"/>
  <c r="U14" i="32"/>
  <c r="U12" i="32"/>
  <c r="U11" i="32"/>
  <c r="U8" i="32"/>
  <c r="U7" i="32"/>
  <c r="BA9" i="7"/>
  <c r="AZ9" i="7"/>
  <c r="T8" i="32"/>
  <c r="U13" i="32" l="1"/>
  <c r="U21" i="32"/>
  <c r="BG35" i="21"/>
  <c r="BG46" i="21"/>
  <c r="BG45" i="21"/>
  <c r="BG44" i="21"/>
  <c r="BG43" i="21"/>
  <c r="BG42" i="21"/>
  <c r="BG41" i="21"/>
  <c r="BG38" i="21"/>
  <c r="BG37" i="21"/>
  <c r="BG36" i="21"/>
  <c r="BG34" i="21"/>
  <c r="BG33" i="21"/>
  <c r="BG30" i="21"/>
  <c r="BG29" i="21"/>
  <c r="BG28" i="21"/>
  <c r="BG27" i="21"/>
  <c r="BG26" i="21"/>
  <c r="BG25" i="21"/>
  <c r="BG22" i="21"/>
  <c r="BG21" i="21"/>
  <c r="BG20" i="21"/>
  <c r="BG19" i="21"/>
  <c r="BG18" i="21"/>
  <c r="BG17" i="21"/>
  <c r="BG14" i="21"/>
  <c r="BG13" i="21"/>
  <c r="BG12" i="21"/>
  <c r="BG11" i="21"/>
  <c r="BG10" i="21"/>
  <c r="BG9" i="21"/>
  <c r="BG46" i="28"/>
  <c r="BG45" i="28"/>
  <c r="BG44" i="28"/>
  <c r="BG43" i="28"/>
  <c r="BG38" i="28"/>
  <c r="BG37" i="28"/>
  <c r="BG36" i="28"/>
  <c r="BG35" i="28"/>
  <c r="BG30" i="28"/>
  <c r="BG29" i="28"/>
  <c r="BG28" i="28"/>
  <c r="BG27" i="28"/>
  <c r="BG22" i="28"/>
  <c r="BG21" i="28"/>
  <c r="BG20" i="28"/>
  <c r="BG19" i="28"/>
  <c r="BG18" i="28"/>
  <c r="BG12" i="28"/>
  <c r="BG11" i="28"/>
  <c r="BG10" i="28"/>
  <c r="BG9" i="28"/>
  <c r="BL57" i="20" l="1"/>
  <c r="BL66" i="20"/>
  <c r="BG17" i="28"/>
  <c r="BL61" i="20"/>
  <c r="BI43" i="20" l="1"/>
  <c r="BL42" i="20" l="1"/>
  <c r="BL20" i="20" l="1"/>
  <c r="BL22" i="20" s="1"/>
  <c r="BJ74" i="20" l="1"/>
  <c r="BJ73" i="20"/>
  <c r="BJ69" i="20"/>
  <c r="BJ68" i="20" a="1"/>
  <c r="BJ68" i="20" s="1"/>
  <c r="BJ67" i="20"/>
  <c r="BJ65" i="20"/>
  <c r="BJ64" i="20"/>
  <c r="BJ63" i="20"/>
  <c r="BJ62" i="20"/>
  <c r="BK13" i="12" s="1"/>
  <c r="BJ60" i="20" a="1"/>
  <c r="BJ60" i="20" s="1"/>
  <c r="BK8" i="12"/>
  <c r="BJ58" i="20"/>
  <c r="BJ53" i="20"/>
  <c r="BJ50" i="20"/>
  <c r="BJ48" i="20"/>
  <c r="BJ46" i="20" a="1"/>
  <c r="BJ46" i="20" s="1"/>
  <c r="BJ42" i="20" s="1"/>
  <c r="BJ37" i="20"/>
  <c r="BJ36" i="20"/>
  <c r="BJ35" i="20"/>
  <c r="BJ32" i="20"/>
  <c r="BJ30" i="20"/>
  <c r="BJ29" i="20"/>
  <c r="BJ27" i="20"/>
  <c r="BJ24" i="20"/>
  <c r="BJ21" i="20"/>
  <c r="BJ22" i="20" s="1"/>
  <c r="BJ20" i="20"/>
  <c r="BJ17" i="20"/>
  <c r="BJ15" i="20"/>
  <c r="BJ13" i="20"/>
  <c r="BJ11" i="20"/>
  <c r="BJ8" i="20"/>
  <c r="BJ7" i="20"/>
  <c r="BL13" i="10"/>
  <c r="BL12" i="10"/>
  <c r="BL11" i="10"/>
  <c r="BL10" i="10"/>
  <c r="BL9" i="10"/>
  <c r="BG15" i="7"/>
  <c r="BG48" i="28" s="1"/>
  <c r="BG14" i="7"/>
  <c r="BG40" i="28" s="1"/>
  <c r="BG13" i="7"/>
  <c r="BG32" i="28" s="1"/>
  <c r="BG12" i="7"/>
  <c r="BG11" i="7"/>
  <c r="BG9" i="7"/>
  <c r="BI21" i="5"/>
  <c r="BI20" i="5"/>
  <c r="BI19" i="5"/>
  <c r="BI18" i="5"/>
  <c r="BI13" i="5"/>
  <c r="BI12" i="5"/>
  <c r="BI11" i="5"/>
  <c r="BI10" i="5"/>
  <c r="T25" i="32"/>
  <c r="T24" i="32"/>
  <c r="T23" i="32"/>
  <c r="T22" i="32"/>
  <c r="T15" i="32"/>
  <c r="T14" i="32"/>
  <c r="T12" i="32"/>
  <c r="T7" i="32"/>
  <c r="BK17" i="12" l="1"/>
  <c r="T13" i="32"/>
  <c r="BG10" i="7"/>
  <c r="BG24" i="28" s="1"/>
  <c r="BI17" i="5"/>
  <c r="BL8" i="10"/>
  <c r="BJ47" i="20"/>
  <c r="BJ54" i="20" s="1"/>
  <c r="T21" i="32"/>
  <c r="BJ61" i="20"/>
  <c r="BI9" i="5"/>
  <c r="BG14" i="28"/>
  <c r="BJ66" i="20"/>
  <c r="BJ9" i="20"/>
  <c r="BJ10" i="20" s="1"/>
  <c r="BJ57" i="20"/>
  <c r="BK25" i="12" l="1"/>
  <c r="BG16" i="7"/>
  <c r="BJ70" i="20"/>
  <c r="V12" i="32"/>
  <c r="BI48" i="28" l="1"/>
  <c r="BL54" i="20" l="1"/>
  <c r="BF46" i="21" l="1"/>
  <c r="BF45" i="21"/>
  <c r="BF44" i="21"/>
  <c r="BF43" i="21"/>
  <c r="BF42" i="21"/>
  <c r="BF41" i="21"/>
  <c r="BF38" i="21"/>
  <c r="BF37" i="21"/>
  <c r="BF36" i="21"/>
  <c r="BF35" i="21"/>
  <c r="BF34" i="21"/>
  <c r="BF33" i="21"/>
  <c r="BF30" i="21"/>
  <c r="BF29" i="21"/>
  <c r="BF28" i="21"/>
  <c r="BF27" i="21"/>
  <c r="BF26" i="21"/>
  <c r="BF25" i="21"/>
  <c r="BF22" i="21"/>
  <c r="BF21" i="21"/>
  <c r="BF20" i="21"/>
  <c r="BF19" i="21"/>
  <c r="BF18" i="21"/>
  <c r="BF17" i="21"/>
  <c r="BF14" i="21"/>
  <c r="BF13" i="21"/>
  <c r="BF12" i="21"/>
  <c r="BF11" i="21"/>
  <c r="BF10" i="21"/>
  <c r="BF9" i="21"/>
  <c r="BF46" i="28" l="1"/>
  <c r="BF45" i="28"/>
  <c r="BF44" i="28"/>
  <c r="BF43" i="28"/>
  <c r="BF38" i="28"/>
  <c r="BF37" i="28"/>
  <c r="BF36" i="28"/>
  <c r="BF35" i="28"/>
  <c r="BF30" i="28"/>
  <c r="BF29" i="28"/>
  <c r="BF28" i="28"/>
  <c r="BF27" i="28"/>
  <c r="BF22" i="28"/>
  <c r="BF21" i="28"/>
  <c r="BF20" i="28"/>
  <c r="BF19" i="28"/>
  <c r="BF18" i="28"/>
  <c r="AR24" i="28"/>
  <c r="BA24" i="28"/>
  <c r="BI64" i="20"/>
  <c r="BI65" i="20"/>
  <c r="BF17" i="28" l="1"/>
  <c r="BI53" i="20" l="1"/>
  <c r="BL30" i="20" l="1"/>
  <c r="BL29" i="20"/>
  <c r="BL27" i="20"/>
  <c r="BI74" i="20" l="1"/>
  <c r="BI73" i="20"/>
  <c r="BI69" i="20"/>
  <c r="BI68" i="20"/>
  <c r="BI67" i="20"/>
  <c r="BI63" i="20"/>
  <c r="BI62" i="20"/>
  <c r="BI60" i="20"/>
  <c r="BI59" i="20"/>
  <c r="BJ8" i="12" s="1"/>
  <c r="BI52" i="20"/>
  <c r="BI51" i="20"/>
  <c r="BI50" i="20"/>
  <c r="BI49" i="20"/>
  <c r="BI48" i="20"/>
  <c r="BI46" i="20"/>
  <c r="BI45" i="20"/>
  <c r="BI44" i="20"/>
  <c r="BI37" i="20"/>
  <c r="BI36" i="20"/>
  <c r="BI32" i="20"/>
  <c r="BI21" i="20"/>
  <c r="BI19" i="20"/>
  <c r="BI18" i="20"/>
  <c r="BI17" i="20"/>
  <c r="BI16" i="20"/>
  <c r="BI15" i="20"/>
  <c r="BI13" i="20"/>
  <c r="BI11" i="20"/>
  <c r="BI8" i="20"/>
  <c r="BI7" i="20"/>
  <c r="BK9" i="10"/>
  <c r="BJ13" i="12" l="1"/>
  <c r="BI47" i="20"/>
  <c r="BI9" i="20"/>
  <c r="BI10" i="20" s="1"/>
  <c r="BJ21" i="12"/>
  <c r="BJ23" i="12" s="1"/>
  <c r="BJ22" i="12" s="1"/>
  <c r="BI42" i="20"/>
  <c r="BI66" i="20"/>
  <c r="BI20" i="20"/>
  <c r="BI22" i="20" s="1"/>
  <c r="BI57" i="20"/>
  <c r="BI61" i="20"/>
  <c r="BJ17" i="12" l="1"/>
  <c r="BJ31" i="12" s="1"/>
  <c r="BI70" i="20"/>
  <c r="BI54" i="20"/>
  <c r="BK13" i="10"/>
  <c r="BK12" i="10"/>
  <c r="BK11" i="10"/>
  <c r="BK10" i="10"/>
  <c r="BF15" i="7"/>
  <c r="BF48" i="28" s="1"/>
  <c r="BF14" i="7"/>
  <c r="BF40" i="28" s="1"/>
  <c r="BF13" i="7"/>
  <c r="BF32" i="28" s="1"/>
  <c r="BF12" i="7"/>
  <c r="BF11" i="7"/>
  <c r="BF9" i="7"/>
  <c r="BF14" i="28" s="1"/>
  <c r="BH21" i="5"/>
  <c r="BH20" i="5"/>
  <c r="BH19" i="5"/>
  <c r="BH18" i="5"/>
  <c r="BH13" i="5"/>
  <c r="BH12" i="5"/>
  <c r="BH11" i="5"/>
  <c r="BH10" i="5"/>
  <c r="S25" i="32"/>
  <c r="S24" i="32"/>
  <c r="S23" i="32"/>
  <c r="S22" i="32"/>
  <c r="S15" i="32"/>
  <c r="S14" i="32"/>
  <c r="S12" i="32"/>
  <c r="S11" i="32"/>
  <c r="S10" i="32"/>
  <c r="S9" i="32"/>
  <c r="S8" i="32"/>
  <c r="BJ29" i="12" l="1"/>
  <c r="BJ28" i="12" s="1"/>
  <c r="BJ25" i="12"/>
  <c r="BK8" i="10"/>
  <c r="S13" i="32"/>
  <c r="S7" i="32" s="1"/>
  <c r="BF10" i="7"/>
  <c r="BF24" i="28" s="1"/>
  <c r="BH9" i="5"/>
  <c r="BH17" i="5"/>
  <c r="S21" i="32"/>
  <c r="BH46" i="20"/>
  <c r="BF16" i="7" l="1"/>
  <c r="BE46" i="21" l="1"/>
  <c r="BE45" i="21"/>
  <c r="BE44" i="21"/>
  <c r="BE43" i="21"/>
  <c r="BE42" i="21"/>
  <c r="BE41" i="21"/>
  <c r="BE46" i="28"/>
  <c r="BE45" i="28"/>
  <c r="BE44" i="28"/>
  <c r="BE43" i="28"/>
  <c r="BE38" i="28"/>
  <c r="BE37" i="28"/>
  <c r="BE40" i="28" s="1"/>
  <c r="BE36" i="28"/>
  <c r="BE35" i="28"/>
  <c r="BE32" i="28"/>
  <c r="BH74" i="20"/>
  <c r="BH73" i="20"/>
  <c r="BH69" i="20"/>
  <c r="BH68" i="20"/>
  <c r="BH67" i="20"/>
  <c r="BH65" i="20"/>
  <c r="BH64" i="20"/>
  <c r="BH63" i="20"/>
  <c r="BH62" i="20"/>
  <c r="BH60" i="20"/>
  <c r="BH59" i="20"/>
  <c r="BH58" i="20"/>
  <c r="BH53" i="20"/>
  <c r="BH52" i="20"/>
  <c r="BH51" i="20"/>
  <c r="BH50" i="20"/>
  <c r="BH49" i="20"/>
  <c r="BH48" i="20"/>
  <c r="BH44" i="20"/>
  <c r="BH43" i="20"/>
  <c r="BH37" i="20"/>
  <c r="BH36" i="20"/>
  <c r="BH35" i="20"/>
  <c r="BH32" i="20"/>
  <c r="BH27" i="20"/>
  <c r="BH26" i="20"/>
  <c r="BH22" i="20"/>
  <c r="BH21" i="20"/>
  <c r="BH20" i="20"/>
  <c r="BH19" i="20"/>
  <c r="BH18" i="20"/>
  <c r="BH17" i="20"/>
  <c r="BH13" i="20"/>
  <c r="BH11" i="20"/>
  <c r="BH8" i="20"/>
  <c r="BH7" i="20"/>
  <c r="BI17" i="12"/>
  <c r="BI29" i="12" s="1"/>
  <c r="BJ13" i="10"/>
  <c r="BJ12" i="10"/>
  <c r="BJ11" i="10"/>
  <c r="BJ10" i="10"/>
  <c r="BJ9" i="10"/>
  <c r="BE10" i="7"/>
  <c r="BG21" i="5"/>
  <c r="BG20" i="5"/>
  <c r="BG19" i="5"/>
  <c r="BG18" i="5"/>
  <c r="BG17" i="5"/>
  <c r="BG9" i="5"/>
  <c r="R21" i="32"/>
  <c r="R13" i="32"/>
  <c r="R7" i="32" s="1"/>
  <c r="BH66" i="20" l="1"/>
  <c r="BE24" i="28"/>
  <c r="BH9" i="20"/>
  <c r="BH10" i="20" s="1"/>
  <c r="BE48" i="28"/>
  <c r="BH47" i="20"/>
  <c r="BH61" i="20"/>
  <c r="BH42" i="20"/>
  <c r="BH57" i="20"/>
  <c r="BI23" i="12"/>
  <c r="BI22" i="12" s="1"/>
  <c r="BI25" i="12"/>
  <c r="BI28" i="12"/>
  <c r="BJ8" i="10"/>
  <c r="BG66" i="20"/>
  <c r="BG61" i="20"/>
  <c r="BG57" i="20"/>
  <c r="BG54" i="20"/>
  <c r="BG47" i="20"/>
  <c r="BG42" i="20"/>
  <c r="BG70" i="20" l="1"/>
  <c r="BH70" i="20"/>
  <c r="BH54" i="20"/>
  <c r="BL70" i="20"/>
  <c r="BD9" i="20" l="1"/>
  <c r="BE9" i="20"/>
  <c r="BE10" i="20" s="1"/>
  <c r="BF9" i="20"/>
  <c r="BF10" i="20" s="1"/>
  <c r="BG9" i="20"/>
  <c r="BG10" i="20" s="1"/>
  <c r="BG27" i="20"/>
  <c r="BG26" i="20"/>
  <c r="BG20" i="20"/>
  <c r="BE20" i="20"/>
  <c r="BG18" i="20"/>
  <c r="Q15" i="32"/>
  <c r="P15" i="32"/>
  <c r="O15" i="32"/>
  <c r="N15" i="32"/>
  <c r="BD18" i="20" l="1"/>
  <c r="BD10" i="20" l="1"/>
  <c r="BH8" i="10" l="1"/>
  <c r="BF8" i="10"/>
  <c r="BF17" i="5" l="1"/>
  <c r="BD10" i="7" l="1"/>
  <c r="BD9" i="7" l="1"/>
  <c r="Q21" i="32"/>
  <c r="Q7" i="32"/>
  <c r="BF9" i="5"/>
  <c r="C45" i="12" l="1"/>
  <c r="BN8" i="10"/>
  <c r="C44" i="12" l="1"/>
  <c r="BC22" i="20"/>
  <c r="BH13" i="12"/>
  <c r="BH8" i="12"/>
  <c r="BH21" i="12"/>
  <c r="BG29" i="12"/>
  <c r="BG28" i="12" s="1"/>
  <c r="BC48" i="28"/>
  <c r="BC40" i="28"/>
  <c r="BC32" i="28"/>
  <c r="BF66" i="20"/>
  <c r="BF61" i="20"/>
  <c r="BF57" i="20"/>
  <c r="BF47" i="20"/>
  <c r="BF42" i="20"/>
  <c r="BG21" i="12"/>
  <c r="BC10" i="7"/>
  <c r="BE17" i="5"/>
  <c r="BE9" i="5"/>
  <c r="P21" i="32"/>
  <c r="P7" i="32"/>
  <c r="BB48" i="28"/>
  <c r="BA48" i="28"/>
  <c r="BB40" i="28"/>
  <c r="BA40" i="28"/>
  <c r="BB32" i="28"/>
  <c r="BA32" i="28"/>
  <c r="BE59" i="20"/>
  <c r="BE57" i="20" s="1"/>
  <c r="BF21" i="12"/>
  <c r="BE64" i="20"/>
  <c r="BE61" i="20" s="1"/>
  <c r="BE66" i="20"/>
  <c r="BE47" i="20"/>
  <c r="BE43" i="20"/>
  <c r="BE42" i="20" s="1"/>
  <c r="BG10" i="10"/>
  <c r="BG8" i="10" s="1"/>
  <c r="BD17" i="5"/>
  <c r="BD9" i="5"/>
  <c r="O21" i="32"/>
  <c r="O7" i="32"/>
  <c r="BD67" i="20"/>
  <c r="BD66" i="20" s="1"/>
  <c r="BD61" i="20"/>
  <c r="BD57" i="20"/>
  <c r="BD47" i="20"/>
  <c r="BD42" i="20"/>
  <c r="BB10" i="7"/>
  <c r="BB24" i="28"/>
  <c r="N21" i="32"/>
  <c r="N7" i="32"/>
  <c r="BA14" i="28"/>
  <c r="BC17" i="5"/>
  <c r="BC9" i="5"/>
  <c r="BD23" i="12"/>
  <c r="BD22" i="12" s="1"/>
  <c r="BC67" i="20"/>
  <c r="BC66" i="20" s="1"/>
  <c r="BC61" i="20"/>
  <c r="BC57" i="20"/>
  <c r="BC47" i="20"/>
  <c r="BC42" i="20"/>
  <c r="AQ14" i="28"/>
  <c r="BC10" i="20"/>
  <c r="BE10" i="10"/>
  <c r="BE11" i="10"/>
  <c r="BE12" i="10"/>
  <c r="AZ14" i="28"/>
  <c r="BB17" i="5"/>
  <c r="BB9" i="5"/>
  <c r="M21" i="32"/>
  <c r="M7" i="32"/>
  <c r="AZ48" i="28"/>
  <c r="AZ40" i="28"/>
  <c r="AZ32" i="28"/>
  <c r="AZ24" i="28"/>
  <c r="BC23" i="12"/>
  <c r="BC22" i="12" s="1"/>
  <c r="BA11" i="20"/>
  <c r="AZ11" i="20"/>
  <c r="BB65" i="20"/>
  <c r="BB61" i="20" s="1"/>
  <c r="BB67" i="20"/>
  <c r="BB66" i="20" s="1"/>
  <c r="BB57" i="20"/>
  <c r="BB47" i="20"/>
  <c r="BB54" i="20" s="1"/>
  <c r="BC17" i="12"/>
  <c r="BC25" i="12" s="1"/>
  <c r="AZ66" i="20"/>
  <c r="BB10" i="20"/>
  <c r="AY48" i="28"/>
  <c r="AY40" i="28"/>
  <c r="AY32" i="28"/>
  <c r="AY24" i="28"/>
  <c r="AY17" i="28"/>
  <c r="BD8" i="10"/>
  <c r="AY9" i="7"/>
  <c r="AY14" i="28" s="1"/>
  <c r="BA17" i="5"/>
  <c r="BA9" i="5"/>
  <c r="BA10" i="20"/>
  <c r="BA13" i="20"/>
  <c r="BB23" i="12"/>
  <c r="BB22" i="12" s="1"/>
  <c r="AX13" i="21"/>
  <c r="AX32" i="28"/>
  <c r="AW32" i="28"/>
  <c r="BA25" i="20"/>
  <c r="BA53" i="20"/>
  <c r="BA47" i="20" s="1"/>
  <c r="BA43" i="20"/>
  <c r="BA46" i="20"/>
  <c r="BA74" i="20"/>
  <c r="BA73" i="20"/>
  <c r="BA69" i="20"/>
  <c r="BA67" i="20"/>
  <c r="BA65" i="20"/>
  <c r="BA61" i="20" s="1"/>
  <c r="BA57" i="20"/>
  <c r="AX14" i="28"/>
  <c r="BC9" i="10"/>
  <c r="BC10" i="10"/>
  <c r="AX24" i="28"/>
  <c r="AX48" i="28"/>
  <c r="AX40" i="28"/>
  <c r="G13" i="32"/>
  <c r="I13" i="32"/>
  <c r="I21" i="32"/>
  <c r="I8" i="32"/>
  <c r="I7" i="32" s="1"/>
  <c r="H21" i="32"/>
  <c r="H13" i="32"/>
  <c r="H7" i="32" s="1"/>
  <c r="AT11" i="20"/>
  <c r="G8" i="30"/>
  <c r="G9" i="30"/>
  <c r="G11" i="30"/>
  <c r="C12" i="30"/>
  <c r="D12" i="30"/>
  <c r="E12" i="30"/>
  <c r="G12" i="30" s="1"/>
  <c r="F12" i="30"/>
  <c r="B13" i="30"/>
  <c r="B14" i="30" s="1"/>
  <c r="G13" i="30"/>
  <c r="G14" i="30"/>
  <c r="C14" i="30"/>
  <c r="D14" i="30"/>
  <c r="E14" i="30"/>
  <c r="F14" i="30"/>
  <c r="G15" i="30"/>
  <c r="G16" i="30" s="1"/>
  <c r="B16" i="30"/>
  <c r="C16" i="30"/>
  <c r="D16" i="30"/>
  <c r="E16" i="30"/>
  <c r="F16" i="30"/>
  <c r="G21" i="30"/>
  <c r="G22" i="30"/>
  <c r="G24" i="30"/>
  <c r="G25" i="30"/>
  <c r="B26" i="30"/>
  <c r="C26" i="30"/>
  <c r="D26" i="30"/>
  <c r="D27" i="30" s="1"/>
  <c r="E26" i="30"/>
  <c r="E27" i="30" s="1"/>
  <c r="F26" i="30"/>
  <c r="F27" i="30" s="1"/>
  <c r="B27" i="30"/>
  <c r="C27" i="30"/>
  <c r="G28" i="30"/>
  <c r="G29" i="30" s="1"/>
  <c r="B29" i="30"/>
  <c r="C29" i="30"/>
  <c r="D29" i="30"/>
  <c r="E29" i="30"/>
  <c r="F29" i="30"/>
  <c r="G34" i="30"/>
  <c r="G35" i="30"/>
  <c r="G37" i="30"/>
  <c r="G38" i="30"/>
  <c r="B39" i="30"/>
  <c r="B40" i="30"/>
  <c r="C39" i="30"/>
  <c r="C40" i="30"/>
  <c r="D39" i="30"/>
  <c r="G39" i="30" s="1"/>
  <c r="G40" i="30" s="1"/>
  <c r="D40" i="30"/>
  <c r="E39" i="30"/>
  <c r="F39" i="30"/>
  <c r="F40" i="30" s="1"/>
  <c r="G41" i="30"/>
  <c r="G42" i="30" s="1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G55" i="30" s="1"/>
  <c r="B55" i="30"/>
  <c r="C55" i="30"/>
  <c r="D55" i="30"/>
  <c r="E55" i="30"/>
  <c r="F55" i="30"/>
  <c r="C59" i="30"/>
  <c r="D59" i="30"/>
  <c r="E59" i="30"/>
  <c r="F59" i="30"/>
  <c r="C60" i="30"/>
  <c r="D60" i="30"/>
  <c r="E60" i="30"/>
  <c r="F60" i="30"/>
  <c r="C62" i="30"/>
  <c r="D62" i="30"/>
  <c r="E62" i="30"/>
  <c r="F62" i="30"/>
  <c r="C63" i="30"/>
  <c r="D63" i="30"/>
  <c r="E63" i="30"/>
  <c r="F63" i="30"/>
  <c r="B64" i="30"/>
  <c r="B65" i="30" s="1"/>
  <c r="C66" i="30"/>
  <c r="D66" i="30"/>
  <c r="E66" i="30"/>
  <c r="F66" i="30"/>
  <c r="B67" i="30"/>
  <c r="C71" i="30"/>
  <c r="D71" i="30"/>
  <c r="E71" i="30"/>
  <c r="F71" i="30"/>
  <c r="C72" i="30"/>
  <c r="D72" i="30"/>
  <c r="E72" i="30"/>
  <c r="F72" i="30"/>
  <c r="C74" i="30"/>
  <c r="D74" i="30"/>
  <c r="E74" i="30"/>
  <c r="F74" i="30"/>
  <c r="C75" i="30"/>
  <c r="D75" i="30"/>
  <c r="E75" i="30"/>
  <c r="F75" i="30"/>
  <c r="B76" i="30"/>
  <c r="B77" i="30" s="1"/>
  <c r="C78" i="30"/>
  <c r="D78" i="30"/>
  <c r="E78" i="30"/>
  <c r="F78" i="30"/>
  <c r="B79" i="30"/>
  <c r="C83" i="30"/>
  <c r="D83" i="30"/>
  <c r="E83" i="30"/>
  <c r="F83" i="30"/>
  <c r="C84" i="30"/>
  <c r="D84" i="30"/>
  <c r="E84" i="30"/>
  <c r="F84" i="30"/>
  <c r="C86" i="30"/>
  <c r="D86" i="30"/>
  <c r="E86" i="30"/>
  <c r="F86" i="30"/>
  <c r="C87" i="30"/>
  <c r="D87" i="30"/>
  <c r="E87" i="30"/>
  <c r="F87" i="30"/>
  <c r="B88" i="30"/>
  <c r="B89" i="30" s="1"/>
  <c r="C90" i="30"/>
  <c r="D90" i="30"/>
  <c r="E90" i="30"/>
  <c r="F90" i="30"/>
  <c r="B91" i="30"/>
  <c r="AR14" i="28"/>
  <c r="AS14" i="28"/>
  <c r="AT14" i="28"/>
  <c r="AU14" i="28"/>
  <c r="AV14" i="28"/>
  <c r="AW14" i="28"/>
  <c r="AS24" i="28"/>
  <c r="AT24" i="28"/>
  <c r="AU24" i="28"/>
  <c r="AV24" i="28"/>
  <c r="AW24" i="28"/>
  <c r="AR32" i="28"/>
  <c r="AS32" i="28"/>
  <c r="AT32" i="28"/>
  <c r="AU32" i="28"/>
  <c r="AV32" i="28"/>
  <c r="AR40" i="28"/>
  <c r="AS40" i="28"/>
  <c r="AT40" i="28"/>
  <c r="AU40" i="28"/>
  <c r="AV40" i="28"/>
  <c r="AW40" i="28"/>
  <c r="AR48" i="28"/>
  <c r="AS48" i="28"/>
  <c r="AT48" i="28"/>
  <c r="AU48" i="28"/>
  <c r="AV48" i="28"/>
  <c r="AW48" i="28"/>
  <c r="AP9" i="20"/>
  <c r="AQ9" i="20"/>
  <c r="AR9" i="20"/>
  <c r="P10" i="20"/>
  <c r="Z10" i="20"/>
  <c r="AB10" i="20"/>
  <c r="AC10" i="20"/>
  <c r="AD10" i="20"/>
  <c r="AY10" i="20"/>
  <c r="AZ10" i="20"/>
  <c r="AU11" i="20"/>
  <c r="AV11" i="20"/>
  <c r="AZ27" i="20"/>
  <c r="Z37" i="20"/>
  <c r="AA37" i="20"/>
  <c r="Y39" i="20"/>
  <c r="AO39" i="20"/>
  <c r="AP39" i="20"/>
  <c r="AQ39" i="20"/>
  <c r="AR39" i="20"/>
  <c r="Z42" i="20"/>
  <c r="AX42" i="20"/>
  <c r="AY42" i="20"/>
  <c r="AZ42" i="20"/>
  <c r="AT43" i="20"/>
  <c r="AT46" i="20" s="1"/>
  <c r="AU43" i="20"/>
  <c r="AU46" i="20" s="1"/>
  <c r="AN46" i="20"/>
  <c r="AP46" i="20"/>
  <c r="Z47" i="20"/>
  <c r="AX47" i="20"/>
  <c r="AX54" i="20" s="1"/>
  <c r="AY47" i="20"/>
  <c r="AY54" i="20" s="1"/>
  <c r="AZ47" i="20"/>
  <c r="AZ54" i="20" s="1"/>
  <c r="AN53" i="20"/>
  <c r="AO53" i="20"/>
  <c r="AP53" i="20"/>
  <c r="AT53" i="20"/>
  <c r="AU53" i="20"/>
  <c r="AT54" i="20"/>
  <c r="AU54" i="20"/>
  <c r="Z57" i="20"/>
  <c r="AV57" i="20"/>
  <c r="AW57" i="20"/>
  <c r="AX57" i="20"/>
  <c r="AX70" i="20" s="1"/>
  <c r="AY57" i="20"/>
  <c r="AZ57" i="20"/>
  <c r="AP60" i="20"/>
  <c r="AQ60" i="20"/>
  <c r="AR60" i="20"/>
  <c r="AU60" i="20"/>
  <c r="Z61" i="20"/>
  <c r="AV61" i="20"/>
  <c r="AW61" i="20"/>
  <c r="AX61" i="20"/>
  <c r="AY61" i="20"/>
  <c r="AZ61" i="20"/>
  <c r="AP65" i="20"/>
  <c r="AU65" i="20"/>
  <c r="Z66" i="20"/>
  <c r="AV66" i="20"/>
  <c r="AW66" i="20"/>
  <c r="AX66" i="20"/>
  <c r="AY66" i="20"/>
  <c r="AU68" i="20"/>
  <c r="AS70" i="20"/>
  <c r="AT70" i="20"/>
  <c r="AU70" i="20"/>
  <c r="AY17" i="12"/>
  <c r="AY25" i="12" s="1"/>
  <c r="U19" i="12"/>
  <c r="V19" i="12"/>
  <c r="W19" i="12"/>
  <c r="X19" i="12"/>
  <c r="Y19" i="12"/>
  <c r="AZ23" i="12"/>
  <c r="AZ22" i="12" s="1"/>
  <c r="BA23" i="12"/>
  <c r="BA22" i="12" s="1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C25" i="12"/>
  <c r="AD25" i="12"/>
  <c r="AE25" i="12"/>
  <c r="AF25" i="12"/>
  <c r="AG25" i="12"/>
  <c r="AH25" i="12"/>
  <c r="AI25" i="12"/>
  <c r="AS25" i="12"/>
  <c r="W28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C31" i="12"/>
  <c r="AD31" i="12"/>
  <c r="AE31" i="12"/>
  <c r="AF31" i="12"/>
  <c r="AG31" i="12"/>
  <c r="W6" i="10"/>
  <c r="Y6" i="10"/>
  <c r="AD6" i="10"/>
  <c r="AS6" i="10"/>
  <c r="AT6" i="10"/>
  <c r="AU6" i="10"/>
  <c r="AY6" i="10"/>
  <c r="AY8" i="10"/>
  <c r="T9" i="10"/>
  <c r="T8" i="10" s="1"/>
  <c r="AB9" i="7"/>
  <c r="M10" i="7"/>
  <c r="M9" i="7" s="1"/>
  <c r="N10" i="7"/>
  <c r="N9" i="7" s="1"/>
  <c r="P10" i="7"/>
  <c r="AT16" i="7"/>
  <c r="L9" i="5"/>
  <c r="N9" i="5"/>
  <c r="O9" i="5"/>
  <c r="P9" i="5"/>
  <c r="Q9" i="5"/>
  <c r="R9" i="5"/>
  <c r="S9" i="5"/>
  <c r="AV9" i="5"/>
  <c r="AW9" i="5"/>
  <c r="AX9" i="5"/>
  <c r="V15" i="5"/>
  <c r="AD15" i="5"/>
  <c r="AP15" i="5"/>
  <c r="AQ15" i="5"/>
  <c r="AR15" i="5"/>
  <c r="AS15" i="5"/>
  <c r="AT15" i="5"/>
  <c r="AU15" i="5"/>
  <c r="AV15" i="5"/>
  <c r="M17" i="5"/>
  <c r="N17" i="5"/>
  <c r="O17" i="5"/>
  <c r="P17" i="5"/>
  <c r="Q17" i="5"/>
  <c r="R17" i="5"/>
  <c r="S17" i="5"/>
  <c r="AA17" i="5"/>
  <c r="AD17" i="5"/>
  <c r="AV17" i="5"/>
  <c r="AW17" i="5"/>
  <c r="AX17" i="5"/>
  <c r="G26" i="30"/>
  <c r="G27" i="30"/>
  <c r="E40" i="30"/>
  <c r="G52" i="30"/>
  <c r="G53" i="30"/>
  <c r="BB9" i="7"/>
  <c r="BB14" i="28" s="1"/>
  <c r="C91" i="30" l="1"/>
  <c r="D91" i="30"/>
  <c r="F76" i="30"/>
  <c r="D88" i="30"/>
  <c r="D89" i="30" s="1"/>
  <c r="BC8" i="10"/>
  <c r="BE8" i="10"/>
  <c r="D67" i="30"/>
  <c r="D76" i="30"/>
  <c r="BA42" i="20"/>
  <c r="BF54" i="20"/>
  <c r="AV70" i="20"/>
  <c r="BB70" i="20"/>
  <c r="BE70" i="20"/>
  <c r="BC24" i="28"/>
  <c r="BC9" i="7"/>
  <c r="BC14" i="28" s="1"/>
  <c r="F91" i="30"/>
  <c r="E67" i="30"/>
  <c r="G62" i="30"/>
  <c r="C64" i="30"/>
  <c r="G84" i="30"/>
  <c r="C67" i="30"/>
  <c r="E91" i="30"/>
  <c r="E88" i="30"/>
  <c r="E89" i="30" s="1"/>
  <c r="C76" i="30"/>
  <c r="G63" i="30"/>
  <c r="F67" i="30"/>
  <c r="AY70" i="20"/>
  <c r="BA66" i="20"/>
  <c r="BA70" i="20" s="1"/>
  <c r="AW70" i="20"/>
  <c r="BD70" i="20"/>
  <c r="AZ70" i="20"/>
  <c r="Z54" i="20"/>
  <c r="BE54" i="20"/>
  <c r="BC70" i="20"/>
  <c r="BC54" i="20"/>
  <c r="BF70" i="20"/>
  <c r="BD54" i="20"/>
  <c r="BA54" i="20"/>
  <c r="G87" i="30"/>
  <c r="G86" i="30"/>
  <c r="G83" i="30"/>
  <c r="G78" i="30"/>
  <c r="G72" i="30"/>
  <c r="G71" i="30"/>
  <c r="G59" i="30"/>
  <c r="F88" i="30"/>
  <c r="F89" i="30" s="1"/>
  <c r="G75" i="30"/>
  <c r="E76" i="30"/>
  <c r="G76" i="30" s="1"/>
  <c r="G74" i="30"/>
  <c r="F64" i="30"/>
  <c r="F65" i="30" s="1"/>
  <c r="E64" i="30"/>
  <c r="E65" i="30" s="1"/>
  <c r="D64" i="30"/>
  <c r="D65" i="30" s="1"/>
  <c r="G60" i="30"/>
  <c r="C65" i="30"/>
  <c r="G90" i="30"/>
  <c r="C88" i="30"/>
  <c r="G66" i="30"/>
  <c r="BH23" i="12"/>
  <c r="BH22" i="12" s="1"/>
  <c r="BI8" i="10"/>
  <c r="BH17" i="12"/>
  <c r="G67" i="30" l="1"/>
  <c r="G91" i="30"/>
  <c r="G64" i="30"/>
  <c r="G65" i="30" s="1"/>
  <c r="G88" i="30"/>
  <c r="G89" i="30" s="1"/>
  <c r="C89" i="30"/>
  <c r="BH25" i="12"/>
  <c r="BH29" i="12"/>
  <c r="BH28" i="12" s="1"/>
  <c r="BD48" i="28" l="1"/>
  <c r="BD14" i="28"/>
  <c r="BD32" i="28"/>
  <c r="BD24" i="28"/>
  <c r="BC13" i="20"/>
  <c r="BD40" i="28" l="1"/>
  <c r="BE9" i="7"/>
  <c r="BE14" i="28" s="1"/>
  <c r="V9" i="32" l="1"/>
  <c r="V15" i="32"/>
  <c r="V10" i="32"/>
  <c r="V14" i="32"/>
  <c r="V11" i="32"/>
  <c r="V22" i="32"/>
  <c r="BI45" i="21"/>
  <c r="BI12" i="21"/>
  <c r="BI20" i="21"/>
  <c r="BI26" i="21"/>
  <c r="BI21" i="21"/>
  <c r="BI19" i="21"/>
  <c r="BI30" i="21"/>
  <c r="BI11" i="21"/>
  <c r="BI28" i="21"/>
  <c r="BI29" i="21"/>
  <c r="BI13" i="21"/>
  <c r="BI35" i="21"/>
  <c r="BI14" i="21"/>
  <c r="BI46" i="21"/>
  <c r="BI42" i="21"/>
  <c r="BI17" i="21"/>
  <c r="BI38" i="21"/>
  <c r="BI27" i="21"/>
  <c r="BI10" i="21"/>
  <c r="BI33" i="21"/>
  <c r="BI9" i="21"/>
  <c r="BI43" i="21"/>
  <c r="BI44" i="21"/>
  <c r="BI41" i="21"/>
  <c r="BI34" i="21"/>
  <c r="BI25" i="21"/>
  <c r="BI36" i="21"/>
  <c r="BI37" i="21"/>
  <c r="V8" i="32" l="1"/>
  <c r="BI22" i="21"/>
  <c r="BI18" i="21"/>
  <c r="BK17" i="5" l="1"/>
  <c r="BK9" i="5"/>
  <c r="V21" i="32"/>
  <c r="V13" i="3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<sst xmlns="http://schemas.openxmlformats.org/spreadsheetml/2006/main" count="1625" uniqueCount="355">
  <si>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</si>
  <si>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</si>
  <si>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</si>
  <si>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</si>
  <si>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</si>
  <si>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</si>
  <si>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</si>
  <si>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</si>
  <si>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</si>
  <si>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</si>
  <si>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</si>
  <si>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</si>
  <si>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</si>
  <si>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</si>
  <si>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</si>
  <si>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</si>
  <si>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</si>
  <si>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</si>
  <si>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</si>
  <si>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</si>
  <si>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</si>
  <si>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</si>
  <si>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</si>
  <si>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</si>
  <si>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</si>
  <si>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</si>
  <si>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</si>
  <si>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</si>
  <si>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</si>
  <si>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</si>
  <si>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</si>
  <si>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</si>
  <si>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</si>
  <si>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</si>
  <si>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</si>
  <si>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</si>
  <si>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</si>
  <si>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</si>
  <si>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</si>
  <si>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</si>
  <si>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</si>
  <si>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</si>
  <si>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</si>
  <si>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</si>
  <si>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</si>
  <si>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</si>
  <si>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</si>
  <si>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</si>
  <si>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</si>
  <si>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</si>
  <si>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</si>
  <si>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</si>
  <si>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</si>
  <si>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</si>
  <si>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</si>
  <si>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</si>
  <si>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</si>
  <si>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</si>
  <si>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</si>
  <si>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</si>
  <si>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Refratários, Eletrodos, Cilindros, Roletes, Guias, Carburantes e Cal.</t>
  </si>
  <si>
    <t>Custo de Pessoal e Consultorias.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</si>
  <si>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</si>
  <si>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</si>
  <si>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</si>
  <si>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</si>
  <si>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</si>
  <si>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</si>
  <si>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</si>
  <si>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</si>
  <si>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GLOSSÁRIO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</si>
  <si>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</si>
  <si>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</si>
  <si>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</si>
  <si>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</si>
  <si>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</si>
  <si>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</si>
  <si>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</si>
  <si>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</si>
  <si>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</si>
  <si>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</si>
  <si>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</si>
  <si>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</si>
  <si>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</si>
  <si>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</si>
  <si>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</si>
  <si>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</si>
  <si>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</si>
  <si>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</si>
  <si>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</si>
  <si>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</si>
  <si>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</si>
  <si>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</si>
  <si>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</si>
  <si>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</si>
  <si>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</si>
  <si>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</si>
  <si>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</si>
  <si>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</si>
  <si>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</si>
  <si>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</si>
  <si>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</si>
  <si>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</si>
  <si>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</si>
  <si>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</si>
  <si>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</si>
  <si>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</si>
  <si>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</si>
  <si>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</si>
  <si>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</si>
  <si>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</si>
  <si>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</si>
  <si>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</si>
  <si>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</si>
  <si>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</si>
  <si>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</si>
  <si>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</si>
  <si>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</si>
  <si>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</si>
  <si>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</si>
  <si>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</si>
  <si>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</si>
  <si>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</si>
  <si>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</si>
  <si>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Operação Aços Especiais</t>
  </si>
  <si>
    <t>Automotivo (veículos leves)</t>
  </si>
  <si>
    <t>Automotivo (veículos pesados)</t>
  </si>
  <si>
    <t>Indústria (óleo, gás e energia)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</si>
  <si>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</si>
  <si>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</si>
  <si>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</si>
  <si>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</si>
  <si>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</si>
  <si>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</si>
  <si>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</si>
  <si>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</si>
  <si>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</si>
  <si>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</si>
  <si>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</si>
  <si>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</si>
  <si>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Sucata, Gusa, Minério e Ligas Metálicas.</t>
  </si>
  <si>
    <t>Carvão, Coque, Energia Elétrica, Gás Natural, Óleo Combustível e Oxigênio.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</si>
  <si>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</si>
  <si>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</si>
  <si>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</si>
  <si>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</si>
  <si>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</si>
  <si>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</si>
  <si>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</si>
  <si>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</si>
  <si>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</si>
  <si>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</si>
  <si>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</si>
  <si>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</si>
  <si>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</si>
  <si>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</si>
  <si>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</si>
  <si>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</si>
  <si>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</si>
  <si>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</si>
  <si>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</si>
  <si>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</si>
  <si>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</si>
  <si>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</si>
  <si>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</si>
  <si>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</si>
  <si>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</si>
  <si>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</si>
  <si>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</si>
  <si>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</si>
  <si>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</si>
  <si>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</si>
  <si>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</si>
  <si>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</si>
  <si>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</si>
  <si>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</si>
  <si>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</si>
  <si>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</si>
  <si>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</si>
  <si>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</si>
  <si>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</si>
  <si>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</si>
  <si>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</si>
  <si>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</si>
  <si>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</si>
  <si>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</si>
  <si>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</si>
  <si>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</si>
  <si>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</si>
  <si>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</si>
  <si>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</si>
  <si>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</si>
  <si>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</si>
  <si>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</si>
  <si>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</si>
  <si>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r>
      <t xml:space="preserve">ON Brasil: </t>
    </r>
    <r>
      <rPr>
        <sz val="11"/>
        <color indexed="18"/>
        <rFont val="Barlow"/>
      </rPr>
      <t>vergalhão, barra, fio-máquina, perfil, trefilado, tarugo, bloco, placa e perfil estrutural.</t>
    </r>
  </si>
  <si>
    <r>
      <t xml:space="preserve">ON América do Sul: </t>
    </r>
    <r>
      <rPr>
        <sz val="11"/>
        <color indexed="18"/>
        <rFont val="Barlow"/>
      </rPr>
      <t xml:space="preserve"> vergalhão, barra e trefilado.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</si>
  <si>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aço inoxidável, barra redonda, barra chata e quadrada e fio-máquina.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</si>
  <si>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</si>
  <si>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</si>
  <si>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</si>
  <si>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</si>
  <si>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</si>
  <si>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</si>
  <si>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</si>
  <si>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ON Brasil ¹</t>
  </si>
  <si>
    <t>ON América do Norte ²</t>
  </si>
  <si>
    <t>3.  Capacidade Disponível de Produção</t>
  </si>
  <si>
    <t xml:space="preserve">Construção </t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</si>
  <si>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vergalhão, barra e perfil estrutural leve e pesado.</t>
    </r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</si>
  <si>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</si>
  <si>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</si>
  <si>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</si>
  <si>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</si>
  <si>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</si>
  <si>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</si>
  <si>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</si>
  <si>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</si>
  <si>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</si>
  <si>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</si>
  <si>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</si>
  <si>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</si>
  <si>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</si>
  <si>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</si>
  <si>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</si>
  <si>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</si>
  <si>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</si>
  <si>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</si>
  <si>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</si>
  <si>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PRAZO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</si>
  <si>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</si>
  <si>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</si>
  <si>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</si>
  <si>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</si>
  <si>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</si>
  <si>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</si>
  <si>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</si>
  <si>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</si>
  <si>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1 Produtos complementares para formação da carga fria de 1,1 t. Essa composição pode ser ajustada de acordo com a disponibilidade e preço dessas matérias-primas, respeitando uma utilização máixma de Ferro Gusa de 40%.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</si>
  <si>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</si>
  <si>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</si>
  <si>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</si>
  <si>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</si>
  <si>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</si>
  <si>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</si>
  <si>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</si>
  <si>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</si>
  <si>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</si>
  <si>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</si>
  <si>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</si>
  <si>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</si>
  <si>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</si>
  <si>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</si>
  <si>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</si>
  <si>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</si>
  <si>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</si>
  <si>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</si>
  <si>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</si>
  <si>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</si>
  <si>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</si>
  <si>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</si>
  <si>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</si>
  <si>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</si>
  <si>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</si>
  <si>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</si>
  <si>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</si>
  <si>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</si>
  <si>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</si>
  <si>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</si>
  <si>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</si>
  <si>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</si>
  <si>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</si>
  <si>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</si>
  <si>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</si>
  <si>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</si>
  <si>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</si>
  <si>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</si>
  <si>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</si>
  <si>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</si>
  <si>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</si>
  <si>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</si>
  <si>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</si>
  <si>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</si>
  <si>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</si>
  <si>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</si>
  <si>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</si>
  <si>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</si>
  <si>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</si>
  <si>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</si>
  <si>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</si>
  <si>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</si>
  <si>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</si>
  <si>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</si>
  <si>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</si>
  <si>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</si>
  <si>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</si>
  <si>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</si>
  <si>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</si>
  <si>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</si>
  <si>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</si>
  <si>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</si>
  <si>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</si>
  <si>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</si>
  <si>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</si>
  <si>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</si>
  <si>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</si>
  <si>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</si>
  <si>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</si>
  <si>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</si>
  <si>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</si>
  <si>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</si>
  <si>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</si>
  <si>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</si>
  <si>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</si>
  <si>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</si>
  <si>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</si>
  <si>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</si>
  <si>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</si>
  <si>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</si>
  <si>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</si>
  <si>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</si>
  <si>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</si>
  <si>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</si>
  <si>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</si>
  <si>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</si>
  <si>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</si>
  <si>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</si>
  <si>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</si>
  <si>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Indústria Planos</t>
  </si>
  <si>
    <t>Indústria Longos</t>
  </si>
  <si>
    <t>Construção Longos</t>
  </si>
  <si>
    <t xml:space="preserve">DÍVIDA BRUTA - VENCIMENTO 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</si>
  <si>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</si>
  <si>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</si>
  <si>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</si>
  <si>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</si>
  <si>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</si>
  <si>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</si>
  <si>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</si>
  <si>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</si>
  <si>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</si>
  <si>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</si>
  <si>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</si>
  <si>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>CAPACIDADES DE AÇO BRUTO - FONTE 20-F (2021  como referência de Governança Corporativa das operações)</t>
  </si>
  <si>
    <t xml:space="preserve">      Integrada¹</t>
  </si>
  <si>
    <t>2T22</t>
  </si>
  <si>
    <t>¹ obs: Ouro Branco, Divinópolis e Barão de cocais.</t>
  </si>
  <si>
    <t>Custo da Dívida</t>
  </si>
  <si>
    <t>Outros*</t>
  </si>
  <si>
    <t>* Inclui investimentos na Gerdau Next</t>
  </si>
  <si>
    <t>3T22</t>
  </si>
  <si>
    <t>2029 E APÓS</t>
  </si>
  <si>
    <t>¹ Aquisição de participação adicional de 3,65% na controlada Siderúrgica Latino Americana S.A</t>
  </si>
  <si>
    <t>46¹</t>
  </si>
  <si>
    <t>Moeda Americana (Dólar)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</si>
</sst>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8"/>
      <color rgb="FF002060"/>
      <name val="Barlow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sz val="8"/>
      <color rgb="FF00206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Dashed">
        <color rgb="FF002060"/>
      </bottom>
      <diagonal/>
    </border>
    <border>
      <left/>
      <right/>
      <top/>
      <bottom style="medium">
        <color theme="0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4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93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2" fillId="23" borderId="0" xfId="0" applyFont="1" applyFill="1"/>
    <xf numFmtId="164" fontId="21" fillId="23" borderId="0" xfId="50" applyNumberFormat="1" applyFont="1" applyFill="1"/>
    <xf numFmtId="164" fontId="19" fillId="23" borderId="0" xfId="0" applyNumberFormat="1" applyFont="1" applyFill="1"/>
    <xf numFmtId="0" fontId="24" fillId="23" borderId="0" xfId="0" applyFont="1" applyFill="1"/>
    <xf numFmtId="0" fontId="26" fillId="23" borderId="0" xfId="0" applyFont="1" applyFill="1"/>
    <xf numFmtId="0" fontId="20" fillId="0" borderId="0" xfId="0" applyFont="1" applyAlignment="1">
      <alignment horizontal="center" vertical="center" wrapText="1"/>
    </xf>
    <xf numFmtId="0" fontId="19" fillId="23" borderId="0" xfId="0" applyFont="1" applyFill="1" applyAlignment="1">
      <alignment vertical="center"/>
    </xf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0" xfId="0" applyFont="1"/>
    <xf numFmtId="0" fontId="19" fillId="26" borderId="0" xfId="0" applyFont="1" applyFill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3" fontId="19" fillId="0" borderId="0" xfId="0" applyNumberFormat="1" applyFont="1"/>
    <xf numFmtId="0" fontId="22" fillId="26" borderId="0" xfId="0" applyFont="1" applyFill="1"/>
    <xf numFmtId="14" fontId="19" fillId="0" borderId="0" xfId="0" applyNumberFormat="1" applyFont="1"/>
    <xf numFmtId="0" fontId="19" fillId="26" borderId="0" xfId="0" applyFont="1" applyFill="1" applyAlignment="1">
      <alignment vertical="center"/>
    </xf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5" fillId="0" borderId="0" xfId="0" applyFont="1"/>
    <xf numFmtId="0" fontId="76" fillId="0" borderId="0" xfId="0" applyFont="1"/>
    <xf numFmtId="0" fontId="77" fillId="26" borderId="0" xfId="0" applyFont="1" applyFill="1" applyAlignment="1">
      <alignment horizontal="center" vertical="center" wrapText="1"/>
    </xf>
    <xf numFmtId="0" fontId="78" fillId="23" borderId="0" xfId="0" applyFont="1" applyFill="1"/>
    <xf numFmtId="0" fontId="78" fillId="23" borderId="0" xfId="0" applyFont="1" applyFill="1"/>
    <xf numFmtId="0" fontId="77" fillId="23" borderId="0" xfId="0" applyFont="1" applyFill="1"/>
    <xf numFmtId="164" fontId="79" fillId="23" borderId="0" xfId="50" applyNumberFormat="1" applyFont="1" applyFill="1"/>
    <xf numFmtId="164" fontId="78" fillId="23" borderId="0" xfId="0" applyNumberFormat="1" applyFont="1" applyFill="1"/>
    <xf numFmtId="164" fontId="79" fillId="26" borderId="0" xfId="50" applyNumberFormat="1" applyFont="1" applyFill="1"/>
    <xf numFmtId="0" fontId="77" fillId="23" borderId="0" xfId="0" applyFont="1" applyFill="1" applyAlignment="1">
      <alignment horizontal="left" vertical="center"/>
    </xf>
    <xf numFmtId="0" fontId="77" fillId="23" borderId="0" xfId="0" applyFont="1" applyFill="1" applyAlignment="1">
      <alignment horizontal="center" vertical="center" wrapText="1"/>
    </xf>
    <xf numFmtId="0" fontId="77" fillId="23" borderId="0" xfId="0" applyFont="1" applyFill="1" applyAlignment="1">
      <alignment horizontal="center" vertical="center" wrapText="1"/>
    </xf>
    <xf numFmtId="0" fontId="80" fillId="23" borderId="0" xfId="0" applyFont="1" applyFill="1"/>
    <xf numFmtId="0" fontId="80" fillId="26" borderId="0" xfId="0" applyFont="1" applyFill="1"/>
    <xf numFmtId="0" fontId="77" fillId="23" borderId="0" xfId="0" applyFont="1" applyFill="1" applyAlignment="1">
      <alignment vertical="center"/>
    </xf>
    <xf numFmtId="0" fontId="78" fillId="23" borderId="0" xfId="0" applyFont="1" applyFill="1" applyAlignment="1">
      <alignment vertical="center"/>
    </xf>
    <xf numFmtId="37" fontId="77" fillId="23" borderId="0" xfId="0" applyNumberFormat="1" applyFont="1" applyFill="1" applyAlignment="1">
      <alignment horizontal="right"/>
    </xf>
    <xf numFmtId="0" fontId="78" fillId="27" borderId="0" xfId="0" applyFont="1" applyFill="1"/>
    <xf numFmtId="0" fontId="78" fillId="26" borderId="0" xfId="0" applyFont="1" applyFill="1"/>
    <xf numFmtId="37" fontId="80" fillId="23" borderId="0" xfId="0" applyNumberFormat="1" applyFont="1" applyFill="1" applyAlignment="1">
      <alignment horizontal="center"/>
    </xf>
    <xf numFmtId="0" fontId="78" fillId="26" borderId="0" xfId="0" applyFont="1" applyFill="1"/>
    <xf numFmtId="37" fontId="78" fillId="23" borderId="0" xfId="0" applyNumberFormat="1" applyFont="1" applyFill="1"/>
    <xf numFmtId="49" fontId="78" fillId="23" borderId="0" xfId="0" applyNumberFormat="1" applyFont="1" applyFill="1" applyAlignment="1">
      <alignment wrapText="1"/>
    </xf>
    <xf numFmtId="164" fontId="78" fillId="23" borderId="0" xfId="0" applyNumberFormat="1" applyFont="1" applyFill="1"/>
    <xf numFmtId="3" fontId="78" fillId="23" borderId="0" xfId="0" applyNumberFormat="1" applyFont="1" applyFill="1"/>
    <xf numFmtId="49" fontId="77" fillId="23" borderId="0" xfId="0" applyNumberFormat="1" applyFont="1" applyFill="1" applyAlignment="1">
      <alignment horizontal="center"/>
    </xf>
    <xf numFmtId="0" fontId="80" fillId="23" borderId="0" xfId="0" applyFont="1" applyFill="1"/>
    <xf numFmtId="49" fontId="80" fillId="23" borderId="0" xfId="0" applyNumberFormat="1" applyFont="1" applyFill="1"/>
    <xf numFmtId="0" fontId="78" fillId="23" borderId="0" xfId="0" applyFont="1" applyFill="1"/>
    <xf numFmtId="0" fontId="78" fillId="26" borderId="0" xfId="0" applyFont="1" applyFill="1"/>
    <xf numFmtId="0" fontId="81" fillId="23" borderId="0" xfId="0" applyFont="1" applyFill="1"/>
    <xf numFmtId="1" fontId="80" fillId="23" borderId="0" xfId="0" applyNumberFormat="1" applyFont="1" applyFill="1"/>
    <xf numFmtId="164" fontId="77" fillId="26" borderId="0" xfId="50" applyNumberFormat="1" applyFont="1" applyFill="1" applyAlignment="1">
      <alignment vertical="center"/>
    </xf>
    <xf numFmtId="164" fontId="80" fillId="26" borderId="0" xfId="50" applyNumberFormat="1" applyFont="1" applyFill="1" applyAlignment="1">
      <alignment vertical="center"/>
    </xf>
    <xf numFmtId="0" fontId="77" fillId="25" borderId="10" xfId="0" applyFont="1" applyFill="1" applyBorder="1" applyAlignment="1">
      <alignment vertical="center"/>
    </xf>
    <xf numFmtId="164" fontId="77" fillId="25" borderId="10" xfId="50" applyNumberFormat="1" applyFont="1" applyFill="1" applyBorder="1" applyAlignment="1">
      <alignment vertical="center"/>
    </xf>
    <xf numFmtId="164" fontId="77" fillId="23" borderId="0" xfId="50" applyNumberFormat="1" applyFont="1" applyFill="1" applyAlignment="1">
      <alignment vertical="center"/>
    </xf>
    <xf numFmtId="0" fontId="77" fillId="26" borderId="0" xfId="0" applyFont="1" applyFill="1" applyAlignment="1">
      <alignment vertical="center"/>
    </xf>
    <xf numFmtId="164" fontId="80" fillId="25" borderId="10" xfId="50" applyNumberFormat="1" applyFont="1" applyFill="1" applyBorder="1" applyAlignment="1">
      <alignment vertical="center"/>
    </xf>
    <xf numFmtId="0" fontId="78" fillId="26" borderId="0" xfId="0" applyFont="1" applyFill="1" applyAlignment="1">
      <alignment vertical="center"/>
    </xf>
    <xf numFmtId="0" fontId="77" fillId="23" borderId="0" xfId="0" applyFont="1" applyFill="1" applyAlignment="1">
      <alignment horizontal="left" vertical="center"/>
    </xf>
    <xf numFmtId="164" fontId="78" fillId="23" borderId="0" xfId="0" applyNumberFormat="1" applyFont="1" applyFill="1" applyAlignment="1">
      <alignment vertical="center"/>
    </xf>
    <xf numFmtId="166" fontId="82" fillId="0" borderId="0" xfId="0" applyNumberFormat="1" applyFont="1" applyAlignment="1">
      <alignment horizontal="left" vertical="center"/>
    </xf>
    <xf numFmtId="0" fontId="83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4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5" fillId="23" borderId="0" xfId="0" applyFont="1" applyFill="1" applyAlignment="1">
      <alignment vertical="center"/>
    </xf>
    <xf numFmtId="0" fontId="86" fillId="23" borderId="0" xfId="0" applyFont="1" applyFill="1" applyAlignment="1">
      <alignment horizontal="center"/>
    </xf>
    <xf numFmtId="0" fontId="87" fillId="23" borderId="0" xfId="0" applyFont="1" applyFill="1"/>
    <xf numFmtId="0" fontId="87" fillId="23" borderId="0" xfId="32" applyFont="1" applyFill="1" applyAlignment="1" applyProtection="1"/>
    <xf numFmtId="0" fontId="88" fillId="23" borderId="0" xfId="0" applyFont="1" applyFill="1"/>
    <xf numFmtId="0" fontId="40" fillId="23" borderId="0" xfId="0" applyFont="1" applyFill="1"/>
    <xf numFmtId="0" fontId="87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8" fillId="26" borderId="0" xfId="0" applyFont="1" applyFill="1"/>
    <xf numFmtId="0" fontId="34" fillId="0" borderId="0" xfId="0" applyFont="1"/>
    <xf numFmtId="0" fontId="88" fillId="0" borderId="0" xfId="0" applyFont="1"/>
    <xf numFmtId="0" fontId="87" fillId="26" borderId="0" xfId="0" applyFont="1" applyFill="1"/>
    <xf numFmtId="0" fontId="87" fillId="0" borderId="0" xfId="0" applyFont="1"/>
    <xf numFmtId="0" fontId="42" fillId="26" borderId="0" xfId="0" applyFont="1" applyFill="1" applyAlignment="1">
      <alignment vertical="center"/>
    </xf>
    <xf numFmtId="0" fontId="89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0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14" fontId="52" fillId="23" borderId="0" xfId="0" applyNumberFormat="1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1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2" fillId="27" borderId="0" xfId="0" applyFont="1" applyFill="1"/>
    <xf numFmtId="164" fontId="92" fillId="27" borderId="0" xfId="50" applyNumberFormat="1" applyFont="1" applyFill="1"/>
    <xf numFmtId="164" fontId="92" fillId="27" borderId="18" xfId="50" applyNumberFormat="1" applyFont="1" applyFill="1" applyBorder="1" applyAlignment="1">
      <alignment horizontal="right"/>
    </xf>
    <xf numFmtId="0" fontId="92" fillId="28" borderId="0" xfId="0" applyFont="1" applyFill="1"/>
    <xf numFmtId="164" fontId="92" fillId="28" borderId="0" xfId="50" applyNumberFormat="1" applyFont="1" applyFill="1"/>
    <xf numFmtId="0" fontId="89" fillId="27" borderId="0" xfId="0" applyFont="1" applyFill="1"/>
    <xf numFmtId="164" fontId="89" fillId="27" borderId="0" xfId="50" applyNumberFormat="1" applyFont="1" applyFill="1"/>
    <xf numFmtId="0" fontId="89" fillId="28" borderId="0" xfId="0" applyFont="1" applyFill="1"/>
    <xf numFmtId="164" fontId="89" fillId="28" borderId="0" xfId="50" applyNumberFormat="1" applyFont="1" applyFill="1"/>
    <xf numFmtId="0" fontId="89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8" borderId="0" xfId="0" applyFont="1" applyFill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6" fillId="28" borderId="11" xfId="0" applyFont="1" applyFill="1" applyBorder="1" applyAlignment="1">
      <alignment horizontal="center" vertical="center" wrapText="1"/>
    </xf>
    <xf numFmtId="0" fontId="88" fillId="28" borderId="0" xfId="0" applyFont="1" applyFill="1"/>
    <xf numFmtId="0" fontId="92" fillId="28" borderId="11" xfId="0" applyFont="1" applyFill="1" applyBorder="1" applyAlignment="1">
      <alignment horizontal="center" vertical="center" wrapText="1"/>
    </xf>
    <xf numFmtId="164" fontId="77" fillId="28" borderId="0" xfId="50" applyNumberFormat="1" applyFont="1" applyFill="1"/>
    <xf numFmtId="164" fontId="77" fillId="28" borderId="0" xfId="50" applyNumberFormat="1" applyFont="1" applyFill="1" applyAlignment="1">
      <alignment horizontal="center"/>
    </xf>
    <xf numFmtId="0" fontId="78" fillId="28" borderId="0" xfId="0" applyFont="1" applyFill="1"/>
    <xf numFmtId="164" fontId="80" fillId="28" borderId="0" xfId="50" applyNumberFormat="1" applyFont="1" applyFill="1"/>
    <xf numFmtId="164" fontId="80" fillId="28" borderId="0" xfId="50" applyNumberFormat="1" applyFont="1" applyFill="1" applyAlignment="1">
      <alignment horizontal="center"/>
    </xf>
    <xf numFmtId="164" fontId="77" fillId="27" borderId="0" xfId="50" applyNumberFormat="1" applyFont="1" applyFill="1"/>
    <xf numFmtId="164" fontId="80" fillId="27" borderId="0" xfId="50" applyNumberFormat="1" applyFont="1" applyFill="1"/>
    <xf numFmtId="164" fontId="80" fillId="27" borderId="0" xfId="50" applyNumberFormat="1" applyFont="1" applyFill="1" applyAlignment="1">
      <alignment horizontal="center"/>
    </xf>
    <xf numFmtId="0" fontId="89" fillId="23" borderId="0" xfId="0" applyFont="1" applyFill="1" applyAlignment="1">
      <alignment horizontal="left" vertical="center"/>
    </xf>
    <xf numFmtId="0" fontId="56" fillId="28" borderId="0" xfId="0" applyFont="1" applyFill="1" applyAlignment="1">
      <alignment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6" fillId="27" borderId="0" xfId="0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2" fillId="28" borderId="0" xfId="0" applyFont="1" applyFill="1" applyAlignment="1">
      <alignment vertical="center"/>
    </xf>
    <xf numFmtId="0" fontId="92" fillId="28" borderId="0" xfId="0" applyFont="1" applyFill="1" applyAlignment="1">
      <alignment horizontal="left" vertical="center"/>
    </xf>
    <xf numFmtId="164" fontId="89" fillId="28" borderId="0" xfId="50" applyNumberFormat="1" applyFont="1" applyFill="1" applyAlignment="1">
      <alignment vertical="center"/>
    </xf>
    <xf numFmtId="0" fontId="92" fillId="27" borderId="0" xfId="0" applyFont="1" applyFill="1" applyAlignment="1">
      <alignment horizontal="left" vertical="center"/>
    </xf>
    <xf numFmtId="164" fontId="89" fillId="27" borderId="0" xfId="50" applyNumberFormat="1" applyFont="1" applyFill="1" applyAlignment="1">
      <alignment vertical="center"/>
    </xf>
    <xf numFmtId="0" fontId="89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6" borderId="0" xfId="50" applyNumberFormat="1" applyFont="1" applyFill="1" applyAlignment="1">
      <alignment vertical="center"/>
    </xf>
    <xf numFmtId="164" fontId="93" fillId="29" borderId="0" xfId="50" applyNumberFormat="1" applyFont="1" applyFill="1" applyAlignment="1">
      <alignment vertical="center"/>
    </xf>
    <xf numFmtId="0" fontId="55" fillId="28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0" fontId="54" fillId="27" borderId="10" xfId="0" applyFont="1" applyFill="1" applyBorder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6" fillId="28" borderId="11" xfId="0" applyFont="1" applyFill="1" applyBorder="1"/>
    <xf numFmtId="0" fontId="86" fillId="28" borderId="11" xfId="0" applyFont="1" applyFill="1" applyBorder="1" applyAlignment="1">
      <alignment vertical="center"/>
    </xf>
    <xf numFmtId="0" fontId="86" fillId="28" borderId="11" xfId="0" applyFont="1" applyFill="1" applyBorder="1" applyAlignment="1">
      <alignment horizontal="right" vertical="center"/>
    </xf>
    <xf numFmtId="0" fontId="88" fillId="28" borderId="0" xfId="0" applyFont="1" applyFill="1" applyAlignment="1">
      <alignment vertical="center"/>
    </xf>
    <xf numFmtId="0" fontId="86" fillId="28" borderId="11" xfId="0" applyFont="1" applyFill="1" applyBorder="1" applyAlignment="1">
      <alignment horizontal="right"/>
    </xf>
    <xf numFmtId="0" fontId="86" fillId="23" borderId="0" xfId="0" applyFont="1" applyFill="1" applyAlignment="1">
      <alignment vertical="center"/>
    </xf>
    <xf numFmtId="0" fontId="88" fillId="23" borderId="0" xfId="0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6" fillId="28" borderId="0" xfId="0" applyFont="1" applyFill="1" applyAlignment="1">
      <alignment vertical="center"/>
    </xf>
    <xf numFmtId="164" fontId="86" fillId="28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8" fillId="27" borderId="0" xfId="0" applyFont="1" applyFill="1" applyAlignment="1">
      <alignment horizontal="left" vertical="center"/>
    </xf>
    <xf numFmtId="0" fontId="88" fillId="27" borderId="0" xfId="0" applyFont="1" applyFill="1" applyAlignment="1">
      <alignment vertical="center"/>
    </xf>
    <xf numFmtId="164" fontId="88" fillId="27" borderId="0" xfId="50" applyNumberFormat="1" applyFont="1" applyFill="1" applyAlignment="1">
      <alignment vertical="center"/>
    </xf>
    <xf numFmtId="164" fontId="86" fillId="28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center"/>
    </xf>
    <xf numFmtId="0" fontId="98" fillId="27" borderId="0" xfId="0" applyFont="1" applyFill="1" applyAlignment="1">
      <alignment vertical="center"/>
    </xf>
    <xf numFmtId="9" fontId="98" fillId="27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8" fillId="28" borderId="0" xfId="50" applyNumberFormat="1" applyFont="1" applyFill="1" applyAlignment="1">
      <alignment vertical="center"/>
    </xf>
    <xf numFmtId="164" fontId="88" fillId="27" borderId="0" xfId="50" applyNumberFormat="1" applyFont="1" applyFill="1" applyAlignment="1">
      <alignment horizontal="center" vertical="center"/>
    </xf>
    <xf numFmtId="0" fontId="86" fillId="27" borderId="0" xfId="0" applyFont="1" applyFill="1" applyAlignment="1">
      <alignment vertical="center"/>
    </xf>
    <xf numFmtId="0" fontId="97" fillId="26" borderId="0" xfId="0" applyFont="1" applyFill="1" applyAlignment="1">
      <alignment vertical="center"/>
    </xf>
    <xf numFmtId="0" fontId="88" fillId="23" borderId="0" xfId="0" applyFont="1" applyFill="1" applyAlignment="1">
      <alignment horizontal="left" vertical="center"/>
    </xf>
    <xf numFmtId="164" fontId="88" fillId="23" borderId="0" xfId="50" applyNumberFormat="1" applyFont="1" applyFill="1" applyAlignment="1">
      <alignment vertical="center"/>
    </xf>
    <xf numFmtId="164" fontId="88" fillId="23" borderId="0" xfId="50" applyNumberFormat="1" applyFont="1" applyFill="1" applyAlignment="1">
      <alignment horizontal="center" vertical="center"/>
    </xf>
    <xf numFmtId="3" fontId="88" fillId="23" borderId="0" xfId="0" applyNumberFormat="1" applyFont="1" applyFill="1" applyAlignment="1">
      <alignment vertical="center"/>
    </xf>
    <xf numFmtId="0" fontId="86" fillId="23" borderId="0" xfId="0" applyFont="1" applyFill="1" applyAlignment="1">
      <alignment horizontal="center" vertical="center"/>
    </xf>
    <xf numFmtId="0" fontId="86" fillId="23" borderId="0" xfId="0" applyFont="1" applyFill="1" applyAlignment="1">
      <alignment horizontal="left" vertical="center"/>
    </xf>
    <xf numFmtId="164" fontId="86" fillId="26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6" fillId="27" borderId="0" xfId="0" applyFont="1" applyFill="1" applyAlignment="1">
      <alignment horizontal="left" vertical="center"/>
    </xf>
    <xf numFmtId="0" fontId="86" fillId="27" borderId="0" xfId="50" applyNumberFormat="1" applyFont="1" applyFill="1" applyAlignment="1">
      <alignment vertical="center"/>
    </xf>
    <xf numFmtId="3" fontId="86" fillId="27" borderId="0" xfId="50" applyNumberFormat="1" applyFont="1" applyFill="1" applyAlignment="1">
      <alignment vertical="center"/>
    </xf>
    <xf numFmtId="3" fontId="86" fillId="27" borderId="0" xfId="0" applyNumberFormat="1" applyFont="1" applyFill="1" applyAlignment="1">
      <alignment horizontal="right" vertical="center"/>
    </xf>
    <xf numFmtId="3" fontId="88" fillId="28" borderId="0" xfId="0" applyNumberFormat="1" applyFont="1" applyFill="1" applyAlignment="1">
      <alignment vertical="center"/>
    </xf>
    <xf numFmtId="3" fontId="88" fillId="27" borderId="0" xfId="0" applyNumberFormat="1" applyFont="1" applyFill="1" applyAlignment="1">
      <alignment vertical="center"/>
    </xf>
    <xf numFmtId="0" fontId="86" fillId="28" borderId="0" xfId="50" applyNumberFormat="1" applyFont="1" applyFill="1" applyAlignment="1">
      <alignment vertical="center"/>
    </xf>
    <xf numFmtId="3" fontId="86" fillId="28" borderId="0" xfId="50" applyNumberFormat="1" applyFont="1" applyFill="1" applyAlignment="1">
      <alignment vertical="center"/>
    </xf>
    <xf numFmtId="3" fontId="86" fillId="28" borderId="0" xfId="0" applyNumberFormat="1" applyFont="1" applyFill="1" applyAlignment="1">
      <alignment horizontal="right" vertical="center"/>
    </xf>
    <xf numFmtId="43" fontId="88" fillId="27" borderId="0" xfId="50" applyFont="1" applyFill="1" applyAlignment="1">
      <alignment vertical="center"/>
    </xf>
    <xf numFmtId="0" fontId="86" fillId="28" borderId="0" xfId="0" applyFont="1" applyFill="1" applyAlignment="1">
      <alignment horizontal="left" vertical="center"/>
    </xf>
    <xf numFmtId="43" fontId="88" fillId="28" borderId="0" xfId="50" applyFont="1" applyFill="1" applyAlignment="1">
      <alignment vertical="center"/>
    </xf>
    <xf numFmtId="43" fontId="88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2" fillId="28" borderId="11" xfId="0" applyFont="1" applyFill="1" applyBorder="1" applyAlignment="1">
      <alignment horizontal="left" vertical="center"/>
    </xf>
    <xf numFmtId="0" fontId="92" fillId="28" borderId="11" xfId="0" applyFont="1" applyFill="1" applyBorder="1" applyAlignment="1">
      <alignment horizontal="right" vertical="center" wrapText="1"/>
    </xf>
    <xf numFmtId="0" fontId="92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0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 wrapText="1"/>
    </xf>
    <xf numFmtId="0" fontId="102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103" fillId="28" borderId="0" xfId="0" applyFont="1" applyFill="1"/>
    <xf numFmtId="0" fontId="104" fillId="28" borderId="0" xfId="0" applyFont="1" applyFill="1" applyAlignment="1">
      <alignment horizontal="center" vertical="center"/>
    </xf>
    <xf numFmtId="0" fontId="104" fillId="28" borderId="0" xfId="0" applyFont="1" applyFill="1"/>
    <xf numFmtId="43" fontId="104" fillId="28" borderId="0" xfId="50" applyFont="1" applyFill="1" applyAlignment="1">
      <alignment horizontal="center" vertical="center"/>
    </xf>
    <xf numFmtId="0" fontId="88" fillId="28" borderId="0" xfId="0" applyFont="1" applyFill="1" applyAlignment="1">
      <alignment horizontal="left" vertical="center"/>
    </xf>
    <xf numFmtId="164" fontId="88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8" borderId="11" xfId="0" applyFont="1" applyFill="1" applyBorder="1"/>
    <xf numFmtId="0" fontId="106" fillId="28" borderId="11" xfId="0" applyFont="1" applyFill="1" applyBorder="1" applyAlignment="1">
      <alignment horizontal="right" vertical="center"/>
    </xf>
    <xf numFmtId="0" fontId="106" fillId="28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8" borderId="0" xfId="0" applyFont="1" applyFill="1" applyAlignment="1">
      <alignment vertical="center"/>
    </xf>
    <xf numFmtId="164" fontId="106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2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107" fillId="0" borderId="0" xfId="0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7" fillId="0" borderId="0" xfId="0" applyFont="1" applyAlignment="1">
      <alignment horizontal="center"/>
    </xf>
    <xf numFmtId="164" fontId="78" fillId="0" borderId="0" xfId="0" applyNumberFormat="1" applyFont="1"/>
    <xf numFmtId="0" fontId="77" fillId="0" borderId="0" xfId="0" applyFont="1"/>
    <xf numFmtId="0" fontId="78" fillId="0" borderId="0" xfId="0" applyFont="1"/>
    <xf numFmtId="49" fontId="77" fillId="0" borderId="0" xfId="0" applyNumberFormat="1" applyFont="1" applyAlignment="1">
      <alignment horizontal="center"/>
    </xf>
    <xf numFmtId="0" fontId="77" fillId="27" borderId="0" xfId="0" applyFont="1" applyFill="1" applyAlignment="1">
      <alignment horizontal="center"/>
    </xf>
    <xf numFmtId="0" fontId="77" fillId="28" borderId="0" xfId="0" applyFont="1" applyFill="1" applyAlignment="1">
      <alignment horizontal="center"/>
    </xf>
    <xf numFmtId="0" fontId="77" fillId="28" borderId="20" xfId="0" applyFont="1" applyFill="1" applyBorder="1" applyAlignment="1">
      <alignment horizontal="center"/>
    </xf>
    <xf numFmtId="0" fontId="19" fillId="28" borderId="0" xfId="0" applyFont="1" applyFill="1"/>
    <xf numFmtId="0" fontId="19" fillId="27" borderId="0" xfId="0" applyFont="1" applyFill="1"/>
    <xf numFmtId="0" fontId="80" fillId="28" borderId="0" xfId="0" applyFont="1" applyFill="1"/>
    <xf numFmtId="0" fontId="54" fillId="28" borderId="20" xfId="0" applyFont="1" applyFill="1" applyBorder="1" applyAlignment="1">
      <alignment horizontal="left"/>
    </xf>
    <xf numFmtId="0" fontId="19" fillId="28" borderId="20" xfId="0" applyFont="1" applyFill="1" applyBorder="1"/>
    <xf numFmtId="0" fontId="54" fillId="25" borderId="11" xfId="0" applyFont="1" applyFill="1" applyBorder="1" applyAlignment="1">
      <alignment horizontal="left" vertical="center"/>
    </xf>
    <xf numFmtId="0" fontId="54" fillId="26" borderId="0" xfId="0" applyFont="1" applyFill="1" applyAlignment="1">
      <alignment horizontal="left" vertical="center"/>
    </xf>
    <xf numFmtId="0" fontId="108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09" fillId="0" borderId="0" xfId="1" applyFont="1" applyAlignment="1">
      <alignment horizontal="left" vertical="center" wrapText="1"/>
    </xf>
    <xf numFmtId="3" fontId="110" fillId="0" borderId="12" xfId="1" applyNumberFormat="1" applyFont="1" applyBorder="1" applyAlignment="1">
      <alignment horizontal="right" vertical="center" wrapText="1"/>
    </xf>
    <xf numFmtId="3" fontId="110" fillId="0" borderId="0" xfId="1" applyNumberFormat="1" applyFont="1" applyAlignment="1">
      <alignment horizontal="right" vertical="center" wrapText="1"/>
    </xf>
    <xf numFmtId="0" fontId="110" fillId="27" borderId="0" xfId="1" applyFont="1" applyFill="1" applyAlignment="1">
      <alignment horizontal="left" vertical="center" wrapText="1"/>
    </xf>
    <xf numFmtId="164" fontId="110" fillId="27" borderId="12" xfId="40" applyNumberFormat="1" applyFont="1" applyFill="1" applyBorder="1" applyAlignment="1">
      <alignment horizontal="right" vertical="center" wrapText="1"/>
    </xf>
    <xf numFmtId="164" fontId="110" fillId="27" borderId="0" xfId="40" applyNumberFormat="1" applyFont="1" applyFill="1" applyAlignment="1">
      <alignment horizontal="right" vertical="center" wrapText="1"/>
    </xf>
    <xf numFmtId="164" fontId="110" fillId="27" borderId="0" xfId="41" applyNumberFormat="1" applyFont="1" applyFill="1" applyAlignment="1">
      <alignment horizontal="right" vertical="center" wrapText="1"/>
    </xf>
    <xf numFmtId="0" fontId="110" fillId="28" borderId="0" xfId="1" applyFont="1" applyFill="1" applyAlignment="1">
      <alignment horizontal="left" vertical="center" wrapText="1"/>
    </xf>
    <xf numFmtId="0" fontId="109" fillId="0" borderId="12" xfId="1" applyFont="1" applyBorder="1" applyAlignment="1">
      <alignment horizontal="right" vertical="center" wrapText="1"/>
    </xf>
    <xf numFmtId="0" fontId="109" fillId="0" borderId="0" xfId="1" applyFont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166" fontId="109" fillId="27" borderId="12" xfId="38" applyNumberFormat="1" applyFont="1" applyFill="1" applyBorder="1" applyAlignment="1">
      <alignment horizontal="right" vertical="center" wrapText="1"/>
    </xf>
    <xf numFmtId="166" fontId="109" fillId="27" borderId="0" xfId="38" applyNumberFormat="1" applyFont="1" applyFill="1" applyAlignment="1">
      <alignment horizontal="right" vertical="center" wrapText="1"/>
    </xf>
    <xf numFmtId="0" fontId="111" fillId="0" borderId="0" xfId="1" applyFont="1" applyAlignment="1">
      <alignment vertical="center"/>
    </xf>
    <xf numFmtId="166" fontId="109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10" fillId="28" borderId="12" xfId="40" applyNumberFormat="1" applyFont="1" applyFill="1" applyBorder="1" applyAlignment="1">
      <alignment horizontal="right" vertical="center" wrapText="1"/>
    </xf>
    <xf numFmtId="164" fontId="110" fillId="28" borderId="0" xfId="40" applyNumberFormat="1" applyFont="1" applyFill="1" applyAlignment="1">
      <alignment horizontal="right" vertical="center" wrapText="1"/>
    </xf>
    <xf numFmtId="164" fontId="110" fillId="28" borderId="0" xfId="41" applyNumberFormat="1" applyFont="1" applyFill="1" applyAlignment="1">
      <alignment horizontal="right" vertical="center" wrapText="1"/>
    </xf>
    <xf numFmtId="0" fontId="109" fillId="28" borderId="0" xfId="1" applyFont="1" applyFill="1" applyAlignment="1">
      <alignment horizontal="left" vertical="center" wrapText="1"/>
    </xf>
    <xf numFmtId="166" fontId="109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56" fillId="0" borderId="0" xfId="1" applyFont="1" applyFill="1" applyAlignment="1">
      <alignment vertical="center"/>
    </xf>
    <xf numFmtId="164" fontId="56" fillId="0" borderId="0" xfId="1" applyNumberFormat="1" applyFont="1" applyFill="1" applyAlignment="1">
      <alignment vertical="center"/>
    </xf>
    <xf numFmtId="0" fontId="87" fillId="0" borderId="0" xfId="0" applyFont="1" applyBorder="1"/>
    <xf numFmtId="0" fontId="112" fillId="0" borderId="0" xfId="0" applyFont="1" applyAlignment="1">
      <alignment horizontal="justify" vertical="center"/>
    </xf>
    <xf numFmtId="0" fontId="113" fillId="0" borderId="0" xfId="0" applyFont="1"/>
    <xf numFmtId="0" fontId="114" fillId="31" borderId="0" xfId="1" applyFont="1" applyFill="1" applyAlignment="1">
      <alignment horizontal="center" vertical="center"/>
    </xf>
    <xf numFmtId="164" fontId="110" fillId="28" borderId="12" xfId="52" applyNumberFormat="1" applyFont="1" applyFill="1" applyBorder="1" applyAlignment="1">
      <alignment horizontal="right" vertical="center" wrapText="1"/>
    </xf>
    <xf numFmtId="164" fontId="110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89" fillId="28" borderId="0" xfId="50" applyNumberFormat="1" applyFont="1" applyFill="1"/>
    <xf numFmtId="169" fontId="89" fillId="24" borderId="0" xfId="50" applyNumberFormat="1" applyFont="1" applyFill="1"/>
    <xf numFmtId="9" fontId="98" fillId="27" borderId="0" xfId="37" applyNumberFormat="1" applyFont="1" applyFill="1" applyAlignment="1">
      <alignment vertical="center"/>
    </xf>
    <xf numFmtId="0" fontId="70" fillId="28" borderId="0" xfId="0" applyFont="1" applyFill="1"/>
    <xf numFmtId="164" fontId="70" fillId="28" borderId="0" xfId="50" applyNumberFormat="1" applyFont="1" applyFill="1" applyAlignment="1">
      <alignment vertical="center"/>
    </xf>
    <xf numFmtId="169" fontId="70" fillId="28" borderId="0" xfId="50" applyNumberFormat="1" applyFont="1" applyFill="1" applyAlignment="1">
      <alignment vertical="center"/>
    </xf>
    <xf numFmtId="164" fontId="70" fillId="28" borderId="0" xfId="50" applyNumberFormat="1" applyFont="1" applyFill="1"/>
    <xf numFmtId="164" fontId="71" fillId="28" borderId="0" xfId="50" applyNumberFormat="1" applyFont="1" applyFill="1"/>
    <xf numFmtId="37" fontId="71" fillId="28" borderId="0" xfId="0" applyNumberFormat="1" applyFont="1" applyFill="1" applyAlignment="1">
      <alignment horizontal="right"/>
    </xf>
    <xf numFmtId="37" fontId="70" fillId="28" borderId="0" xfId="0" applyNumberFormat="1" applyFont="1" applyFill="1" applyAlignment="1">
      <alignment horizontal="right"/>
    </xf>
    <xf numFmtId="164" fontId="80" fillId="27" borderId="0" xfId="52" applyNumberFormat="1" applyFont="1" applyFill="1" applyAlignment="1">
      <alignment horizontal="center"/>
    </xf>
    <xf numFmtId="164" fontId="88" fillId="27" borderId="0" xfId="50" quotePrefix="1" applyNumberFormat="1" applyFont="1" applyFill="1" applyAlignment="1">
      <alignment horizontal="center" vertical="center"/>
    </xf>
    <xf numFmtId="164" fontId="86" fillId="27" borderId="0" xfId="50" applyNumberFormat="1" applyFont="1" applyFill="1" applyAlignment="1">
      <alignment horizontal="center" vertical="center"/>
    </xf>
    <xf numFmtId="0" fontId="88" fillId="29" borderId="0" xfId="0" applyFont="1" applyFill="1" applyAlignment="1">
      <alignment vertical="center"/>
    </xf>
    <xf numFmtId="164" fontId="88" fillId="29" borderId="0" xfId="50" applyNumberFormat="1" applyFont="1" applyFill="1" applyAlignment="1">
      <alignment vertical="center"/>
    </xf>
    <xf numFmtId="0" fontId="94" fillId="29" borderId="0" xfId="0" applyFont="1" applyFill="1" applyAlignment="1">
      <alignment vertical="center"/>
    </xf>
    <xf numFmtId="3" fontId="92" fillId="28" borderId="0" xfId="0" applyNumberFormat="1" applyFont="1" applyFill="1"/>
    <xf numFmtId="3" fontId="89" fillId="24" borderId="0" xfId="0" applyNumberFormat="1" applyFont="1" applyFill="1"/>
    <xf numFmtId="3" fontId="89" fillId="28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/>
    </xf>
    <xf numFmtId="17" fontId="91" fillId="28" borderId="17" xfId="0" applyNumberFormat="1" applyFont="1" applyFill="1" applyBorder="1" applyAlignment="1">
      <alignment horizontal="center" vertical="center"/>
    </xf>
    <xf numFmtId="164" fontId="89" fillId="28" borderId="0" xfId="50" applyNumberFormat="1" applyFont="1" applyFill="1" applyAlignment="1">
      <alignment horizontal="center"/>
    </xf>
    <xf numFmtId="169" fontId="88" fillId="27" borderId="0" xfId="50" applyNumberFormat="1" applyFont="1" applyFill="1" applyAlignment="1">
      <alignment vertical="center"/>
    </xf>
    <xf numFmtId="164" fontId="89" fillId="32" borderId="0" xfId="50" applyNumberFormat="1" applyFont="1" applyFill="1" applyAlignment="1">
      <alignment vertical="center"/>
    </xf>
    <xf numFmtId="0" fontId="106" fillId="28" borderId="11" xfId="0" applyFont="1" applyFill="1" applyBorder="1" applyAlignment="1">
      <alignment horizontal="center" vertical="center"/>
    </xf>
    <xf numFmtId="0" fontId="114" fillId="31" borderId="0" xfId="1" applyFont="1" applyFill="1" applyAlignment="1">
      <alignment horizontal="center" vertical="center"/>
    </xf>
    <xf numFmtId="0" fontId="74" fillId="0" borderId="0" xfId="35"/>
    <xf numFmtId="0" fontId="74" fillId="0" borderId="0" xfId="35" applyFont="1"/>
    <xf numFmtId="0" fontId="74" fillId="0" borderId="0" xfId="35" applyFill="1"/>
    <xf numFmtId="0" fontId="74" fillId="0" borderId="15" xfId="35" applyBorder="1"/>
    <xf numFmtId="0" fontId="74" fillId="0" borderId="0" xfId="35" applyBorder="1"/>
    <xf numFmtId="2" fontId="74" fillId="0" borderId="0" xfId="35" applyNumberFormat="1" applyFill="1"/>
    <xf numFmtId="2" fontId="74" fillId="0" borderId="0" xfId="35" applyNumberFormat="1" applyFill="1" applyAlignment="1">
      <alignment horizontal="right"/>
    </xf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15" xfId="35" applyNumberFormat="1" applyFill="1" applyBorder="1" applyAlignment="1">
      <alignment horizontal="right"/>
    </xf>
    <xf numFmtId="2" fontId="74" fillId="0" borderId="0" xfId="35" applyNumberFormat="1" applyFill="1" applyAlignment="1">
      <alignment vertical="top"/>
    </xf>
    <xf numFmtId="2" fontId="74" fillId="0" borderId="0" xfId="35" applyNumberFormat="1"/>
    <xf numFmtId="2" fontId="74" fillId="0" borderId="15" xfId="35" applyNumberFormat="1" applyBorder="1"/>
    <xf numFmtId="2" fontId="74" fillId="0" borderId="15" xfId="35" applyNumberFormat="1" applyFill="1" applyBorder="1"/>
    <xf numFmtId="0" fontId="73" fillId="0" borderId="0" xfId="1" applyFont="1" applyAlignment="1">
      <alignment vertical="center"/>
    </xf>
    <xf numFmtId="2" fontId="74" fillId="0" borderId="0" xfId="35" applyNumberFormat="1" applyFill="1" applyBorder="1" applyAlignment="1">
      <alignment horizontal="right"/>
    </xf>
    <xf numFmtId="2" fontId="74" fillId="0" borderId="0" xfId="35" applyNumberFormat="1" applyFill="1" applyBorder="1"/>
    <xf numFmtId="0" fontId="74" fillId="0" borderId="15" xfId="35" applyFont="1" applyBorder="1"/>
    <xf numFmtId="0" fontId="92" fillId="28" borderId="11" xfId="0" applyFont="1" applyFill="1" applyBorder="1" applyAlignment="1">
      <alignment horizontal="left" vertical="center" wrapText="1"/>
    </xf>
    <xf numFmtId="0" fontId="74" fillId="0" borderId="0" xfId="35"/>
    <xf numFmtId="0" fontId="74" fillId="0" borderId="0" xfId="35" applyFont="1"/>
    <xf numFmtId="0" fontId="74" fillId="0" borderId="0" xfId="35" applyFill="1"/>
    <xf numFmtId="0" fontId="74" fillId="0" borderId="15" xfId="35" applyBorder="1"/>
    <xf numFmtId="0" fontId="74" fillId="0" borderId="0" xfId="35" applyBorder="1"/>
    <xf numFmtId="2" fontId="74" fillId="0" borderId="0" xfId="35" applyNumberFormat="1" applyFill="1"/>
    <xf numFmtId="2" fontId="74" fillId="0" borderId="0" xfId="35" applyNumberFormat="1" applyFill="1" applyAlignment="1">
      <alignment horizontal="right"/>
    </xf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15" xfId="35" applyNumberFormat="1" applyFill="1" applyBorder="1" applyAlignment="1">
      <alignment horizontal="right"/>
    </xf>
    <xf numFmtId="2" fontId="74" fillId="0" borderId="0" xfId="35" applyNumberFormat="1" applyFill="1" applyAlignment="1">
      <alignment vertical="top"/>
    </xf>
    <xf numFmtId="2" fontId="74" fillId="0" borderId="0" xfId="35" applyNumberFormat="1"/>
    <xf numFmtId="2" fontId="74" fillId="0" borderId="15" xfId="35" applyNumberFormat="1" applyBorder="1"/>
    <xf numFmtId="2" fontId="74" fillId="0" borderId="15" xfId="35" applyNumberFormat="1" applyFill="1" applyBorder="1"/>
    <xf numFmtId="0" fontId="74" fillId="0" borderId="0" xfId="35" applyFill="1" applyBorder="1"/>
    <xf numFmtId="0" fontId="74" fillId="0" borderId="15" xfId="35" applyFill="1" applyBorder="1"/>
    <xf numFmtId="2" fontId="74" fillId="0" borderId="0" xfId="35" applyNumberFormat="1" applyFill="1" applyBorder="1" applyAlignment="1">
      <alignment horizontal="right"/>
    </xf>
    <xf numFmtId="2" fontId="74" fillId="0" borderId="0" xfId="35" applyNumberFormat="1" applyFill="1" applyBorder="1"/>
    <xf numFmtId="164" fontId="106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8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2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4" fontId="77" fillId="28" borderId="0" xfId="50" applyNumberFormat="1" applyFont="1" applyFill="1" applyAlignment="1"/>
    <xf numFmtId="2" fontId="74" fillId="0" borderId="0" xfId="35" applyNumberFormat="1" applyAlignment="1">
      <alignment horizontal="right"/>
    </xf>
    <xf numFmtId="2" fontId="74" fillId="0" borderId="0" xfId="35" applyNumberFormat="1"/>
    <xf numFmtId="9" fontId="19" fillId="23" borderId="0" xfId="37" applyFont="1" applyFill="1" applyAlignment="1">
      <alignment vertical="center"/>
    </xf>
    <xf numFmtId="0" fontId="19" fillId="28" borderId="0" xfId="0" applyFont="1" applyFill="1" applyBorder="1"/>
    <xf numFmtId="0" fontId="24" fillId="23" borderId="0" xfId="0" quotePrefix="1" applyFont="1" applyFill="1"/>
    <xf numFmtId="43" fontId="19" fillId="23" borderId="0" xfId="50" applyFont="1" applyFill="1"/>
    <xf numFmtId="43" fontId="24" fillId="23" borderId="0" xfId="50" applyFont="1" applyFill="1"/>
    <xf numFmtId="0" fontId="97" fillId="23" borderId="0" xfId="0" applyFont="1" applyFill="1" applyAlignment="1">
      <alignment horizontal="left" vertical="center"/>
    </xf>
    <xf numFmtId="0" fontId="94" fillId="23" borderId="0" xfId="0" applyFont="1" applyFill="1" applyAlignment="1">
      <alignment horizontal="left" vertical="center"/>
    </xf>
    <xf numFmtId="0" fontId="99" fillId="23" borderId="0" xfId="0" applyFont="1" applyFill="1" applyAlignment="1">
      <alignment horizontal="left" vertical="center"/>
    </xf>
    <xf numFmtId="0" fontId="94" fillId="23" borderId="0" xfId="0" quotePrefix="1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0" fontId="97" fillId="23" borderId="0" xfId="0" quotePrefix="1" applyFont="1" applyFill="1" applyAlignment="1">
      <alignment vertical="center"/>
    </xf>
    <xf numFmtId="164" fontId="94" fillId="23" borderId="0" xfId="0" applyNumberFormat="1" applyFont="1" applyFill="1" applyAlignment="1">
      <alignment vertical="center"/>
    </xf>
    <xf numFmtId="164" fontId="117" fillId="23" borderId="0" xfId="0" quotePrefix="1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10" fontId="19" fillId="0" borderId="0" xfId="37" applyNumberFormat="1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164" fontId="52" fillId="23" borderId="0" xfId="0" applyNumberFormat="1" applyFont="1" applyFill="1"/>
    <xf numFmtId="164" fontId="54" fillId="27" borderId="0" xfId="51" applyNumberFormat="1" applyFont="1" applyFill="1"/>
    <xf numFmtId="164" fontId="53" fillId="28" borderId="0" xfId="51" applyNumberFormat="1" applyFont="1" applyFill="1"/>
    <xf numFmtId="164" fontId="53" fillId="27" borderId="0" xfId="51" applyNumberFormat="1" applyFont="1" applyFill="1"/>
    <xf numFmtId="164" fontId="53" fillId="27" borderId="19" xfId="50" quotePrefix="1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 wrapText="1"/>
    </xf>
    <xf numFmtId="0" fontId="115" fillId="0" borderId="21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left" wrapText="1"/>
    </xf>
    <xf numFmtId="0" fontId="91" fillId="28" borderId="17" xfId="0" applyFont="1" applyFill="1" applyBorder="1" applyAlignment="1">
      <alignment horizontal="left" vertical="center"/>
    </xf>
    <xf numFmtId="0" fontId="91" fillId="25" borderId="17" xfId="0" applyFont="1" applyFill="1" applyBorder="1" applyAlignment="1">
      <alignment horizontal="left" vertical="center"/>
    </xf>
    <xf numFmtId="0" fontId="86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6" fillId="23" borderId="0" xfId="0" applyFont="1" applyFill="1" applyAlignment="1">
      <alignment horizontal="left" vertical="center"/>
    </xf>
    <xf numFmtId="0" fontId="114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7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pa!Area_de_impressao"/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Setembro - 2022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44450</xdr:colOff>
      <xdr:row>11</xdr:row>
      <xdr:rowOff>139700</xdr:rowOff>
    </xdr:to>
    <xdr:pic>
      <xdr:nvPicPr>
        <xdr:cNvPr id="241887" name="Imagem 15">
          <a:extLst>
            <a:ext uri="{FF2B5EF4-FFF2-40B4-BE49-F238E27FC236}">
              <a16:creationId xmlns:a16="http://schemas.microsoft.com/office/drawing/2014/main" id="{00B3949C-B49A-4ADD-857C-2332701E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3450" r="-417" b="42557"/>
        <a:stretch>
          <a:fillRect/>
        </a:stretch>
      </xdr:blipFill>
      <xdr:spPr bwMode="auto">
        <a:xfrm>
          <a:off x="0" y="0"/>
          <a:ext cx="75692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11</xdr:row>
      <xdr:rowOff>139700</xdr:rowOff>
    </xdr:from>
    <xdr:to>
      <xdr:col>10</xdr:col>
      <xdr:colOff>25400</xdr:colOff>
      <xdr:row>15</xdr:row>
      <xdr:rowOff>196850</xdr:rowOff>
    </xdr:to>
    <xdr:pic>
      <xdr:nvPicPr>
        <xdr:cNvPr id="241888" name="Imagem 5">
          <a:extLst>
            <a:ext uri="{FF2B5EF4-FFF2-40B4-BE49-F238E27FC236}">
              <a16:creationId xmlns:a16="http://schemas.microsoft.com/office/drawing/2014/main" id="{24F7ACE3-E465-4BB5-B9F3-99450322A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78050"/>
          <a:ext cx="19304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</xdr:colOff>
      <xdr:row>32</xdr:row>
      <xdr:rowOff>158750</xdr:rowOff>
    </xdr:from>
    <xdr:to>
      <xdr:col>3</xdr:col>
      <xdr:colOff>590550</xdr:colOff>
      <xdr:row>34</xdr:row>
      <xdr:rowOff>133350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6026150"/>
          <a:ext cx="5207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 editAs="oneCell">
    <xdr:from>
      <xdr:col>49</xdr:col>
      <xdr:colOff>31750</xdr:colOff>
      <xdr:row>0</xdr:row>
      <xdr:rowOff>0</xdr:rowOff>
    </xdr:from>
    <xdr:to>
      <xdr:col>60</xdr:col>
      <xdr:colOff>228600</xdr:colOff>
      <xdr:row>4</xdr:row>
      <xdr:rowOff>85725</xdr:rowOff>
    </xdr:to>
    <xdr:pic>
      <xdr:nvPicPr>
        <xdr:cNvPr id="237914" name="Imagem 26">
          <a:extLst>
            <a:ext uri="{FF2B5EF4-FFF2-40B4-BE49-F238E27FC236}">
              <a16:creationId xmlns:a16="http://schemas.microsoft.com/office/drawing/2014/main" id="{F7D427FA-DD76-4B5E-AEC9-D57BDBF7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0" y="0"/>
          <a:ext cx="2787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290660</xdr:colOff>
      <xdr:row>4</xdr:row>
      <xdr:rowOff>193966</xdr:rowOff>
    </xdr:from>
    <xdr:to>
      <xdr:col>65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7437585" y="911516"/>
          <a:ext cx="1720397" cy="685171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 editAs="oneCell">
    <xdr:from>
      <xdr:col>50</xdr:col>
      <xdr:colOff>31750</xdr:colOff>
      <xdr:row>0</xdr:row>
      <xdr:rowOff>12700</xdr:rowOff>
    </xdr:from>
    <xdr:to>
      <xdr:col>60</xdr:col>
      <xdr:colOff>50800</xdr:colOff>
      <xdr:row>3</xdr:row>
      <xdr:rowOff>234950</xdr:rowOff>
    </xdr:to>
    <xdr:pic>
      <xdr:nvPicPr>
        <xdr:cNvPr id="238938" name="Imagem 27">
          <a:extLst>
            <a:ext uri="{FF2B5EF4-FFF2-40B4-BE49-F238E27FC236}">
              <a16:creationId xmlns:a16="http://schemas.microsoft.com/office/drawing/2014/main" id="{5D7866C1-F053-42B5-A021-CAFA6ED43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12700"/>
          <a:ext cx="26162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304800</xdr:colOff>
      <xdr:row>4</xdr:row>
      <xdr:rowOff>120650</xdr:rowOff>
    </xdr:from>
    <xdr:to>
      <xdr:col>64</xdr:col>
      <xdr:colOff>82550</xdr:colOff>
      <xdr:row>8</xdr:row>
      <xdr:rowOff>95250</xdr:rowOff>
    </xdr:to>
    <xdr:grpSp>
      <xdr:nvGrpSpPr>
        <xdr:cNvPr id="23893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474883" y="885825"/>
          <a:ext cx="1685925" cy="564092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11</xdr:col>
      <xdr:colOff>12700</xdr:colOff>
      <xdr:row>4</xdr:row>
      <xdr:rowOff>31750</xdr:rowOff>
    </xdr:to>
    <xdr:pic>
      <xdr:nvPicPr>
        <xdr:cNvPr id="233021" name="Imagem 27">
          <a:extLst>
            <a:ext uri="{FF2B5EF4-FFF2-40B4-BE49-F238E27FC236}">
              <a16:creationId xmlns:a16="http://schemas.microsoft.com/office/drawing/2014/main" id="{7EC94C6A-E286-419B-8B04-F1D9B3E87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0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56200" y="981075"/>
          <a:ext cx="1245658" cy="708025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18</xdr:col>
      <xdr:colOff>603250</xdr:colOff>
      <xdr:row>4</xdr:row>
      <xdr:rowOff>31750</xdr:rowOff>
    </xdr:to>
    <xdr:pic>
      <xdr:nvPicPr>
        <xdr:cNvPr id="239896" name="Imagem 27">
          <a:extLst>
            <a:ext uri="{FF2B5EF4-FFF2-40B4-BE49-F238E27FC236}">
              <a16:creationId xmlns:a16="http://schemas.microsoft.com/office/drawing/2014/main" id="{F948DC59-25F6-4623-ADA1-37DD368C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0058400" y="152400"/>
          <a:ext cx="1704975" cy="66675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Unidos, Canadá e México),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e a empresa coligada, ambas localizadas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 editAs="oneCell">
    <xdr:from>
      <xdr:col>16</xdr:col>
      <xdr:colOff>311150</xdr:colOff>
      <xdr:row>0</xdr:row>
      <xdr:rowOff>0</xdr:rowOff>
    </xdr:from>
    <xdr:to>
      <xdr:col>22</xdr:col>
      <xdr:colOff>38100</xdr:colOff>
      <xdr:row>4</xdr:row>
      <xdr:rowOff>203200</xdr:rowOff>
    </xdr:to>
    <xdr:pic>
      <xdr:nvPicPr>
        <xdr:cNvPr id="242818" name="Imagem 27">
          <a:extLst>
            <a:ext uri="{FF2B5EF4-FFF2-40B4-BE49-F238E27FC236}">
              <a16:creationId xmlns:a16="http://schemas.microsoft.com/office/drawing/2014/main" id="{8AD8D9D7-97A8-43C0-B7D9-B2DF14AF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0"/>
          <a:ext cx="3575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53575" y="1276350"/>
          <a:ext cx="1276350" cy="626269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14</xdr:col>
      <xdr:colOff>12700</xdr:colOff>
      <xdr:row>2</xdr:row>
      <xdr:rowOff>393700</xdr:rowOff>
    </xdr:to>
    <xdr:pic>
      <xdr:nvPicPr>
        <xdr:cNvPr id="241107" name="Imagem 15">
          <a:extLst>
            <a:ext uri="{FF2B5EF4-FFF2-40B4-BE49-F238E27FC236}">
              <a16:creationId xmlns:a16="http://schemas.microsoft.com/office/drawing/2014/main" id="{F62D7CFD-A3E0-4C28-BE32-2231A666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25781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0319" y="914400"/>
          <a:ext cx="1262062" cy="642938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21</xdr:col>
      <xdr:colOff>533400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997450" cy="876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120015</xdr:colOff>
      <xdr:row>1</xdr:row>
      <xdr:rowOff>19050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262890" y="192088"/>
          <a:ext cx="4350422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 editAs="oneCell">
    <xdr:from>
      <xdr:col>21</xdr:col>
      <xdr:colOff>568325</xdr:colOff>
      <xdr:row>0</xdr:row>
      <xdr:rowOff>66675</xdr:rowOff>
    </xdr:from>
    <xdr:to>
      <xdr:col>26</xdr:col>
      <xdr:colOff>333374</xdr:colOff>
      <xdr:row>2</xdr:row>
      <xdr:rowOff>558800</xdr:rowOff>
    </xdr:to>
    <xdr:pic>
      <xdr:nvPicPr>
        <xdr:cNvPr id="233818" name="Imagem 14">
          <a:extLst>
            <a:ext uri="{FF2B5EF4-FFF2-40B4-BE49-F238E27FC236}">
              <a16:creationId xmlns:a16="http://schemas.microsoft.com/office/drawing/2014/main" id="{FB423A4A-D1C5-476D-B898-A8F8FD4D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5075" y="66675"/>
          <a:ext cx="2809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305954</xdr:colOff>
      <xdr:row>4</xdr:row>
      <xdr:rowOff>31750</xdr:rowOff>
    </xdr:from>
    <xdr:to>
      <xdr:col>21</xdr:col>
      <xdr:colOff>19049</xdr:colOff>
      <xdr:row>6</xdr:row>
      <xdr:rowOff>200602</xdr:rowOff>
    </xdr:to>
    <xdr:grpSp>
      <xdr:nvGrpSpPr>
        <xdr:cNvPr id="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2257136" y="1232477"/>
          <a:ext cx="2582140" cy="653761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57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 editAs="oneCell">
    <xdr:from>
      <xdr:col>57</xdr:col>
      <xdr:colOff>12700</xdr:colOff>
      <xdr:row>0</xdr:row>
      <xdr:rowOff>0</xdr:rowOff>
    </xdr:from>
    <xdr:to>
      <xdr:col>62</xdr:col>
      <xdr:colOff>107950</xdr:colOff>
      <xdr:row>3</xdr:row>
      <xdr:rowOff>247650</xdr:rowOff>
    </xdr:to>
    <xdr:pic>
      <xdr:nvPicPr>
        <xdr:cNvPr id="234842" name="Imagem 17">
          <a:extLst>
            <a:ext uri="{FF2B5EF4-FFF2-40B4-BE49-F238E27FC236}">
              <a16:creationId xmlns:a16="http://schemas.microsoft.com/office/drawing/2014/main" id="{94E9554B-D061-423F-A221-B77A39E9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117" y="0"/>
          <a:ext cx="2669116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177800</xdr:colOff>
      <xdr:row>5</xdr:row>
      <xdr:rowOff>127000</xdr:rowOff>
    </xdr:from>
    <xdr:to>
      <xdr:col>65</xdr:col>
      <xdr:colOff>603250</xdr:colOff>
      <xdr:row>9</xdr:row>
      <xdr:rowOff>6350</xdr:rowOff>
    </xdr:to>
    <xdr:grpSp>
      <xdr:nvGrpSpPr>
        <xdr:cNvPr id="23484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14925" y="1095375"/>
          <a:ext cx="1695450" cy="581025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2189562" cy="372097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82780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Físicas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59</xdr:col>
      <xdr:colOff>492414</xdr:colOff>
      <xdr:row>4</xdr:row>
      <xdr:rowOff>82550</xdr:rowOff>
    </xdr:to>
    <xdr:pic>
      <xdr:nvPicPr>
        <xdr:cNvPr id="235868" name="Imagem 20">
          <a:extLst>
            <a:ext uri="{FF2B5EF4-FFF2-40B4-BE49-F238E27FC236}">
              <a16:creationId xmlns:a16="http://schemas.microsoft.com/office/drawing/2014/main" id="{9A27D242-3440-4A5C-978B-665DBB36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0"/>
          <a:ext cx="2705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381002</xdr:colOff>
      <xdr:row>5</xdr:row>
      <xdr:rowOff>49521</xdr:rowOff>
    </xdr:from>
    <xdr:to>
      <xdr:col>63</xdr:col>
      <xdr:colOff>779318</xdr:colOff>
      <xdr:row>8</xdr:row>
      <xdr:rowOff>61820</xdr:rowOff>
    </xdr:to>
    <xdr:grpSp>
      <xdr:nvGrpSpPr>
        <xdr:cNvPr id="23586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F8A35A-0D57-4A33-B678-12272670E2E3}"/>
            </a:ext>
          </a:extLst>
        </xdr:cNvPr>
        <xdr:cNvGrpSpPr>
          <a:grpSpLocks/>
        </xdr:cNvGrpSpPr>
      </xdr:nvGrpSpPr>
      <xdr:grpSpPr bwMode="auto">
        <a:xfrm>
          <a:off x="7324727" y="827396"/>
          <a:ext cx="2189016" cy="561574"/>
          <a:chOff x="10591572" y="355285"/>
          <a:chExt cx="1282807" cy="579320"/>
        </a:xfrm>
      </xdr:grpSpPr>
      <xdr:sp macro="" textlink="">
        <xdr:nvSpPr>
          <xdr:cNvPr id="235870" name="Seta para a esquerda 3">
            <a:extLst>
              <a:ext uri="{FF2B5EF4-FFF2-40B4-BE49-F238E27FC236}">
                <a16:creationId xmlns:a16="http://schemas.microsoft.com/office/drawing/2014/main" id="{0B17B976-BA06-4D80-87CF-26972B7AEBF4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11F8E7E5-1F36-4A57-9F07-187A5016123B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 editAs="oneCell">
    <xdr:from>
      <xdr:col>59</xdr:col>
      <xdr:colOff>641350</xdr:colOff>
      <xdr:row>0</xdr:row>
      <xdr:rowOff>6350</xdr:rowOff>
    </xdr:from>
    <xdr:to>
      <xdr:col>65</xdr:col>
      <xdr:colOff>153670</xdr:colOff>
      <xdr:row>3</xdr:row>
      <xdr:rowOff>295910</xdr:rowOff>
    </xdr:to>
    <xdr:pic>
      <xdr:nvPicPr>
        <xdr:cNvPr id="2" name="Imagem 21">
          <a:extLst>
            <a:ext uri="{FF2B5EF4-FFF2-40B4-BE49-F238E27FC236}">
              <a16:creationId xmlns:a16="http://schemas.microsoft.com/office/drawing/2014/main" id="{859B9EEC-2D53-44A8-9167-0A8478AA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6350"/>
          <a:ext cx="29718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67</xdr:col>
      <xdr:colOff>0</xdr:colOff>
      <xdr:row>5</xdr:row>
      <xdr:rowOff>12700</xdr:rowOff>
    </xdr:from>
    <xdr:to>
      <xdr:col>69</xdr:col>
      <xdr:colOff>444500</xdr:colOff>
      <xdr:row>8</xdr:row>
      <xdr:rowOff>31750</xdr:rowOff>
    </xdr:to>
    <xdr:grpSp>
      <xdr:nvGrpSpPr>
        <xdr:cNvPr id="236891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400800" y="1076325"/>
          <a:ext cx="1724025" cy="561975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54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63</xdr:col>
      <xdr:colOff>482600</xdr:colOff>
      <xdr:row>4</xdr:row>
      <xdr:rowOff>95250</xdr:rowOff>
    </xdr:to>
    <xdr:pic>
      <xdr:nvPicPr>
        <xdr:cNvPr id="230977" name="Imagem 24">
          <a:extLst>
            <a:ext uri="{FF2B5EF4-FFF2-40B4-BE49-F238E27FC236}">
              <a16:creationId xmlns:a16="http://schemas.microsoft.com/office/drawing/2014/main" id="{9486190F-A031-495E-8D24-0946775A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0"/>
          <a:ext cx="2736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317500</xdr:colOff>
      <xdr:row>5</xdr:row>
      <xdr:rowOff>152400</xdr:rowOff>
    </xdr:from>
    <xdr:to>
      <xdr:col>68</xdr:col>
      <xdr:colOff>88900</xdr:colOff>
      <xdr:row>11</xdr:row>
      <xdr:rowOff>82550</xdr:rowOff>
    </xdr:to>
    <xdr:grpSp>
      <xdr:nvGrpSpPr>
        <xdr:cNvPr id="23097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7391400" y="1066800"/>
          <a:ext cx="1685925" cy="53340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 editAs="oneCell">
    <xdr:from>
      <xdr:col>53</xdr:col>
      <xdr:colOff>19050</xdr:colOff>
      <xdr:row>0</xdr:row>
      <xdr:rowOff>0</xdr:rowOff>
    </xdr:from>
    <xdr:to>
      <xdr:col>56</xdr:col>
      <xdr:colOff>552450</xdr:colOff>
      <xdr:row>3</xdr:row>
      <xdr:rowOff>139700</xdr:rowOff>
    </xdr:to>
    <xdr:pic>
      <xdr:nvPicPr>
        <xdr:cNvPr id="232001" name="Imagem 28">
          <a:extLst>
            <a:ext uri="{FF2B5EF4-FFF2-40B4-BE49-F238E27FC236}">
              <a16:creationId xmlns:a16="http://schemas.microsoft.com/office/drawing/2014/main" id="{9C1E498C-DFF3-450D-965A-97E81781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0"/>
          <a:ext cx="25336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293688</xdr:colOff>
      <xdr:row>5</xdr:row>
      <xdr:rowOff>50799</xdr:rowOff>
    </xdr:from>
    <xdr:to>
      <xdr:col>67</xdr:col>
      <xdr:colOff>412751</xdr:colOff>
      <xdr:row>9</xdr:row>
      <xdr:rowOff>55563</xdr:rowOff>
    </xdr:to>
    <xdr:grpSp>
      <xdr:nvGrpSpPr>
        <xdr:cNvPr id="232002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46790069" y="1313889"/>
          <a:ext cx="2096154" cy="691498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BaseDadosRisio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Divulga&#231;&#227;o%20Capex%20Consolidado%20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Divulaga&#231;&#227;o%20Capex%20Consolidado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Divulga&#231;&#227;o%20Capex%20Consolidado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3T22/1.%20Base%20de%20Dados/Divulga&#231;&#227;o%20Capex%20Consolidado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0_Tabelas_Book_Sem_Link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200_Tabelas_Book_Sem_Links_V3_0402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200_Tabelas_Book_sem_Link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0_Tabelas_Book_sem_lin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21.06%20-%20Base%20de%20dados%20Trimestrais%20Gerdau%20S.A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21.09%20-%20Base%20de%20dados%20Trimestrais%20Gerdau%20S.A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BaseDadosRisio_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2022.03%20-%20Base%20de%20dados%20Trimestrais%20Gerdau%20SA%20v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Gerdau%20-%20Empresa%20e%20Consolidado%20set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Gerdau%20-%20Empresa%20e%20Consolidado%20dez2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Gerdau%20-%20Empresa%20e%20Consolidado%20jun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3T22/1.%20Base%20de%20Dados/Gerdau%20-%20Empresa%20e%20Consolidado%20Set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Gerdau%20-%20Empresa%20e%20Consolidado%20mar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141/AppData/Local/Microsoft/Windows/INetCache/Content.Outlook/10P0CM4P/Informacoes%20Pro%20Forma%20(00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3T22/1.%20Base%20de%20Dados/BaseDadosRisio_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4T21/1.%20Base%20de%20dados/BaseDadosRisio_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BaseDadosRisio_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BaseDadosRisio_2022%20-%20ATUALIZAD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2T22/1.%20Base%20de%20Dados/200_Tabelas_Book_Sem_Links_1207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3T22/1.%20Base%20de%20Dados/200_Tabelas_Book_sem_links_141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Divulga&#231;&#227;o%20Capex%2009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8_CF_Parte3"/>
      <sheetName val="R13_Custo_Suc_USD"/>
      <sheetName val="R14_Custo_Gusa_USD"/>
      <sheetName val="R15_Preco_USD"/>
      <sheetName val="R16_CF_Parte1"/>
      <sheetName val="R17_CF_Parte2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>
        <row r="9">
          <cell r="P9">
            <v>17267.5</v>
          </cell>
        </row>
        <row r="32">
          <cell r="P32">
            <v>1425</v>
          </cell>
        </row>
        <row r="39">
          <cell r="P39">
            <v>1100</v>
          </cell>
        </row>
      </sheetData>
      <sheetData sheetId="4">
        <row r="12">
          <cell r="P12">
            <v>7266</v>
          </cell>
        </row>
        <row r="31">
          <cell r="P31">
            <v>2928</v>
          </cell>
        </row>
        <row r="41">
          <cell r="L41">
            <v>4867</v>
          </cell>
        </row>
        <row r="54">
          <cell r="P54">
            <v>903</v>
          </cell>
        </row>
      </sheetData>
      <sheetData sheetId="5">
        <row r="11">
          <cell r="P11">
            <v>1526.723027</v>
          </cell>
        </row>
        <row r="31">
          <cell r="P31">
            <v>493.96403995270003</v>
          </cell>
        </row>
        <row r="41">
          <cell r="P41">
            <v>1213.601905</v>
          </cell>
        </row>
        <row r="54">
          <cell r="P54">
            <v>171.62424912318428</v>
          </cell>
        </row>
      </sheetData>
      <sheetData sheetId="6"/>
      <sheetData sheetId="7">
        <row r="11">
          <cell r="P11">
            <v>1159.2489540000001</v>
          </cell>
        </row>
        <row r="31">
          <cell r="P31">
            <v>514.15926814039994</v>
          </cell>
        </row>
        <row r="41">
          <cell r="P41">
            <v>1108.156056</v>
          </cell>
        </row>
        <row r="54">
          <cell r="P54">
            <v>193.2076705053251</v>
          </cell>
        </row>
      </sheetData>
      <sheetData sheetId="8"/>
      <sheetData sheetId="9"/>
      <sheetData sheetId="10"/>
      <sheetData sheetId="11"/>
      <sheetData sheetId="12">
        <row r="9">
          <cell r="P9">
            <v>3055.1579636465481</v>
          </cell>
        </row>
        <row r="13">
          <cell r="P13">
            <v>1084.8579999999999</v>
          </cell>
        </row>
        <row r="14">
          <cell r="P14">
            <v>299.17100000000005</v>
          </cell>
        </row>
        <row r="31">
          <cell r="P31">
            <v>418.01790396834826</v>
          </cell>
        </row>
        <row r="41">
          <cell r="P41">
            <v>1094.4005621472002</v>
          </cell>
        </row>
        <row r="54">
          <cell r="P54">
            <v>332.43974353099998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8">
          <cell r="F68">
            <v>0.13784809871330708</v>
          </cell>
          <cell r="G68">
            <v>0.13698022947514946</v>
          </cell>
          <cell r="H68">
            <v>9.5246468584871929E-2</v>
          </cell>
          <cell r="I68">
            <v>0.16539726427379775</v>
          </cell>
          <cell r="J68">
            <v>0.13987048709215641</v>
          </cell>
        </row>
        <row r="79">
          <cell r="F79">
            <v>4.2850654949417262E-2</v>
          </cell>
          <cell r="G79">
            <v>5.7889511464809022E-2</v>
          </cell>
          <cell r="H79">
            <v>3.5856910847110179E-2</v>
          </cell>
          <cell r="I79">
            <v>4.4311947145740646E-2</v>
          </cell>
          <cell r="J79">
            <v>4.8523179223483107E-2</v>
          </cell>
        </row>
        <row r="83">
          <cell r="F83">
            <v>4.140181187160516E-2</v>
          </cell>
          <cell r="G83">
            <v>1.7919899694130246E-2</v>
          </cell>
          <cell r="H83">
            <v>1.1872386408775254E-2</v>
          </cell>
          <cell r="I83">
            <v>3.6314519830463771E-2</v>
          </cell>
          <cell r="J83">
            <v>2.906713642503797E-2</v>
          </cell>
        </row>
        <row r="85">
          <cell r="F85">
            <v>0.37842112586634868</v>
          </cell>
          <cell r="G85">
            <v>0.64747391340989924</v>
          </cell>
          <cell r="H85">
            <v>0.73704808914781161</v>
          </cell>
          <cell r="I85">
            <v>0.5638485159497354</v>
          </cell>
          <cell r="J85">
            <v>0.54632681141350314</v>
          </cell>
        </row>
        <row r="93">
          <cell r="F93">
            <v>0.31176196639870268</v>
          </cell>
          <cell r="G93">
            <v>5.474843544577266E-2</v>
          </cell>
          <cell r="H93">
            <v>7.2665377115482779E-2</v>
          </cell>
          <cell r="I93">
            <v>8.5784381509537252E-2</v>
          </cell>
          <cell r="J93">
            <v>0.14920071978486499</v>
          </cell>
        </row>
        <row r="102">
          <cell r="F102">
            <v>8.7716342200618053E-2</v>
          </cell>
          <cell r="G102">
            <v>8.4988010510239395E-2</v>
          </cell>
          <cell r="H102">
            <v>4.7310767895947979E-2</v>
          </cell>
          <cell r="I102">
            <v>0.10434337129072536</v>
          </cell>
          <cell r="J102">
            <v>8.7011666060954035E-2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"/>
      <sheetName val="Exterior"/>
    </sheetNames>
    <sheetDataSet>
      <sheetData sheetId="0">
        <row r="38">
          <cell r="AY38">
            <v>676750.78914000012</v>
          </cell>
        </row>
        <row r="39">
          <cell r="AY39">
            <v>202083.69974000001</v>
          </cell>
        </row>
        <row r="42">
          <cell r="AY42">
            <v>36315</v>
          </cell>
        </row>
        <row r="46">
          <cell r="AY46">
            <v>279381</v>
          </cell>
        </row>
        <row r="49">
          <cell r="AY49">
            <v>20415.031129999999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  <sheetName val="Historico"/>
      <sheetName val="Brasil"/>
      <sheetName val="Exterior"/>
    </sheetNames>
    <sheetDataSet>
      <sheetData sheetId="0">
        <row r="37">
          <cell r="L37">
            <v>314407.62955999991</v>
          </cell>
        </row>
        <row r="38">
          <cell r="L38">
            <v>82798.61103</v>
          </cell>
        </row>
        <row r="41">
          <cell r="L41">
            <v>33354</v>
          </cell>
        </row>
        <row r="45">
          <cell r="L45">
            <v>142673</v>
          </cell>
        </row>
        <row r="47">
          <cell r="L47">
            <v>19623.316119999996</v>
          </cell>
        </row>
      </sheetData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2022"/>
      <sheetName val="Historico"/>
      <sheetName val="Exterior"/>
      <sheetName val="Brasil"/>
      <sheetName val="Brasil 05.2022"/>
      <sheetName val="Brasil 04.2022"/>
      <sheetName val="Brasil 03.2022"/>
      <sheetName val="Brasil 02.2022"/>
      <sheetName val="Brasil 01.2022"/>
      <sheetName val="Brasil 12.2021"/>
      <sheetName val="Brasil 11.2021"/>
      <sheetName val="Brasil 10.2021"/>
      <sheetName val="Brasil 09.2021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/>
      <sheetData sheetId="1">
        <row r="37">
          <cell r="Y37">
            <v>569756.28667999967</v>
          </cell>
        </row>
        <row r="39">
          <cell r="Y39">
            <v>135005.00352999999</v>
          </cell>
        </row>
        <row r="42">
          <cell r="Y42">
            <v>26805</v>
          </cell>
        </row>
        <row r="46">
          <cell r="Y46">
            <v>189412</v>
          </cell>
        </row>
        <row r="48">
          <cell r="Y48">
            <v>38003.862000000001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2022"/>
      <sheetName val="Historico"/>
      <sheetName val="Exterior"/>
      <sheetName val="Brasil"/>
      <sheetName val="Brasil 08.2022"/>
      <sheetName val="Brasil 07.2022"/>
      <sheetName val="Brasil 06.2022"/>
      <sheetName val="Brasil 05.2022"/>
      <sheetName val="Brasil 04.2022"/>
      <sheetName val="Brasil 03.2022"/>
      <sheetName val="Brasil 02.2022"/>
      <sheetName val="Brasil 01.2022"/>
      <sheetName val="Brasil 12.2021"/>
      <sheetName val="Brasil 11.2021"/>
      <sheetName val="Brasil 10.2021"/>
      <sheetName val="Brasil 09.2021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/>
      <sheetData sheetId="1">
        <row r="41">
          <cell r="AL41">
            <v>617202.45474900003</v>
          </cell>
        </row>
        <row r="42">
          <cell r="AL42">
            <v>160876.35477999999</v>
          </cell>
        </row>
        <row r="45">
          <cell r="AL45">
            <v>39534</v>
          </cell>
        </row>
        <row r="49">
          <cell r="AL49">
            <v>240917</v>
          </cell>
        </row>
        <row r="51">
          <cell r="AL51">
            <v>-2615.6150199999997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21317.021469619998</v>
          </cell>
        </row>
        <row r="12">
          <cell r="G12">
            <v>-14897.923014976077</v>
          </cell>
        </row>
        <row r="16">
          <cell r="G16">
            <v>-527.37852305881938</v>
          </cell>
        </row>
        <row r="22">
          <cell r="G22">
            <v>53.649599370000047</v>
          </cell>
        </row>
        <row r="27">
          <cell r="G27">
            <v>270.88209413000004</v>
          </cell>
        </row>
        <row r="28">
          <cell r="G28">
            <v>7389.2135370751021</v>
          </cell>
        </row>
        <row r="29">
          <cell r="G29">
            <v>672.67189838607885</v>
          </cell>
        </row>
        <row r="40">
          <cell r="G40">
            <v>7023.1066279122997</v>
          </cell>
        </row>
        <row r="42">
          <cell r="G42">
            <v>0.32946003445750133</v>
          </cell>
        </row>
        <row r="44">
          <cell r="G44">
            <v>77.579267029999983</v>
          </cell>
        </row>
        <row r="52">
          <cell r="G52">
            <v>7465.7928041051018</v>
          </cell>
        </row>
        <row r="53">
          <cell r="G53">
            <v>-1872.4039591999999</v>
          </cell>
        </row>
        <row r="58">
          <cell r="G58">
            <v>5594.3888449051019</v>
          </cell>
        </row>
        <row r="62">
          <cell r="G62">
            <v>4560.3888449051019</v>
          </cell>
        </row>
        <row r="66">
          <cell r="G66">
            <v>5.2286000000000001</v>
          </cell>
        </row>
        <row r="67">
          <cell r="G67">
            <v>5.4394</v>
          </cell>
        </row>
      </sheetData>
      <sheetData sheetId="2">
        <row r="18">
          <cell r="L18">
            <v>539.26817008316004</v>
          </cell>
        </row>
        <row r="24">
          <cell r="L24">
            <v>601.82352177494158</v>
          </cell>
        </row>
        <row r="93">
          <cell r="L93">
            <v>2870.9906688400015</v>
          </cell>
        </row>
        <row r="99">
          <cell r="L99">
            <v>1860.1730419100004</v>
          </cell>
        </row>
        <row r="193">
          <cell r="L193">
            <v>465.77884522000204</v>
          </cell>
        </row>
        <row r="199">
          <cell r="L199">
            <v>422.59148721958991</v>
          </cell>
        </row>
        <row r="368">
          <cell r="L368">
            <v>113.14889082000005</v>
          </cell>
        </row>
        <row r="374">
          <cell r="L374">
            <v>54.238963420410997</v>
          </cell>
        </row>
      </sheetData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Planilha1"/>
      <sheetName val="Consolidado"/>
      <sheetName val="CONSOLIDADO_TABELA"/>
      <sheetName val="BRASIL_TABELA"/>
    </sheetNames>
    <sheetDataSet>
      <sheetData sheetId="0"/>
      <sheetData sheetId="1"/>
      <sheetData sheetId="2">
        <row r="10">
          <cell r="G10">
            <v>21554.923653219994</v>
          </cell>
        </row>
        <row r="12">
          <cell r="G12">
            <v>-16367.808978170004</v>
          </cell>
        </row>
        <row r="16">
          <cell r="G16">
            <v>-632.62107059904838</v>
          </cell>
        </row>
        <row r="21">
          <cell r="G21">
            <v>6.5557336299999998</v>
          </cell>
        </row>
        <row r="22">
          <cell r="G22">
            <v>209.43941605999999</v>
          </cell>
        </row>
        <row r="24">
          <cell r="G24">
            <v>-162.91300000000001</v>
          </cell>
        </row>
        <row r="28">
          <cell r="G28">
            <v>-93.899316550000734</v>
          </cell>
        </row>
        <row r="29">
          <cell r="G29">
            <v>4513.6764375909406</v>
          </cell>
        </row>
        <row r="42">
          <cell r="G42">
            <v>5983.1409012827653</v>
          </cell>
        </row>
        <row r="44">
          <cell r="G44">
            <v>0.2775765294992808</v>
          </cell>
        </row>
        <row r="46">
          <cell r="G46">
            <v>-615.19682573999989</v>
          </cell>
        </row>
        <row r="55">
          <cell r="G55">
            <v>-338.49478019000065</v>
          </cell>
        </row>
        <row r="64">
          <cell r="G64">
            <v>3478.98483166094</v>
          </cell>
        </row>
        <row r="68">
          <cell r="G68">
            <v>5.5860000000000003</v>
          </cell>
        </row>
        <row r="69">
          <cell r="G69">
            <v>5.5804999999999998</v>
          </cell>
        </row>
      </sheetData>
      <sheetData sheetId="3">
        <row r="11">
          <cell r="L11">
            <v>2795.7837945899955</v>
          </cell>
        </row>
        <row r="14">
          <cell r="L14">
            <v>2162.1317792987861</v>
          </cell>
        </row>
        <row r="18">
          <cell r="L18">
            <v>539.81133636698041</v>
          </cell>
        </row>
        <row r="24">
          <cell r="L24">
            <v>520.96415285555315</v>
          </cell>
        </row>
        <row r="89">
          <cell r="L89">
            <v>7893.4912818899993</v>
          </cell>
        </row>
        <row r="93">
          <cell r="L93">
            <v>3029.2601900599998</v>
          </cell>
        </row>
        <row r="99">
          <cell r="L99">
            <v>2240.0591712999994</v>
          </cell>
        </row>
        <row r="189">
          <cell r="L189">
            <v>1835.0068025599949</v>
          </cell>
        </row>
        <row r="193">
          <cell r="L193">
            <v>395.13400023000031</v>
          </cell>
        </row>
        <row r="199">
          <cell r="L199">
            <v>409.10830063000003</v>
          </cell>
        </row>
        <row r="361">
          <cell r="L361">
            <v>340.4573596799998</v>
          </cell>
        </row>
        <row r="364">
          <cell r="L364">
            <v>165.78972115000005</v>
          </cell>
        </row>
        <row r="368">
          <cell r="L368">
            <v>137.08820893999996</v>
          </cell>
        </row>
        <row r="374">
          <cell r="L374">
            <v>56.292812050000009</v>
          </cell>
        </row>
      </sheetData>
      <sheetData sheetId="4">
        <row r="143">
          <cell r="L143">
            <v>7363.9133017699951</v>
          </cell>
        </row>
        <row r="144">
          <cell r="L144">
            <v>1510.3607099000001</v>
          </cell>
        </row>
        <row r="194">
          <cell r="L194">
            <v>2527.541116149996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20330.4908406</v>
          </cell>
        </row>
        <row r="12">
          <cell r="G12">
            <v>-15149.406676931603</v>
          </cell>
        </row>
        <row r="14">
          <cell r="G14">
            <v>5181.0841636683963</v>
          </cell>
        </row>
        <row r="16">
          <cell r="G16">
            <v>-494.27137114627328</v>
          </cell>
        </row>
        <row r="21">
          <cell r="G21">
            <v>0.62537251000000027</v>
          </cell>
        </row>
        <row r="22">
          <cell r="G22">
            <v>17.734439130000002</v>
          </cell>
        </row>
        <row r="28">
          <cell r="G28">
            <v>308.6202891500003</v>
          </cell>
        </row>
        <row r="30">
          <cell r="G30">
            <v>658.82659935160007</v>
          </cell>
        </row>
        <row r="42">
          <cell r="G42">
            <v>5827.3990098130371</v>
          </cell>
        </row>
        <row r="44">
          <cell r="G44">
            <v>0.28663346377135757</v>
          </cell>
        </row>
        <row r="52">
          <cell r="G52">
            <v>0</v>
          </cell>
        </row>
        <row r="55">
          <cell r="G55">
            <v>-1569.7477536099998</v>
          </cell>
        </row>
        <row r="68">
          <cell r="G68">
            <v>5.2298999999999998</v>
          </cell>
        </row>
        <row r="69">
          <cell r="G69">
            <v>4.7378</v>
          </cell>
        </row>
      </sheetData>
      <sheetData sheetId="2">
        <row r="11">
          <cell r="L11">
            <v>1950.92461839</v>
          </cell>
        </row>
        <row r="14">
          <cell r="L14">
            <v>2711.2312376295145</v>
          </cell>
        </row>
        <row r="18">
          <cell r="L18">
            <v>691.97410519633195</v>
          </cell>
        </row>
        <row r="24">
          <cell r="L24">
            <v>482.80170349996149</v>
          </cell>
        </row>
        <row r="89">
          <cell r="L89">
            <v>8222.1655354399991</v>
          </cell>
        </row>
        <row r="93">
          <cell r="L93">
            <v>3218.7601118700004</v>
          </cell>
        </row>
        <row r="99">
          <cell r="L99">
            <v>1752.8851916200006</v>
          </cell>
        </row>
        <row r="189">
          <cell r="L189">
            <v>2366.480355499999</v>
          </cell>
        </row>
        <row r="193">
          <cell r="L193">
            <v>617.72036612000056</v>
          </cell>
        </row>
        <row r="199">
          <cell r="L199">
            <v>348.21595160840025</v>
          </cell>
        </row>
        <row r="361">
          <cell r="L361">
            <v>331.21538098000008</v>
          </cell>
        </row>
        <row r="364">
          <cell r="L364">
            <v>152.49295837</v>
          </cell>
        </row>
        <row r="368">
          <cell r="L368">
            <v>125.74121510000001</v>
          </cell>
        </row>
        <row r="374">
          <cell r="L374">
            <v>48.385290161599997</v>
          </cell>
        </row>
      </sheetData>
      <sheetData sheetId="3">
        <row r="143">
          <cell r="L143">
            <v>6862.2105640000009</v>
          </cell>
        </row>
        <row r="144">
          <cell r="L144">
            <v>1159.6035477999999</v>
          </cell>
        </row>
        <row r="194">
          <cell r="L194">
            <v>1795.33597009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27">
          <cell r="G27">
            <v>5562.6899470207527</v>
          </cell>
        </row>
        <row r="50">
          <cell r="G50">
            <v>5620.570127520753</v>
          </cell>
        </row>
        <row r="53">
          <cell r="G53">
            <v>291.03699999999998</v>
          </cell>
        </row>
      </sheetData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 1T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-856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-1391.28</v>
          </cell>
        </row>
        <row r="28">
          <cell r="B28">
            <v>-107.571</v>
          </cell>
        </row>
        <row r="30">
          <cell r="B30">
            <v>465.51799999999997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>
        <row r="9">
          <cell r="F9">
            <v>16497.599999999999</v>
          </cell>
        </row>
        <row r="32">
          <cell r="F32">
            <v>1390</v>
          </cell>
        </row>
        <row r="39">
          <cell r="F39">
            <v>1100</v>
          </cell>
        </row>
        <row r="41">
          <cell r="F41">
            <v>5406.6</v>
          </cell>
        </row>
        <row r="54">
          <cell r="F54">
            <v>890</v>
          </cell>
        </row>
      </sheetData>
      <sheetData sheetId="4">
        <row r="11">
          <cell r="F11">
            <v>7266</v>
          </cell>
        </row>
        <row r="31">
          <cell r="F31">
            <v>2928</v>
          </cell>
        </row>
        <row r="41">
          <cell r="F41">
            <v>4494</v>
          </cell>
        </row>
        <row r="54">
          <cell r="F54">
            <v>903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SGA"/>
      <sheetName val="DVGA ppt"/>
      <sheetName val="3-Informações consolidadas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- ano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CAPEX anual"/>
      <sheetName val="Dividendos - ano"/>
      <sheetName val="Dividendos"/>
      <sheetName val="outros"/>
    </sheetNames>
    <sheetDataSet>
      <sheetData sheetId="0"/>
      <sheetData sheetId="1"/>
      <sheetData sheetId="2">
        <row r="28">
          <cell r="B28">
            <v>0</v>
          </cell>
        </row>
        <row r="31">
          <cell r="B31">
            <v>0</v>
          </cell>
        </row>
        <row r="32">
          <cell r="B32">
            <v>0</v>
          </cell>
        </row>
        <row r="34">
          <cell r="B34">
            <v>2939.6508836321245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3976077</v>
          </cell>
        </row>
        <row r="8">
          <cell r="C8">
            <v>4454507</v>
          </cell>
        </row>
        <row r="9">
          <cell r="C9">
            <v>6416155</v>
          </cell>
        </row>
        <row r="11">
          <cell r="C11">
            <v>2236373</v>
          </cell>
        </row>
        <row r="12">
          <cell r="C12">
            <v>597899</v>
          </cell>
        </row>
        <row r="15">
          <cell r="C15">
            <v>1524933</v>
          </cell>
        </row>
        <row r="16">
          <cell r="C16">
            <v>597054</v>
          </cell>
        </row>
        <row r="19">
          <cell r="C19">
            <v>208546</v>
          </cell>
        </row>
        <row r="20">
          <cell r="C20">
            <v>2298605</v>
          </cell>
        </row>
        <row r="22">
          <cell r="C22">
            <v>152988</v>
          </cell>
        </row>
        <row r="23">
          <cell r="C23">
            <v>1837213</v>
          </cell>
        </row>
        <row r="24">
          <cell r="C24">
            <v>548319</v>
          </cell>
        </row>
        <row r="27">
          <cell r="C27">
            <v>2977883</v>
          </cell>
        </row>
        <row r="28">
          <cell r="C28">
            <v>12651253</v>
          </cell>
        </row>
        <row r="29">
          <cell r="C29">
            <v>850797</v>
          </cell>
        </row>
        <row r="30">
          <cell r="C30">
            <v>507558</v>
          </cell>
        </row>
        <row r="31">
          <cell r="C31">
            <v>17872237</v>
          </cell>
        </row>
        <row r="43">
          <cell r="C43">
            <v>7244509</v>
          </cell>
        </row>
        <row r="44">
          <cell r="C44">
            <v>694949</v>
          </cell>
        </row>
        <row r="45">
          <cell r="C45">
            <v>52039</v>
          </cell>
        </row>
        <row r="46">
          <cell r="C46">
            <v>894099</v>
          </cell>
        </row>
        <row r="47">
          <cell r="C47">
            <v>1383119</v>
          </cell>
        </row>
        <row r="48">
          <cell r="C48">
            <v>971238</v>
          </cell>
        </row>
        <row r="49">
          <cell r="C49">
            <v>550904</v>
          </cell>
        </row>
        <row r="50">
          <cell r="C50">
            <v>264617</v>
          </cell>
        </row>
        <row r="52">
          <cell r="C52">
            <v>210922</v>
          </cell>
        </row>
        <row r="53">
          <cell r="C53">
            <v>4142</v>
          </cell>
        </row>
        <row r="54">
          <cell r="C54">
            <v>46684</v>
          </cell>
        </row>
        <row r="55">
          <cell r="C55">
            <v>837833</v>
          </cell>
        </row>
        <row r="58">
          <cell r="C58">
            <v>13477670</v>
          </cell>
        </row>
        <row r="59">
          <cell r="C59">
            <v>2896398</v>
          </cell>
        </row>
        <row r="60">
          <cell r="C60">
            <v>52217</v>
          </cell>
        </row>
        <row r="61">
          <cell r="C61">
            <v>58010</v>
          </cell>
        </row>
        <row r="63">
          <cell r="C63">
            <v>1265196</v>
          </cell>
        </row>
        <row r="64">
          <cell r="C64">
            <v>334434</v>
          </cell>
        </row>
        <row r="65">
          <cell r="C65">
            <v>1836941</v>
          </cell>
        </row>
        <row r="67">
          <cell r="C67">
            <v>640450</v>
          </cell>
        </row>
        <row r="68">
          <cell r="C68">
            <v>347392</v>
          </cell>
        </row>
        <row r="71">
          <cell r="C71">
            <v>19249181</v>
          </cell>
        </row>
        <row r="72">
          <cell r="C72">
            <v>-152973</v>
          </cell>
        </row>
        <row r="73">
          <cell r="C73">
            <v>11597</v>
          </cell>
        </row>
        <row r="74">
          <cell r="C74">
            <v>7358750</v>
          </cell>
        </row>
        <row r="75">
          <cell r="C75">
            <v>9693850</v>
          </cell>
        </row>
        <row r="76">
          <cell r="C76">
            <v>4922620</v>
          </cell>
        </row>
        <row r="79">
          <cell r="C79">
            <v>215379</v>
          </cell>
        </row>
      </sheetData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7">
          <cell r="I7">
            <v>4160654</v>
          </cell>
        </row>
        <row r="8">
          <cell r="I8">
            <v>2626212</v>
          </cell>
        </row>
        <row r="10">
          <cell r="I10">
            <v>5414075</v>
          </cell>
        </row>
        <row r="11">
          <cell r="I11">
            <v>16861488</v>
          </cell>
        </row>
        <row r="12">
          <cell r="I12">
            <v>2083885</v>
          </cell>
        </row>
        <row r="13">
          <cell r="I13">
            <v>804053</v>
          </cell>
        </row>
        <row r="14">
          <cell r="I14">
            <v>7671</v>
          </cell>
        </row>
        <row r="15">
          <cell r="I15">
            <v>3246</v>
          </cell>
        </row>
        <row r="16">
          <cell r="I16">
            <v>679193</v>
          </cell>
        </row>
        <row r="19">
          <cell r="I19">
            <v>124600</v>
          </cell>
        </row>
        <row r="20">
          <cell r="I20">
            <v>2929308</v>
          </cell>
        </row>
        <row r="22">
          <cell r="I22">
            <v>2678</v>
          </cell>
        </row>
        <row r="23">
          <cell r="I23">
            <v>1659379</v>
          </cell>
        </row>
        <row r="24">
          <cell r="I24">
            <v>571637</v>
          </cell>
        </row>
        <row r="25">
          <cell r="I25">
            <v>4942</v>
          </cell>
        </row>
        <row r="28">
          <cell r="I28">
            <v>3340775</v>
          </cell>
        </row>
        <row r="30">
          <cell r="I30">
            <v>12427527</v>
          </cell>
        </row>
        <row r="31">
          <cell r="I31">
            <v>861744</v>
          </cell>
        </row>
        <row r="32">
          <cell r="I32">
            <v>509760</v>
          </cell>
        </row>
        <row r="33">
          <cell r="I33">
            <v>18741786</v>
          </cell>
        </row>
        <row r="46">
          <cell r="I46">
            <v>234537</v>
          </cell>
        </row>
        <row r="47">
          <cell r="I47">
            <v>1531956</v>
          </cell>
        </row>
        <row r="48">
          <cell r="I48">
            <v>548173</v>
          </cell>
        </row>
        <row r="49">
          <cell r="I49">
            <v>863136</v>
          </cell>
        </row>
        <row r="50">
          <cell r="I50">
            <v>1199143</v>
          </cell>
        </row>
        <row r="51">
          <cell r="I51">
            <v>0</v>
          </cell>
        </row>
        <row r="52">
          <cell r="I52">
            <v>275086</v>
          </cell>
        </row>
        <row r="53">
          <cell r="I53">
            <v>39</v>
          </cell>
        </row>
        <row r="54">
          <cell r="I54">
            <v>231711</v>
          </cell>
        </row>
        <row r="55">
          <cell r="I55">
            <v>0</v>
          </cell>
        </row>
        <row r="56">
          <cell r="I56">
            <v>45497</v>
          </cell>
        </row>
        <row r="57">
          <cell r="I57">
            <v>1090396</v>
          </cell>
        </row>
        <row r="60">
          <cell r="I60">
            <v>10875249</v>
          </cell>
        </row>
        <row r="61">
          <cell r="I61">
            <v>1397951</v>
          </cell>
        </row>
        <row r="62">
          <cell r="I62">
            <v>24648</v>
          </cell>
        </row>
        <row r="63">
          <cell r="I63">
            <v>98975</v>
          </cell>
        </row>
        <row r="65">
          <cell r="I65">
            <v>1741026</v>
          </cell>
        </row>
        <row r="66">
          <cell r="I66">
            <v>343998</v>
          </cell>
        </row>
        <row r="67">
          <cell r="I67">
            <v>1415151</v>
          </cell>
        </row>
        <row r="69">
          <cell r="I69">
            <v>643279</v>
          </cell>
        </row>
        <row r="70">
          <cell r="I70">
            <v>421873</v>
          </cell>
        </row>
        <row r="74">
          <cell r="I74">
            <v>-152409</v>
          </cell>
        </row>
        <row r="75">
          <cell r="I75">
            <v>11597</v>
          </cell>
        </row>
        <row r="76">
          <cell r="I76">
            <v>17838494</v>
          </cell>
        </row>
        <row r="77">
          <cell r="I77">
            <v>5657419</v>
          </cell>
        </row>
        <row r="80">
          <cell r="I80">
            <v>211367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7">
          <cell r="I7">
            <v>5776753</v>
          </cell>
        </row>
        <row r="8">
          <cell r="I8">
            <v>1977982</v>
          </cell>
        </row>
        <row r="9">
          <cell r="I9">
            <v>7261198</v>
          </cell>
        </row>
        <row r="10">
          <cell r="I10">
            <v>18464285</v>
          </cell>
        </row>
        <row r="11">
          <cell r="I11">
            <v>1978938</v>
          </cell>
        </row>
        <row r="12">
          <cell r="I12">
            <v>471180</v>
          </cell>
        </row>
        <row r="13">
          <cell r="I13">
            <v>5182</v>
          </cell>
        </row>
        <row r="14">
          <cell r="I14">
            <v>2596</v>
          </cell>
        </row>
        <row r="15">
          <cell r="I15">
            <v>797311</v>
          </cell>
        </row>
        <row r="18">
          <cell r="I18">
            <v>109971</v>
          </cell>
        </row>
        <row r="19">
          <cell r="I19">
            <v>2513700</v>
          </cell>
        </row>
        <row r="20">
          <cell r="I20">
            <v>0</v>
          </cell>
        </row>
        <row r="21">
          <cell r="I21">
            <v>1738624</v>
          </cell>
        </row>
        <row r="22">
          <cell r="I22">
            <v>665402</v>
          </cell>
        </row>
        <row r="23">
          <cell r="I23">
            <v>4942</v>
          </cell>
        </row>
        <row r="26">
          <cell r="I26">
            <v>3925524</v>
          </cell>
        </row>
        <row r="28">
          <cell r="I28">
            <v>11685319</v>
          </cell>
        </row>
        <row r="29">
          <cell r="I29">
            <v>900412</v>
          </cell>
        </row>
        <row r="30">
          <cell r="I30">
            <v>435709</v>
          </cell>
        </row>
        <row r="31">
          <cell r="I31">
            <v>18941784</v>
          </cell>
        </row>
        <row r="43">
          <cell r="I43">
            <v>9394840</v>
          </cell>
        </row>
        <row r="44">
          <cell r="I44">
            <v>1402840</v>
          </cell>
        </row>
        <row r="45">
          <cell r="I45">
            <v>2147180</v>
          </cell>
        </row>
        <row r="57">
          <cell r="I57">
            <v>8096022</v>
          </cell>
        </row>
        <row r="58">
          <cell r="I58">
            <v>798724</v>
          </cell>
        </row>
        <row r="59">
          <cell r="I59">
            <v>26172</v>
          </cell>
        </row>
        <row r="60">
          <cell r="I60">
            <v>103592</v>
          </cell>
        </row>
        <row r="61">
          <cell r="I61">
            <v>1809680</v>
          </cell>
        </row>
        <row r="62">
          <cell r="I62">
            <v>259595</v>
          </cell>
        </row>
        <row r="63">
          <cell r="I63">
            <v>1309618</v>
          </cell>
        </row>
        <row r="64">
          <cell r="I64">
            <v>698724</v>
          </cell>
        </row>
        <row r="65">
          <cell r="I65">
            <v>508784</v>
          </cell>
        </row>
        <row r="68">
          <cell r="I68">
            <v>19249181</v>
          </cell>
        </row>
        <row r="69">
          <cell r="I69">
            <v>-472908</v>
          </cell>
        </row>
        <row r="70">
          <cell r="I70">
            <v>11597</v>
          </cell>
        </row>
        <row r="71">
          <cell r="I71">
            <v>17862503</v>
          </cell>
        </row>
        <row r="72">
          <cell r="I72">
            <v>5891944</v>
          </cell>
        </row>
        <row r="73">
          <cell r="I73">
            <v>4790908</v>
          </cell>
        </row>
        <row r="76">
          <cell r="I76">
            <v>185111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6185651</v>
          </cell>
        </row>
        <row r="8">
          <cell r="C8">
            <v>2404480</v>
          </cell>
        </row>
        <row r="9">
          <cell r="C9">
            <v>6664613</v>
          </cell>
        </row>
        <row r="10">
          <cell r="C10">
            <v>18811541</v>
          </cell>
        </row>
        <row r="11">
          <cell r="C11">
            <v>1899913</v>
          </cell>
        </row>
        <row r="12">
          <cell r="C12">
            <v>794142</v>
          </cell>
        </row>
        <row r="13">
          <cell r="C13">
            <v>5048</v>
          </cell>
        </row>
        <row r="14">
          <cell r="C14">
            <v>22319</v>
          </cell>
        </row>
        <row r="15">
          <cell r="C15">
            <v>769871</v>
          </cell>
        </row>
        <row r="18">
          <cell r="C18">
            <v>122349</v>
          </cell>
        </row>
        <row r="19">
          <cell r="C19">
            <v>2251860</v>
          </cell>
        </row>
        <row r="20">
          <cell r="C20">
            <v>0</v>
          </cell>
        </row>
        <row r="21">
          <cell r="C21">
            <v>1786976</v>
          </cell>
        </row>
        <row r="22">
          <cell r="C22">
            <v>756244</v>
          </cell>
        </row>
        <row r="23">
          <cell r="C23">
            <v>4942</v>
          </cell>
        </row>
        <row r="26">
          <cell r="C26">
            <v>4202481</v>
          </cell>
        </row>
        <row r="28">
          <cell r="C28">
            <v>12040474</v>
          </cell>
        </row>
        <row r="29">
          <cell r="C29">
            <v>948420</v>
          </cell>
        </row>
        <row r="30">
          <cell r="C30">
            <v>436510</v>
          </cell>
        </row>
        <row r="31">
          <cell r="C31">
            <v>19664491</v>
          </cell>
        </row>
        <row r="43">
          <cell r="C43">
            <v>9109329</v>
          </cell>
        </row>
        <row r="44">
          <cell r="C44">
            <v>1634057</v>
          </cell>
        </row>
        <row r="45">
          <cell r="C45">
            <v>2251621</v>
          </cell>
        </row>
        <row r="46">
          <cell r="C46">
            <v>706931</v>
          </cell>
        </row>
        <row r="47">
          <cell r="C47">
            <v>393473</v>
          </cell>
        </row>
        <row r="48">
          <cell r="C48">
            <v>958250</v>
          </cell>
        </row>
        <row r="49">
          <cell r="C49">
            <v>268347</v>
          </cell>
        </row>
        <row r="50">
          <cell r="C50">
            <v>193</v>
          </cell>
        </row>
        <row r="51">
          <cell r="C51">
            <v>274113</v>
          </cell>
        </row>
        <row r="52">
          <cell r="C52">
            <v>4972</v>
          </cell>
        </row>
        <row r="53">
          <cell r="C53">
            <v>0</v>
          </cell>
        </row>
        <row r="54">
          <cell r="C54">
            <v>1065922</v>
          </cell>
        </row>
        <row r="57">
          <cell r="C57">
            <v>8171125</v>
          </cell>
        </row>
        <row r="58">
          <cell r="C58">
            <v>798805</v>
          </cell>
        </row>
        <row r="59">
          <cell r="C59">
            <v>30808</v>
          </cell>
        </row>
        <row r="60">
          <cell r="C60">
            <v>109130</v>
          </cell>
        </row>
        <row r="61">
          <cell r="C61">
            <v>1856351</v>
          </cell>
        </row>
        <row r="62">
          <cell r="C62">
            <v>231892</v>
          </cell>
        </row>
        <row r="63">
          <cell r="C63">
            <v>1239732</v>
          </cell>
        </row>
        <row r="64">
          <cell r="C64">
            <v>739594</v>
          </cell>
        </row>
        <row r="65">
          <cell r="C65">
            <v>549023</v>
          </cell>
        </row>
        <row r="68">
          <cell r="C68">
            <v>19249181</v>
          </cell>
        </row>
        <row r="69">
          <cell r="C69">
            <v>-1066071</v>
          </cell>
        </row>
        <row r="70">
          <cell r="C70">
            <v>11597</v>
          </cell>
        </row>
        <row r="71">
          <cell r="C71">
            <v>17862532</v>
          </cell>
        </row>
        <row r="72">
          <cell r="C72">
            <v>7703088</v>
          </cell>
        </row>
        <row r="73">
          <cell r="C73">
            <v>5427830</v>
          </cell>
        </row>
        <row r="76">
          <cell r="C76">
            <v>190500</v>
          </cell>
        </row>
      </sheetData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>
        <row r="11">
          <cell r="I11">
            <v>1993141</v>
          </cell>
        </row>
        <row r="12">
          <cell r="I12">
            <v>606288</v>
          </cell>
        </row>
        <row r="13">
          <cell r="I13">
            <v>7671</v>
          </cell>
        </row>
        <row r="14">
          <cell r="I14">
            <v>12873</v>
          </cell>
        </row>
        <row r="15">
          <cell r="I15">
            <v>635390</v>
          </cell>
        </row>
        <row r="18">
          <cell r="I18">
            <v>126661</v>
          </cell>
        </row>
        <row r="19">
          <cell r="I19">
            <v>2265425</v>
          </cell>
        </row>
        <row r="21">
          <cell r="I21">
            <v>1693228</v>
          </cell>
        </row>
        <row r="22">
          <cell r="I22">
            <v>504135</v>
          </cell>
        </row>
        <row r="23">
          <cell r="I23">
            <v>4942</v>
          </cell>
        </row>
        <row r="28">
          <cell r="I28">
            <v>10609159</v>
          </cell>
        </row>
        <row r="29">
          <cell r="I29">
            <v>857025</v>
          </cell>
        </row>
        <row r="43">
          <cell r="I43">
            <v>8069238</v>
          </cell>
        </row>
        <row r="44">
          <cell r="I44">
            <v>476151</v>
          </cell>
        </row>
        <row r="45">
          <cell r="I45">
            <v>1608041</v>
          </cell>
        </row>
        <row r="46">
          <cell r="I46">
            <v>1060667</v>
          </cell>
        </row>
        <row r="47">
          <cell r="I47">
            <v>707393</v>
          </cell>
        </row>
        <row r="48">
          <cell r="I48">
            <v>579974</v>
          </cell>
        </row>
        <row r="49">
          <cell r="I49">
            <v>266723</v>
          </cell>
        </row>
        <row r="50">
          <cell r="I50">
            <v>0</v>
          </cell>
        </row>
        <row r="51">
          <cell r="I51">
            <v>239662</v>
          </cell>
        </row>
        <row r="52">
          <cell r="I52">
            <v>2338</v>
          </cell>
        </row>
        <row r="53">
          <cell r="I53">
            <v>45881</v>
          </cell>
        </row>
        <row r="54">
          <cell r="I54">
            <v>889611</v>
          </cell>
        </row>
        <row r="57">
          <cell r="I57">
            <v>9285275</v>
          </cell>
        </row>
        <row r="58">
          <cell r="I58">
            <v>1398140</v>
          </cell>
        </row>
        <row r="59">
          <cell r="I59">
            <v>21231</v>
          </cell>
        </row>
        <row r="60">
          <cell r="I60">
            <v>87909</v>
          </cell>
        </row>
        <row r="61">
          <cell r="I61">
            <v>1747107</v>
          </cell>
        </row>
        <row r="62">
          <cell r="I62">
            <v>279690</v>
          </cell>
        </row>
        <row r="63">
          <cell r="I63">
            <v>1192983</v>
          </cell>
        </row>
        <row r="64">
          <cell r="I64">
            <v>650407</v>
          </cell>
        </row>
        <row r="65">
          <cell r="I65">
            <v>394757</v>
          </cell>
        </row>
        <row r="68">
          <cell r="I68">
            <v>19249181</v>
          </cell>
        </row>
        <row r="69">
          <cell r="I69">
            <v>-133169</v>
          </cell>
        </row>
        <row r="70">
          <cell r="I70">
            <v>11597</v>
          </cell>
        </row>
        <row r="71">
          <cell r="I71">
            <v>17860312</v>
          </cell>
        </row>
        <row r="72">
          <cell r="I72">
            <v>2583363</v>
          </cell>
        </row>
        <row r="73">
          <cell r="I73">
            <v>2757080</v>
          </cell>
        </row>
        <row r="76">
          <cell r="I76">
            <v>207887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roforma"/>
      <sheetName val="Proforma por Trimestre"/>
      <sheetName val="Inform Segmento Trimestral"/>
    </sheetNames>
    <sheetDataSet>
      <sheetData sheetId="0" refreshError="1"/>
      <sheetData sheetId="1" refreshError="1">
        <row r="7">
          <cell r="D7">
            <v>4165</v>
          </cell>
          <cell r="E7">
            <v>638</v>
          </cell>
          <cell r="G7">
            <v>3527</v>
          </cell>
          <cell r="I7">
            <v>3987</v>
          </cell>
          <cell r="J7">
            <v>575</v>
          </cell>
          <cell r="L7">
            <v>3412</v>
          </cell>
          <cell r="N7">
            <v>3969</v>
          </cell>
          <cell r="O7">
            <v>548</v>
          </cell>
          <cell r="Q7">
            <v>3421</v>
          </cell>
          <cell r="S7">
            <v>3221</v>
          </cell>
          <cell r="T7">
            <v>170</v>
          </cell>
          <cell r="V7">
            <v>3051</v>
          </cell>
        </row>
        <row r="8">
          <cell r="D8">
            <v>3871</v>
          </cell>
          <cell r="E8">
            <v>811</v>
          </cell>
          <cell r="G8">
            <v>3060</v>
          </cell>
          <cell r="I8">
            <v>3835</v>
          </cell>
          <cell r="J8">
            <v>718</v>
          </cell>
          <cell r="L8">
            <v>3117</v>
          </cell>
          <cell r="N8">
            <v>3688</v>
          </cell>
          <cell r="O8">
            <v>564</v>
          </cell>
          <cell r="Q8">
            <v>3124</v>
          </cell>
          <cell r="S8">
            <v>3167</v>
          </cell>
          <cell r="T8">
            <v>196</v>
          </cell>
          <cell r="V8">
            <v>2971</v>
          </cell>
        </row>
        <row r="10">
          <cell r="D10">
            <v>10389</v>
          </cell>
          <cell r="E10">
            <v>1946</v>
          </cell>
          <cell r="G10">
            <v>8443</v>
          </cell>
          <cell r="I10">
            <v>12034</v>
          </cell>
          <cell r="J10">
            <v>2097</v>
          </cell>
          <cell r="L10">
            <v>9937</v>
          </cell>
          <cell r="N10">
            <v>12836</v>
          </cell>
          <cell r="O10">
            <v>1909</v>
          </cell>
          <cell r="Q10">
            <v>10927</v>
          </cell>
          <cell r="S10">
            <v>10900</v>
          </cell>
          <cell r="T10">
            <v>630</v>
          </cell>
          <cell r="V10">
            <v>10270</v>
          </cell>
        </row>
        <row r="11">
          <cell r="D11">
            <v>-9050</v>
          </cell>
          <cell r="E11">
            <v>-1883</v>
          </cell>
          <cell r="G11">
            <v>-7167</v>
          </cell>
          <cell r="I11">
            <v>-10390</v>
          </cell>
          <cell r="J11">
            <v>-1993</v>
          </cell>
          <cell r="L11">
            <v>-8397</v>
          </cell>
          <cell r="N11">
            <v>-10974</v>
          </cell>
          <cell r="O11">
            <v>-1797</v>
          </cell>
          <cell r="Q11">
            <v>-9177</v>
          </cell>
          <cell r="S11">
            <v>-9596</v>
          </cell>
          <cell r="T11">
            <v>-590</v>
          </cell>
          <cell r="V11">
            <v>-9006</v>
          </cell>
        </row>
        <row r="18">
          <cell r="D18">
            <v>1484</v>
          </cell>
          <cell r="E18">
            <v>74</v>
          </cell>
          <cell r="G18">
            <v>1410</v>
          </cell>
          <cell r="I18">
            <v>1756</v>
          </cell>
          <cell r="J18">
            <v>99</v>
          </cell>
          <cell r="L18">
            <v>1657</v>
          </cell>
          <cell r="N18">
            <v>2013</v>
          </cell>
          <cell r="O18">
            <v>114</v>
          </cell>
          <cell r="Q18">
            <v>1899</v>
          </cell>
          <cell r="S18">
            <v>1404</v>
          </cell>
          <cell r="T18">
            <v>31</v>
          </cell>
          <cell r="V18">
            <v>1373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3_Custo_Gusa_BRL_Mensal"/>
      <sheetName val="R24_Custo_Gusa_USD_Mensal"/>
      <sheetName val="R22_Custo_Suc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>
        <row r="9">
          <cell r="L9">
            <v>16747.599999999999</v>
          </cell>
        </row>
        <row r="15">
          <cell r="L15">
            <v>3850</v>
          </cell>
        </row>
        <row r="18">
          <cell r="L18">
            <v>450</v>
          </cell>
        </row>
        <row r="19">
          <cell r="L19">
            <v>420</v>
          </cell>
        </row>
        <row r="20">
          <cell r="L20">
            <v>936</v>
          </cell>
        </row>
        <row r="21">
          <cell r="L21">
            <v>600</v>
          </cell>
        </row>
        <row r="22">
          <cell r="L22">
            <v>330</v>
          </cell>
        </row>
        <row r="23">
          <cell r="L23">
            <v>950</v>
          </cell>
        </row>
        <row r="28">
          <cell r="L28">
            <v>265</v>
          </cell>
        </row>
        <row r="29">
          <cell r="L29">
            <v>160</v>
          </cell>
        </row>
        <row r="31">
          <cell r="L31">
            <v>2490</v>
          </cell>
        </row>
        <row r="32">
          <cell r="L32">
            <v>1390</v>
          </cell>
        </row>
        <row r="39">
          <cell r="L39">
            <v>1100</v>
          </cell>
        </row>
        <row r="41">
          <cell r="L41">
            <v>5406.6</v>
          </cell>
        </row>
      </sheetData>
      <sheetData sheetId="4">
        <row r="11">
          <cell r="L11">
            <v>7266</v>
          </cell>
        </row>
        <row r="31">
          <cell r="K31">
            <v>2928</v>
          </cell>
        </row>
        <row r="41">
          <cell r="K41">
            <v>4494</v>
          </cell>
        </row>
        <row r="54">
          <cell r="K54">
            <v>903</v>
          </cell>
        </row>
      </sheetData>
      <sheetData sheetId="5">
        <row r="11">
          <cell r="F11">
            <v>1281.013447</v>
          </cell>
        </row>
        <row r="31">
          <cell r="F31">
            <v>383.01475649609995</v>
          </cell>
        </row>
        <row r="41">
          <cell r="F41">
            <v>1126.7301479999999</v>
          </cell>
        </row>
        <row r="54">
          <cell r="F54">
            <v>174.5554260000003</v>
          </cell>
        </row>
      </sheetData>
      <sheetData sheetId="6"/>
      <sheetData sheetId="7">
        <row r="11">
          <cell r="F11">
            <v>1242.82673</v>
          </cell>
        </row>
        <row r="31">
          <cell r="F31">
            <v>428.04102931169996</v>
          </cell>
        </row>
        <row r="41">
          <cell r="F41">
            <v>1020.1999820000001</v>
          </cell>
        </row>
        <row r="54">
          <cell r="F54">
            <v>197.3624006184223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F68">
            <v>0.14142828190027398</v>
          </cell>
          <cell r="G68">
            <v>0.15461202743304506</v>
          </cell>
          <cell r="H68">
            <v>9.7405823910072742E-2</v>
          </cell>
          <cell r="I68">
            <v>0.20404299341477153</v>
          </cell>
          <cell r="J68">
            <v>0.15391945352666156</v>
          </cell>
        </row>
        <row r="79">
          <cell r="F79">
            <v>6.3868834456279819E-2</v>
          </cell>
          <cell r="G79">
            <v>8.3471806004714266E-2</v>
          </cell>
          <cell r="H79">
            <v>3.1938674052666295E-2</v>
          </cell>
          <cell r="I79">
            <v>6.6913626928800901E-2</v>
          </cell>
          <cell r="J79">
            <v>6.9040627923450545E-2</v>
          </cell>
        </row>
        <row r="83">
          <cell r="F83">
            <v>3.9948780137615783E-2</v>
          </cell>
          <cell r="G83">
            <v>2.1050746446661491E-2</v>
          </cell>
          <cell r="H83">
            <v>1.0663049237335243E-2</v>
          </cell>
          <cell r="I83">
            <v>4.1558833750807558E-2</v>
          </cell>
          <cell r="J83">
            <v>3.1036007506136488E-2</v>
          </cell>
        </row>
        <row r="85">
          <cell r="F85">
            <v>0.36595980763270813</v>
          </cell>
          <cell r="G85">
            <v>0.56632183439776373</v>
          </cell>
          <cell r="H85">
            <v>0.72846628465203245</v>
          </cell>
          <cell r="I85">
            <v>0.48649218350289275</v>
          </cell>
          <cell r="J85">
            <v>0.48907315850428063</v>
          </cell>
        </row>
        <row r="93">
          <cell r="F93">
            <v>0.30401671776255229</v>
          </cell>
          <cell r="G93">
            <v>7.5733761842068911E-2</v>
          </cell>
          <cell r="H93">
            <v>8.4945649205281554E-2</v>
          </cell>
          <cell r="I93">
            <v>9.2025993580548332E-2</v>
          </cell>
          <cell r="J93">
            <v>0.16573949700256682</v>
          </cell>
        </row>
        <row r="102">
          <cell r="F102">
            <v>8.4777578110569546E-2</v>
          </cell>
          <cell r="G102">
            <v>9.880982387574648E-2</v>
          </cell>
          <cell r="H102">
            <v>4.6580518942611809E-2</v>
          </cell>
          <cell r="I102">
            <v>0.10896636882217876</v>
          </cell>
          <cell r="J102">
            <v>9.1191255536903826E-2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11">
          <cell r="L11">
            <v>8080.5</v>
          </cell>
        </row>
        <row r="15">
          <cell r="L15">
            <v>3850</v>
          </cell>
        </row>
        <row r="18">
          <cell r="L18">
            <v>450</v>
          </cell>
        </row>
        <row r="19">
          <cell r="L19">
            <v>540</v>
          </cell>
        </row>
        <row r="20">
          <cell r="L20">
            <v>936</v>
          </cell>
        </row>
        <row r="21">
          <cell r="L21">
            <v>600</v>
          </cell>
        </row>
        <row r="22">
          <cell r="L22">
            <v>330</v>
          </cell>
        </row>
        <row r="23">
          <cell r="L23">
            <v>950</v>
          </cell>
        </row>
        <row r="28">
          <cell r="L28">
            <v>264.5</v>
          </cell>
        </row>
        <row r="29">
          <cell r="L29">
            <v>160</v>
          </cell>
        </row>
        <row r="32">
          <cell r="L32">
            <v>1425</v>
          </cell>
        </row>
        <row r="39">
          <cell r="L39">
            <v>1100</v>
          </cell>
        </row>
        <row r="41">
          <cell r="L41">
            <v>6272</v>
          </cell>
        </row>
        <row r="54">
          <cell r="L54">
            <v>890</v>
          </cell>
        </row>
      </sheetData>
      <sheetData sheetId="4">
        <row r="11">
          <cell r="L11">
            <v>7266</v>
          </cell>
        </row>
        <row r="31">
          <cell r="L31">
            <v>2928</v>
          </cell>
        </row>
        <row r="41">
          <cell r="L41">
            <v>4867</v>
          </cell>
        </row>
        <row r="54">
          <cell r="L54">
            <v>903</v>
          </cell>
        </row>
      </sheetData>
      <sheetData sheetId="5">
        <row r="11">
          <cell r="L11">
            <v>1457.9895470000001</v>
          </cell>
        </row>
        <row r="31">
          <cell r="L31">
            <v>427.11147591510002</v>
          </cell>
        </row>
        <row r="41">
          <cell r="L41">
            <v>1249.460339</v>
          </cell>
        </row>
        <row r="54">
          <cell r="L54">
            <v>144.67540474906983</v>
          </cell>
        </row>
      </sheetData>
      <sheetData sheetId="6"/>
      <sheetData sheetId="7">
        <row r="11">
          <cell r="L11">
            <v>1127.8427409999999</v>
          </cell>
        </row>
        <row r="31">
          <cell r="L31">
            <v>447.07824302410006</v>
          </cell>
        </row>
        <row r="41">
          <cell r="L41">
            <v>1149.431392</v>
          </cell>
        </row>
        <row r="54">
          <cell r="L54">
            <v>204.96793799243071</v>
          </cell>
        </row>
      </sheetData>
      <sheetData sheetId="8"/>
      <sheetData sheetId="9"/>
      <sheetData sheetId="10"/>
      <sheetData sheetId="11"/>
      <sheetData sheetId="12">
        <row r="9">
          <cell r="L9">
            <v>3165.4415921517821</v>
          </cell>
        </row>
        <row r="13">
          <cell r="L13">
            <v>1084.1409999999998</v>
          </cell>
        </row>
        <row r="14">
          <cell r="L14">
            <v>363.971</v>
          </cell>
        </row>
        <row r="31">
          <cell r="L31">
            <v>403.55635564478229</v>
          </cell>
        </row>
        <row r="41">
          <cell r="L41">
            <v>1053.7271975439999</v>
          </cell>
        </row>
        <row r="54">
          <cell r="L54">
            <v>372.42230057900002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0.16217326483209613</v>
          </cell>
          <cell r="M68">
            <v>0.13827143919063298</v>
          </cell>
          <cell r="N68">
            <v>9.5835052009629759E-2</v>
          </cell>
          <cell r="O68">
            <v>0.19416464098806629</v>
          </cell>
          <cell r="P68">
            <v>0.15246520243859488</v>
          </cell>
        </row>
        <row r="79">
          <cell r="L79">
            <v>4.7762048056007297E-2</v>
          </cell>
          <cell r="M79">
            <v>5.5940925928872794E-2</v>
          </cell>
          <cell r="N79">
            <v>3.5718228890381704E-2</v>
          </cell>
          <cell r="O79">
            <v>4.9004861112839568E-2</v>
          </cell>
          <cell r="P79">
            <v>5.0567467461973943E-2</v>
          </cell>
        </row>
        <row r="83">
          <cell r="L83">
            <v>5.0943408450124808E-2</v>
          </cell>
          <cell r="M83">
            <v>1.7010159154526625E-2</v>
          </cell>
          <cell r="N83">
            <v>1.1512219967512172E-2</v>
          </cell>
          <cell r="O83">
            <v>3.4291894033665039E-2</v>
          </cell>
          <cell r="P83">
            <v>3.009538595908488E-2</v>
          </cell>
        </row>
        <row r="85">
          <cell r="L85">
            <v>0.3833332692145015</v>
          </cell>
          <cell r="M85">
            <v>0.65594516798725511</v>
          </cell>
          <cell r="N85">
            <v>0.75112816929035275</v>
          </cell>
          <cell r="O85">
            <v>0.52907979481747247</v>
          </cell>
          <cell r="P85">
            <v>0.5570712272871059</v>
          </cell>
        </row>
        <row r="93">
          <cell r="L93">
            <v>0.26620572045407526</v>
          </cell>
          <cell r="M93">
            <v>5.3647504771286186E-2</v>
          </cell>
          <cell r="N93">
            <v>6.1549461391589476E-2</v>
          </cell>
          <cell r="O93">
            <v>9.4890979819243507E-2</v>
          </cell>
          <cell r="P93">
            <v>0.12665501413686239</v>
          </cell>
        </row>
        <row r="102">
          <cell r="L102">
            <v>8.9582288993195161E-2</v>
          </cell>
          <cell r="M102">
            <v>7.9184802967426249E-2</v>
          </cell>
          <cell r="N102">
            <v>4.4256868450533893E-2</v>
          </cell>
          <cell r="O102">
            <v>9.8567829228713238E-2</v>
          </cell>
          <cell r="P102">
            <v>8.3145702716378181E-2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22">
          <cell r="H22">
            <v>0</v>
          </cell>
        </row>
        <row r="31">
          <cell r="L31">
            <v>2150</v>
          </cell>
        </row>
      </sheetData>
      <sheetData sheetId="4"/>
      <sheetData sheetId="5"/>
      <sheetData sheetId="6"/>
      <sheetData sheetId="7">
        <row r="9">
          <cell r="L9">
            <v>3246.4775337826377</v>
          </cell>
        </row>
        <row r="11">
          <cell r="L11">
            <v>1451.3732789999999</v>
          </cell>
        </row>
        <row r="31">
          <cell r="L31">
            <v>439.192696259</v>
          </cell>
        </row>
        <row r="41">
          <cell r="L41">
            <v>1140.2034352399999</v>
          </cell>
        </row>
        <row r="54">
          <cell r="L54">
            <v>215.70812328363803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O68">
            <v>0.19332006216084355</v>
          </cell>
        </row>
        <row r="79">
          <cell r="O79">
            <v>5.1297279862494917E-2</v>
          </cell>
        </row>
        <row r="83">
          <cell r="O83">
            <v>3.67762970777121E-2</v>
          </cell>
        </row>
        <row r="85">
          <cell r="O85">
            <v>0.53292982030786018</v>
          </cell>
        </row>
        <row r="93">
          <cell r="O93">
            <v>8.6675371426417763E-2</v>
          </cell>
        </row>
        <row r="102">
          <cell r="O102">
            <v>9.9001169164671388E-2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/>
      <sheetData sheetId="4"/>
      <sheetData sheetId="5">
        <row r="11">
          <cell r="L11">
            <v>1575.6532560000001</v>
          </cell>
        </row>
        <row r="31">
          <cell r="L31">
            <v>506.60096928479999</v>
          </cell>
        </row>
        <row r="41">
          <cell r="L41">
            <v>1144.989249</v>
          </cell>
        </row>
        <row r="54">
          <cell r="L54">
            <v>201.46900532186572</v>
          </cell>
        </row>
      </sheetData>
      <sheetData sheetId="6"/>
      <sheetData sheetId="7">
        <row r="11">
          <cell r="L11">
            <v>1233.0461540000001</v>
          </cell>
        </row>
        <row r="31">
          <cell r="L31">
            <v>498.81941185229999</v>
          </cell>
        </row>
        <row r="41">
          <cell r="L41">
            <v>1041.3280399999999</v>
          </cell>
        </row>
        <row r="54">
          <cell r="L54">
            <v>209.12628742012188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0.12640432507764182</v>
          </cell>
          <cell r="M68">
            <v>0.13981086264037385</v>
          </cell>
          <cell r="N68">
            <v>8.6045212794700468E-2</v>
          </cell>
          <cell r="O68">
            <v>0.15390912359118816</v>
          </cell>
          <cell r="P68">
            <v>0.13346179709871622</v>
          </cell>
        </row>
        <row r="79">
          <cell r="L79">
            <v>4.4350385317066678E-2</v>
          </cell>
          <cell r="M79">
            <v>6.7556334618704736E-2</v>
          </cell>
          <cell r="N79">
            <v>2.8463211773547291E-2</v>
          </cell>
          <cell r="O79">
            <v>3.853949121393084E-2</v>
          </cell>
          <cell r="P79">
            <v>4.9903077862973863E-2</v>
          </cell>
        </row>
        <row r="83">
          <cell r="L83">
            <v>3.452178522692765E-2</v>
          </cell>
          <cell r="M83">
            <v>1.817220665245077E-2</v>
          </cell>
          <cell r="N83">
            <v>9.9487821763683953E-3</v>
          </cell>
          <cell r="O83">
            <v>3.2338690288537683E-2</v>
          </cell>
          <cell r="P83">
            <v>2.6552649638163513E-2</v>
          </cell>
        </row>
        <row r="85">
          <cell r="L85">
            <v>0.4202440249325502</v>
          </cell>
          <cell r="M85">
            <v>0.62581377863742971</v>
          </cell>
          <cell r="N85">
            <v>0.75944606774865531</v>
          </cell>
          <cell r="O85">
            <v>0.58581398779249783</v>
          </cell>
          <cell r="P85">
            <v>0.55087301354326024</v>
          </cell>
        </row>
        <row r="93">
          <cell r="L93">
            <v>0.28998030702722927</v>
          </cell>
          <cell r="M93">
            <v>6.0551043371983276E-2</v>
          </cell>
          <cell r="N93">
            <v>7.2878026048857042E-2</v>
          </cell>
          <cell r="O93">
            <v>8.9204694442069438E-2</v>
          </cell>
          <cell r="P93">
            <v>0.15349421290354262</v>
          </cell>
        </row>
        <row r="102">
          <cell r="L102">
            <v>8.4499172418584775E-2</v>
          </cell>
          <cell r="M102">
            <v>8.8095774079057471E-2</v>
          </cell>
          <cell r="N102">
            <v>4.3218699457871476E-2</v>
          </cell>
          <cell r="O102">
            <v>0.10019401267177659</v>
          </cell>
          <cell r="P102">
            <v>8.5715248953343745E-2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_Consolidado"/>
      <sheetName val="RI_Segmentos"/>
      <sheetName val="CONSOLIDADO_TABELA"/>
      <sheetName val="BRASIL_TABELA"/>
      <sheetName val="Consolidado"/>
      <sheetName val="ReconciliacaoEBITDA"/>
    </sheetNames>
    <sheetDataSet>
      <sheetData sheetId="0"/>
      <sheetData sheetId="1"/>
      <sheetData sheetId="2">
        <row r="11">
          <cell r="L11">
            <v>2287.6957169919979</v>
          </cell>
        </row>
        <row r="14">
          <cell r="L14">
            <v>2836.4532512317232</v>
          </cell>
        </row>
        <row r="18">
          <cell r="L18">
            <v>927.81642354982853</v>
          </cell>
        </row>
        <row r="24">
          <cell r="L24">
            <v>739.66674187520982</v>
          </cell>
        </row>
        <row r="64">
          <cell r="L64">
            <v>1120.9107850415999</v>
          </cell>
        </row>
        <row r="68">
          <cell r="L68">
            <v>434.92525830045082</v>
          </cell>
        </row>
        <row r="74">
          <cell r="L74">
            <v>292.46030145200001</v>
          </cell>
        </row>
        <row r="82">
          <cell r="L82">
            <v>3245.2527647940506</v>
          </cell>
        </row>
        <row r="89">
          <cell r="L89">
            <v>8572.83080806</v>
          </cell>
        </row>
        <row r="93">
          <cell r="L93">
            <v>3657.19550316</v>
          </cell>
        </row>
        <row r="99">
          <cell r="L99">
            <v>1893.953552259999</v>
          </cell>
        </row>
        <row r="189">
          <cell r="L189">
            <v>2451.4489831999999</v>
          </cell>
        </row>
        <row r="193">
          <cell r="L193">
            <v>849.29459721999956</v>
          </cell>
        </row>
        <row r="199">
          <cell r="L199">
            <v>519.41525094159965</v>
          </cell>
        </row>
        <row r="361">
          <cell r="L361">
            <v>365.46106678999996</v>
          </cell>
        </row>
        <row r="364">
          <cell r="L364">
            <v>143.72765650999997</v>
          </cell>
        </row>
        <row r="368">
          <cell r="L368">
            <v>124.47101963</v>
          </cell>
        </row>
        <row r="374">
          <cell r="L374">
            <v>65.17826810839999</v>
          </cell>
        </row>
      </sheetData>
      <sheetData sheetId="3">
        <row r="14">
          <cell r="L14">
            <v>1186.143</v>
          </cell>
        </row>
        <row r="15">
          <cell r="L15">
            <v>342.58699999999999</v>
          </cell>
        </row>
        <row r="145">
          <cell r="L145">
            <v>8096.9169583228959</v>
          </cell>
        </row>
        <row r="146">
          <cell r="L146">
            <v>1491.2287804071</v>
          </cell>
        </row>
        <row r="196">
          <cell r="L196">
            <v>2107.3011760899981</v>
          </cell>
        </row>
      </sheetData>
      <sheetData sheetId="4">
        <row r="10">
          <cell r="G10">
            <v>22968.442129699997</v>
          </cell>
        </row>
        <row r="12">
          <cell r="G12">
            <v>-17064.592849758395</v>
          </cell>
        </row>
        <row r="14">
          <cell r="G14">
            <v>5903.8492799416017</v>
          </cell>
        </row>
        <row r="16">
          <cell r="G16">
            <v>-515.73945641249861</v>
          </cell>
        </row>
        <row r="21">
          <cell r="G21">
            <v>-1.9768545799999986</v>
          </cell>
        </row>
        <row r="22">
          <cell r="G22">
            <v>17.842658599999975</v>
          </cell>
        </row>
        <row r="28">
          <cell r="G28">
            <v>386.79856717999979</v>
          </cell>
        </row>
        <row r="29">
          <cell r="G29">
            <v>5790.7741947290997</v>
          </cell>
        </row>
        <row r="30">
          <cell r="G30">
            <v>701.18482417839994</v>
          </cell>
        </row>
        <row r="42">
          <cell r="G42">
            <v>6680.1932579869954</v>
          </cell>
        </row>
        <row r="44">
          <cell r="G44">
            <v>0.29084224433963596</v>
          </cell>
        </row>
        <row r="46">
          <cell r="G46">
            <v>-361.08228078999997</v>
          </cell>
        </row>
        <row r="55">
          <cell r="G55">
            <v>-1131.05391768</v>
          </cell>
        </row>
        <row r="60">
          <cell r="G60">
            <v>4298.437996259102</v>
          </cell>
        </row>
        <row r="68">
          <cell r="G68">
            <v>4.9265999999999996</v>
          </cell>
        </row>
        <row r="69">
          <cell r="G69">
            <v>5.2380000000000004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_Consolidado"/>
      <sheetName val="RI_Segmentos"/>
      <sheetName val="CONSOLIDADO_TABELA"/>
      <sheetName val="BRASIL_TABELA"/>
      <sheetName val="ReconciliacaoEBITDA"/>
      <sheetName val="Consolidado"/>
    </sheetNames>
    <sheetDataSet>
      <sheetData sheetId="0"/>
      <sheetData sheetId="1"/>
      <sheetData sheetId="2">
        <row r="11">
          <cell r="L11">
            <v>1562.9800315863074</v>
          </cell>
        </row>
        <row r="14">
          <cell r="L14">
            <v>2579.4743995065651</v>
          </cell>
        </row>
        <row r="18">
          <cell r="L18">
            <v>631.32848790647301</v>
          </cell>
        </row>
        <row r="24">
          <cell r="L24">
            <v>572.67742641138204</v>
          </cell>
        </row>
        <row r="64">
          <cell r="L64">
            <v>988.20072096479998</v>
          </cell>
        </row>
        <row r="68">
          <cell r="L68">
            <v>402.73731545695853</v>
          </cell>
        </row>
        <row r="74">
          <cell r="L74">
            <v>297.302341216</v>
          </cell>
        </row>
        <row r="82">
          <cell r="L82">
            <v>2929.5189636377586</v>
          </cell>
        </row>
        <row r="89">
          <cell r="L89">
            <v>7832.1332462200007</v>
          </cell>
        </row>
        <row r="93">
          <cell r="L93">
            <v>3476.7999132199993</v>
          </cell>
        </row>
        <row r="99">
          <cell r="L99">
            <v>1972.1647678600002</v>
          </cell>
        </row>
        <row r="189">
          <cell r="L189">
            <v>2224.3682125899995</v>
          </cell>
        </row>
        <row r="193">
          <cell r="L193">
            <v>559.75736905999929</v>
          </cell>
        </row>
        <row r="199">
          <cell r="L199">
            <v>460.69142243999977</v>
          </cell>
        </row>
        <row r="361">
          <cell r="L361">
            <v>380.81913466000009</v>
          </cell>
        </row>
        <row r="364">
          <cell r="L364">
            <v>159.63104855999995</v>
          </cell>
        </row>
        <row r="368">
          <cell r="L368">
            <v>128.95356115999996</v>
          </cell>
        </row>
        <row r="374">
          <cell r="L374">
            <v>65.308424459999983</v>
          </cell>
        </row>
      </sheetData>
      <sheetData sheetId="3">
        <row r="14">
          <cell r="L14">
            <v>1204.663</v>
          </cell>
        </row>
        <row r="15">
          <cell r="L15">
            <v>126.26400000000001</v>
          </cell>
        </row>
        <row r="145">
          <cell r="L145">
            <v>7855.8047195289055</v>
          </cell>
        </row>
        <row r="146">
          <cell r="L146">
            <v>628.36261264109999</v>
          </cell>
        </row>
        <row r="196">
          <cell r="L196">
            <v>1383.1062494000071</v>
          </cell>
        </row>
      </sheetData>
      <sheetData sheetId="4"/>
      <sheetData sheetId="5">
        <row r="10">
          <cell r="G10">
            <v>21149.232397260006</v>
          </cell>
        </row>
        <row r="12">
          <cell r="G12">
            <v>-16411.477157360001</v>
          </cell>
        </row>
        <row r="14">
          <cell r="G14">
            <v>4737.7552399000051</v>
          </cell>
        </row>
        <row r="15">
          <cell r="G15">
            <v>0.22401547020277701</v>
          </cell>
        </row>
        <row r="16">
          <cell r="G16">
            <v>-554.85652435454415</v>
          </cell>
        </row>
        <row r="21">
          <cell r="G21">
            <v>6.0565266700000011</v>
          </cell>
        </row>
        <row r="22">
          <cell r="G22">
            <v>-7.8145468899999884</v>
          </cell>
        </row>
        <row r="28">
          <cell r="G28">
            <v>281.4945731800006</v>
          </cell>
        </row>
        <row r="29">
          <cell r="G29">
            <v>4462.6352685054608</v>
          </cell>
        </row>
        <row r="30">
          <cell r="G30">
            <v>737.50042127000006</v>
          </cell>
        </row>
        <row r="42">
          <cell r="G42">
            <v>5369.1615909225702</v>
          </cell>
        </row>
        <row r="44">
          <cell r="G44">
            <v>0.25387028191236732</v>
          </cell>
        </row>
        <row r="46">
          <cell r="G46">
            <v>-530.18203478999999</v>
          </cell>
        </row>
        <row r="52">
          <cell r="G52">
            <v>0</v>
          </cell>
        </row>
        <row r="55">
          <cell r="G55">
            <v>-910.0911626599999</v>
          </cell>
        </row>
        <row r="60">
          <cell r="G60">
            <v>3022.1620710554607</v>
          </cell>
        </row>
        <row r="68">
          <cell r="G68">
            <v>5.2462</v>
          </cell>
        </row>
        <row r="69">
          <cell r="G69">
            <v>5.4066000000000001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"/>
      <sheetName val="Exterior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>
        <row r="37">
          <cell r="AL37">
            <v>430948.57772000006</v>
          </cell>
        </row>
        <row r="39">
          <cell r="AL39">
            <v>143323.44752000002</v>
          </cell>
        </row>
        <row r="42">
          <cell r="AL42">
            <v>32666</v>
          </cell>
        </row>
        <row r="46">
          <cell r="AL46">
            <v>194667</v>
          </cell>
        </row>
        <row r="49">
          <cell r="AL49">
            <v>8745.6678800000009</v>
          </cell>
        </row>
        <row r="52">
          <cell r="AL52">
            <v>3.8802399999999997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4"/>
  <sheetViews>
    <sheetView showGridLines="0" tabSelected="1" zoomScaleNormal="100" workbookViewId="0">
      <selection activeCell="D17" sqref="D17"/>
    </sheetView>
  </sheetViews>
  <sheetFormatPr defaultColWidth="9.1796875" defaultRowHeight="15"/>
  <cols>
    <col min="1" max="2" width="9.1796875" style="78"/>
    <col min="3" max="3" width="9.1796875" style="78" customWidth="1"/>
    <col min="4" max="4" width="9.1796875" style="78"/>
    <col min="5" max="5" width="10.54296875" style="78" customWidth="1"/>
    <col min="6" max="6" width="9.1796875" style="78"/>
    <col min="7" max="7" width="7.81640625" style="78" customWidth="1"/>
    <col min="8" max="8" width="5.54296875" style="78" customWidth="1"/>
    <col min="9" max="9" width="6.81640625" style="78" customWidth="1"/>
    <col min="10" max="10" width="31" style="78" customWidth="1"/>
    <col min="11" max="16384" width="9.1796875" style="78"/>
  </cols>
  <sheetData>
    <row r="8" spans="3:13" ht="41.5">
      <c r="E8" s="79"/>
    </row>
    <row r="11" spans="3:13">
      <c r="D11" s="80"/>
      <c r="E11" s="81"/>
      <c r="J11" s="82"/>
    </row>
    <row r="12" spans="3:13">
      <c r="D12" s="83"/>
      <c r="E12" s="84"/>
    </row>
    <row r="13" spans="3:13">
      <c r="D13" s="83"/>
      <c r="E13" s="84"/>
    </row>
    <row r="14" spans="3:13">
      <c r="D14" s="83"/>
      <c r="E14" s="84"/>
      <c r="L14" s="83"/>
      <c r="M14" s="85"/>
    </row>
    <row r="15" spans="3:13" ht="21.75" customHeight="1">
      <c r="C15" s="86"/>
      <c r="D15" s="83"/>
      <c r="E15" s="84"/>
      <c r="L15" s="83"/>
      <c r="M15" s="85"/>
    </row>
    <row r="16" spans="3:13" ht="21" customHeight="1">
      <c r="C16" s="86"/>
      <c r="E16" s="84"/>
      <c r="L16" s="83"/>
      <c r="M16" s="85"/>
    </row>
    <row r="17" spans="1:12" ht="21.75" customHeight="1">
      <c r="C17" s="86"/>
      <c r="D17" s="87"/>
      <c r="E17" s="101" t="s">
        <v>161</v>
      </c>
      <c r="F17" s="88"/>
      <c r="G17" s="89"/>
      <c r="H17" s="88"/>
      <c r="I17" s="90"/>
      <c r="L17" s="91"/>
    </row>
    <row r="18" spans="1:12" ht="21.75" customHeight="1">
      <c r="C18" s="86"/>
      <c r="D18" s="87"/>
      <c r="E18" s="101" t="s">
        <v>162</v>
      </c>
      <c r="F18" s="92"/>
      <c r="G18" s="89"/>
      <c r="H18" s="88"/>
      <c r="I18" s="90"/>
    </row>
    <row r="19" spans="1:12" ht="24" customHeight="1">
      <c r="C19" s="86"/>
      <c r="D19" s="87"/>
      <c r="E19" s="101" t="s">
        <v>207</v>
      </c>
      <c r="F19" s="92"/>
      <c r="G19" s="89"/>
      <c r="H19" s="88"/>
      <c r="I19" s="90"/>
    </row>
    <row r="20" spans="1:12" ht="23.25" customHeight="1">
      <c r="C20" s="86"/>
      <c r="D20" s="87"/>
      <c r="E20" s="101" t="s">
        <v>157</v>
      </c>
      <c r="F20" s="92"/>
      <c r="G20" s="89"/>
      <c r="H20" s="88"/>
      <c r="I20" s="90"/>
    </row>
    <row r="21" spans="1:12" ht="21" customHeight="1">
      <c r="C21" s="86"/>
      <c r="D21" s="87"/>
      <c r="E21" s="101" t="s">
        <v>158</v>
      </c>
      <c r="F21" s="92"/>
      <c r="G21" s="89"/>
      <c r="H21" s="88"/>
      <c r="I21" s="90"/>
    </row>
    <row r="22" spans="1:12" ht="21.75" customHeight="1">
      <c r="C22" s="86"/>
      <c r="D22" s="87"/>
      <c r="E22" s="101" t="s">
        <v>159</v>
      </c>
      <c r="F22" s="92"/>
      <c r="G22" s="89"/>
      <c r="H22" s="88"/>
      <c r="I22" s="90"/>
    </row>
    <row r="23" spans="1:12" ht="22.5" customHeight="1">
      <c r="C23" s="86"/>
      <c r="D23" s="87"/>
      <c r="E23" s="101" t="s">
        <v>180</v>
      </c>
      <c r="F23" s="92"/>
      <c r="G23" s="89"/>
      <c r="H23" s="88"/>
      <c r="I23" s="90"/>
    </row>
    <row r="24" spans="1:12" ht="22.5" customHeight="1">
      <c r="C24" s="86"/>
      <c r="D24" s="90"/>
      <c r="E24" s="101" t="s">
        <v>202</v>
      </c>
      <c r="F24" s="88"/>
      <c r="G24" s="88"/>
      <c r="H24" s="88"/>
      <c r="I24" s="90"/>
    </row>
    <row r="25" spans="1:12" ht="22.5" customHeight="1">
      <c r="A25" s="94"/>
      <c r="B25" s="94"/>
      <c r="C25" s="86"/>
      <c r="D25" s="95"/>
      <c r="E25" s="101" t="s">
        <v>203</v>
      </c>
      <c r="F25" s="88"/>
      <c r="G25" s="88"/>
      <c r="H25" s="88"/>
      <c r="I25" s="95"/>
      <c r="J25" s="94"/>
      <c r="K25" s="96"/>
    </row>
    <row r="26" spans="1:12" ht="23.25" hidden="1" customHeight="1">
      <c r="A26" s="96"/>
      <c r="B26" s="96"/>
      <c r="C26" s="96"/>
      <c r="D26" s="97"/>
      <c r="E26" s="101" t="s">
        <v>160</v>
      </c>
      <c r="F26" s="98"/>
      <c r="G26" s="98"/>
      <c r="H26" s="98"/>
      <c r="I26" s="97"/>
      <c r="J26" s="96"/>
      <c r="K26" s="96"/>
    </row>
    <row r="27" spans="1:12" ht="22.5" hidden="1" customHeight="1">
      <c r="A27" s="96"/>
      <c r="B27" s="96"/>
      <c r="C27" s="96"/>
      <c r="D27" s="97"/>
      <c r="E27" s="101"/>
      <c r="F27" s="99"/>
      <c r="G27" s="99"/>
      <c r="H27" s="99"/>
      <c r="I27" s="97"/>
      <c r="J27" s="96"/>
      <c r="K27" s="96"/>
    </row>
    <row r="28" spans="1:12" ht="20.25" hidden="1" customHeight="1">
      <c r="A28" s="96"/>
      <c r="B28" s="96"/>
      <c r="C28" s="96"/>
      <c r="D28" s="97"/>
      <c r="E28" s="101"/>
      <c r="F28" s="99"/>
      <c r="G28" s="99"/>
      <c r="H28" s="99"/>
      <c r="I28" s="97"/>
      <c r="J28" s="96"/>
      <c r="K28" s="96"/>
    </row>
    <row r="29" spans="1:12" ht="16.5" hidden="1" customHeight="1">
      <c r="A29" s="96"/>
      <c r="B29" s="96"/>
      <c r="C29" s="96"/>
      <c r="D29" s="97"/>
      <c r="E29" s="101"/>
      <c r="F29" s="99"/>
      <c r="G29" s="99"/>
      <c r="H29" s="99"/>
      <c r="I29" s="97"/>
      <c r="J29" s="96"/>
      <c r="K29" s="96"/>
    </row>
    <row r="30" spans="1:12" ht="12" hidden="1" customHeight="1">
      <c r="A30" s="96"/>
      <c r="B30" s="96"/>
      <c r="C30" s="96"/>
      <c r="D30" s="97"/>
      <c r="E30" s="101"/>
      <c r="F30" s="99"/>
      <c r="G30" s="99"/>
      <c r="H30" s="99"/>
      <c r="I30" s="97"/>
      <c r="J30" s="96"/>
      <c r="K30" s="96"/>
    </row>
    <row r="31" spans="1:12" ht="2.25" hidden="1" customHeight="1">
      <c r="A31" s="96"/>
      <c r="B31" s="96"/>
      <c r="C31" s="96"/>
      <c r="D31" s="97"/>
      <c r="E31" s="101"/>
      <c r="F31" s="99"/>
      <c r="G31" s="99"/>
      <c r="H31" s="99"/>
      <c r="I31" s="97"/>
      <c r="J31" s="96"/>
      <c r="K31" s="96"/>
    </row>
    <row r="32" spans="1:12" ht="20.25" customHeight="1">
      <c r="C32" s="100"/>
      <c r="D32" s="90"/>
      <c r="E32" s="101" t="s">
        <v>204</v>
      </c>
      <c r="F32" s="101"/>
      <c r="G32" s="373"/>
      <c r="H32" s="373"/>
      <c r="I32" s="90"/>
    </row>
    <row r="33" spans="3:9" ht="20.25" customHeight="1">
      <c r="C33" s="100"/>
      <c r="D33" s="90"/>
      <c r="E33" s="101" t="s">
        <v>227</v>
      </c>
      <c r="F33" s="101"/>
      <c r="G33" s="373"/>
      <c r="H33" s="373"/>
      <c r="I33" s="90"/>
    </row>
    <row r="34" spans="3:9" ht="23.25" customHeight="1">
      <c r="D34" s="90"/>
      <c r="E34" s="101" t="s">
        <v>316</v>
      </c>
      <c r="F34" s="90"/>
      <c r="G34" s="90"/>
      <c r="H34" s="90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L53"/>
  <sheetViews>
    <sheetView topLeftCell="A5" zoomScale="80" zoomScaleNormal="80" workbookViewId="0">
      <selection activeCell="BI9" sqref="BI9:BI48"/>
    </sheetView>
  </sheetViews>
  <sheetFormatPr defaultColWidth="9.1796875" defaultRowHeight="14"/>
  <cols>
    <col min="1" max="1" width="4.1796875" style="287" customWidth="1"/>
    <col min="2" max="2" width="42.81640625" style="287" customWidth="1"/>
    <col min="3" max="19" width="10.81640625" style="287" hidden="1" customWidth="1"/>
    <col min="20" max="20" width="10.1796875" style="287" hidden="1" customWidth="1"/>
    <col min="21" max="21" width="10" style="287" hidden="1" customWidth="1"/>
    <col min="22" max="22" width="10.453125" style="287" hidden="1" customWidth="1"/>
    <col min="23" max="23" width="9.81640625" style="287" hidden="1" customWidth="1"/>
    <col min="24" max="24" width="10.453125" style="287" hidden="1" customWidth="1"/>
    <col min="25" max="34" width="11.1796875" style="287" hidden="1" customWidth="1"/>
    <col min="35" max="35" width="11.453125" style="287" hidden="1" customWidth="1"/>
    <col min="36" max="36" width="11.81640625" style="287" hidden="1" customWidth="1"/>
    <col min="37" max="37" width="10.54296875" style="287" hidden="1" customWidth="1"/>
    <col min="38" max="38" width="9.54296875" style="287" hidden="1" customWidth="1"/>
    <col min="39" max="39" width="11" style="287" hidden="1" customWidth="1"/>
    <col min="40" max="40" width="10.1796875" style="287" hidden="1" customWidth="1"/>
    <col min="41" max="54" width="9.1796875" style="287" hidden="1" customWidth="1"/>
    <col min="55" max="55" width="0" style="287" hidden="1" customWidth="1"/>
    <col min="56" max="56" width="9.1796875" style="287" hidden="1" customWidth="1"/>
    <col min="57" max="16384" width="9.1796875" style="287"/>
  </cols>
  <sheetData>
    <row r="5" spans="1:64" ht="24.75" customHeight="1">
      <c r="A5" s="286"/>
      <c r="B5" s="286"/>
    </row>
    <row r="6" spans="1:64" s="313" customFormat="1" ht="20.25" customHeight="1" thickBot="1">
      <c r="B6" s="314" t="s">
        <v>29</v>
      </c>
      <c r="C6" s="409" t="s">
        <v>0</v>
      </c>
      <c r="D6" s="409" t="s">
        <v>3</v>
      </c>
      <c r="E6" s="409" t="s">
        <v>4</v>
      </c>
      <c r="F6" s="409" t="s">
        <v>5</v>
      </c>
      <c r="G6" s="409" t="s">
        <v>6</v>
      </c>
      <c r="H6" s="409" t="s">
        <v>11</v>
      </c>
      <c r="I6" s="315" t="s">
        <v>80</v>
      </c>
      <c r="J6" s="315" t="s">
        <v>91</v>
      </c>
      <c r="K6" s="315" t="s">
        <v>92</v>
      </c>
      <c r="L6" s="315" t="s">
        <v>93</v>
      </c>
      <c r="M6" s="315" t="s">
        <v>95</v>
      </c>
      <c r="N6" s="315" t="s">
        <v>100</v>
      </c>
      <c r="O6" s="315" t="s">
        <v>101</v>
      </c>
      <c r="P6" s="315" t="s">
        <v>102</v>
      </c>
      <c r="Q6" s="315" t="s">
        <v>103</v>
      </c>
      <c r="R6" s="315" t="s">
        <v>104</v>
      </c>
      <c r="S6" s="315" t="s">
        <v>105</v>
      </c>
      <c r="T6" s="315" t="s">
        <v>107</v>
      </c>
      <c r="U6" s="315" t="s">
        <v>114</v>
      </c>
      <c r="V6" s="315" t="s">
        <v>115</v>
      </c>
      <c r="W6" s="315" t="s">
        <v>118</v>
      </c>
      <c r="X6" s="315" t="s">
        <v>119</v>
      </c>
      <c r="Y6" s="315" t="s">
        <v>122</v>
      </c>
      <c r="Z6" s="315" t="s">
        <v>123</v>
      </c>
      <c r="AA6" s="315" t="s">
        <v>128</v>
      </c>
      <c r="AB6" s="315" t="s">
        <v>136</v>
      </c>
      <c r="AC6" s="315" t="s">
        <v>137</v>
      </c>
      <c r="AD6" s="315" t="s">
        <v>138</v>
      </c>
      <c r="AE6" s="315" t="s">
        <v>142</v>
      </c>
      <c r="AF6" s="315" t="s">
        <v>143</v>
      </c>
      <c r="AG6" s="315" t="s">
        <v>147</v>
      </c>
      <c r="AH6" s="315" t="s">
        <v>153</v>
      </c>
      <c r="AI6" s="316" t="s">
        <v>155</v>
      </c>
      <c r="AJ6" s="316" t="s">
        <v>156</v>
      </c>
      <c r="AK6" s="316" t="s">
        <v>168</v>
      </c>
      <c r="AL6" s="316" t="s">
        <v>169</v>
      </c>
      <c r="AM6" s="316" t="s">
        <v>172</v>
      </c>
      <c r="AN6" s="316" t="s">
        <v>175</v>
      </c>
      <c r="AO6" s="316" t="s">
        <v>178</v>
      </c>
      <c r="AP6" s="316" t="s">
        <v>179</v>
      </c>
      <c r="AQ6" s="316" t="s">
        <v>181</v>
      </c>
      <c r="AR6" s="316" t="s">
        <v>182</v>
      </c>
      <c r="AS6" s="316" t="s">
        <v>183</v>
      </c>
      <c r="AT6" s="316" t="s">
        <v>198</v>
      </c>
      <c r="AU6" s="316" t="s">
        <v>210</v>
      </c>
      <c r="AV6" s="316" t="s">
        <v>228</v>
      </c>
      <c r="AW6" s="316" t="s">
        <v>231</v>
      </c>
      <c r="AX6" s="316" t="s">
        <v>234</v>
      </c>
      <c r="AY6" s="316" t="s">
        <v>240</v>
      </c>
      <c r="AZ6" s="316" t="s">
        <v>242</v>
      </c>
      <c r="BA6" s="316" t="s">
        <v>323</v>
      </c>
      <c r="BB6" s="316" t="s">
        <v>326</v>
      </c>
      <c r="BC6" s="316" t="s">
        <v>332</v>
      </c>
      <c r="BD6" s="316" t="s">
        <v>334</v>
      </c>
      <c r="BE6" s="316" t="s">
        <v>335</v>
      </c>
      <c r="BF6" s="316" t="s">
        <v>336</v>
      </c>
      <c r="BG6" s="316" t="s">
        <v>342</v>
      </c>
      <c r="BH6" s="316" t="s">
        <v>345</v>
      </c>
      <c r="BI6" s="316" t="s">
        <v>350</v>
      </c>
    </row>
    <row r="7" spans="1:64" ht="13.5" customHeight="1" thickTop="1">
      <c r="A7" s="286"/>
      <c r="B7" s="289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</row>
    <row r="8" spans="1:64" ht="14.5" customHeight="1">
      <c r="A8" s="286"/>
      <c r="B8" s="291" t="s">
        <v>134</v>
      </c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</row>
    <row r="9" spans="1:64" s="317" customFormat="1">
      <c r="B9" s="318" t="s">
        <v>132</v>
      </c>
      <c r="C9" s="318">
        <v>8944</v>
      </c>
      <c r="D9" s="318">
        <v>11100</v>
      </c>
      <c r="E9" s="318">
        <v>12444</v>
      </c>
      <c r="F9" s="318">
        <v>9419</v>
      </c>
      <c r="G9" s="319">
        <v>6968</v>
      </c>
      <c r="H9" s="319">
        <v>6401</v>
      </c>
      <c r="I9" s="319">
        <v>6808</v>
      </c>
      <c r="J9" s="319">
        <v>6363</v>
      </c>
      <c r="K9" s="319">
        <v>7108</v>
      </c>
      <c r="L9" s="319">
        <v>8296</v>
      </c>
      <c r="M9" s="319">
        <v>8190</v>
      </c>
      <c r="N9" s="319">
        <v>7800</v>
      </c>
      <c r="O9" s="319">
        <v>8364</v>
      </c>
      <c r="P9" s="319">
        <v>9010</v>
      </c>
      <c r="Q9" s="319">
        <v>8967</v>
      </c>
      <c r="R9" s="319">
        <v>9066</v>
      </c>
      <c r="S9" s="319">
        <v>9199</v>
      </c>
      <c r="T9" s="319">
        <v>9975</v>
      </c>
      <c r="U9" s="319">
        <v>9819</v>
      </c>
      <c r="V9" s="319">
        <v>8988</v>
      </c>
      <c r="W9" s="319">
        <v>9166</v>
      </c>
      <c r="X9" s="319">
        <v>9882</v>
      </c>
      <c r="Y9" s="319">
        <v>10494</v>
      </c>
      <c r="Z9" s="319">
        <v>10321</v>
      </c>
      <c r="AA9" s="319">
        <v>10554</v>
      </c>
      <c r="AB9" s="318">
        <v>10443</v>
      </c>
      <c r="AC9" s="319">
        <v>10706</v>
      </c>
      <c r="AD9" s="319">
        <v>10843</v>
      </c>
      <c r="AE9" s="319">
        <v>10447</v>
      </c>
      <c r="AF9" s="319">
        <v>10759</v>
      </c>
      <c r="AG9" s="319">
        <v>11925</v>
      </c>
      <c r="AH9" s="319">
        <v>10449</v>
      </c>
      <c r="AI9" s="319">
        <v>10085</v>
      </c>
      <c r="AJ9" s="319">
        <v>10249</v>
      </c>
      <c r="AK9" s="319">
        <v>8699</v>
      </c>
      <c r="AL9" s="319">
        <v>8620</v>
      </c>
      <c r="AM9" s="319">
        <v>8459</v>
      </c>
      <c r="AN9" s="319">
        <v>9166</v>
      </c>
      <c r="AO9" s="319">
        <v>9476</v>
      </c>
      <c r="AP9" s="319">
        <v>9817</v>
      </c>
      <c r="AQ9" s="319">
        <v>10389</v>
      </c>
      <c r="AR9" s="319">
        <v>12035</v>
      </c>
      <c r="AS9" s="319">
        <v>12836</v>
      </c>
      <c r="AT9" s="319">
        <v>10900</v>
      </c>
      <c r="AU9" s="319">
        <v>10026</v>
      </c>
      <c r="AV9" s="319">
        <v>10154</v>
      </c>
      <c r="AW9" s="319">
        <v>9931</v>
      </c>
      <c r="AX9" s="319">
        <v>9533</v>
      </c>
      <c r="AY9" s="319">
        <v>9228</v>
      </c>
      <c r="AZ9" s="319">
        <v>8745</v>
      </c>
      <c r="BA9" s="319">
        <v>12222</v>
      </c>
      <c r="BB9" s="319">
        <v>13620.195919049653</v>
      </c>
      <c r="BC9" s="319">
        <v>16342.9843191</v>
      </c>
      <c r="BD9" s="319">
        <v>19130.151599260003</v>
      </c>
      <c r="BE9" s="319">
        <v>21317</v>
      </c>
      <c r="BF9" s="319">
        <v>21555</v>
      </c>
      <c r="BG9" s="319">
        <f>[16]Consolidado!$G$10</f>
        <v>20330.4908406</v>
      </c>
      <c r="BH9" s="319">
        <f>[7]Consolidado!$G$10</f>
        <v>22968.442129699997</v>
      </c>
      <c r="BI9" s="319">
        <f>[8]Consolidado!$G$10</f>
        <v>21149.232397260006</v>
      </c>
      <c r="BL9" s="448"/>
    </row>
    <row r="10" spans="1:64">
      <c r="B10" s="293" t="s">
        <v>133</v>
      </c>
      <c r="C10" s="294">
        <v>2132</v>
      </c>
      <c r="D10" s="294">
        <v>2980</v>
      </c>
      <c r="E10" s="294">
        <v>4090</v>
      </c>
      <c r="F10" s="294">
        <v>1686</v>
      </c>
      <c r="G10" s="294">
        <v>741</v>
      </c>
      <c r="H10" s="294">
        <v>758</v>
      </c>
      <c r="I10" s="294">
        <v>1456</v>
      </c>
      <c r="J10" s="294">
        <v>1279</v>
      </c>
      <c r="K10" s="294">
        <v>1407</v>
      </c>
      <c r="L10" s="294">
        <v>1814</v>
      </c>
      <c r="M10" s="294">
        <v>1350</v>
      </c>
      <c r="N10" s="294">
        <v>949</v>
      </c>
      <c r="O10" s="294">
        <v>1165</v>
      </c>
      <c r="P10" s="294">
        <v>1404</v>
      </c>
      <c r="Q10" s="294">
        <v>1339</v>
      </c>
      <c r="R10" s="294">
        <v>1201</v>
      </c>
      <c r="S10" s="294">
        <v>1107</v>
      </c>
      <c r="T10" s="294">
        <v>1425</v>
      </c>
      <c r="U10" s="294">
        <v>1198</v>
      </c>
      <c r="V10" s="294">
        <v>1018</v>
      </c>
      <c r="W10" s="294">
        <v>908</v>
      </c>
      <c r="X10" s="294">
        <v>1342</v>
      </c>
      <c r="Y10" s="294">
        <v>1534</v>
      </c>
      <c r="Z10" s="294">
        <v>1350</v>
      </c>
      <c r="AA10" s="294">
        <v>1316</v>
      </c>
      <c r="AB10" s="294">
        <v>1264</v>
      </c>
      <c r="AC10" s="294">
        <v>1276</v>
      </c>
      <c r="AD10" s="294">
        <v>1284</v>
      </c>
      <c r="AE10" s="294">
        <v>1112</v>
      </c>
      <c r="AF10" s="294">
        <v>1181</v>
      </c>
      <c r="AG10" s="294">
        <v>1211</v>
      </c>
      <c r="AH10" s="294">
        <v>787</v>
      </c>
      <c r="AI10" s="294">
        <v>813</v>
      </c>
      <c r="AJ10" s="294">
        <v>1083</v>
      </c>
      <c r="AK10" s="294">
        <v>1046</v>
      </c>
      <c r="AL10" s="294">
        <v>522</v>
      </c>
      <c r="AM10" s="294">
        <v>654</v>
      </c>
      <c r="AN10" s="294">
        <v>937</v>
      </c>
      <c r="AO10" s="294">
        <v>974</v>
      </c>
      <c r="AP10" s="294">
        <v>1040</v>
      </c>
      <c r="AQ10" s="294">
        <v>1339</v>
      </c>
      <c r="AR10" s="294">
        <v>1645</v>
      </c>
      <c r="AS10" s="294">
        <v>1862</v>
      </c>
      <c r="AT10" s="294">
        <v>1304</v>
      </c>
      <c r="AU10" s="294">
        <v>1269</v>
      </c>
      <c r="AV10" s="294">
        <v>1273</v>
      </c>
      <c r="AW10" s="294">
        <v>985</v>
      </c>
      <c r="AX10" s="294">
        <v>676</v>
      </c>
      <c r="AY10" s="294">
        <v>855</v>
      </c>
      <c r="AZ10" s="294">
        <v>718</v>
      </c>
      <c r="BA10" s="294">
        <v>1697</v>
      </c>
      <c r="BB10" s="294">
        <v>2660.2054933793152</v>
      </c>
      <c r="BC10" s="294">
        <v>3796.9102317547204</v>
      </c>
      <c r="BD10" s="294">
        <v>5414.2383839419817</v>
      </c>
      <c r="BE10" s="294">
        <v>6419</v>
      </c>
      <c r="BF10" s="294">
        <v>5187</v>
      </c>
      <c r="BG10" s="294">
        <f>[16]Consolidado!$G$14</f>
        <v>5181.0841636683963</v>
      </c>
      <c r="BH10" s="294">
        <f>[7]Consolidado!$G$14</f>
        <v>5903.8492799416017</v>
      </c>
      <c r="BI10" s="294">
        <f>[8]Consolidado!$G$14</f>
        <v>4737.7552399000051</v>
      </c>
      <c r="BL10" s="448"/>
    </row>
    <row r="11" spans="1:64" ht="14.5">
      <c r="A11" s="320"/>
      <c r="B11" s="295" t="s">
        <v>152</v>
      </c>
      <c r="C11" s="296">
        <v>1985</v>
      </c>
      <c r="D11" s="296">
        <v>2747</v>
      </c>
      <c r="E11" s="296">
        <v>3841</v>
      </c>
      <c r="F11" s="296">
        <v>1451</v>
      </c>
      <c r="G11" s="296">
        <v>599</v>
      </c>
      <c r="H11" s="296">
        <v>595</v>
      </c>
      <c r="I11" s="296">
        <v>1375</v>
      </c>
      <c r="J11" s="296">
        <v>1246</v>
      </c>
      <c r="K11" s="296">
        <v>1401</v>
      </c>
      <c r="L11" s="296">
        <v>1720</v>
      </c>
      <c r="M11" s="296">
        <v>1265</v>
      </c>
      <c r="N11" s="296">
        <v>815</v>
      </c>
      <c r="O11" s="296">
        <v>1102</v>
      </c>
      <c r="P11" s="296">
        <v>1309</v>
      </c>
      <c r="Q11" s="296">
        <v>1215</v>
      </c>
      <c r="R11" s="296">
        <v>1025</v>
      </c>
      <c r="S11" s="296">
        <v>1008</v>
      </c>
      <c r="T11" s="296">
        <v>1244</v>
      </c>
      <c r="U11" s="296">
        <v>1033</v>
      </c>
      <c r="V11" s="296">
        <v>891</v>
      </c>
      <c r="W11" s="296">
        <v>805</v>
      </c>
      <c r="X11" s="296">
        <v>1196</v>
      </c>
      <c r="Y11" s="296">
        <v>1413</v>
      </c>
      <c r="Z11" s="296">
        <v>1370</v>
      </c>
      <c r="AA11" s="296">
        <v>1221</v>
      </c>
      <c r="AB11" s="296">
        <v>1198</v>
      </c>
      <c r="AC11" s="296">
        <v>1241</v>
      </c>
      <c r="AD11" s="297">
        <v>1247</v>
      </c>
      <c r="AE11" s="297">
        <v>1106</v>
      </c>
      <c r="AF11" s="297">
        <v>1192</v>
      </c>
      <c r="AG11" s="297">
        <v>1291</v>
      </c>
      <c r="AH11" s="297">
        <v>911</v>
      </c>
      <c r="AI11" s="297">
        <v>930</v>
      </c>
      <c r="AJ11" s="297">
        <v>1201</v>
      </c>
      <c r="AK11" s="297">
        <v>1200</v>
      </c>
      <c r="AL11" s="297">
        <v>716</v>
      </c>
      <c r="AM11" s="297">
        <v>853</v>
      </c>
      <c r="AN11" s="297">
        <v>1121</v>
      </c>
      <c r="AO11" s="297">
        <v>1166</v>
      </c>
      <c r="AP11" s="297">
        <v>1181</v>
      </c>
      <c r="AQ11" s="297">
        <v>1484</v>
      </c>
      <c r="AR11" s="297">
        <v>1756</v>
      </c>
      <c r="AS11" s="297">
        <v>2013</v>
      </c>
      <c r="AT11" s="297">
        <v>1404</v>
      </c>
      <c r="AU11" s="297">
        <v>1558</v>
      </c>
      <c r="AV11" s="297">
        <v>1574</v>
      </c>
      <c r="AW11" s="297">
        <v>1465</v>
      </c>
      <c r="AX11" s="297">
        <v>1136</v>
      </c>
      <c r="AY11" s="297">
        <v>1177</v>
      </c>
      <c r="AZ11" s="297">
        <v>1318</v>
      </c>
      <c r="BA11" s="297">
        <v>2139</v>
      </c>
      <c r="BB11" s="297">
        <v>3056</v>
      </c>
      <c r="BC11" s="297">
        <v>4318.3484635083123</v>
      </c>
      <c r="BD11" s="297">
        <v>5896.6851028459305</v>
      </c>
      <c r="BE11" s="297">
        <v>7023</v>
      </c>
      <c r="BF11" s="297">
        <v>5983</v>
      </c>
      <c r="BG11" s="297">
        <f>[16]Consolidado!$G$42</f>
        <v>5827.3990098130371</v>
      </c>
      <c r="BH11" s="297">
        <f>[7]Consolidado!$G$42</f>
        <v>6680.1932579869954</v>
      </c>
      <c r="BI11" s="297">
        <f>[8]Consolidado!$G$42</f>
        <v>5369.1615909225702</v>
      </c>
      <c r="BL11" s="448"/>
    </row>
    <row r="12" spans="1:64">
      <c r="B12" s="293" t="s">
        <v>59</v>
      </c>
      <c r="C12" s="294">
        <v>423</v>
      </c>
      <c r="D12" s="294">
        <v>409</v>
      </c>
      <c r="E12" s="294">
        <v>434</v>
      </c>
      <c r="F12" s="294">
        <v>631</v>
      </c>
      <c r="G12" s="294">
        <v>474</v>
      </c>
      <c r="H12" s="294">
        <v>442</v>
      </c>
      <c r="I12" s="294">
        <v>402</v>
      </c>
      <c r="J12" s="294">
        <v>427</v>
      </c>
      <c r="K12" s="294">
        <v>459</v>
      </c>
      <c r="L12" s="294">
        <v>472</v>
      </c>
      <c r="M12" s="294">
        <v>485</v>
      </c>
      <c r="N12" s="294">
        <v>476</v>
      </c>
      <c r="O12" s="294">
        <v>448</v>
      </c>
      <c r="P12" s="294">
        <v>431</v>
      </c>
      <c r="Q12" s="294">
        <v>437</v>
      </c>
      <c r="R12" s="294">
        <v>456</v>
      </c>
      <c r="S12" s="294">
        <v>438</v>
      </c>
      <c r="T12" s="294">
        <v>459</v>
      </c>
      <c r="U12" s="294">
        <v>465</v>
      </c>
      <c r="V12" s="294">
        <v>465</v>
      </c>
      <c r="W12" s="294">
        <v>464</v>
      </c>
      <c r="X12" s="294">
        <v>476</v>
      </c>
      <c r="Y12" s="294">
        <v>528</v>
      </c>
      <c r="Z12" s="294">
        <v>561</v>
      </c>
      <c r="AA12" s="294">
        <v>542</v>
      </c>
      <c r="AB12" s="294">
        <v>541</v>
      </c>
      <c r="AC12" s="294">
        <v>555</v>
      </c>
      <c r="AD12" s="294">
        <v>590</v>
      </c>
      <c r="AE12" s="294">
        <v>604</v>
      </c>
      <c r="AF12" s="294">
        <v>626</v>
      </c>
      <c r="AG12" s="294">
        <v>671</v>
      </c>
      <c r="AH12" s="294">
        <v>707</v>
      </c>
      <c r="AI12" s="294">
        <v>681</v>
      </c>
      <c r="AJ12" s="294">
        <v>617</v>
      </c>
      <c r="AK12" s="294">
        <v>567</v>
      </c>
      <c r="AL12" s="294">
        <v>671</v>
      </c>
      <c r="AM12" s="294">
        <v>528</v>
      </c>
      <c r="AN12" s="294">
        <v>526</v>
      </c>
      <c r="AO12" s="294">
        <v>514</v>
      </c>
      <c r="AP12" s="294">
        <v>524</v>
      </c>
      <c r="AQ12" s="294">
        <v>453</v>
      </c>
      <c r="AR12" s="294">
        <v>453</v>
      </c>
      <c r="AS12" s="294">
        <v>478</v>
      </c>
      <c r="AT12" s="294">
        <v>504</v>
      </c>
      <c r="AU12" s="294">
        <v>506</v>
      </c>
      <c r="AV12" s="294">
        <v>527</v>
      </c>
      <c r="AW12" s="294">
        <v>502</v>
      </c>
      <c r="AX12" s="294">
        <v>538</v>
      </c>
      <c r="AY12" s="294">
        <v>557</v>
      </c>
      <c r="AZ12" s="294">
        <v>611</v>
      </c>
      <c r="BA12" s="294">
        <v>647</v>
      </c>
      <c r="BB12" s="294">
        <v>683.83781382446455</v>
      </c>
      <c r="BC12" s="294">
        <v>648.82934737527842</v>
      </c>
      <c r="BD12" s="294">
        <v>630.49909063801965</v>
      </c>
      <c r="BE12" s="294">
        <v>673</v>
      </c>
      <c r="BF12" s="294">
        <v>707</v>
      </c>
      <c r="BG12" s="294">
        <f>[16]Consolidado!$G$30</f>
        <v>658.82659935160007</v>
      </c>
      <c r="BH12" s="294">
        <f>[7]Consolidado!$G$30</f>
        <v>701.18482417839994</v>
      </c>
      <c r="BI12" s="294">
        <f>[8]Consolidado!$G$30</f>
        <v>737.50042127000006</v>
      </c>
      <c r="BL12" s="448"/>
    </row>
    <row r="13" spans="1:64" ht="6.75" customHeight="1">
      <c r="B13" s="293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L13" s="448"/>
    </row>
    <row r="14" spans="1:64">
      <c r="B14" s="388" t="s">
        <v>230</v>
      </c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90"/>
      <c r="AO14" s="390"/>
      <c r="AP14" s="390"/>
      <c r="AQ14" s="390">
        <f>(AQ11/'5 - Vendas Físicas'!AQ9)*1000</f>
        <v>383.36347197106693</v>
      </c>
      <c r="AR14" s="390">
        <f>(AR11/'5 - Vendas Físicas'!AR9)*1000</f>
        <v>458.00730307772562</v>
      </c>
      <c r="AS14" s="390">
        <f>(AS11/'5 - Vendas Físicas'!AS9)*1000</f>
        <v>545.82429501084596</v>
      </c>
      <c r="AT14" s="390">
        <f>(AT11/'5 - Vendas Físicas'!AT9)*1000</f>
        <v>443.29000725219322</v>
      </c>
      <c r="AU14" s="390">
        <f>(AU11/'5 - Vendas Físicas'!AU9)*1000</f>
        <v>521.94304857621444</v>
      </c>
      <c r="AV14" s="390">
        <f>(AV11/'5 - Vendas Físicas'!AV9)*1000</f>
        <v>529.60969044414537</v>
      </c>
      <c r="AW14" s="390">
        <f>(AW11/'5 - Vendas Físicas'!AW9)*1000</f>
        <v>479.44557991070673</v>
      </c>
      <c r="AX14" s="390">
        <f>(AX11/'5 - Vendas Físicas'!AX9)*1000</f>
        <v>369.07082521117604</v>
      </c>
      <c r="AY14" s="390">
        <f>(AY11/'5 - Vendas Físicas'!AY9)*1000</f>
        <v>437.44399193724701</v>
      </c>
      <c r="AZ14" s="390">
        <f>(AZ11/'5 - Vendas Físicas'!BA9)*1000</f>
        <v>413.29570398243965</v>
      </c>
      <c r="BA14" s="390" t="e">
        <f>(BA11/'5 - Vendas Físicas'!#REF!)*1000</f>
        <v>#REF!</v>
      </c>
      <c r="BB14" s="390">
        <f>(BB11/'5 - Vendas Físicas'!BB9)*1000</f>
        <v>949.95337270749144</v>
      </c>
      <c r="BC14" s="390">
        <f>(BC11/'5 - Vendas Físicas'!BC9)*1000</f>
        <v>1398.6795131728556</v>
      </c>
      <c r="BD14" s="390">
        <f>(BD11/'5 - Vendas Físicas'!BD9)*1000</f>
        <v>1833.0302832917614</v>
      </c>
      <c r="BE14" s="390">
        <f>(BE11/'5 - Vendas Físicas'!BE9)*1000</f>
        <v>2158.9818238235343</v>
      </c>
      <c r="BF14" s="390">
        <f>(BF11/'5 - Vendas Físicas'!BF9)*1000</f>
        <v>1890.099635650809</v>
      </c>
      <c r="BG14" s="390">
        <f>(BG11/'5 - Vendas Físicas'!BG9)*1000</f>
        <v>1907.3969592255132</v>
      </c>
      <c r="BH14" s="390">
        <f>(BH11/'5 - Vendas Físicas'!BH9)*1000</f>
        <v>2058.4508333084905</v>
      </c>
      <c r="BI14" s="390">
        <f>(BI11/'5 - Vendas Físicas'!BI9)*1000</f>
        <v>1832.7792574707767</v>
      </c>
      <c r="BL14" s="448"/>
    </row>
    <row r="15" spans="1:64">
      <c r="B15" s="298"/>
      <c r="C15" s="299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L15" s="448"/>
    </row>
    <row r="16" spans="1:64">
      <c r="B16" s="301" t="s">
        <v>84</v>
      </c>
      <c r="C16" s="302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3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L16" s="448"/>
    </row>
    <row r="17" spans="1:64">
      <c r="B17" s="293" t="s">
        <v>132</v>
      </c>
      <c r="C17" s="304">
        <v>2906</v>
      </c>
      <c r="D17" s="304">
        <v>3576</v>
      </c>
      <c r="E17" s="304">
        <v>4662</v>
      </c>
      <c r="F17" s="304">
        <v>3289</v>
      </c>
      <c r="G17" s="304">
        <v>2366</v>
      </c>
      <c r="H17" s="304">
        <v>2408</v>
      </c>
      <c r="I17" s="304">
        <v>2781</v>
      </c>
      <c r="J17" s="304">
        <v>2777</v>
      </c>
      <c r="K17" s="304">
        <v>2871</v>
      </c>
      <c r="L17" s="304">
        <v>3296</v>
      </c>
      <c r="M17" s="304">
        <v>3244</v>
      </c>
      <c r="N17" s="304">
        <v>3048</v>
      </c>
      <c r="O17" s="304">
        <v>3187</v>
      </c>
      <c r="P17" s="304">
        <v>3582</v>
      </c>
      <c r="Q17" s="304">
        <v>3606</v>
      </c>
      <c r="R17" s="304">
        <v>3558</v>
      </c>
      <c r="S17" s="304">
        <v>3220</v>
      </c>
      <c r="T17" s="304">
        <v>3724</v>
      </c>
      <c r="U17" s="304">
        <v>3567</v>
      </c>
      <c r="V17" s="304">
        <v>3589</v>
      </c>
      <c r="W17" s="304">
        <v>3457</v>
      </c>
      <c r="X17" s="304">
        <v>3666</v>
      </c>
      <c r="Y17" s="304">
        <v>3967</v>
      </c>
      <c r="Z17" s="304">
        <v>3747</v>
      </c>
      <c r="AA17" s="305">
        <v>3866</v>
      </c>
      <c r="AB17" s="305">
        <v>3543</v>
      </c>
      <c r="AC17" s="305">
        <v>3653</v>
      </c>
      <c r="AD17" s="306">
        <v>3751</v>
      </c>
      <c r="AE17" s="306">
        <v>3314</v>
      </c>
      <c r="AF17" s="306">
        <v>3262</v>
      </c>
      <c r="AG17" s="306">
        <v>3723</v>
      </c>
      <c r="AH17" s="306">
        <v>2678</v>
      </c>
      <c r="AI17" s="306">
        <v>2694</v>
      </c>
      <c r="AJ17" s="306">
        <v>3047</v>
      </c>
      <c r="AK17" s="306">
        <v>2971</v>
      </c>
      <c r="AL17" s="306">
        <v>2923</v>
      </c>
      <c r="AM17" s="306">
        <v>2784</v>
      </c>
      <c r="AN17" s="306">
        <v>3060</v>
      </c>
      <c r="AO17" s="306">
        <v>3244</v>
      </c>
      <c r="AP17" s="306">
        <v>3475</v>
      </c>
      <c r="AQ17" s="305">
        <v>3611</v>
      </c>
      <c r="AR17" s="305">
        <v>3798</v>
      </c>
      <c r="AS17" s="305">
        <v>4390</v>
      </c>
      <c r="AT17" s="305">
        <v>3945.8471660600003</v>
      </c>
      <c r="AU17" s="305">
        <v>3849</v>
      </c>
      <c r="AV17" s="305">
        <v>4017</v>
      </c>
      <c r="AW17" s="305">
        <v>4198</v>
      </c>
      <c r="AX17" s="305">
        <v>4057</v>
      </c>
      <c r="AY17" s="305">
        <f>SUM(AY18:AY19)</f>
        <v>3414</v>
      </c>
      <c r="AZ17" s="305">
        <v>3561</v>
      </c>
      <c r="BA17" s="305">
        <v>4990</v>
      </c>
      <c r="BB17" s="305">
        <v>5787.0281787939175</v>
      </c>
      <c r="BC17" s="305">
        <v>6883.1810690399998</v>
      </c>
      <c r="BD17" s="305">
        <v>8940.2469098700003</v>
      </c>
      <c r="BE17" s="305">
        <v>10060</v>
      </c>
      <c r="BF17" s="305">
        <f>BF18+BF19</f>
        <v>8874.2740116699952</v>
      </c>
      <c r="BG17" s="305">
        <f>BG18+BG19</f>
        <v>8021.8141118000003</v>
      </c>
      <c r="BH17" s="305">
        <f>BH18+BH19</f>
        <v>9588.1457387299961</v>
      </c>
      <c r="BI17" s="305">
        <f>BI18+BI19</f>
        <v>8484.1673321700055</v>
      </c>
      <c r="BL17" s="448"/>
    </row>
    <row r="18" spans="1:64">
      <c r="B18" s="301" t="s">
        <v>57</v>
      </c>
      <c r="C18" s="302">
        <v>2385</v>
      </c>
      <c r="D18" s="307">
        <v>2765</v>
      </c>
      <c r="E18" s="307">
        <v>3761</v>
      </c>
      <c r="F18" s="307">
        <v>2776</v>
      </c>
      <c r="G18" s="307">
        <v>1969</v>
      </c>
      <c r="H18" s="307">
        <v>2019</v>
      </c>
      <c r="I18" s="307">
        <v>2415</v>
      </c>
      <c r="J18" s="307">
        <v>2459</v>
      </c>
      <c r="K18" s="307">
        <v>2518</v>
      </c>
      <c r="L18" s="307">
        <v>2853</v>
      </c>
      <c r="M18" s="307">
        <v>2779</v>
      </c>
      <c r="N18" s="307">
        <v>2291</v>
      </c>
      <c r="O18" s="302">
        <v>2344</v>
      </c>
      <c r="P18" s="302">
        <v>2720</v>
      </c>
      <c r="Q18" s="302">
        <v>2869</v>
      </c>
      <c r="R18" s="302">
        <v>2629</v>
      </c>
      <c r="S18" s="302">
        <v>2623</v>
      </c>
      <c r="T18" s="302">
        <v>2997</v>
      </c>
      <c r="U18" s="302">
        <v>2931</v>
      </c>
      <c r="V18" s="302">
        <v>2792</v>
      </c>
      <c r="W18" s="302">
        <v>3001</v>
      </c>
      <c r="X18" s="302">
        <v>3234</v>
      </c>
      <c r="Y18" s="302">
        <v>3453</v>
      </c>
      <c r="Z18" s="302">
        <v>3175</v>
      </c>
      <c r="AA18" s="307">
        <v>3457</v>
      </c>
      <c r="AB18" s="307">
        <v>3148</v>
      </c>
      <c r="AC18" s="307">
        <v>3165</v>
      </c>
      <c r="AD18" s="307">
        <v>3067</v>
      </c>
      <c r="AE18" s="307">
        <v>2782</v>
      </c>
      <c r="AF18" s="307">
        <v>2573</v>
      </c>
      <c r="AG18" s="307">
        <v>2563</v>
      </c>
      <c r="AH18" s="307">
        <v>1883</v>
      </c>
      <c r="AI18" s="307">
        <v>2011</v>
      </c>
      <c r="AJ18" s="307">
        <v>2270</v>
      </c>
      <c r="AK18" s="307">
        <v>2213.5662459636201</v>
      </c>
      <c r="AL18" s="307">
        <v>2074</v>
      </c>
      <c r="AM18" s="307">
        <v>2210</v>
      </c>
      <c r="AN18" s="307">
        <v>2295</v>
      </c>
      <c r="AO18" s="307">
        <v>2473</v>
      </c>
      <c r="AP18" s="307">
        <v>2530</v>
      </c>
      <c r="AQ18" s="307">
        <v>2794</v>
      </c>
      <c r="AR18" s="307">
        <v>2931</v>
      </c>
      <c r="AS18" s="307">
        <v>3572</v>
      </c>
      <c r="AT18" s="307">
        <v>3022.6881414600002</v>
      </c>
      <c r="AU18" s="307">
        <v>3010</v>
      </c>
      <c r="AV18" s="307">
        <v>3280</v>
      </c>
      <c r="AW18" s="307">
        <v>3446</v>
      </c>
      <c r="AX18" s="307">
        <v>3175</v>
      </c>
      <c r="AY18" s="307">
        <v>3008</v>
      </c>
      <c r="AZ18" s="307">
        <v>2994</v>
      </c>
      <c r="BA18" s="307">
        <v>4464.7</v>
      </c>
      <c r="BB18" s="307">
        <v>5258</v>
      </c>
      <c r="BC18" s="307">
        <v>6690.9570474399998</v>
      </c>
      <c r="BD18" s="307">
        <v>8524.4523072699994</v>
      </c>
      <c r="BE18" s="307">
        <v>9245.6846177999996</v>
      </c>
      <c r="BF18" s="307">
        <f>[15]BRASIL_TABELA!$L$143</f>
        <v>7363.9133017699951</v>
      </c>
      <c r="BG18" s="307">
        <f>[16]BRASIL_TABELA!$L$143</f>
        <v>6862.2105640000009</v>
      </c>
      <c r="BH18" s="307">
        <f>[7]BRASIL_TABELA!$L$145</f>
        <v>8096.9169583228959</v>
      </c>
      <c r="BI18" s="307">
        <f>[8]BRASIL_TABELA!$L$145</f>
        <v>7855.8047195289055</v>
      </c>
      <c r="BL18" s="448"/>
    </row>
    <row r="19" spans="1:64">
      <c r="B19" s="291" t="s">
        <v>58</v>
      </c>
      <c r="C19" s="308">
        <v>521</v>
      </c>
      <c r="D19" s="306">
        <v>811</v>
      </c>
      <c r="E19" s="306">
        <v>901</v>
      </c>
      <c r="F19" s="306">
        <v>513</v>
      </c>
      <c r="G19" s="306">
        <v>397</v>
      </c>
      <c r="H19" s="306">
        <v>389</v>
      </c>
      <c r="I19" s="306">
        <v>366</v>
      </c>
      <c r="J19" s="306">
        <v>318</v>
      </c>
      <c r="K19" s="306">
        <v>353</v>
      </c>
      <c r="L19" s="306">
        <v>443</v>
      </c>
      <c r="M19" s="306">
        <v>465</v>
      </c>
      <c r="N19" s="306">
        <v>757</v>
      </c>
      <c r="O19" s="308">
        <v>843</v>
      </c>
      <c r="P19" s="308">
        <v>862</v>
      </c>
      <c r="Q19" s="308">
        <v>737</v>
      </c>
      <c r="R19" s="308">
        <v>929</v>
      </c>
      <c r="S19" s="308">
        <v>597</v>
      </c>
      <c r="T19" s="308">
        <v>727</v>
      </c>
      <c r="U19" s="308">
        <v>636</v>
      </c>
      <c r="V19" s="308">
        <v>797</v>
      </c>
      <c r="W19" s="308">
        <v>456</v>
      </c>
      <c r="X19" s="308">
        <v>432</v>
      </c>
      <c r="Y19" s="308">
        <v>514</v>
      </c>
      <c r="Z19" s="308">
        <v>572</v>
      </c>
      <c r="AA19" s="306">
        <v>409</v>
      </c>
      <c r="AB19" s="306">
        <v>395</v>
      </c>
      <c r="AC19" s="306">
        <v>488</v>
      </c>
      <c r="AD19" s="306">
        <v>684</v>
      </c>
      <c r="AE19" s="306">
        <v>532</v>
      </c>
      <c r="AF19" s="306">
        <v>688</v>
      </c>
      <c r="AG19" s="306">
        <v>1160</v>
      </c>
      <c r="AH19" s="306">
        <v>795</v>
      </c>
      <c r="AI19" s="306">
        <v>683</v>
      </c>
      <c r="AJ19" s="306">
        <v>777</v>
      </c>
      <c r="AK19" s="306">
        <v>757.44056692639333</v>
      </c>
      <c r="AL19" s="306">
        <v>849</v>
      </c>
      <c r="AM19" s="306">
        <v>574</v>
      </c>
      <c r="AN19" s="306">
        <v>765</v>
      </c>
      <c r="AO19" s="306">
        <v>771</v>
      </c>
      <c r="AP19" s="306">
        <v>945</v>
      </c>
      <c r="AQ19" s="306">
        <v>817</v>
      </c>
      <c r="AR19" s="306">
        <v>867</v>
      </c>
      <c r="AS19" s="306">
        <v>818</v>
      </c>
      <c r="AT19" s="306">
        <v>923.15902460000007</v>
      </c>
      <c r="AU19" s="306">
        <v>839</v>
      </c>
      <c r="AV19" s="306">
        <v>737</v>
      </c>
      <c r="AW19" s="306">
        <v>752</v>
      </c>
      <c r="AX19" s="306">
        <v>882</v>
      </c>
      <c r="AY19" s="306">
        <v>406</v>
      </c>
      <c r="AZ19" s="306">
        <v>567</v>
      </c>
      <c r="BA19" s="306">
        <v>525.5</v>
      </c>
      <c r="BB19" s="306">
        <v>529</v>
      </c>
      <c r="BC19" s="306">
        <v>192.22402160000001</v>
      </c>
      <c r="BD19" s="306">
        <v>415.79460259999996</v>
      </c>
      <c r="BE19" s="306">
        <v>814.33252719999996</v>
      </c>
      <c r="BF19" s="306">
        <f>[15]BRASIL_TABELA!$L$144</f>
        <v>1510.3607099000001</v>
      </c>
      <c r="BG19" s="306">
        <f>[16]BRASIL_TABELA!$L$144</f>
        <v>1159.6035477999999</v>
      </c>
      <c r="BH19" s="306">
        <f>[7]BRASIL_TABELA!$L$146</f>
        <v>1491.2287804071</v>
      </c>
      <c r="BI19" s="306">
        <f>[8]BRASIL_TABELA!$L$146</f>
        <v>628.36261264109999</v>
      </c>
      <c r="BL19" s="448"/>
    </row>
    <row r="20" spans="1:64" s="288" customFormat="1">
      <c r="B20" s="295" t="s">
        <v>133</v>
      </c>
      <c r="C20" s="296">
        <v>960</v>
      </c>
      <c r="D20" s="296">
        <v>1426</v>
      </c>
      <c r="E20" s="296">
        <v>2137</v>
      </c>
      <c r="F20" s="296">
        <v>1493</v>
      </c>
      <c r="G20" s="302">
        <v>713</v>
      </c>
      <c r="H20" s="302">
        <v>647</v>
      </c>
      <c r="I20" s="302">
        <v>913</v>
      </c>
      <c r="J20" s="302">
        <v>910</v>
      </c>
      <c r="K20" s="302">
        <v>804</v>
      </c>
      <c r="L20" s="302">
        <v>953</v>
      </c>
      <c r="M20" s="302">
        <v>713</v>
      </c>
      <c r="N20" s="302">
        <v>446</v>
      </c>
      <c r="O20" s="302">
        <v>488</v>
      </c>
      <c r="P20" s="302">
        <v>627</v>
      </c>
      <c r="Q20" s="302">
        <v>631</v>
      </c>
      <c r="R20" s="302">
        <v>563</v>
      </c>
      <c r="S20" s="302">
        <v>427</v>
      </c>
      <c r="T20" s="302">
        <v>610</v>
      </c>
      <c r="U20" s="302">
        <v>715</v>
      </c>
      <c r="V20" s="302">
        <v>717</v>
      </c>
      <c r="W20" s="302">
        <v>514</v>
      </c>
      <c r="X20" s="302">
        <v>725</v>
      </c>
      <c r="Y20" s="302">
        <v>950</v>
      </c>
      <c r="Z20" s="302">
        <v>765</v>
      </c>
      <c r="AA20" s="307">
        <v>869</v>
      </c>
      <c r="AB20" s="307">
        <v>645</v>
      </c>
      <c r="AC20" s="307">
        <v>600</v>
      </c>
      <c r="AD20" s="307">
        <v>696</v>
      </c>
      <c r="AE20" s="307">
        <v>509</v>
      </c>
      <c r="AF20" s="307">
        <v>453</v>
      </c>
      <c r="AG20" s="307">
        <v>440</v>
      </c>
      <c r="AH20" s="307">
        <v>143</v>
      </c>
      <c r="AI20" s="307">
        <v>222</v>
      </c>
      <c r="AJ20" s="307">
        <v>344</v>
      </c>
      <c r="AK20" s="307">
        <v>518</v>
      </c>
      <c r="AL20" s="307">
        <v>146</v>
      </c>
      <c r="AM20" s="307">
        <v>300</v>
      </c>
      <c r="AN20" s="307">
        <v>376</v>
      </c>
      <c r="AO20" s="307">
        <v>366</v>
      </c>
      <c r="AP20" s="307">
        <v>525</v>
      </c>
      <c r="AQ20" s="303">
        <v>682</v>
      </c>
      <c r="AR20" s="303">
        <v>659</v>
      </c>
      <c r="AS20" s="303">
        <v>788</v>
      </c>
      <c r="AT20" s="303">
        <v>571.3689206799022</v>
      </c>
      <c r="AU20" s="303">
        <v>528</v>
      </c>
      <c r="AV20" s="303">
        <v>592</v>
      </c>
      <c r="AW20" s="303">
        <v>363</v>
      </c>
      <c r="AX20" s="303">
        <v>275</v>
      </c>
      <c r="AY20" s="303">
        <v>405</v>
      </c>
      <c r="AZ20" s="303">
        <v>413</v>
      </c>
      <c r="BA20" s="303">
        <v>1087</v>
      </c>
      <c r="BB20" s="303">
        <v>1667.6125337419144</v>
      </c>
      <c r="BC20" s="303">
        <v>2397.1382041099987</v>
      </c>
      <c r="BD20" s="303">
        <v>3497.7014919100011</v>
      </c>
      <c r="BE20" s="303">
        <v>3839.1985582500029</v>
      </c>
      <c r="BF20" s="303">
        <f>[15]BRASIL_TABELA!$L$194</f>
        <v>2527.541116149996</v>
      </c>
      <c r="BG20" s="303">
        <f>[16]BRASIL_TABELA!$L$194</f>
        <v>1795.33597009</v>
      </c>
      <c r="BH20" s="303">
        <f>[7]BRASIL_TABELA!$L$196</f>
        <v>2107.3011760899981</v>
      </c>
      <c r="BI20" s="303">
        <f>[8]BRASIL_TABELA!$L$196</f>
        <v>1383.1062494000071</v>
      </c>
      <c r="BL20" s="448"/>
    </row>
    <row r="21" spans="1:64" s="288" customFormat="1">
      <c r="B21" s="293" t="s">
        <v>152</v>
      </c>
      <c r="C21" s="304">
        <v>821</v>
      </c>
      <c r="D21" s="304">
        <v>1208</v>
      </c>
      <c r="E21" s="304">
        <v>1917</v>
      </c>
      <c r="F21" s="304">
        <v>1326</v>
      </c>
      <c r="G21" s="308">
        <v>653</v>
      </c>
      <c r="H21" s="308">
        <v>571</v>
      </c>
      <c r="I21" s="308">
        <v>830</v>
      </c>
      <c r="J21" s="308">
        <v>833</v>
      </c>
      <c r="K21" s="308">
        <v>796</v>
      </c>
      <c r="L21" s="308">
        <v>876</v>
      </c>
      <c r="M21" s="308">
        <v>654</v>
      </c>
      <c r="N21" s="308">
        <v>383</v>
      </c>
      <c r="O21" s="308">
        <v>504</v>
      </c>
      <c r="P21" s="308">
        <v>567</v>
      </c>
      <c r="Q21" s="308">
        <v>618</v>
      </c>
      <c r="R21" s="308">
        <v>531</v>
      </c>
      <c r="S21" s="308">
        <v>411</v>
      </c>
      <c r="T21" s="308">
        <v>589</v>
      </c>
      <c r="U21" s="308">
        <v>691</v>
      </c>
      <c r="V21" s="308">
        <v>703</v>
      </c>
      <c r="W21" s="308">
        <v>496</v>
      </c>
      <c r="X21" s="308">
        <v>702</v>
      </c>
      <c r="Y21" s="308">
        <v>933</v>
      </c>
      <c r="Z21" s="308">
        <v>848</v>
      </c>
      <c r="AA21" s="306">
        <v>853</v>
      </c>
      <c r="AB21" s="306">
        <v>651</v>
      </c>
      <c r="AC21" s="306">
        <v>596</v>
      </c>
      <c r="AD21" s="306">
        <v>715</v>
      </c>
      <c r="AE21" s="306">
        <v>521</v>
      </c>
      <c r="AF21" s="306">
        <v>479</v>
      </c>
      <c r="AG21" s="306">
        <v>470</v>
      </c>
      <c r="AH21" s="306">
        <v>186</v>
      </c>
      <c r="AI21" s="306">
        <v>248</v>
      </c>
      <c r="AJ21" s="306">
        <v>402</v>
      </c>
      <c r="AK21" s="306">
        <v>585</v>
      </c>
      <c r="AL21" s="306">
        <v>264</v>
      </c>
      <c r="AM21" s="306">
        <v>389</v>
      </c>
      <c r="AN21" s="306">
        <v>473</v>
      </c>
      <c r="AO21" s="306">
        <v>458</v>
      </c>
      <c r="AP21" s="306">
        <v>605</v>
      </c>
      <c r="AQ21" s="305">
        <v>751</v>
      </c>
      <c r="AR21" s="305">
        <v>743</v>
      </c>
      <c r="AS21" s="305">
        <v>891</v>
      </c>
      <c r="AT21" s="305">
        <v>646.66360937990214</v>
      </c>
      <c r="AU21" s="305">
        <v>674</v>
      </c>
      <c r="AV21" s="305">
        <v>716</v>
      </c>
      <c r="AW21" s="305">
        <v>706</v>
      </c>
      <c r="AX21" s="305">
        <v>543</v>
      </c>
      <c r="AY21" s="305">
        <v>537</v>
      </c>
      <c r="AZ21" s="305">
        <v>663</v>
      </c>
      <c r="BA21" s="305">
        <v>1253</v>
      </c>
      <c r="BB21" s="305">
        <v>1790</v>
      </c>
      <c r="BC21" s="305">
        <v>2537.1682575999989</v>
      </c>
      <c r="BD21" s="305">
        <v>3634.435931550001</v>
      </c>
      <c r="BE21" s="305">
        <v>4004.6021055600031</v>
      </c>
      <c r="BF21" s="305">
        <f>[15]CONSOLIDADO_TABELA!$L$11</f>
        <v>2795.7837945899955</v>
      </c>
      <c r="BG21" s="305">
        <f>[16]CONSOLIDADO_TABELA!$L$11</f>
        <v>1950.92461839</v>
      </c>
      <c r="BH21" s="305">
        <f>[7]CONSOLIDADO_TABELA!$L$11</f>
        <v>2287.6957169919979</v>
      </c>
      <c r="BI21" s="305">
        <f>[8]CONSOLIDADO_TABELA!$L$11</f>
        <v>1562.9800315863074</v>
      </c>
      <c r="BL21" s="448"/>
    </row>
    <row r="22" spans="1:64" s="288" customFormat="1">
      <c r="B22" s="295" t="s">
        <v>59</v>
      </c>
      <c r="C22" s="296">
        <v>206</v>
      </c>
      <c r="D22" s="296">
        <v>163</v>
      </c>
      <c r="E22" s="296">
        <v>212</v>
      </c>
      <c r="F22" s="296">
        <v>208</v>
      </c>
      <c r="G22" s="302">
        <v>175</v>
      </c>
      <c r="H22" s="302">
        <v>172</v>
      </c>
      <c r="I22" s="302">
        <v>175</v>
      </c>
      <c r="J22" s="302">
        <v>190</v>
      </c>
      <c r="K22" s="302">
        <v>223</v>
      </c>
      <c r="L22" s="302">
        <v>236</v>
      </c>
      <c r="M22" s="302">
        <v>239</v>
      </c>
      <c r="N22" s="302">
        <v>241</v>
      </c>
      <c r="O22" s="302">
        <v>220</v>
      </c>
      <c r="P22" s="302">
        <v>204</v>
      </c>
      <c r="Q22" s="302">
        <v>214</v>
      </c>
      <c r="R22" s="302">
        <v>211</v>
      </c>
      <c r="S22" s="302">
        <v>203</v>
      </c>
      <c r="T22" s="302">
        <v>185</v>
      </c>
      <c r="U22" s="302">
        <v>191</v>
      </c>
      <c r="V22" s="302">
        <v>189</v>
      </c>
      <c r="W22" s="302">
        <v>188</v>
      </c>
      <c r="X22" s="302">
        <v>186</v>
      </c>
      <c r="Y22" s="302">
        <v>206</v>
      </c>
      <c r="Z22" s="302">
        <v>217</v>
      </c>
      <c r="AA22" s="307">
        <v>212</v>
      </c>
      <c r="AB22" s="307">
        <v>221</v>
      </c>
      <c r="AC22" s="307">
        <v>235</v>
      </c>
      <c r="AD22" s="307">
        <v>239</v>
      </c>
      <c r="AE22" s="307">
        <v>228</v>
      </c>
      <c r="AF22" s="307">
        <v>238</v>
      </c>
      <c r="AG22" s="307">
        <v>227</v>
      </c>
      <c r="AH22" s="307">
        <v>236</v>
      </c>
      <c r="AI22" s="307">
        <v>215</v>
      </c>
      <c r="AJ22" s="307">
        <v>220</v>
      </c>
      <c r="AK22" s="307">
        <v>227</v>
      </c>
      <c r="AL22" s="307">
        <v>283</v>
      </c>
      <c r="AM22" s="307">
        <v>227</v>
      </c>
      <c r="AN22" s="307">
        <v>230</v>
      </c>
      <c r="AO22" s="307">
        <v>227</v>
      </c>
      <c r="AP22" s="307">
        <v>226</v>
      </c>
      <c r="AQ22" s="303">
        <v>217</v>
      </c>
      <c r="AR22" s="303">
        <v>214</v>
      </c>
      <c r="AS22" s="303">
        <v>231</v>
      </c>
      <c r="AT22" s="303">
        <v>266</v>
      </c>
      <c r="AU22" s="303">
        <v>255</v>
      </c>
      <c r="AV22" s="303">
        <v>259</v>
      </c>
      <c r="AW22" s="303">
        <v>236</v>
      </c>
      <c r="AX22" s="303">
        <v>259</v>
      </c>
      <c r="AY22" s="303">
        <v>260</v>
      </c>
      <c r="AZ22" s="303">
        <v>275</v>
      </c>
      <c r="BA22" s="303">
        <v>297</v>
      </c>
      <c r="BB22" s="303">
        <v>302.59204889038494</v>
      </c>
      <c r="BC22" s="303">
        <v>309.55314450000003</v>
      </c>
      <c r="BD22" s="303">
        <v>318.52056004999986</v>
      </c>
      <c r="BE22" s="303">
        <v>355.06701920000006</v>
      </c>
      <c r="BF22" s="303">
        <f>[15]CONSOLIDADO_TABELA!$L$361</f>
        <v>340.4573596799998</v>
      </c>
      <c r="BG22" s="303">
        <f>[16]CONSOLIDADO_TABELA!$L$361</f>
        <v>331.21538098000008</v>
      </c>
      <c r="BH22" s="303">
        <f>[7]CONSOLIDADO_TABELA!$L$361</f>
        <v>365.46106678999996</v>
      </c>
      <c r="BI22" s="303">
        <f>[8]CONSOLIDADO_TABELA!$L$361</f>
        <v>380.81913466000009</v>
      </c>
      <c r="BL22" s="448"/>
    </row>
    <row r="23" spans="1:64" s="288" customFormat="1" ht="10.5" customHeight="1">
      <c r="B23" s="293"/>
      <c r="C23" s="304"/>
      <c r="D23" s="304"/>
      <c r="E23" s="304"/>
      <c r="F23" s="304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L23" s="448"/>
    </row>
    <row r="24" spans="1:64" s="288" customFormat="1" ht="14.5">
      <c r="B24" s="388" t="s">
        <v>230</v>
      </c>
      <c r="C24" s="391"/>
      <c r="D24" s="391"/>
      <c r="E24" s="391"/>
      <c r="F24" s="391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3"/>
      <c r="AB24" s="393"/>
      <c r="AC24" s="393"/>
      <c r="AD24" s="393"/>
      <c r="AE24" s="393"/>
      <c r="AF24" s="393"/>
      <c r="AG24" s="393"/>
      <c r="AH24" s="393"/>
      <c r="AI24" s="393"/>
      <c r="AJ24" s="393"/>
      <c r="AK24" s="393"/>
      <c r="AL24" s="393"/>
      <c r="AM24" s="393"/>
      <c r="AN24" s="393"/>
      <c r="AO24" s="393"/>
      <c r="AP24" s="393"/>
      <c r="AQ24" s="394"/>
      <c r="AR24" s="394">
        <f>(AR21/'5 - Vendas Físicas'!AR10)*1000</f>
        <v>544.72140762463334</v>
      </c>
      <c r="AS24" s="394">
        <f>(AS21/'5 - Vendas Físicas'!AS10)*1000</f>
        <v>626.58227848101262</v>
      </c>
      <c r="AT24" s="394">
        <f>(AT21/'5 - Vendas Físicas'!AT10)*1000</f>
        <v>493.21917750475336</v>
      </c>
      <c r="AU24" s="394">
        <f>(AU21/'5 - Vendas Físicas'!AU10)*1000</f>
        <v>496.68386145910097</v>
      </c>
      <c r="AV24" s="394">
        <f>(AV21/'5 - Vendas Físicas'!AV10)*1000</f>
        <v>532.93953369279461</v>
      </c>
      <c r="AW24" s="394">
        <f>(AW21/'5 - Vendas Físicas'!AW10)*1000</f>
        <v>498.99458951333889</v>
      </c>
      <c r="AX24" s="394">
        <f>(AX21/'5 - Vendas Físicas'!AX10)*1000</f>
        <v>363.69725385130607</v>
      </c>
      <c r="AY24" s="394">
        <f>(AY21/'5 - Vendas Físicas'!AY10)*1000</f>
        <v>480.75201432408238</v>
      </c>
      <c r="AZ24" s="394">
        <f>(AZ21/'5 - Vendas Físicas'!BA10)*1000</f>
        <v>437.91281373844123</v>
      </c>
      <c r="BA24" s="394" t="e">
        <f>(BA21/'5 - Vendas Físicas'!#REF!)*1000</f>
        <v>#REF!</v>
      </c>
      <c r="BB24" s="394">
        <f>(BB21/'5 - Vendas Físicas'!BB10)*1000</f>
        <v>1261.4517265680056</v>
      </c>
      <c r="BC24" s="394">
        <f>(BC21/'5 - Vendas Físicas'!BC10)*1000</f>
        <v>1975.1217009987042</v>
      </c>
      <c r="BD24" s="394">
        <f>(BD21/'5 - Vendas Físicas'!BD10)*1000</f>
        <v>2463.0691904901969</v>
      </c>
      <c r="BE24" s="394">
        <f>(BE21/'5 - Vendas Físicas'!BE10)*1000</f>
        <v>2588.3434155566838</v>
      </c>
      <c r="BF24" s="394">
        <f>(BF21/'5 - Vendas Físicas'!BF10)*1000</f>
        <v>1930.6405820751404</v>
      </c>
      <c r="BG24" s="394">
        <f>(BG21/'5 - Vendas Físicas'!BG10)*1000</f>
        <v>1409.5980780677285</v>
      </c>
      <c r="BH24" s="394">
        <f>(BH21/'5 - Vendas Físicas'!BH10)*1000</f>
        <v>1496.4681251705649</v>
      </c>
      <c r="BI24" s="394">
        <f>(BI21/'5 - Vendas Físicas'!BI10)*1000</f>
        <v>1174.354439865077</v>
      </c>
      <c r="BL24" s="448"/>
    </row>
    <row r="25" spans="1:64" s="288" customFormat="1">
      <c r="B25" s="309"/>
      <c r="C25" s="310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L25" s="448"/>
    </row>
    <row r="26" spans="1:64" ht="14.5" customHeight="1">
      <c r="A26" s="286"/>
      <c r="B26" s="291" t="s">
        <v>85</v>
      </c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L26" s="448"/>
    </row>
    <row r="27" spans="1:64" s="317" customFormat="1">
      <c r="B27" s="318" t="s">
        <v>132</v>
      </c>
      <c r="C27" s="318">
        <v>3509</v>
      </c>
      <c r="D27" s="318">
        <v>4170</v>
      </c>
      <c r="E27" s="318">
        <v>4144</v>
      </c>
      <c r="F27" s="318">
        <v>3194</v>
      </c>
      <c r="G27" s="319">
        <v>2398</v>
      </c>
      <c r="H27" s="319">
        <v>2112</v>
      </c>
      <c r="I27" s="319">
        <v>2130</v>
      </c>
      <c r="J27" s="319">
        <v>1653</v>
      </c>
      <c r="K27" s="319">
        <v>1999</v>
      </c>
      <c r="L27" s="319">
        <v>2317</v>
      </c>
      <c r="M27" s="319">
        <v>2332</v>
      </c>
      <c r="N27" s="319">
        <v>2188</v>
      </c>
      <c r="O27" s="319">
        <v>2628</v>
      </c>
      <c r="P27" s="319">
        <v>2690</v>
      </c>
      <c r="Q27" s="319">
        <v>2676</v>
      </c>
      <c r="R27" s="319">
        <v>2817</v>
      </c>
      <c r="S27" s="319">
        <v>3141</v>
      </c>
      <c r="T27" s="319">
        <v>3184</v>
      </c>
      <c r="U27" s="319">
        <v>3415</v>
      </c>
      <c r="V27" s="319">
        <v>2709</v>
      </c>
      <c r="W27" s="319">
        <v>2925</v>
      </c>
      <c r="X27" s="319">
        <v>3092</v>
      </c>
      <c r="Y27" s="319">
        <v>3443</v>
      </c>
      <c r="Z27" s="319">
        <v>3102</v>
      </c>
      <c r="AA27" s="319">
        <v>3420</v>
      </c>
      <c r="AB27" s="318">
        <v>3709</v>
      </c>
      <c r="AC27" s="319">
        <v>3819</v>
      </c>
      <c r="AD27" s="319">
        <v>3693</v>
      </c>
      <c r="AE27" s="319">
        <v>3837</v>
      </c>
      <c r="AF27" s="319">
        <v>4332</v>
      </c>
      <c r="AG27" s="319">
        <v>4833</v>
      </c>
      <c r="AH27" s="319">
        <v>4311</v>
      </c>
      <c r="AI27" s="319">
        <v>4297</v>
      </c>
      <c r="AJ27" s="319">
        <v>4291</v>
      </c>
      <c r="AK27" s="319">
        <v>3470</v>
      </c>
      <c r="AL27" s="319">
        <v>3373</v>
      </c>
      <c r="AM27" s="319">
        <v>3624</v>
      </c>
      <c r="AN27" s="319">
        <v>3903</v>
      </c>
      <c r="AO27" s="319">
        <v>4003</v>
      </c>
      <c r="AP27" s="319">
        <v>3903</v>
      </c>
      <c r="AQ27" s="319">
        <v>4428</v>
      </c>
      <c r="AR27" s="319">
        <v>5411</v>
      </c>
      <c r="AS27" s="319">
        <v>5753</v>
      </c>
      <c r="AT27" s="319">
        <v>4334.7418344398993</v>
      </c>
      <c r="AU27" s="319">
        <v>3842</v>
      </c>
      <c r="AV27" s="319">
        <v>3812</v>
      </c>
      <c r="AW27" s="319">
        <v>3627</v>
      </c>
      <c r="AX27" s="319">
        <v>3375</v>
      </c>
      <c r="AY27" s="319">
        <v>3966</v>
      </c>
      <c r="AZ27" s="319">
        <v>3979</v>
      </c>
      <c r="BA27" s="319">
        <v>4483</v>
      </c>
      <c r="BB27" s="319">
        <v>5030.3870877474301</v>
      </c>
      <c r="BC27" s="319">
        <v>5887.9537092700011</v>
      </c>
      <c r="BD27" s="319">
        <v>6611.6774514600002</v>
      </c>
      <c r="BE27" s="319">
        <v>7444.8778048100003</v>
      </c>
      <c r="BF27" s="319">
        <f>[15]CONSOLIDADO_TABELA!$L$89</f>
        <v>7893.4912818899993</v>
      </c>
      <c r="BG27" s="319">
        <f>[16]CONSOLIDADO_TABELA!$L$89</f>
        <v>8222.1655354399991</v>
      </c>
      <c r="BH27" s="319">
        <f>[7]CONSOLIDADO_TABELA!$L$89</f>
        <v>8572.83080806</v>
      </c>
      <c r="BI27" s="319">
        <f>[8]CONSOLIDADO_TABELA!$L$89</f>
        <v>7832.1332462200007</v>
      </c>
      <c r="BL27" s="448"/>
    </row>
    <row r="28" spans="1:64">
      <c r="B28" s="293" t="s">
        <v>133</v>
      </c>
      <c r="C28" s="294">
        <v>644</v>
      </c>
      <c r="D28" s="294">
        <v>839</v>
      </c>
      <c r="E28" s="294">
        <v>927</v>
      </c>
      <c r="F28" s="294">
        <v>0</v>
      </c>
      <c r="G28" s="294">
        <v>100</v>
      </c>
      <c r="H28" s="294">
        <v>134</v>
      </c>
      <c r="I28" s="294">
        <v>281</v>
      </c>
      <c r="J28" s="294">
        <v>75</v>
      </c>
      <c r="K28" s="294">
        <v>192</v>
      </c>
      <c r="L28" s="294">
        <v>250</v>
      </c>
      <c r="M28" s="294">
        <v>213</v>
      </c>
      <c r="N28" s="294">
        <v>182</v>
      </c>
      <c r="O28" s="294">
        <v>307</v>
      </c>
      <c r="P28" s="294">
        <v>314</v>
      </c>
      <c r="Q28" s="294">
        <v>292</v>
      </c>
      <c r="R28" s="294">
        <v>216</v>
      </c>
      <c r="S28" s="294">
        <v>335</v>
      </c>
      <c r="T28" s="294">
        <v>351</v>
      </c>
      <c r="U28" s="294">
        <v>223</v>
      </c>
      <c r="V28" s="294">
        <v>88</v>
      </c>
      <c r="W28" s="294">
        <v>171</v>
      </c>
      <c r="X28" s="294">
        <v>187</v>
      </c>
      <c r="Y28" s="294">
        <v>147</v>
      </c>
      <c r="Z28" s="294">
        <v>138</v>
      </c>
      <c r="AA28" s="294">
        <v>101</v>
      </c>
      <c r="AB28" s="294">
        <v>276</v>
      </c>
      <c r="AC28" s="294">
        <v>345</v>
      </c>
      <c r="AD28" s="294">
        <v>225</v>
      </c>
      <c r="AE28" s="294">
        <v>237</v>
      </c>
      <c r="AF28" s="294">
        <v>440</v>
      </c>
      <c r="AG28" s="294">
        <v>472</v>
      </c>
      <c r="AH28" s="294">
        <v>363</v>
      </c>
      <c r="AI28" s="294">
        <v>302</v>
      </c>
      <c r="AJ28" s="294">
        <v>349</v>
      </c>
      <c r="AK28" s="294">
        <v>207</v>
      </c>
      <c r="AL28" s="294">
        <v>59</v>
      </c>
      <c r="AM28" s="294">
        <v>110</v>
      </c>
      <c r="AN28" s="294">
        <v>191</v>
      </c>
      <c r="AO28" s="294">
        <v>193</v>
      </c>
      <c r="AP28" s="294">
        <v>116</v>
      </c>
      <c r="AQ28" s="294">
        <v>240</v>
      </c>
      <c r="AR28" s="294">
        <v>505</v>
      </c>
      <c r="AS28" s="294">
        <v>598</v>
      </c>
      <c r="AT28" s="294">
        <v>419.97716676222808</v>
      </c>
      <c r="AU28" s="294">
        <v>442</v>
      </c>
      <c r="AV28" s="294">
        <v>371</v>
      </c>
      <c r="AW28" s="294">
        <v>317</v>
      </c>
      <c r="AX28" s="294">
        <v>174</v>
      </c>
      <c r="AY28" s="294">
        <v>318</v>
      </c>
      <c r="AZ28" s="294">
        <v>249</v>
      </c>
      <c r="BA28" s="294">
        <v>288</v>
      </c>
      <c r="BB28" s="294">
        <v>391.43246525038921</v>
      </c>
      <c r="BC28" s="294">
        <v>735.47944932209793</v>
      </c>
      <c r="BD28" s="294">
        <v>1192.5274986551458</v>
      </c>
      <c r="BE28" s="294">
        <v>1658.4080308943321</v>
      </c>
      <c r="BF28" s="294">
        <f>[15]CONSOLIDADO_TABELA!$L$189</f>
        <v>1835.0068025599949</v>
      </c>
      <c r="BG28" s="294">
        <f>[16]CONSOLIDADO_TABELA!$L$189</f>
        <v>2366.480355499999</v>
      </c>
      <c r="BH28" s="294">
        <f>[7]CONSOLIDADO_TABELA!$L$189</f>
        <v>2451.4489831999999</v>
      </c>
      <c r="BI28" s="294">
        <f>[8]CONSOLIDADO_TABELA!$L$189</f>
        <v>2224.3682125899995</v>
      </c>
      <c r="BL28" s="448"/>
    </row>
    <row r="29" spans="1:64" ht="14.5">
      <c r="A29" s="320"/>
      <c r="B29" s="295" t="s">
        <v>152</v>
      </c>
      <c r="C29" s="296">
        <v>683</v>
      </c>
      <c r="D29" s="296">
        <v>875</v>
      </c>
      <c r="E29" s="296">
        <v>990</v>
      </c>
      <c r="F29" s="296">
        <v>-56</v>
      </c>
      <c r="G29" s="296">
        <v>88</v>
      </c>
      <c r="H29" s="296">
        <v>125</v>
      </c>
      <c r="I29" s="296">
        <v>306</v>
      </c>
      <c r="J29" s="296">
        <v>120</v>
      </c>
      <c r="K29" s="296">
        <v>207</v>
      </c>
      <c r="L29" s="296">
        <v>249</v>
      </c>
      <c r="M29" s="296">
        <v>196</v>
      </c>
      <c r="N29" s="296">
        <v>136</v>
      </c>
      <c r="O29" s="296">
        <v>332</v>
      </c>
      <c r="P29" s="296">
        <v>352</v>
      </c>
      <c r="Q29" s="296">
        <v>306</v>
      </c>
      <c r="R29" s="296">
        <v>187</v>
      </c>
      <c r="S29" s="296">
        <v>330</v>
      </c>
      <c r="T29" s="296">
        <v>328</v>
      </c>
      <c r="U29" s="296">
        <v>205</v>
      </c>
      <c r="V29" s="296">
        <v>59</v>
      </c>
      <c r="W29" s="296">
        <v>148</v>
      </c>
      <c r="X29" s="296">
        <v>158</v>
      </c>
      <c r="Y29" s="296">
        <v>129</v>
      </c>
      <c r="Z29" s="296">
        <v>140</v>
      </c>
      <c r="AA29" s="296">
        <v>79</v>
      </c>
      <c r="AB29" s="296">
        <v>289</v>
      </c>
      <c r="AC29" s="296">
        <v>342</v>
      </c>
      <c r="AD29" s="297">
        <v>192</v>
      </c>
      <c r="AE29" s="297">
        <v>238</v>
      </c>
      <c r="AF29" s="297">
        <v>430</v>
      </c>
      <c r="AG29" s="297">
        <v>495</v>
      </c>
      <c r="AH29" s="297">
        <v>377</v>
      </c>
      <c r="AI29" s="297">
        <v>331</v>
      </c>
      <c r="AJ29" s="297">
        <v>383</v>
      </c>
      <c r="AK29" s="297">
        <v>261</v>
      </c>
      <c r="AL29" s="297">
        <v>127</v>
      </c>
      <c r="AM29" s="297">
        <v>157</v>
      </c>
      <c r="AN29" s="297">
        <v>234</v>
      </c>
      <c r="AO29" s="297">
        <v>239</v>
      </c>
      <c r="AP29" s="297">
        <v>167</v>
      </c>
      <c r="AQ29" s="297">
        <v>248</v>
      </c>
      <c r="AR29" s="297">
        <v>497</v>
      </c>
      <c r="AS29" s="297">
        <v>605</v>
      </c>
      <c r="AT29" s="297">
        <v>437.24986652427759</v>
      </c>
      <c r="AU29" s="297">
        <v>506</v>
      </c>
      <c r="AV29" s="297">
        <v>425</v>
      </c>
      <c r="AW29" s="297">
        <v>380</v>
      </c>
      <c r="AX29" s="297">
        <v>257</v>
      </c>
      <c r="AY29" s="297">
        <v>425</v>
      </c>
      <c r="AZ29" s="297">
        <v>418</v>
      </c>
      <c r="BA29" s="297">
        <v>461</v>
      </c>
      <c r="BB29" s="297">
        <v>562</v>
      </c>
      <c r="BC29" s="297">
        <v>843.05476348183538</v>
      </c>
      <c r="BD29" s="297">
        <v>1351.6834305440786</v>
      </c>
      <c r="BE29" s="297">
        <v>1892.4877815791058</v>
      </c>
      <c r="BF29" s="297">
        <f>[15]CONSOLIDADO_TABELA!$L$14</f>
        <v>2162.1317792987861</v>
      </c>
      <c r="BG29" s="297">
        <f>[16]CONSOLIDADO_TABELA!$L$14</f>
        <v>2711.2312376295145</v>
      </c>
      <c r="BH29" s="297">
        <f>[7]CONSOLIDADO_TABELA!$L$14</f>
        <v>2836.4532512317232</v>
      </c>
      <c r="BI29" s="297">
        <f>[8]CONSOLIDADO_TABELA!$L$14</f>
        <v>2579.4743995065651</v>
      </c>
      <c r="BL29" s="448"/>
    </row>
    <row r="30" spans="1:64">
      <c r="B30" s="293" t="s">
        <v>59</v>
      </c>
      <c r="C30" s="294">
        <v>130</v>
      </c>
      <c r="D30" s="294">
        <v>127</v>
      </c>
      <c r="E30" s="294">
        <v>117</v>
      </c>
      <c r="F30" s="294">
        <v>218</v>
      </c>
      <c r="G30" s="294">
        <v>159</v>
      </c>
      <c r="H30" s="294">
        <v>144</v>
      </c>
      <c r="I30" s="294">
        <v>129</v>
      </c>
      <c r="J30" s="294">
        <v>126</v>
      </c>
      <c r="K30" s="294">
        <v>110</v>
      </c>
      <c r="L30" s="294">
        <v>110</v>
      </c>
      <c r="M30" s="294">
        <v>108</v>
      </c>
      <c r="N30" s="294">
        <v>107</v>
      </c>
      <c r="O30" s="294">
        <v>107</v>
      </c>
      <c r="P30" s="294">
        <v>102</v>
      </c>
      <c r="Q30" s="294">
        <v>103</v>
      </c>
      <c r="R30" s="294">
        <v>112</v>
      </c>
      <c r="S30" s="294">
        <v>106</v>
      </c>
      <c r="T30" s="294">
        <v>117</v>
      </c>
      <c r="U30" s="294">
        <v>122</v>
      </c>
      <c r="V30" s="294">
        <v>126</v>
      </c>
      <c r="W30" s="294">
        <v>115</v>
      </c>
      <c r="X30" s="294">
        <v>119</v>
      </c>
      <c r="Y30" s="294">
        <v>133</v>
      </c>
      <c r="Z30" s="294">
        <v>149</v>
      </c>
      <c r="AA30" s="294">
        <v>142</v>
      </c>
      <c r="AB30" s="294">
        <v>141</v>
      </c>
      <c r="AC30" s="294">
        <v>143</v>
      </c>
      <c r="AD30" s="294">
        <v>164</v>
      </c>
      <c r="AE30" s="294">
        <v>175</v>
      </c>
      <c r="AF30" s="294">
        <v>195</v>
      </c>
      <c r="AG30" s="294">
        <v>226</v>
      </c>
      <c r="AH30" s="294">
        <v>238</v>
      </c>
      <c r="AI30" s="294">
        <v>238</v>
      </c>
      <c r="AJ30" s="294">
        <v>215</v>
      </c>
      <c r="AK30" s="294">
        <v>198</v>
      </c>
      <c r="AL30" s="294">
        <v>224</v>
      </c>
      <c r="AM30" s="294">
        <v>172</v>
      </c>
      <c r="AN30" s="294">
        <v>172</v>
      </c>
      <c r="AO30" s="294">
        <v>170</v>
      </c>
      <c r="AP30" s="294">
        <v>170</v>
      </c>
      <c r="AQ30" s="294">
        <v>124</v>
      </c>
      <c r="AR30" s="294">
        <v>123</v>
      </c>
      <c r="AS30" s="294">
        <v>136</v>
      </c>
      <c r="AT30" s="294">
        <v>129</v>
      </c>
      <c r="AU30" s="294">
        <v>134</v>
      </c>
      <c r="AV30" s="294">
        <v>140</v>
      </c>
      <c r="AW30" s="294">
        <v>144</v>
      </c>
      <c r="AX30" s="294">
        <v>152</v>
      </c>
      <c r="AY30" s="294">
        <v>161</v>
      </c>
      <c r="AZ30" s="294">
        <v>190</v>
      </c>
      <c r="BA30" s="294">
        <v>199</v>
      </c>
      <c r="BB30" s="294">
        <v>228.59991582297468</v>
      </c>
      <c r="BC30" s="294">
        <v>169.10480145790345</v>
      </c>
      <c r="BD30" s="294">
        <v>142.55784184485265</v>
      </c>
      <c r="BE30" s="294">
        <v>150.03014562566773</v>
      </c>
      <c r="BF30" s="294">
        <f>[15]CONSOLIDADO_TABELA!$L$364</f>
        <v>165.78972115000005</v>
      </c>
      <c r="BG30" s="294">
        <f>[16]CONSOLIDADO_TABELA!$L$364</f>
        <v>152.49295837</v>
      </c>
      <c r="BH30" s="294">
        <f>[7]CONSOLIDADO_TABELA!$L$364</f>
        <v>143.72765650999997</v>
      </c>
      <c r="BI30" s="294">
        <f>[8]CONSOLIDADO_TABELA!$L$364</f>
        <v>159.63104855999995</v>
      </c>
      <c r="BL30" s="448"/>
    </row>
    <row r="31" spans="1:64" ht="7.5" customHeight="1">
      <c r="B31" s="293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L31" s="448"/>
    </row>
    <row r="32" spans="1:64" ht="14.5">
      <c r="B32" s="388" t="s">
        <v>230</v>
      </c>
      <c r="C32" s="391"/>
      <c r="D32" s="391"/>
      <c r="E32" s="391"/>
      <c r="F32" s="391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4"/>
      <c r="AR32" s="394">
        <f>(AR29/'5 - Vendas Físicas'!AR13)*1000</f>
        <v>298.49849849849852</v>
      </c>
      <c r="AS32" s="394">
        <f>(AS29/'5 - Vendas Físicas'!AS13)*1000</f>
        <v>394.90861618798954</v>
      </c>
      <c r="AT32" s="394">
        <f>(AT29/'5 - Vendas Físicas'!AT13)*1000</f>
        <v>364.89291795957706</v>
      </c>
      <c r="AU32" s="394">
        <f>(AU29/'5 - Vendas Físicas'!AU13)*1000</f>
        <v>470.26022304832713</v>
      </c>
      <c r="AV32" s="394">
        <f>(AV29/'5 - Vendas Físicas'!AV13)*1000</f>
        <v>398.68601402379272</v>
      </c>
      <c r="AW32" s="394">
        <f>(AW29/'5 - Vendas Físicas'!AW13)*1000</f>
        <v>350.89293899846808</v>
      </c>
      <c r="AX32" s="394">
        <f>(AX29/'5 - Vendas Físicas'!AX13)*1000</f>
        <v>244.76190476190476</v>
      </c>
      <c r="AY32" s="394">
        <f>(AY29/'5 - Vendas Físicas'!AY13)*1000</f>
        <v>378.91277663438024</v>
      </c>
      <c r="AZ32" s="394">
        <f>(AZ29/'5 - Vendas Físicas'!BA13)*1000</f>
        <v>384.54461821527144</v>
      </c>
      <c r="BA32" s="394" t="e">
        <f>(BA29/'5 - Vendas Físicas'!#REF!)*1000</f>
        <v>#REF!</v>
      </c>
      <c r="BB32" s="394">
        <f>(BB29/'5 - Vendas Físicas'!BB13)*1000</f>
        <v>481.98970840480274</v>
      </c>
      <c r="BC32" s="394">
        <f>(BC29/'5 - Vendas Físicas'!BC13)*1000</f>
        <v>750.49617623924371</v>
      </c>
      <c r="BD32" s="394">
        <f>(BD29/'5 - Vendas Físicas'!BD13)*1000</f>
        <v>1182.7485243430526</v>
      </c>
      <c r="BE32" s="394">
        <f>(BE29/'5 - Vendas Físicas'!BE13)*1000</f>
        <v>1673.7574825741463</v>
      </c>
      <c r="BF32" s="394">
        <f>(BF29/'5 - Vendas Físicas'!BF13)*1000</f>
        <v>2051.889506447425</v>
      </c>
      <c r="BG32" s="394">
        <f>(BG29/'5 - Vendas Físicas'!BG13)*1000</f>
        <v>2477.3664519233371</v>
      </c>
      <c r="BH32" s="394">
        <f>(BH29/'5 - Vendas Físicas'!BH13)*1000</f>
        <v>2530.4897491252659</v>
      </c>
      <c r="BI32" s="394">
        <f>(BI29/'5 - Vendas Físicas'!BI13)*1000</f>
        <v>2610.2737478152949</v>
      </c>
      <c r="BL32" s="448"/>
    </row>
    <row r="33" spans="1:64" s="288" customFormat="1">
      <c r="B33" s="309"/>
      <c r="C33" s="310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L33" s="448"/>
    </row>
    <row r="34" spans="1:64" ht="14.5" customHeight="1">
      <c r="A34" s="286"/>
      <c r="B34" s="291" t="s">
        <v>148</v>
      </c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L34" s="448"/>
    </row>
    <row r="35" spans="1:64" s="317" customFormat="1">
      <c r="B35" s="318" t="s">
        <v>132</v>
      </c>
      <c r="C35" s="318">
        <v>950</v>
      </c>
      <c r="D35" s="318">
        <v>1113</v>
      </c>
      <c r="E35" s="318">
        <v>1447</v>
      </c>
      <c r="F35" s="318">
        <v>963</v>
      </c>
      <c r="G35" s="319">
        <v>912</v>
      </c>
      <c r="H35" s="319">
        <v>798</v>
      </c>
      <c r="I35" s="319">
        <v>778</v>
      </c>
      <c r="J35" s="319">
        <v>650</v>
      </c>
      <c r="K35" s="319">
        <v>803</v>
      </c>
      <c r="L35" s="319">
        <v>903</v>
      </c>
      <c r="M35" s="319">
        <v>919</v>
      </c>
      <c r="N35" s="319">
        <v>863</v>
      </c>
      <c r="O35" s="319">
        <v>949</v>
      </c>
      <c r="P35" s="319">
        <v>958</v>
      </c>
      <c r="Q35" s="319">
        <v>1039</v>
      </c>
      <c r="R35" s="319">
        <v>1068</v>
      </c>
      <c r="S35" s="319">
        <v>1149</v>
      </c>
      <c r="T35" s="319">
        <v>1274</v>
      </c>
      <c r="U35" s="319">
        <v>1322</v>
      </c>
      <c r="V35" s="319">
        <v>1219</v>
      </c>
      <c r="W35" s="319">
        <v>1144</v>
      </c>
      <c r="X35" s="319">
        <v>1332</v>
      </c>
      <c r="Y35" s="319">
        <v>1426</v>
      </c>
      <c r="Z35" s="319">
        <v>1464</v>
      </c>
      <c r="AA35" s="319">
        <v>1237</v>
      </c>
      <c r="AB35" s="318">
        <v>1174</v>
      </c>
      <c r="AC35" s="319">
        <v>1303</v>
      </c>
      <c r="AD35" s="319">
        <v>1364</v>
      </c>
      <c r="AE35" s="319">
        <v>1320</v>
      </c>
      <c r="AF35" s="319">
        <v>1243</v>
      </c>
      <c r="AG35" s="319">
        <v>1434</v>
      </c>
      <c r="AH35" s="319">
        <v>1481</v>
      </c>
      <c r="AI35" s="319">
        <v>1236</v>
      </c>
      <c r="AJ35" s="319">
        <v>1210</v>
      </c>
      <c r="AK35" s="319">
        <v>1120</v>
      </c>
      <c r="AL35" s="319">
        <v>1210</v>
      </c>
      <c r="AM35" s="319">
        <v>1003</v>
      </c>
      <c r="AN35" s="319">
        <v>968</v>
      </c>
      <c r="AO35" s="319">
        <v>930</v>
      </c>
      <c r="AP35" s="319">
        <v>1125</v>
      </c>
      <c r="AQ35" s="319">
        <v>967</v>
      </c>
      <c r="AR35" s="319">
        <v>1108</v>
      </c>
      <c r="AS35" s="319">
        <v>908</v>
      </c>
      <c r="AT35" s="319">
        <v>818.79834890994516</v>
      </c>
      <c r="AU35" s="319">
        <v>739</v>
      </c>
      <c r="AV35" s="319">
        <v>840</v>
      </c>
      <c r="AW35" s="319">
        <v>771</v>
      </c>
      <c r="AX35" s="319">
        <v>908</v>
      </c>
      <c r="AY35" s="319">
        <v>699</v>
      </c>
      <c r="AZ35" s="319">
        <v>554</v>
      </c>
      <c r="BA35" s="319">
        <v>1252</v>
      </c>
      <c r="BB35" s="319">
        <v>1325.8911215057374</v>
      </c>
      <c r="BC35" s="319">
        <v>1448.9008698100001</v>
      </c>
      <c r="BD35" s="319">
        <v>1307.6327518099997</v>
      </c>
      <c r="BE35" s="319">
        <f>[14]CONSOLIDADO_TABELA!$L$99</f>
        <v>1860.1730419100004</v>
      </c>
      <c r="BF35" s="319">
        <f>[15]CONSOLIDADO_TABELA!$L$99</f>
        <v>2240.0591712999994</v>
      </c>
      <c r="BG35" s="319">
        <f>[16]CONSOLIDADO_TABELA!$L$99</f>
        <v>1752.8851916200006</v>
      </c>
      <c r="BH35" s="319">
        <f>[7]CONSOLIDADO_TABELA!$L$99</f>
        <v>1893.953552259999</v>
      </c>
      <c r="BI35" s="319">
        <f>[8]CONSOLIDADO_TABELA!$L$99</f>
        <v>1972.1647678600002</v>
      </c>
      <c r="BL35" s="448"/>
    </row>
    <row r="36" spans="1:64">
      <c r="B36" s="293" t="s">
        <v>133</v>
      </c>
      <c r="C36" s="294">
        <v>181</v>
      </c>
      <c r="D36" s="294">
        <v>296</v>
      </c>
      <c r="E36" s="294">
        <v>438</v>
      </c>
      <c r="F36" s="294">
        <v>39</v>
      </c>
      <c r="G36" s="294">
        <v>-52</v>
      </c>
      <c r="H36" s="294">
        <v>-26</v>
      </c>
      <c r="I36" s="294">
        <v>82</v>
      </c>
      <c r="J36" s="294">
        <v>63</v>
      </c>
      <c r="K36" s="294">
        <v>115</v>
      </c>
      <c r="L36" s="294">
        <v>191</v>
      </c>
      <c r="M36" s="294">
        <v>92</v>
      </c>
      <c r="N36" s="294">
        <v>70</v>
      </c>
      <c r="O36" s="294">
        <v>132</v>
      </c>
      <c r="P36" s="294">
        <v>121</v>
      </c>
      <c r="Q36" s="294">
        <v>113</v>
      </c>
      <c r="R36" s="294">
        <v>145</v>
      </c>
      <c r="S36" s="294">
        <v>114</v>
      </c>
      <c r="T36" s="294">
        <v>113</v>
      </c>
      <c r="U36" s="294">
        <v>58</v>
      </c>
      <c r="V36" s="294">
        <v>44</v>
      </c>
      <c r="W36" s="294">
        <v>95</v>
      </c>
      <c r="X36" s="294">
        <v>139</v>
      </c>
      <c r="Y36" s="294">
        <v>162</v>
      </c>
      <c r="Z36" s="294">
        <v>169</v>
      </c>
      <c r="AA36" s="294">
        <v>181</v>
      </c>
      <c r="AB36" s="294">
        <v>149</v>
      </c>
      <c r="AC36" s="294">
        <v>154</v>
      </c>
      <c r="AD36" s="294">
        <v>171</v>
      </c>
      <c r="AE36" s="294">
        <v>156</v>
      </c>
      <c r="AF36" s="294">
        <v>127</v>
      </c>
      <c r="AG36" s="294">
        <v>165</v>
      </c>
      <c r="AH36" s="294">
        <v>229</v>
      </c>
      <c r="AI36" s="294">
        <v>205</v>
      </c>
      <c r="AJ36" s="294">
        <v>185</v>
      </c>
      <c r="AK36" s="294">
        <v>139</v>
      </c>
      <c r="AL36" s="294">
        <v>145</v>
      </c>
      <c r="AM36" s="294">
        <v>102</v>
      </c>
      <c r="AN36" s="294">
        <v>118</v>
      </c>
      <c r="AO36" s="294">
        <v>129</v>
      </c>
      <c r="AP36" s="294">
        <v>153</v>
      </c>
      <c r="AQ36" s="294">
        <v>156</v>
      </c>
      <c r="AR36" s="294">
        <v>151</v>
      </c>
      <c r="AS36" s="294">
        <v>146</v>
      </c>
      <c r="AT36" s="294">
        <v>117.7818730442948</v>
      </c>
      <c r="AU36" s="294">
        <v>110</v>
      </c>
      <c r="AV36" s="294">
        <v>121</v>
      </c>
      <c r="AW36" s="294">
        <v>128</v>
      </c>
      <c r="AX36" s="294">
        <v>138</v>
      </c>
      <c r="AY36" s="294">
        <v>105</v>
      </c>
      <c r="AZ36" s="294">
        <v>83</v>
      </c>
      <c r="BA36" s="294">
        <v>275</v>
      </c>
      <c r="BB36" s="294">
        <v>351.94692022774075</v>
      </c>
      <c r="BC36" s="294">
        <v>386.7988497626252</v>
      </c>
      <c r="BD36" s="294">
        <v>305.41466793683219</v>
      </c>
      <c r="BE36" s="294">
        <f>[14]CONSOLIDADO_TABELA!$L$199</f>
        <v>422.59148721958991</v>
      </c>
      <c r="BF36" s="294">
        <f>[15]CONSOLIDADO_TABELA!$L$199</f>
        <v>409.10830063000003</v>
      </c>
      <c r="BG36" s="294">
        <f>[16]CONSOLIDADO_TABELA!$L$199</f>
        <v>348.21595160840025</v>
      </c>
      <c r="BH36" s="294">
        <f>[7]CONSOLIDADO_TABELA!$L$199</f>
        <v>519.41525094159965</v>
      </c>
      <c r="BI36" s="294">
        <f>[8]CONSOLIDADO_TABELA!$L$199</f>
        <v>460.69142243999977</v>
      </c>
      <c r="BL36" s="448"/>
    </row>
    <row r="37" spans="1:64" ht="14.5">
      <c r="A37" s="320"/>
      <c r="B37" s="295" t="s">
        <v>152</v>
      </c>
      <c r="C37" s="296">
        <v>156</v>
      </c>
      <c r="D37" s="296">
        <v>289</v>
      </c>
      <c r="E37" s="296">
        <v>403</v>
      </c>
      <c r="F37" s="296">
        <v>-42</v>
      </c>
      <c r="G37" s="296">
        <v>-139</v>
      </c>
      <c r="H37" s="296">
        <v>-95</v>
      </c>
      <c r="I37" s="296">
        <v>40</v>
      </c>
      <c r="J37" s="296">
        <v>29</v>
      </c>
      <c r="K37" s="296">
        <v>108</v>
      </c>
      <c r="L37" s="296">
        <v>191</v>
      </c>
      <c r="M37" s="296">
        <v>72</v>
      </c>
      <c r="N37" s="296">
        <v>48</v>
      </c>
      <c r="O37" s="296">
        <v>115</v>
      </c>
      <c r="P37" s="296">
        <v>121</v>
      </c>
      <c r="Q37" s="296">
        <v>79</v>
      </c>
      <c r="R37" s="296">
        <v>95</v>
      </c>
      <c r="S37" s="296">
        <v>92</v>
      </c>
      <c r="T37" s="296">
        <v>70</v>
      </c>
      <c r="U37" s="296">
        <v>-3</v>
      </c>
      <c r="V37" s="296">
        <v>21</v>
      </c>
      <c r="W37" s="296">
        <v>53</v>
      </c>
      <c r="X37" s="296">
        <v>109</v>
      </c>
      <c r="Y37" s="296">
        <v>131</v>
      </c>
      <c r="Z37" s="296">
        <v>135</v>
      </c>
      <c r="AA37" s="296">
        <v>158</v>
      </c>
      <c r="AB37" s="296">
        <v>127</v>
      </c>
      <c r="AC37" s="296">
        <v>119</v>
      </c>
      <c r="AD37" s="297">
        <v>125</v>
      </c>
      <c r="AE37" s="297">
        <v>143</v>
      </c>
      <c r="AF37" s="297">
        <v>114</v>
      </c>
      <c r="AG37" s="297">
        <v>154</v>
      </c>
      <c r="AH37" s="297">
        <v>225</v>
      </c>
      <c r="AI37" s="297">
        <v>208</v>
      </c>
      <c r="AJ37" s="297">
        <v>212</v>
      </c>
      <c r="AK37" s="297">
        <v>170</v>
      </c>
      <c r="AL37" s="297">
        <v>132</v>
      </c>
      <c r="AM37" s="297">
        <v>119</v>
      </c>
      <c r="AN37" s="297">
        <v>126</v>
      </c>
      <c r="AO37" s="297">
        <v>147</v>
      </c>
      <c r="AP37" s="297">
        <v>175</v>
      </c>
      <c r="AQ37" s="297">
        <v>187</v>
      </c>
      <c r="AR37" s="297">
        <v>179</v>
      </c>
      <c r="AS37" s="297">
        <v>185</v>
      </c>
      <c r="AT37" s="297">
        <v>128.06965703602907</v>
      </c>
      <c r="AU37" s="297">
        <v>157</v>
      </c>
      <c r="AV37" s="297">
        <v>168</v>
      </c>
      <c r="AW37" s="297">
        <v>165</v>
      </c>
      <c r="AX37" s="297">
        <v>182</v>
      </c>
      <c r="AY37" s="297">
        <v>164</v>
      </c>
      <c r="AZ37" s="297">
        <v>145</v>
      </c>
      <c r="BA37" s="297">
        <v>376</v>
      </c>
      <c r="BB37" s="297">
        <v>454</v>
      </c>
      <c r="BC37" s="297">
        <v>550.47403867442142</v>
      </c>
      <c r="BD37" s="297">
        <v>493.96972984631901</v>
      </c>
      <c r="BE37" s="297">
        <f>[14]CONSOLIDADO_TABELA!$L$24</f>
        <v>601.82352177494158</v>
      </c>
      <c r="BF37" s="297">
        <f>[15]CONSOLIDADO_TABELA!$L$24</f>
        <v>520.96415285555315</v>
      </c>
      <c r="BG37" s="297">
        <f>[16]CONSOLIDADO_TABELA!$L$24</f>
        <v>482.80170349996149</v>
      </c>
      <c r="BH37" s="297">
        <f>[7]CONSOLIDADO_TABELA!$L$24</f>
        <v>739.66674187520982</v>
      </c>
      <c r="BI37" s="297">
        <f>[8]CONSOLIDADO_TABELA!$L$24</f>
        <v>572.67742641138204</v>
      </c>
      <c r="BL37" s="448"/>
    </row>
    <row r="38" spans="1:64">
      <c r="B38" s="293" t="s">
        <v>59</v>
      </c>
      <c r="C38" s="294">
        <v>27</v>
      </c>
      <c r="D38" s="294">
        <v>26</v>
      </c>
      <c r="E38" s="294">
        <v>25</v>
      </c>
      <c r="F38" s="294">
        <v>36</v>
      </c>
      <c r="G38" s="294">
        <v>17</v>
      </c>
      <c r="H38" s="294">
        <v>24</v>
      </c>
      <c r="I38" s="294">
        <v>22</v>
      </c>
      <c r="J38" s="294">
        <v>22</v>
      </c>
      <c r="K38" s="294">
        <v>33</v>
      </c>
      <c r="L38" s="294">
        <v>36</v>
      </c>
      <c r="M38" s="294">
        <v>35</v>
      </c>
      <c r="N38" s="294">
        <v>33</v>
      </c>
      <c r="O38" s="294">
        <v>31</v>
      </c>
      <c r="P38" s="294">
        <v>30</v>
      </c>
      <c r="Q38" s="294">
        <v>30</v>
      </c>
      <c r="R38" s="294">
        <v>34</v>
      </c>
      <c r="S38" s="294">
        <v>38</v>
      </c>
      <c r="T38" s="294">
        <v>42</v>
      </c>
      <c r="U38" s="294">
        <v>40</v>
      </c>
      <c r="V38" s="294">
        <v>34</v>
      </c>
      <c r="W38" s="294">
        <v>41</v>
      </c>
      <c r="X38" s="294">
        <v>46</v>
      </c>
      <c r="Y38" s="294">
        <v>50</v>
      </c>
      <c r="Z38" s="294">
        <v>49</v>
      </c>
      <c r="AA38" s="294">
        <v>46</v>
      </c>
      <c r="AB38" s="294">
        <v>45</v>
      </c>
      <c r="AC38" s="294">
        <v>45</v>
      </c>
      <c r="AD38" s="294">
        <v>50</v>
      </c>
      <c r="AE38" s="294">
        <v>53</v>
      </c>
      <c r="AF38" s="294">
        <v>43</v>
      </c>
      <c r="AG38" s="294">
        <v>44</v>
      </c>
      <c r="AH38" s="294">
        <v>52</v>
      </c>
      <c r="AI38" s="294">
        <v>50</v>
      </c>
      <c r="AJ38" s="294">
        <v>46</v>
      </c>
      <c r="AK38" s="294">
        <v>42</v>
      </c>
      <c r="AL38" s="294">
        <v>48</v>
      </c>
      <c r="AM38" s="294">
        <v>43</v>
      </c>
      <c r="AN38" s="294">
        <v>38</v>
      </c>
      <c r="AO38" s="294">
        <v>32</v>
      </c>
      <c r="AP38" s="294">
        <v>41</v>
      </c>
      <c r="AQ38" s="294">
        <v>26</v>
      </c>
      <c r="AR38" s="294">
        <v>27</v>
      </c>
      <c r="AS38" s="294">
        <v>23</v>
      </c>
      <c r="AT38" s="294">
        <v>21</v>
      </c>
      <c r="AU38" s="294">
        <v>28</v>
      </c>
      <c r="AV38" s="294">
        <v>31</v>
      </c>
      <c r="AW38" s="294">
        <v>29</v>
      </c>
      <c r="AX38" s="294">
        <v>31</v>
      </c>
      <c r="AY38" s="294">
        <v>32</v>
      </c>
      <c r="AZ38" s="294">
        <v>37</v>
      </c>
      <c r="BA38" s="294">
        <v>35</v>
      </c>
      <c r="BB38" s="294">
        <v>38.019250297333528</v>
      </c>
      <c r="BC38" s="294">
        <v>52.522110757375003</v>
      </c>
      <c r="BD38" s="294">
        <v>49.947539223167013</v>
      </c>
      <c r="BE38" s="294">
        <f>[14]CONSOLIDADO_TABELA!$L$374</f>
        <v>54.238963420410997</v>
      </c>
      <c r="BF38" s="294">
        <f>[15]CONSOLIDADO_TABELA!$L$374</f>
        <v>56.292812050000009</v>
      </c>
      <c r="BG38" s="294">
        <f>[16]CONSOLIDADO_TABELA!$L$374</f>
        <v>48.385290161599997</v>
      </c>
      <c r="BH38" s="294">
        <f>[7]CONSOLIDADO_TABELA!$L$374</f>
        <v>65.17826810839999</v>
      </c>
      <c r="BI38" s="294">
        <f>[8]CONSOLIDADO_TABELA!$L$374</f>
        <v>65.308424459999983</v>
      </c>
      <c r="BL38" s="448"/>
    </row>
    <row r="39" spans="1:64" ht="9" customHeight="1">
      <c r="B39" s="293"/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L39" s="448"/>
    </row>
    <row r="40" spans="1:64" ht="14.5">
      <c r="B40" s="388" t="s">
        <v>230</v>
      </c>
      <c r="C40" s="391"/>
      <c r="D40" s="391"/>
      <c r="E40" s="391"/>
      <c r="F40" s="391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4"/>
      <c r="AR40" s="394">
        <f>(AR37/'5 - Vendas Físicas'!AR14)*1000</f>
        <v>463.73056994818648</v>
      </c>
      <c r="AS40" s="394">
        <f>(AS37/'5 - Vendas Físicas'!AS14)*1000</f>
        <v>653.71024734982325</v>
      </c>
      <c r="AT40" s="394">
        <f>(AT37/'5 - Vendas Físicas'!AT14)*1000</f>
        <v>488.1412537557303</v>
      </c>
      <c r="AU40" s="394">
        <f>(AU37/'5 - Vendas Físicas'!AU14)*1000</f>
        <v>643.44262295081967</v>
      </c>
      <c r="AV40" s="394">
        <f>(AV37/'5 - Vendas Físicas'!AV14)*1000</f>
        <v>641.02326912703359</v>
      </c>
      <c r="AW40" s="394">
        <f>(AW37/'5 - Vendas Físicas'!AW14)*1000</f>
        <v>591.95253643948217</v>
      </c>
      <c r="AX40" s="394">
        <f>(AX37/'5 - Vendas Físicas'!AX14)*1000</f>
        <v>664.23357664233572</v>
      </c>
      <c r="AY40" s="394">
        <f>(AY37/'5 - Vendas Físicas'!AY14)*1000</f>
        <v>811.88118811881191</v>
      </c>
      <c r="AZ40" s="394">
        <f>(AZ37/'5 - Vendas Físicas'!BA14)*1000</f>
        <v>483.33333333333331</v>
      </c>
      <c r="BA40" s="394" t="e">
        <f>(BA37/'5 - Vendas Físicas'!#REF!)*1000</f>
        <v>#REF!</v>
      </c>
      <c r="BB40" s="394">
        <f>(BB37/'5 - Vendas Físicas'!BB14)*1000</f>
        <v>1371.6012084592144</v>
      </c>
      <c r="BC40" s="394">
        <f>(BC37/'5 - Vendas Físicas'!BC14)*1000</f>
        <v>1857.3104387539856</v>
      </c>
      <c r="BD40" s="394">
        <f>(BD37/'5 - Vendas Físicas'!BD14)*1000</f>
        <v>1842.185663011822</v>
      </c>
      <c r="BE40" s="394">
        <f>(BE37/'5 - Vendas Físicas'!BE14)*1000</f>
        <v>1893.7826373900618</v>
      </c>
      <c r="BF40" s="394">
        <f>(BF37/'5 - Vendas Físicas'!BF14)*1000</f>
        <v>1398.8532696501179</v>
      </c>
      <c r="BG40" s="394">
        <f>(BG37/'5 - Vendas Físicas'!BG14)*1000</f>
        <v>1452.2983875871635</v>
      </c>
      <c r="BH40" s="394">
        <f>(BH37/'5 - Vendas Físicas'!BH14)*1000</f>
        <v>2529.1184417267227</v>
      </c>
      <c r="BI40" s="394">
        <f>(BI37/'5 - Vendas Físicas'!BI14)*1000</f>
        <v>1926.2459355989831</v>
      </c>
      <c r="BL40" s="448"/>
    </row>
    <row r="41" spans="1:64" s="288" customFormat="1">
      <c r="B41" s="309"/>
      <c r="C41" s="310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L41" s="448"/>
    </row>
    <row r="42" spans="1:64" ht="14.5" customHeight="1">
      <c r="A42" s="286"/>
      <c r="B42" s="291" t="s">
        <v>86</v>
      </c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L42" s="448"/>
    </row>
    <row r="43" spans="1:64" s="317" customFormat="1">
      <c r="B43" s="318" t="s">
        <v>132</v>
      </c>
      <c r="C43" s="318">
        <v>1579</v>
      </c>
      <c r="D43" s="318">
        <v>2241</v>
      </c>
      <c r="E43" s="318">
        <v>2190</v>
      </c>
      <c r="F43" s="318">
        <v>1973</v>
      </c>
      <c r="G43" s="319">
        <v>1292</v>
      </c>
      <c r="H43" s="319">
        <v>1083</v>
      </c>
      <c r="I43" s="319">
        <v>1119</v>
      </c>
      <c r="J43" s="319">
        <v>1283</v>
      </c>
      <c r="K43" s="319">
        <v>1435</v>
      </c>
      <c r="L43" s="319">
        <v>1780</v>
      </c>
      <c r="M43" s="319">
        <v>1695</v>
      </c>
      <c r="N43" s="319">
        <v>1701</v>
      </c>
      <c r="O43" s="319">
        <v>1754</v>
      </c>
      <c r="P43" s="319">
        <v>2032</v>
      </c>
      <c r="Q43" s="319">
        <v>1868</v>
      </c>
      <c r="R43" s="319">
        <v>1863</v>
      </c>
      <c r="S43" s="319">
        <v>1855</v>
      </c>
      <c r="T43" s="319">
        <v>2070</v>
      </c>
      <c r="U43" s="319">
        <v>1750</v>
      </c>
      <c r="V43" s="319">
        <v>1713</v>
      </c>
      <c r="W43" s="319">
        <v>1813</v>
      </c>
      <c r="X43" s="319">
        <v>2122</v>
      </c>
      <c r="Y43" s="319">
        <v>2045</v>
      </c>
      <c r="Z43" s="319">
        <v>2044</v>
      </c>
      <c r="AA43" s="319">
        <v>2263</v>
      </c>
      <c r="AB43" s="318">
        <v>2182</v>
      </c>
      <c r="AC43" s="319">
        <v>2095</v>
      </c>
      <c r="AD43" s="319">
        <v>2104</v>
      </c>
      <c r="AE43" s="319">
        <v>2246</v>
      </c>
      <c r="AF43" s="319">
        <v>2257</v>
      </c>
      <c r="AG43" s="319">
        <v>2194</v>
      </c>
      <c r="AH43" s="319">
        <v>2185</v>
      </c>
      <c r="AI43" s="319">
        <v>2170</v>
      </c>
      <c r="AJ43" s="319">
        <v>1963</v>
      </c>
      <c r="AK43" s="319">
        <v>1386</v>
      </c>
      <c r="AL43" s="319">
        <v>1366</v>
      </c>
      <c r="AM43" s="319">
        <v>1357</v>
      </c>
      <c r="AN43" s="319">
        <v>1616</v>
      </c>
      <c r="AO43" s="319">
        <v>1648</v>
      </c>
      <c r="AP43" s="319">
        <v>1608</v>
      </c>
      <c r="AQ43" s="319">
        <v>1732</v>
      </c>
      <c r="AR43" s="319">
        <v>2133</v>
      </c>
      <c r="AS43" s="319">
        <v>2305</v>
      </c>
      <c r="AT43" s="319">
        <v>1988.6270488200016</v>
      </c>
      <c r="AU43" s="319">
        <v>1840</v>
      </c>
      <c r="AV43" s="319">
        <v>1844</v>
      </c>
      <c r="AW43" s="319">
        <v>1621</v>
      </c>
      <c r="AX43" s="319">
        <v>1397</v>
      </c>
      <c r="AY43" s="319">
        <v>1437</v>
      </c>
      <c r="AZ43" s="319">
        <v>893</v>
      </c>
      <c r="BA43" s="319">
        <v>1705</v>
      </c>
      <c r="BB43" s="319">
        <v>2060.7706466626069</v>
      </c>
      <c r="BC43" s="319">
        <v>2430.12033428</v>
      </c>
      <c r="BD43" s="319">
        <v>2649.82005966</v>
      </c>
      <c r="BE43" s="319">
        <f>[14]CONSOLIDADO_TABELA!$L$93</f>
        <v>2870.9906688400015</v>
      </c>
      <c r="BF43" s="319">
        <f>[15]CONSOLIDADO_TABELA!$L$93</f>
        <v>3029.2601900599998</v>
      </c>
      <c r="BG43" s="319">
        <f>[16]CONSOLIDADO_TABELA!$L$93</f>
        <v>3218.7601118700004</v>
      </c>
      <c r="BH43" s="319">
        <f>[7]CONSOLIDADO_TABELA!$L$93</f>
        <v>3657.19550316</v>
      </c>
      <c r="BI43" s="319">
        <f>[8]CONSOLIDADO_TABELA!$L$93</f>
        <v>3476.7999132199993</v>
      </c>
      <c r="BL43" s="448"/>
    </row>
    <row r="44" spans="1:64">
      <c r="B44" s="293" t="s">
        <v>133</v>
      </c>
      <c r="C44" s="294">
        <v>347</v>
      </c>
      <c r="D44" s="294">
        <v>419</v>
      </c>
      <c r="E44" s="294">
        <v>588</v>
      </c>
      <c r="F44" s="294">
        <v>154</v>
      </c>
      <c r="G44" s="294">
        <v>-20</v>
      </c>
      <c r="H44" s="294">
        <v>3</v>
      </c>
      <c r="I44" s="294">
        <v>180</v>
      </c>
      <c r="J44" s="294">
        <v>231</v>
      </c>
      <c r="K44" s="294">
        <v>296</v>
      </c>
      <c r="L44" s="294">
        <v>420</v>
      </c>
      <c r="M44" s="294">
        <v>332</v>
      </c>
      <c r="N44" s="294">
        <v>251</v>
      </c>
      <c r="O44" s="294">
        <v>244</v>
      </c>
      <c r="P44" s="294">
        <v>361</v>
      </c>
      <c r="Q44" s="294">
        <v>294</v>
      </c>
      <c r="R44" s="294">
        <v>246</v>
      </c>
      <c r="S44" s="294">
        <v>238</v>
      </c>
      <c r="T44" s="294">
        <v>339</v>
      </c>
      <c r="U44" s="294">
        <v>207</v>
      </c>
      <c r="V44" s="294">
        <v>184</v>
      </c>
      <c r="W44" s="294">
        <v>118</v>
      </c>
      <c r="X44" s="294">
        <v>241</v>
      </c>
      <c r="Y44" s="294">
        <v>222</v>
      </c>
      <c r="Z44" s="294">
        <v>133</v>
      </c>
      <c r="AA44" s="294">
        <v>161</v>
      </c>
      <c r="AB44" s="294">
        <v>193</v>
      </c>
      <c r="AC44" s="294">
        <v>174</v>
      </c>
      <c r="AD44" s="294">
        <v>193</v>
      </c>
      <c r="AE44" s="294">
        <v>210</v>
      </c>
      <c r="AF44" s="294">
        <v>155</v>
      </c>
      <c r="AG44" s="294">
        <v>135</v>
      </c>
      <c r="AH44" s="294">
        <v>49</v>
      </c>
      <c r="AI44" s="294">
        <v>86</v>
      </c>
      <c r="AJ44" s="294">
        <v>210</v>
      </c>
      <c r="AK44" s="294">
        <v>183</v>
      </c>
      <c r="AL44" s="294">
        <v>167</v>
      </c>
      <c r="AM44" s="294">
        <v>141</v>
      </c>
      <c r="AN44" s="294">
        <v>251</v>
      </c>
      <c r="AO44" s="294">
        <v>288</v>
      </c>
      <c r="AP44" s="294">
        <v>246</v>
      </c>
      <c r="AQ44" s="294">
        <v>265</v>
      </c>
      <c r="AR44" s="294">
        <v>327</v>
      </c>
      <c r="AS44" s="294">
        <v>328</v>
      </c>
      <c r="AT44" s="294">
        <v>174.6648444600005</v>
      </c>
      <c r="AU44" s="294">
        <v>191</v>
      </c>
      <c r="AV44" s="294">
        <v>174</v>
      </c>
      <c r="AW44" s="294">
        <v>145</v>
      </c>
      <c r="AX44" s="294">
        <v>24</v>
      </c>
      <c r="AY44" s="294">
        <v>30</v>
      </c>
      <c r="AZ44" s="294">
        <v>-15</v>
      </c>
      <c r="BA44" s="294">
        <v>66</v>
      </c>
      <c r="BB44" s="294">
        <v>221.65784640525908</v>
      </c>
      <c r="BC44" s="294">
        <v>285.34860605999984</v>
      </c>
      <c r="BD44" s="294">
        <v>406.70856096999978</v>
      </c>
      <c r="BE44" s="294">
        <f>[14]CONSOLIDADO_TABELA!$L$193</f>
        <v>465.77884522000204</v>
      </c>
      <c r="BF44" s="294">
        <f>[15]CONSOLIDADO_TABELA!$L$193</f>
        <v>395.13400023000031</v>
      </c>
      <c r="BG44" s="294">
        <f>[16]CONSOLIDADO_TABELA!$L$193</f>
        <v>617.72036612000056</v>
      </c>
      <c r="BH44" s="294">
        <f>[7]CONSOLIDADO_TABELA!$L$193</f>
        <v>849.29459721999956</v>
      </c>
      <c r="BI44" s="294">
        <f>[8]CONSOLIDADO_TABELA!$L$193</f>
        <v>559.75736905999929</v>
      </c>
      <c r="BL44" s="448"/>
    </row>
    <row r="45" spans="1:64" ht="14.5">
      <c r="A45" s="320"/>
      <c r="B45" s="295" t="s">
        <v>152</v>
      </c>
      <c r="C45" s="296">
        <v>325</v>
      </c>
      <c r="D45" s="296">
        <v>375</v>
      </c>
      <c r="E45" s="296">
        <v>531</v>
      </c>
      <c r="F45" s="296">
        <v>223</v>
      </c>
      <c r="G45" s="296">
        <v>-3</v>
      </c>
      <c r="H45" s="296">
        <v>-6</v>
      </c>
      <c r="I45" s="296">
        <v>199</v>
      </c>
      <c r="J45" s="296">
        <v>264</v>
      </c>
      <c r="K45" s="296">
        <v>290</v>
      </c>
      <c r="L45" s="296">
        <v>404</v>
      </c>
      <c r="M45" s="296">
        <v>343</v>
      </c>
      <c r="N45" s="296">
        <v>248</v>
      </c>
      <c r="O45" s="296">
        <v>251</v>
      </c>
      <c r="P45" s="296">
        <v>365</v>
      </c>
      <c r="Q45" s="296">
        <v>296</v>
      </c>
      <c r="R45" s="296">
        <v>246</v>
      </c>
      <c r="S45" s="296">
        <v>260</v>
      </c>
      <c r="T45" s="296">
        <v>362</v>
      </c>
      <c r="U45" s="296">
        <v>233</v>
      </c>
      <c r="V45" s="296">
        <v>218</v>
      </c>
      <c r="W45" s="296">
        <v>155</v>
      </c>
      <c r="X45" s="296">
        <v>276</v>
      </c>
      <c r="Y45" s="296">
        <v>273</v>
      </c>
      <c r="Z45" s="296">
        <v>205</v>
      </c>
      <c r="AA45" s="296">
        <v>203</v>
      </c>
      <c r="AB45" s="296">
        <v>230</v>
      </c>
      <c r="AC45" s="296">
        <v>231</v>
      </c>
      <c r="AD45" s="297">
        <v>254</v>
      </c>
      <c r="AE45" s="297">
        <v>260</v>
      </c>
      <c r="AF45" s="297">
        <v>215</v>
      </c>
      <c r="AG45" s="297">
        <v>224</v>
      </c>
      <c r="AH45" s="297">
        <v>151</v>
      </c>
      <c r="AI45" s="297">
        <v>174</v>
      </c>
      <c r="AJ45" s="297">
        <v>267</v>
      </c>
      <c r="AK45" s="297">
        <v>233</v>
      </c>
      <c r="AL45" s="297">
        <v>230</v>
      </c>
      <c r="AM45" s="297">
        <v>193</v>
      </c>
      <c r="AN45" s="297">
        <v>297</v>
      </c>
      <c r="AO45" s="297">
        <v>341</v>
      </c>
      <c r="AP45" s="297">
        <v>308</v>
      </c>
      <c r="AQ45" s="297">
        <v>315</v>
      </c>
      <c r="AR45" s="297">
        <v>386</v>
      </c>
      <c r="AS45" s="297">
        <v>372</v>
      </c>
      <c r="AT45" s="297">
        <v>226.41088546241585</v>
      </c>
      <c r="AU45" s="297">
        <v>238</v>
      </c>
      <c r="AV45" s="297">
        <v>241</v>
      </c>
      <c r="AW45" s="297">
        <v>207</v>
      </c>
      <c r="AX45" s="297">
        <v>113</v>
      </c>
      <c r="AY45" s="297">
        <v>119</v>
      </c>
      <c r="AZ45" s="297">
        <v>106</v>
      </c>
      <c r="BA45" s="297">
        <v>168</v>
      </c>
      <c r="BB45" s="297">
        <v>310</v>
      </c>
      <c r="BC45" s="297">
        <v>408.71081860358089</v>
      </c>
      <c r="BD45" s="297">
        <v>495.23435017991812</v>
      </c>
      <c r="BE45" s="297">
        <f>[14]CONSOLIDADO_TABELA!$L$18</f>
        <v>539.26817008316004</v>
      </c>
      <c r="BF45" s="297">
        <f>[15]CONSOLIDADO_TABELA!$L$18</f>
        <v>539.81133636698041</v>
      </c>
      <c r="BG45" s="297">
        <f>[16]CONSOLIDADO_TABELA!$L$18</f>
        <v>691.97410519633195</v>
      </c>
      <c r="BH45" s="297">
        <f>[7]CONSOLIDADO_TABELA!$L$18</f>
        <v>927.81642354982853</v>
      </c>
      <c r="BI45" s="297">
        <f>[8]CONSOLIDADO_TABELA!$L$18</f>
        <v>631.32848790647301</v>
      </c>
      <c r="BL45" s="448"/>
    </row>
    <row r="46" spans="1:64">
      <c r="B46" s="293" t="s">
        <v>59</v>
      </c>
      <c r="C46" s="294">
        <v>60</v>
      </c>
      <c r="D46" s="294">
        <v>93</v>
      </c>
      <c r="E46" s="294">
        <v>80</v>
      </c>
      <c r="F46" s="294">
        <v>169</v>
      </c>
      <c r="G46" s="294">
        <v>122</v>
      </c>
      <c r="H46" s="294">
        <v>103</v>
      </c>
      <c r="I46" s="294">
        <v>76</v>
      </c>
      <c r="J46" s="294">
        <v>89</v>
      </c>
      <c r="K46" s="294">
        <v>93</v>
      </c>
      <c r="L46" s="294">
        <v>90</v>
      </c>
      <c r="M46" s="294">
        <v>103</v>
      </c>
      <c r="N46" s="294">
        <v>95</v>
      </c>
      <c r="O46" s="294">
        <v>90</v>
      </c>
      <c r="P46" s="294">
        <v>95</v>
      </c>
      <c r="Q46" s="294">
        <v>90</v>
      </c>
      <c r="R46" s="294">
        <v>99</v>
      </c>
      <c r="S46" s="294">
        <v>91</v>
      </c>
      <c r="T46" s="294">
        <v>115</v>
      </c>
      <c r="U46" s="294">
        <v>112</v>
      </c>
      <c r="V46" s="294">
        <v>116</v>
      </c>
      <c r="W46" s="294">
        <v>115</v>
      </c>
      <c r="X46" s="294">
        <v>120</v>
      </c>
      <c r="Y46" s="294">
        <v>133</v>
      </c>
      <c r="Z46" s="294">
        <v>136</v>
      </c>
      <c r="AA46" s="294">
        <v>142</v>
      </c>
      <c r="AB46" s="294">
        <v>134</v>
      </c>
      <c r="AC46" s="294">
        <v>132</v>
      </c>
      <c r="AD46" s="294">
        <v>137</v>
      </c>
      <c r="AE46" s="294">
        <v>144</v>
      </c>
      <c r="AF46" s="294">
        <v>151</v>
      </c>
      <c r="AG46" s="294">
        <v>175</v>
      </c>
      <c r="AH46" s="294">
        <v>180</v>
      </c>
      <c r="AI46" s="294">
        <v>178</v>
      </c>
      <c r="AJ46" s="294">
        <v>135</v>
      </c>
      <c r="AK46" s="294">
        <v>100</v>
      </c>
      <c r="AL46" s="294">
        <v>116</v>
      </c>
      <c r="AM46" s="294">
        <v>85</v>
      </c>
      <c r="AN46" s="294">
        <v>86</v>
      </c>
      <c r="AO46" s="294">
        <v>86</v>
      </c>
      <c r="AP46" s="294">
        <v>87</v>
      </c>
      <c r="AQ46" s="294">
        <v>86</v>
      </c>
      <c r="AR46" s="294">
        <v>92</v>
      </c>
      <c r="AS46" s="294">
        <v>87</v>
      </c>
      <c r="AT46" s="294">
        <v>89</v>
      </c>
      <c r="AU46" s="294">
        <v>89</v>
      </c>
      <c r="AV46" s="294">
        <v>97</v>
      </c>
      <c r="AW46" s="294">
        <v>92</v>
      </c>
      <c r="AX46" s="294">
        <v>96</v>
      </c>
      <c r="AY46" s="294">
        <v>103</v>
      </c>
      <c r="AZ46" s="294">
        <v>110</v>
      </c>
      <c r="BA46" s="294">
        <v>116</v>
      </c>
      <c r="BB46" s="294">
        <v>114.62659881377147</v>
      </c>
      <c r="BC46" s="294">
        <v>117.52658265999999</v>
      </c>
      <c r="BD46" s="294">
        <v>119.35023414999999</v>
      </c>
      <c r="BE46" s="294">
        <f>[14]CONSOLIDADO_TABELA!$L$368</f>
        <v>113.14889082000005</v>
      </c>
      <c r="BF46" s="294">
        <f>[15]CONSOLIDADO_TABELA!$L$368</f>
        <v>137.08820893999996</v>
      </c>
      <c r="BG46" s="294">
        <f>[16]CONSOLIDADO_TABELA!$L$368</f>
        <v>125.74121510000001</v>
      </c>
      <c r="BH46" s="294">
        <f>[7]CONSOLIDADO_TABELA!$L$368</f>
        <v>124.47101963</v>
      </c>
      <c r="BI46" s="294">
        <f>[8]CONSOLIDADO_TABELA!$L$368</f>
        <v>128.95356115999996</v>
      </c>
      <c r="BL46" s="448"/>
    </row>
    <row r="47" spans="1:64" ht="7.5" customHeight="1">
      <c r="B47" s="293"/>
      <c r="C47" s="294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L47" s="448"/>
    </row>
    <row r="48" spans="1:64" ht="14.5">
      <c r="B48" s="388" t="s">
        <v>230</v>
      </c>
      <c r="C48" s="391"/>
      <c r="D48" s="391"/>
      <c r="E48" s="391"/>
      <c r="F48" s="391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3"/>
      <c r="AB48" s="393"/>
      <c r="AC48" s="393"/>
      <c r="AD48" s="393"/>
      <c r="AE48" s="393"/>
      <c r="AF48" s="393"/>
      <c r="AG48" s="393"/>
      <c r="AH48" s="393"/>
      <c r="AI48" s="393"/>
      <c r="AJ48" s="393"/>
      <c r="AK48" s="393"/>
      <c r="AL48" s="393"/>
      <c r="AM48" s="393"/>
      <c r="AN48" s="393"/>
      <c r="AO48" s="393"/>
      <c r="AP48" s="393"/>
      <c r="AQ48" s="394"/>
      <c r="AR48" s="394">
        <f>(AR45/'5 - Vendas Físicas'!AR15)*1000</f>
        <v>678.38312829525478</v>
      </c>
      <c r="AS48" s="394">
        <f>(AS45/'5 - Vendas Físicas'!AS15)*1000</f>
        <v>671.48014440433212</v>
      </c>
      <c r="AT48" s="394">
        <f>(AT45/'5 - Vendas Físicas'!AT15)*1000</f>
        <v>477.61408486197581</v>
      </c>
      <c r="AU48" s="394">
        <f>(AU45/'5 - Vendas Físicas'!AU15)*1000</f>
        <v>553.48837209302326</v>
      </c>
      <c r="AV48" s="394">
        <f>(AV45/'5 - Vendas Físicas'!AV15)*1000</f>
        <v>565.08811501298555</v>
      </c>
      <c r="AW48" s="394">
        <f>(AW45/'5 - Vendas Físicas'!AW15)*1000</f>
        <v>535.87864203592426</v>
      </c>
      <c r="AX48" s="394">
        <f>(AX45/'5 - Vendas Físicas'!AX15)*1000</f>
        <v>329.44606413994171</v>
      </c>
      <c r="AY48" s="394">
        <f>(AY45/'5 - Vendas Físicas'!AY15)*1000</f>
        <v>361.7021276595745</v>
      </c>
      <c r="AZ48" s="394">
        <f>(AZ45/'5 - Vendas Físicas'!BA15)*1000</f>
        <v>313.60946745562131</v>
      </c>
      <c r="BA48" s="394" t="e">
        <f>(BA45/'5 - Vendas Físicas'!#REF!)*1000</f>
        <v>#REF!</v>
      </c>
      <c r="BB48" s="394">
        <f>(BB45/'5 - Vendas Físicas'!BB15)*1000</f>
        <v>761.67076167076164</v>
      </c>
      <c r="BC48" s="394">
        <f>(BC45/'5 - Vendas Físicas'!BC15)*1000</f>
        <v>961.28460833362305</v>
      </c>
      <c r="BD48" s="394">
        <f>(BD45/'5 - Vendas Físicas'!BD15)*1000</f>
        <v>1186.5945738757889</v>
      </c>
      <c r="BE48" s="394">
        <f>(BE45/'5 - Vendas Físicas'!BE15)*1000</f>
        <v>1320.7203795748349</v>
      </c>
      <c r="BF48" s="394">
        <f>(BF45/'5 - Vendas Físicas'!BF15)*1000</f>
        <v>1337.6355713801029</v>
      </c>
      <c r="BG48" s="394">
        <f>(BG45/'5 - Vendas Físicas'!BG15)*1000</f>
        <v>1655.3695395035695</v>
      </c>
      <c r="BH48" s="394">
        <f>(BH45/'5 - Vendas Físicas'!BH15)*1000</f>
        <v>2133.2778583047557</v>
      </c>
      <c r="BI48" s="394">
        <f>(BI45/'5 - Vendas Físicas'!BI15)*1000</f>
        <v>1567.5937234426556</v>
      </c>
      <c r="BL48" s="448"/>
    </row>
    <row r="49" spans="2:64" s="288" customFormat="1">
      <c r="B49" s="309"/>
      <c r="C49" s="310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L49" s="448"/>
    </row>
    <row r="51" spans="2:64">
      <c r="B51" s="312"/>
    </row>
    <row r="53" spans="2:64">
      <c r="AZ53" s="287" t="s">
        <v>243</v>
      </c>
      <c r="BA53" s="287" t="s">
        <v>243</v>
      </c>
      <c r="BB53" s="287" t="s">
        <v>243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ignoredErrors>
    <ignoredError sqref="AY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N57"/>
  <sheetViews>
    <sheetView zoomScale="90" zoomScaleNormal="90" workbookViewId="0">
      <selection activeCell="BI9" sqref="BI9:BI46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8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1" width="9.1796875" style="1" hidden="1" customWidth="1"/>
    <col min="52" max="56" width="0" style="1" hidden="1" customWidth="1"/>
    <col min="57" max="16384" width="9.1796875" style="1"/>
  </cols>
  <sheetData>
    <row r="4" spans="2:66" ht="20.25" customHeight="1"/>
    <row r="5" spans="2:66">
      <c r="B5" s="3"/>
    </row>
    <row r="6" spans="2:66" s="4" customFormat="1" ht="14.25" customHeight="1" thickBot="1">
      <c r="B6" s="266" t="s">
        <v>75</v>
      </c>
      <c r="C6" s="267" t="s">
        <v>5</v>
      </c>
      <c r="D6" s="267" t="s">
        <v>6</v>
      </c>
      <c r="E6" s="267" t="s">
        <v>11</v>
      </c>
      <c r="F6" s="267" t="s">
        <v>80</v>
      </c>
      <c r="G6" s="267" t="s">
        <v>91</v>
      </c>
      <c r="H6" s="267" t="s">
        <v>92</v>
      </c>
      <c r="I6" s="267" t="s">
        <v>93</v>
      </c>
      <c r="J6" s="267" t="s">
        <v>95</v>
      </c>
      <c r="K6" s="267" t="s">
        <v>100</v>
      </c>
      <c r="L6" s="267" t="s">
        <v>101</v>
      </c>
      <c r="M6" s="267" t="s">
        <v>102</v>
      </c>
      <c r="N6" s="267" t="s">
        <v>103</v>
      </c>
      <c r="O6" s="267" t="s">
        <v>104</v>
      </c>
      <c r="P6" s="267" t="s">
        <v>105</v>
      </c>
      <c r="Q6" s="267" t="s">
        <v>107</v>
      </c>
      <c r="R6" s="267" t="s">
        <v>114</v>
      </c>
      <c r="S6" s="267" t="s">
        <v>115</v>
      </c>
      <c r="T6" s="267" t="s">
        <v>118</v>
      </c>
      <c r="U6" s="267" t="s">
        <v>119</v>
      </c>
      <c r="V6" s="267" t="s">
        <v>122</v>
      </c>
      <c r="W6" s="267" t="s">
        <v>123</v>
      </c>
      <c r="X6" s="141"/>
      <c r="Y6" s="267" t="s">
        <v>128</v>
      </c>
      <c r="Z6" s="267" t="s">
        <v>136</v>
      </c>
      <c r="AA6" s="267" t="s">
        <v>137</v>
      </c>
      <c r="AB6" s="267" t="s">
        <v>138</v>
      </c>
      <c r="AC6" s="267" t="s">
        <v>142</v>
      </c>
      <c r="AD6" s="267" t="s">
        <v>143</v>
      </c>
      <c r="AE6" s="267" t="s">
        <v>147</v>
      </c>
      <c r="AF6" s="267" t="s">
        <v>153</v>
      </c>
      <c r="AG6" s="268"/>
      <c r="AH6" s="267" t="s">
        <v>155</v>
      </c>
      <c r="AI6" s="267" t="s">
        <v>156</v>
      </c>
      <c r="AJ6" s="267" t="s">
        <v>168</v>
      </c>
      <c r="AK6" s="267" t="s">
        <v>169</v>
      </c>
      <c r="AL6" s="141"/>
      <c r="AM6" s="267" t="s">
        <v>172</v>
      </c>
      <c r="AN6" s="267" t="s">
        <v>175</v>
      </c>
      <c r="AO6" s="267" t="s">
        <v>178</v>
      </c>
      <c r="AP6" s="267" t="s">
        <v>179</v>
      </c>
      <c r="AQ6" s="267" t="s">
        <v>181</v>
      </c>
      <c r="AR6" s="267" t="s">
        <v>182</v>
      </c>
      <c r="AS6" s="267" t="s">
        <v>183</v>
      </c>
      <c r="AT6" s="267" t="s">
        <v>198</v>
      </c>
      <c r="AU6" s="267" t="s">
        <v>210</v>
      </c>
      <c r="AV6" s="267" t="s">
        <v>228</v>
      </c>
      <c r="AW6" s="267" t="s">
        <v>231</v>
      </c>
      <c r="AX6" s="267" t="s">
        <v>234</v>
      </c>
      <c r="AY6" s="267" t="s">
        <v>240</v>
      </c>
      <c r="AZ6" s="267" t="s">
        <v>242</v>
      </c>
      <c r="BA6" s="267" t="s">
        <v>323</v>
      </c>
      <c r="BB6" s="267" t="s">
        <v>326</v>
      </c>
      <c r="BC6" s="267" t="s">
        <v>332</v>
      </c>
      <c r="BD6" s="267" t="s">
        <v>334</v>
      </c>
      <c r="BE6" s="267" t="s">
        <v>335</v>
      </c>
      <c r="BF6" s="267" t="s">
        <v>336</v>
      </c>
      <c r="BG6" s="267" t="s">
        <v>342</v>
      </c>
      <c r="BH6" s="267" t="s">
        <v>345</v>
      </c>
      <c r="BI6" s="267" t="s">
        <v>350</v>
      </c>
    </row>
    <row r="7" spans="2:66" ht="5.25" customHeight="1" thickTop="1">
      <c r="B7" s="145"/>
      <c r="C7" s="147"/>
      <c r="D7" s="147"/>
      <c r="E7" s="148"/>
      <c r="F7" s="148"/>
      <c r="G7" s="148"/>
      <c r="H7" s="148"/>
      <c r="I7" s="148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265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</row>
    <row r="8" spans="2:66" ht="14.25" customHeight="1">
      <c r="B8" s="153" t="s">
        <v>69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3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3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</row>
    <row r="9" spans="2:66" ht="14.25" customHeight="1">
      <c r="B9" s="160" t="s">
        <v>51</v>
      </c>
      <c r="C9" s="160">
        <v>18</v>
      </c>
      <c r="D9" s="160">
        <v>20</v>
      </c>
      <c r="E9" s="160">
        <v>19</v>
      </c>
      <c r="F9" s="160">
        <v>16</v>
      </c>
      <c r="G9" s="160">
        <v>17</v>
      </c>
      <c r="H9" s="160">
        <v>15</v>
      </c>
      <c r="I9" s="160">
        <v>14</v>
      </c>
      <c r="J9" s="160">
        <v>15</v>
      </c>
      <c r="K9" s="160">
        <v>16</v>
      </c>
      <c r="L9" s="160">
        <v>14</v>
      </c>
      <c r="M9" s="160">
        <v>14</v>
      </c>
      <c r="N9" s="160">
        <v>14</v>
      </c>
      <c r="O9" s="160">
        <v>15</v>
      </c>
      <c r="P9" s="160">
        <v>14</v>
      </c>
      <c r="Q9" s="160">
        <v>15</v>
      </c>
      <c r="R9" s="160">
        <v>15</v>
      </c>
      <c r="S9" s="160">
        <v>17</v>
      </c>
      <c r="T9" s="160">
        <v>16</v>
      </c>
      <c r="U9" s="160">
        <v>15</v>
      </c>
      <c r="V9" s="160">
        <v>17</v>
      </c>
      <c r="W9" s="160">
        <v>18</v>
      </c>
      <c r="X9" s="264"/>
      <c r="Y9" s="160">
        <v>17</v>
      </c>
      <c r="Z9" s="160">
        <v>16</v>
      </c>
      <c r="AA9" s="160">
        <v>17</v>
      </c>
      <c r="AB9" s="160">
        <v>18</v>
      </c>
      <c r="AC9" s="160">
        <v>17</v>
      </c>
      <c r="AD9" s="160">
        <v>18</v>
      </c>
      <c r="AE9" s="160">
        <v>17</v>
      </c>
      <c r="AF9" s="160">
        <v>19</v>
      </c>
      <c r="AG9" s="160"/>
      <c r="AH9" s="160">
        <v>19</v>
      </c>
      <c r="AI9" s="160">
        <v>18</v>
      </c>
      <c r="AJ9" s="160">
        <v>21</v>
      </c>
      <c r="AK9" s="160">
        <v>24</v>
      </c>
      <c r="AL9" s="264"/>
      <c r="AM9" s="160">
        <v>21</v>
      </c>
      <c r="AN9" s="160">
        <v>20</v>
      </c>
      <c r="AO9" s="160">
        <v>18</v>
      </c>
      <c r="AP9" s="160">
        <v>18</v>
      </c>
      <c r="AQ9" s="270">
        <v>16</v>
      </c>
      <c r="AR9" s="270">
        <v>15.7</v>
      </c>
      <c r="AS9" s="270">
        <v>15.8</v>
      </c>
      <c r="AT9" s="270">
        <v>17.399999999999999</v>
      </c>
      <c r="AU9" s="270">
        <v>16.100000000000001</v>
      </c>
      <c r="AV9" s="270">
        <v>16.8</v>
      </c>
      <c r="AW9" s="270">
        <v>18.7</v>
      </c>
      <c r="AX9" s="270">
        <v>20.100000000000001</v>
      </c>
      <c r="AY9" s="270">
        <v>19.100000000000001</v>
      </c>
      <c r="AZ9" s="270">
        <v>20.100000000000001</v>
      </c>
      <c r="BA9" s="270">
        <v>18.8</v>
      </c>
      <c r="BB9" s="270">
        <v>18.100000000000001</v>
      </c>
      <c r="BC9" s="270">
        <v>15.7</v>
      </c>
      <c r="BD9" s="270">
        <v>14.554893825480795</v>
      </c>
      <c r="BE9" s="270">
        <v>13.931465633411335</v>
      </c>
      <c r="BF9" s="270">
        <f>[4]R17_CF_Parte2!$P$68*100</f>
        <v>15.246520243859488</v>
      </c>
      <c r="BG9" s="270">
        <f>[1]R17_CF_Parte2!$J$68*100</f>
        <v>13.987048709215641</v>
      </c>
      <c r="BH9" s="270">
        <f>[6]R17_CF_Parte2!$P$68*100</f>
        <v>13.346179709871622</v>
      </c>
      <c r="BI9" s="270">
        <f ca="1">[3]R17_CF_Parte2!$J$68*100</f>
        <v>15.391945352666156</v>
      </c>
      <c r="BN9" s="19"/>
    </row>
    <row r="10" spans="2:66" ht="14.25" customHeight="1">
      <c r="B10" s="159" t="s">
        <v>52</v>
      </c>
      <c r="C10" s="159">
        <v>6</v>
      </c>
      <c r="D10" s="159">
        <v>5</v>
      </c>
      <c r="E10" s="159">
        <v>5</v>
      </c>
      <c r="F10" s="159">
        <v>4</v>
      </c>
      <c r="G10" s="159">
        <v>5</v>
      </c>
      <c r="H10" s="159">
        <v>5</v>
      </c>
      <c r="I10" s="159">
        <v>5</v>
      </c>
      <c r="J10" s="159">
        <v>6</v>
      </c>
      <c r="K10" s="159">
        <v>6</v>
      </c>
      <c r="L10" s="159">
        <v>5</v>
      </c>
      <c r="M10" s="159">
        <v>5</v>
      </c>
      <c r="N10" s="159">
        <v>5</v>
      </c>
      <c r="O10" s="159">
        <v>6</v>
      </c>
      <c r="P10" s="159">
        <v>6</v>
      </c>
      <c r="Q10" s="159">
        <v>5</v>
      </c>
      <c r="R10" s="159">
        <v>6</v>
      </c>
      <c r="S10" s="159">
        <v>7</v>
      </c>
      <c r="T10" s="159">
        <v>6</v>
      </c>
      <c r="U10" s="159">
        <v>6</v>
      </c>
      <c r="V10" s="159">
        <v>7</v>
      </c>
      <c r="W10" s="159">
        <v>7</v>
      </c>
      <c r="X10" s="263"/>
      <c r="Y10" s="159">
        <v>6</v>
      </c>
      <c r="Z10" s="159">
        <v>6</v>
      </c>
      <c r="AA10" s="159">
        <v>8</v>
      </c>
      <c r="AB10" s="159">
        <v>9</v>
      </c>
      <c r="AC10" s="159">
        <v>8</v>
      </c>
      <c r="AD10" s="159">
        <v>8</v>
      </c>
      <c r="AE10" s="159">
        <v>9</v>
      </c>
      <c r="AF10" s="159">
        <v>10</v>
      </c>
      <c r="AG10" s="159"/>
      <c r="AH10" s="159">
        <v>10</v>
      </c>
      <c r="AI10" s="159">
        <v>9</v>
      </c>
      <c r="AJ10" s="159">
        <v>7</v>
      </c>
      <c r="AK10" s="159">
        <v>4</v>
      </c>
      <c r="AL10" s="263"/>
      <c r="AM10" s="159">
        <v>4</v>
      </c>
      <c r="AN10" s="159">
        <v>4</v>
      </c>
      <c r="AO10" s="159">
        <v>6</v>
      </c>
      <c r="AP10" s="159">
        <v>6</v>
      </c>
      <c r="AQ10" s="271">
        <v>5</v>
      </c>
      <c r="AR10" s="271">
        <v>5.6</v>
      </c>
      <c r="AS10" s="271">
        <v>5.6</v>
      </c>
      <c r="AT10" s="271">
        <v>6.3</v>
      </c>
      <c r="AU10" s="271">
        <v>5.8</v>
      </c>
      <c r="AV10" s="271">
        <v>6.3</v>
      </c>
      <c r="AW10" s="271">
        <v>7.4</v>
      </c>
      <c r="AX10" s="271">
        <v>6.6</v>
      </c>
      <c r="AY10" s="271">
        <v>6.1</v>
      </c>
      <c r="AZ10" s="271">
        <v>7.2</v>
      </c>
      <c r="BA10" s="271">
        <v>6.7</v>
      </c>
      <c r="BB10" s="271">
        <v>5.9</v>
      </c>
      <c r="BC10" s="271">
        <v>5.4</v>
      </c>
      <c r="BD10" s="271">
        <v>5.2288974854980772</v>
      </c>
      <c r="BE10" s="271">
        <v>5.2537353266014319</v>
      </c>
      <c r="BF10" s="271">
        <f>[4]R17_CF_Parte2!$P$79*100</f>
        <v>5.0567467461973941</v>
      </c>
      <c r="BG10" s="271">
        <f>[1]R17_CF_Parte2!$J$79*100</f>
        <v>4.8523179223483108</v>
      </c>
      <c r="BH10" s="271">
        <f>[6]R17_CF_Parte2!$P$79*100</f>
        <v>4.9903077862973859</v>
      </c>
      <c r="BI10" s="271">
        <f ca="1">[3]R17_CF_Parte2!$J$79*100</f>
        <v>6.9040627923450542</v>
      </c>
      <c r="BN10" s="19"/>
    </row>
    <row r="11" spans="2:66" ht="14.25" customHeight="1">
      <c r="B11" s="160" t="s">
        <v>28</v>
      </c>
      <c r="C11" s="160">
        <v>6</v>
      </c>
      <c r="D11" s="160">
        <v>8</v>
      </c>
      <c r="E11" s="160">
        <v>8</v>
      </c>
      <c r="F11" s="160">
        <v>6</v>
      </c>
      <c r="G11" s="160">
        <v>6</v>
      </c>
      <c r="H11" s="160">
        <v>6</v>
      </c>
      <c r="I11" s="160">
        <v>6</v>
      </c>
      <c r="J11" s="160">
        <v>6</v>
      </c>
      <c r="K11" s="160">
        <v>6</v>
      </c>
      <c r="L11" s="160">
        <v>6</v>
      </c>
      <c r="M11" s="160">
        <v>5</v>
      </c>
      <c r="N11" s="160">
        <v>5</v>
      </c>
      <c r="O11" s="160">
        <v>5</v>
      </c>
      <c r="P11" s="160">
        <v>4</v>
      </c>
      <c r="Q11" s="160">
        <v>4</v>
      </c>
      <c r="R11" s="160">
        <v>5</v>
      </c>
      <c r="S11" s="160">
        <v>5</v>
      </c>
      <c r="T11" s="160">
        <v>5</v>
      </c>
      <c r="U11" s="160">
        <v>5</v>
      </c>
      <c r="V11" s="160">
        <v>5</v>
      </c>
      <c r="W11" s="160">
        <v>5</v>
      </c>
      <c r="X11" s="264"/>
      <c r="Y11" s="160">
        <v>5</v>
      </c>
      <c r="Z11" s="160">
        <v>5</v>
      </c>
      <c r="AA11" s="160">
        <v>5</v>
      </c>
      <c r="AB11" s="160">
        <v>5</v>
      </c>
      <c r="AC11" s="160">
        <v>5</v>
      </c>
      <c r="AD11" s="160">
        <v>5</v>
      </c>
      <c r="AE11" s="160">
        <v>6</v>
      </c>
      <c r="AF11" s="160">
        <v>7</v>
      </c>
      <c r="AG11" s="160"/>
      <c r="AH11" s="160">
        <v>6</v>
      </c>
      <c r="AI11" s="160">
        <v>6</v>
      </c>
      <c r="AJ11" s="160">
        <v>6</v>
      </c>
      <c r="AK11" s="160">
        <v>7</v>
      </c>
      <c r="AL11" s="264"/>
      <c r="AM11" s="160">
        <v>5</v>
      </c>
      <c r="AN11" s="160">
        <v>5</v>
      </c>
      <c r="AO11" s="160">
        <v>5</v>
      </c>
      <c r="AP11" s="160">
        <v>5</v>
      </c>
      <c r="AQ11" s="270">
        <v>5</v>
      </c>
      <c r="AR11" s="270">
        <v>3.6</v>
      </c>
      <c r="AS11" s="270">
        <v>3.5</v>
      </c>
      <c r="AT11" s="270">
        <v>3.7</v>
      </c>
      <c r="AU11" s="270">
        <v>3.8</v>
      </c>
      <c r="AV11" s="270">
        <v>3.9</v>
      </c>
      <c r="AW11" s="270">
        <v>4.3</v>
      </c>
      <c r="AX11" s="270">
        <v>4.9000000000000004</v>
      </c>
      <c r="AY11" s="270">
        <v>4</v>
      </c>
      <c r="AZ11" s="270">
        <v>5.6</v>
      </c>
      <c r="BA11" s="270">
        <v>4.5999999999999996</v>
      </c>
      <c r="BB11" s="270">
        <v>4.0999999999999996</v>
      </c>
      <c r="BC11" s="270">
        <v>3.2</v>
      </c>
      <c r="BD11" s="270">
        <v>2.9504759540370311</v>
      </c>
      <c r="BE11" s="270">
        <v>3.5634609696002033</v>
      </c>
      <c r="BF11" s="270">
        <f>[4]R17_CF_Parte2!$P$83*100</f>
        <v>3.0095385959084879</v>
      </c>
      <c r="BG11" s="270">
        <f>[1]R17_CF_Parte2!$J$83*100</f>
        <v>2.9067136425037972</v>
      </c>
      <c r="BH11" s="270">
        <f>[6]R17_CF_Parte2!$P$83*100</f>
        <v>2.6552649638163515</v>
      </c>
      <c r="BI11" s="270">
        <f ca="1">[3]R17_CF_Parte2!$J$83*100</f>
        <v>3.1036007506136487</v>
      </c>
      <c r="BN11" s="19"/>
    </row>
    <row r="12" spans="2:66" ht="14.25" customHeight="1">
      <c r="B12" s="159" t="s">
        <v>53</v>
      </c>
      <c r="C12" s="159">
        <v>47</v>
      </c>
      <c r="D12" s="159">
        <v>41</v>
      </c>
      <c r="E12" s="159">
        <v>42</v>
      </c>
      <c r="F12" s="159">
        <v>47</v>
      </c>
      <c r="G12" s="159">
        <v>47</v>
      </c>
      <c r="H12" s="159">
        <v>51</v>
      </c>
      <c r="I12" s="159">
        <v>53</v>
      </c>
      <c r="J12" s="159">
        <v>50</v>
      </c>
      <c r="K12" s="159">
        <v>50</v>
      </c>
      <c r="L12" s="159">
        <v>54</v>
      </c>
      <c r="M12" s="159">
        <v>55</v>
      </c>
      <c r="N12" s="159">
        <v>54</v>
      </c>
      <c r="O12" s="159">
        <v>53</v>
      </c>
      <c r="P12" s="159">
        <v>55</v>
      </c>
      <c r="Q12" s="159">
        <v>55</v>
      </c>
      <c r="R12" s="159">
        <v>53</v>
      </c>
      <c r="S12" s="159">
        <v>50</v>
      </c>
      <c r="T12" s="159">
        <v>51</v>
      </c>
      <c r="U12" s="159">
        <v>52</v>
      </c>
      <c r="V12" s="159">
        <v>50</v>
      </c>
      <c r="W12" s="159">
        <v>50</v>
      </c>
      <c r="X12" s="263"/>
      <c r="Y12" s="159">
        <v>53</v>
      </c>
      <c r="Z12" s="159">
        <v>53</v>
      </c>
      <c r="AA12" s="159">
        <v>50</v>
      </c>
      <c r="AB12" s="159">
        <v>48</v>
      </c>
      <c r="AC12" s="159">
        <v>48</v>
      </c>
      <c r="AD12" s="159">
        <v>46</v>
      </c>
      <c r="AE12" s="159">
        <v>44</v>
      </c>
      <c r="AF12" s="159">
        <v>40</v>
      </c>
      <c r="AG12" s="159"/>
      <c r="AH12" s="159">
        <v>41</v>
      </c>
      <c r="AI12" s="159">
        <v>43</v>
      </c>
      <c r="AJ12" s="159">
        <v>42</v>
      </c>
      <c r="AK12" s="159">
        <v>37</v>
      </c>
      <c r="AL12" s="263"/>
      <c r="AM12" s="159">
        <v>46</v>
      </c>
      <c r="AN12" s="159">
        <v>47</v>
      </c>
      <c r="AO12" s="159">
        <v>47</v>
      </c>
      <c r="AP12" s="159">
        <v>46</v>
      </c>
      <c r="AQ12" s="271">
        <v>49</v>
      </c>
      <c r="AR12" s="271">
        <v>51.5</v>
      </c>
      <c r="AS12" s="271">
        <v>50.6</v>
      </c>
      <c r="AT12" s="271">
        <v>46.6</v>
      </c>
      <c r="AU12" s="271">
        <v>47.6</v>
      </c>
      <c r="AV12" s="271">
        <v>45.7</v>
      </c>
      <c r="AW12" s="271">
        <v>42.2</v>
      </c>
      <c r="AX12" s="271">
        <v>39.4</v>
      </c>
      <c r="AY12" s="271">
        <v>43</v>
      </c>
      <c r="AZ12" s="271">
        <v>40.6</v>
      </c>
      <c r="BA12" s="271">
        <v>44.8</v>
      </c>
      <c r="BB12" s="271">
        <v>48.6</v>
      </c>
      <c r="BC12" s="271">
        <v>55.9</v>
      </c>
      <c r="BD12" s="271">
        <v>58.67993922420326</v>
      </c>
      <c r="BE12" s="271">
        <v>58.698897195129753</v>
      </c>
      <c r="BF12" s="271">
        <f>[4]R17_CF_Parte2!$P$85*100</f>
        <v>55.707122728710587</v>
      </c>
      <c r="BG12" s="271">
        <f>[1]R17_CF_Parte2!$J$85*100</f>
        <v>54.632681141350318</v>
      </c>
      <c r="BH12" s="271">
        <f>[6]R17_CF_Parte2!$P$85*100</f>
        <v>55.087301354326023</v>
      </c>
      <c r="BI12" s="271">
        <f ca="1">[3]R17_CF_Parte2!$J$85*100</f>
        <v>48.907315850428063</v>
      </c>
      <c r="BN12" s="19"/>
    </row>
    <row r="13" spans="2:66" ht="14.25" customHeight="1">
      <c r="B13" s="160" t="s">
        <v>54</v>
      </c>
      <c r="C13" s="160">
        <v>15</v>
      </c>
      <c r="D13" s="160">
        <v>17</v>
      </c>
      <c r="E13" s="160">
        <v>17</v>
      </c>
      <c r="F13" s="160">
        <v>17</v>
      </c>
      <c r="G13" s="160">
        <v>16</v>
      </c>
      <c r="H13" s="160">
        <v>15</v>
      </c>
      <c r="I13" s="160">
        <v>14</v>
      </c>
      <c r="J13" s="160">
        <v>15</v>
      </c>
      <c r="K13" s="160">
        <v>14</v>
      </c>
      <c r="L13" s="160">
        <v>13</v>
      </c>
      <c r="M13" s="160">
        <v>13</v>
      </c>
      <c r="N13" s="160">
        <v>14</v>
      </c>
      <c r="O13" s="160">
        <v>13</v>
      </c>
      <c r="P13" s="160">
        <v>13</v>
      </c>
      <c r="Q13" s="160">
        <v>13</v>
      </c>
      <c r="R13" s="160">
        <v>13</v>
      </c>
      <c r="S13" s="160">
        <v>13</v>
      </c>
      <c r="T13" s="160">
        <v>14</v>
      </c>
      <c r="U13" s="160">
        <v>14</v>
      </c>
      <c r="V13" s="160">
        <v>13</v>
      </c>
      <c r="W13" s="160">
        <v>12</v>
      </c>
      <c r="X13" s="264"/>
      <c r="Y13" s="160">
        <v>12</v>
      </c>
      <c r="Z13" s="160">
        <v>12</v>
      </c>
      <c r="AA13" s="160">
        <v>12</v>
      </c>
      <c r="AB13" s="160">
        <v>12</v>
      </c>
      <c r="AC13" s="160">
        <v>13</v>
      </c>
      <c r="AD13" s="160">
        <v>14</v>
      </c>
      <c r="AE13" s="160">
        <v>14</v>
      </c>
      <c r="AF13" s="160">
        <v>14</v>
      </c>
      <c r="AG13" s="160"/>
      <c r="AH13" s="160">
        <v>14</v>
      </c>
      <c r="AI13" s="160">
        <v>14</v>
      </c>
      <c r="AJ13" s="160">
        <v>15</v>
      </c>
      <c r="AK13" s="160">
        <v>15</v>
      </c>
      <c r="AL13" s="264"/>
      <c r="AM13" s="160">
        <v>16</v>
      </c>
      <c r="AN13" s="160">
        <v>15</v>
      </c>
      <c r="AO13" s="160">
        <v>15</v>
      </c>
      <c r="AP13" s="160">
        <v>15</v>
      </c>
      <c r="AQ13" s="270">
        <v>15</v>
      </c>
      <c r="AR13" s="270">
        <v>13.5</v>
      </c>
      <c r="AS13" s="270">
        <v>13.9</v>
      </c>
      <c r="AT13" s="270">
        <v>15.2</v>
      </c>
      <c r="AU13" s="270">
        <v>15.4</v>
      </c>
      <c r="AV13" s="270">
        <v>15.8</v>
      </c>
      <c r="AW13" s="270">
        <v>15.8</v>
      </c>
      <c r="AX13" s="270">
        <f>17.2</f>
        <v>17.2</v>
      </c>
      <c r="AY13" s="270">
        <v>15</v>
      </c>
      <c r="AZ13" s="270">
        <v>15.2</v>
      </c>
      <c r="BA13" s="270">
        <v>14.3</v>
      </c>
      <c r="BB13" s="270">
        <v>13</v>
      </c>
      <c r="BC13" s="270">
        <v>10.9</v>
      </c>
      <c r="BD13" s="270">
        <v>10.403117141226721</v>
      </c>
      <c r="BE13" s="270">
        <v>10.849259230707773</v>
      </c>
      <c r="BF13" s="270">
        <f>[4]R17_CF_Parte2!$P$93*100</f>
        <v>12.66550141368624</v>
      </c>
      <c r="BG13" s="270">
        <f>[1]R17_CF_Parte2!$J$93*100</f>
        <v>14.920071978486499</v>
      </c>
      <c r="BH13" s="270">
        <f>[6]R17_CF_Parte2!$P$93*100</f>
        <v>15.349421290354263</v>
      </c>
      <c r="BI13" s="270">
        <f ca="1">[3]R17_CF_Parte2!$J$93*100</f>
        <v>16.573949700256684</v>
      </c>
      <c r="BN13" s="19"/>
    </row>
    <row r="14" spans="2:66" ht="14.25" customHeight="1">
      <c r="B14" s="159" t="s">
        <v>55</v>
      </c>
      <c r="C14" s="159">
        <v>8</v>
      </c>
      <c r="D14" s="159">
        <v>9</v>
      </c>
      <c r="E14" s="159">
        <v>9</v>
      </c>
      <c r="F14" s="159">
        <v>10</v>
      </c>
      <c r="G14" s="159">
        <v>9</v>
      </c>
      <c r="H14" s="159">
        <v>8</v>
      </c>
      <c r="I14" s="159">
        <v>8</v>
      </c>
      <c r="J14" s="159">
        <v>8</v>
      </c>
      <c r="K14" s="159">
        <v>8</v>
      </c>
      <c r="L14" s="159">
        <v>8</v>
      </c>
      <c r="M14" s="159">
        <v>8</v>
      </c>
      <c r="N14" s="159">
        <v>8</v>
      </c>
      <c r="O14" s="159">
        <v>8</v>
      </c>
      <c r="P14" s="159">
        <v>8</v>
      </c>
      <c r="Q14" s="159">
        <v>8</v>
      </c>
      <c r="R14" s="159">
        <v>8</v>
      </c>
      <c r="S14" s="159">
        <v>8</v>
      </c>
      <c r="T14" s="159">
        <v>8</v>
      </c>
      <c r="U14" s="159">
        <v>8</v>
      </c>
      <c r="V14" s="159">
        <v>8</v>
      </c>
      <c r="W14" s="159">
        <v>8</v>
      </c>
      <c r="X14" s="263"/>
      <c r="Y14" s="159">
        <v>7</v>
      </c>
      <c r="Z14" s="159">
        <v>8</v>
      </c>
      <c r="AA14" s="159">
        <v>8</v>
      </c>
      <c r="AB14" s="159">
        <v>8</v>
      </c>
      <c r="AC14" s="159">
        <v>9</v>
      </c>
      <c r="AD14" s="159">
        <v>9</v>
      </c>
      <c r="AE14" s="159">
        <v>10</v>
      </c>
      <c r="AF14" s="159">
        <v>10</v>
      </c>
      <c r="AG14" s="159"/>
      <c r="AH14" s="159">
        <v>10</v>
      </c>
      <c r="AI14" s="159">
        <v>10</v>
      </c>
      <c r="AJ14" s="159">
        <v>9</v>
      </c>
      <c r="AK14" s="159">
        <v>9</v>
      </c>
      <c r="AL14" s="263"/>
      <c r="AM14" s="159">
        <v>8</v>
      </c>
      <c r="AN14" s="159">
        <v>9</v>
      </c>
      <c r="AO14" s="159">
        <v>9</v>
      </c>
      <c r="AP14" s="159">
        <v>10</v>
      </c>
      <c r="AQ14" s="271">
        <v>10</v>
      </c>
      <c r="AR14" s="271">
        <v>10</v>
      </c>
      <c r="AS14" s="271">
        <v>10.7</v>
      </c>
      <c r="AT14" s="271">
        <v>10.9</v>
      </c>
      <c r="AU14" s="271">
        <v>11.2</v>
      </c>
      <c r="AV14" s="271">
        <v>11.5</v>
      </c>
      <c r="AW14" s="271">
        <v>11.5</v>
      </c>
      <c r="AX14" s="271">
        <v>11.8</v>
      </c>
      <c r="AY14" s="271">
        <v>12.4</v>
      </c>
      <c r="AZ14" s="271">
        <v>11.4</v>
      </c>
      <c r="BA14" s="271">
        <v>10.9</v>
      </c>
      <c r="BB14" s="271">
        <v>10.4</v>
      </c>
      <c r="BC14" s="271">
        <v>8.8000000000000007</v>
      </c>
      <c r="BD14" s="271">
        <v>8.182676369554148</v>
      </c>
      <c r="BE14" s="271">
        <v>7.7031816445494954</v>
      </c>
      <c r="BF14" s="271">
        <f>[4]R17_CF_Parte2!$P$102*100</f>
        <v>8.3145702716378178</v>
      </c>
      <c r="BG14" s="271">
        <f>[1]R17_CF_Parte2!$J$102*100</f>
        <v>8.7011666060954038</v>
      </c>
      <c r="BH14" s="271">
        <f>[6]R17_CF_Parte2!$P$102*100</f>
        <v>8.5715248953343739</v>
      </c>
      <c r="BI14" s="271">
        <f ca="1">[3]R17_CF_Parte2!$J$102*100</f>
        <v>9.1191255536903828</v>
      </c>
      <c r="BN14" s="19"/>
    </row>
    <row r="15" spans="2:66" ht="5.25" customHeight="1"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35"/>
      <c r="Y15" s="57"/>
      <c r="Z15" s="57"/>
      <c r="AA15" s="57"/>
      <c r="AB15" s="57"/>
      <c r="AC15" s="57"/>
      <c r="AD15" s="57"/>
      <c r="AE15" s="57"/>
      <c r="AF15" s="57"/>
      <c r="AG15" s="44"/>
      <c r="AH15" s="57"/>
      <c r="AI15" s="57"/>
      <c r="AJ15" s="57"/>
      <c r="AK15" s="57"/>
      <c r="AL15" s="35"/>
      <c r="AM15" s="57"/>
      <c r="AN15" s="57"/>
      <c r="AO15" s="57"/>
      <c r="AP15" s="57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N15" s="19"/>
    </row>
    <row r="16" spans="2:66" ht="14.25" customHeight="1">
      <c r="B16" s="153" t="s">
        <v>84</v>
      </c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3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3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N16" s="19"/>
    </row>
    <row r="17" spans="2:66" ht="14.25" customHeight="1">
      <c r="B17" s="160" t="s">
        <v>51</v>
      </c>
      <c r="C17" s="160">
        <v>16</v>
      </c>
      <c r="D17" s="160">
        <v>18</v>
      </c>
      <c r="E17" s="160">
        <v>17</v>
      </c>
      <c r="F17" s="160">
        <v>15</v>
      </c>
      <c r="G17" s="160">
        <v>15</v>
      </c>
      <c r="H17" s="160">
        <v>15</v>
      </c>
      <c r="I17" s="160">
        <v>13</v>
      </c>
      <c r="J17" s="160">
        <v>14</v>
      </c>
      <c r="K17" s="160">
        <v>15</v>
      </c>
      <c r="L17" s="160">
        <v>16</v>
      </c>
      <c r="M17" s="160">
        <v>14</v>
      </c>
      <c r="N17" s="160">
        <v>15</v>
      </c>
      <c r="O17" s="160">
        <v>17</v>
      </c>
      <c r="P17" s="160">
        <v>16</v>
      </c>
      <c r="Q17" s="160">
        <v>17</v>
      </c>
      <c r="R17" s="160">
        <v>15</v>
      </c>
      <c r="S17" s="160">
        <v>18</v>
      </c>
      <c r="T17" s="160">
        <v>18</v>
      </c>
      <c r="U17" s="160">
        <v>18</v>
      </c>
      <c r="V17" s="160">
        <v>18</v>
      </c>
      <c r="W17" s="160">
        <v>19</v>
      </c>
      <c r="X17" s="264"/>
      <c r="Y17" s="160">
        <v>19</v>
      </c>
      <c r="Z17" s="160">
        <v>19</v>
      </c>
      <c r="AA17" s="160">
        <v>22</v>
      </c>
      <c r="AB17" s="160">
        <v>23</v>
      </c>
      <c r="AC17" s="160">
        <v>22</v>
      </c>
      <c r="AD17" s="160">
        <v>22</v>
      </c>
      <c r="AE17" s="160">
        <v>21</v>
      </c>
      <c r="AF17" s="160">
        <v>24</v>
      </c>
      <c r="AG17" s="160"/>
      <c r="AH17" s="160">
        <v>22</v>
      </c>
      <c r="AI17" s="160">
        <v>22</v>
      </c>
      <c r="AJ17" s="160">
        <v>21</v>
      </c>
      <c r="AK17" s="160">
        <v>25</v>
      </c>
      <c r="AL17" s="264"/>
      <c r="AM17" s="160">
        <v>20</v>
      </c>
      <c r="AN17" s="160">
        <v>20</v>
      </c>
      <c r="AO17" s="160">
        <v>20</v>
      </c>
      <c r="AP17" s="160">
        <v>19</v>
      </c>
      <c r="AQ17" s="270">
        <v>17</v>
      </c>
      <c r="AR17" s="270">
        <v>17.3</v>
      </c>
      <c r="AS17" s="270">
        <v>15.8</v>
      </c>
      <c r="AT17" s="270">
        <v>17.2</v>
      </c>
      <c r="AU17" s="270">
        <v>16.7</v>
      </c>
      <c r="AV17" s="270">
        <v>16.7</v>
      </c>
      <c r="AW17" s="270">
        <v>19.399999999999999</v>
      </c>
      <c r="AX17" s="270">
        <v>20</v>
      </c>
      <c r="AY17" s="270">
        <v>19.2</v>
      </c>
      <c r="AZ17" s="270">
        <v>17.7</v>
      </c>
      <c r="BA17" s="270">
        <v>16.100000000000001</v>
      </c>
      <c r="BB17" s="270">
        <v>16.8</v>
      </c>
      <c r="BC17" s="270">
        <v>15.5</v>
      </c>
      <c r="BD17" s="270">
        <v>13.341111244211332</v>
      </c>
      <c r="BE17" s="270">
        <v>13.526427110930058</v>
      </c>
      <c r="BF17" s="270">
        <f>[4]R17_CF_Parte2!$L$68*100</f>
        <v>16.217326483209611</v>
      </c>
      <c r="BG17" s="270">
        <f>[1]R17_CF_Parte2!$F$68*100</f>
        <v>13.784809871330708</v>
      </c>
      <c r="BH17" s="270">
        <f>[6]R17_CF_Parte2!$L$68*100</f>
        <v>12.640432507764181</v>
      </c>
      <c r="BI17" s="270">
        <f ca="1">[3]R17_CF_Parte2!$F$68*100</f>
        <v>14.142828190027398</v>
      </c>
      <c r="BN17" s="19"/>
    </row>
    <row r="18" spans="2:66" ht="14.25" customHeight="1">
      <c r="B18" s="159" t="s">
        <v>52</v>
      </c>
      <c r="C18" s="159">
        <v>6</v>
      </c>
      <c r="D18" s="159">
        <v>5</v>
      </c>
      <c r="E18" s="159">
        <v>4</v>
      </c>
      <c r="F18" s="159">
        <v>5</v>
      </c>
      <c r="G18" s="159">
        <v>5</v>
      </c>
      <c r="H18" s="159">
        <v>6</v>
      </c>
      <c r="I18" s="159">
        <v>6</v>
      </c>
      <c r="J18" s="159">
        <v>7</v>
      </c>
      <c r="K18" s="159">
        <v>6</v>
      </c>
      <c r="L18" s="159">
        <v>7</v>
      </c>
      <c r="M18" s="159">
        <v>6</v>
      </c>
      <c r="N18" s="159">
        <v>6</v>
      </c>
      <c r="O18" s="159">
        <v>7</v>
      </c>
      <c r="P18" s="159">
        <v>7</v>
      </c>
      <c r="Q18" s="159">
        <v>7</v>
      </c>
      <c r="R18" s="159">
        <v>6</v>
      </c>
      <c r="S18" s="159">
        <v>6</v>
      </c>
      <c r="T18" s="159">
        <v>6</v>
      </c>
      <c r="U18" s="159">
        <v>6</v>
      </c>
      <c r="V18" s="159">
        <v>6</v>
      </c>
      <c r="W18" s="159">
        <v>7</v>
      </c>
      <c r="X18" s="263"/>
      <c r="Y18" s="159">
        <v>7</v>
      </c>
      <c r="Z18" s="159">
        <v>7</v>
      </c>
      <c r="AA18" s="159">
        <v>7</v>
      </c>
      <c r="AB18" s="159">
        <v>7</v>
      </c>
      <c r="AC18" s="159">
        <v>6</v>
      </c>
      <c r="AD18" s="159">
        <v>7</v>
      </c>
      <c r="AE18" s="159">
        <v>6</v>
      </c>
      <c r="AF18" s="159">
        <v>7</v>
      </c>
      <c r="AG18" s="159"/>
      <c r="AH18" s="159">
        <v>6</v>
      </c>
      <c r="AI18" s="159">
        <v>6</v>
      </c>
      <c r="AJ18" s="159">
        <v>7</v>
      </c>
      <c r="AK18" s="159">
        <v>10</v>
      </c>
      <c r="AL18" s="263"/>
      <c r="AM18" s="159">
        <v>6</v>
      </c>
      <c r="AN18" s="159">
        <v>6</v>
      </c>
      <c r="AO18" s="159">
        <v>5</v>
      </c>
      <c r="AP18" s="159">
        <v>5</v>
      </c>
      <c r="AQ18" s="271">
        <v>5</v>
      </c>
      <c r="AR18" s="271">
        <v>5.8</v>
      </c>
      <c r="AS18" s="271">
        <v>5.3</v>
      </c>
      <c r="AT18" s="271">
        <v>5.3</v>
      </c>
      <c r="AU18" s="271">
        <v>5.6</v>
      </c>
      <c r="AV18" s="271">
        <v>5.3</v>
      </c>
      <c r="AW18" s="271">
        <v>7.5</v>
      </c>
      <c r="AX18" s="271">
        <v>5.4</v>
      </c>
      <c r="AY18" s="271">
        <v>6</v>
      </c>
      <c r="AZ18" s="271">
        <v>6.2</v>
      </c>
      <c r="BA18" s="271">
        <v>5.9</v>
      </c>
      <c r="BB18" s="271">
        <v>5.2</v>
      </c>
      <c r="BC18" s="271">
        <v>5.6</v>
      </c>
      <c r="BD18" s="271">
        <v>4.8930617923014434</v>
      </c>
      <c r="BE18" s="271">
        <v>4.5657047950070861</v>
      </c>
      <c r="BF18" s="271">
        <f>[4]R17_CF_Parte2!$L$79*100</f>
        <v>4.77620480560073</v>
      </c>
      <c r="BG18" s="271">
        <f>[1]R17_CF_Parte2!$F$79*100</f>
        <v>4.2850654949417262</v>
      </c>
      <c r="BH18" s="271">
        <f>[6]R17_CF_Parte2!$L$79*100</f>
        <v>4.4350385317066676</v>
      </c>
      <c r="BI18" s="271">
        <f ca="1">[3]R17_CF_Parte2!$F$79*100</f>
        <v>6.3868834456279817</v>
      </c>
      <c r="BN18" s="19"/>
    </row>
    <row r="19" spans="2:66" ht="14.25" customHeight="1">
      <c r="B19" s="160" t="s">
        <v>28</v>
      </c>
      <c r="C19" s="160">
        <v>8</v>
      </c>
      <c r="D19" s="160">
        <v>10</v>
      </c>
      <c r="E19" s="160">
        <v>9</v>
      </c>
      <c r="F19" s="160">
        <v>8</v>
      </c>
      <c r="G19" s="160">
        <v>8</v>
      </c>
      <c r="H19" s="160">
        <v>10</v>
      </c>
      <c r="I19" s="160">
        <v>9</v>
      </c>
      <c r="J19" s="160">
        <v>9</v>
      </c>
      <c r="K19" s="160">
        <v>10</v>
      </c>
      <c r="L19" s="160">
        <v>10</v>
      </c>
      <c r="M19" s="160">
        <v>7</v>
      </c>
      <c r="N19" s="160">
        <v>7</v>
      </c>
      <c r="O19" s="160">
        <v>7</v>
      </c>
      <c r="P19" s="160">
        <v>7</v>
      </c>
      <c r="Q19" s="160">
        <v>6</v>
      </c>
      <c r="R19" s="160">
        <v>6</v>
      </c>
      <c r="S19" s="160">
        <v>7</v>
      </c>
      <c r="T19" s="160">
        <v>7</v>
      </c>
      <c r="U19" s="160">
        <v>6</v>
      </c>
      <c r="V19" s="160">
        <v>7</v>
      </c>
      <c r="W19" s="160">
        <v>7</v>
      </c>
      <c r="X19" s="264"/>
      <c r="Y19" s="160">
        <v>7</v>
      </c>
      <c r="Z19" s="160">
        <v>7</v>
      </c>
      <c r="AA19" s="160">
        <v>8</v>
      </c>
      <c r="AB19" s="160">
        <v>8</v>
      </c>
      <c r="AC19" s="160">
        <v>7</v>
      </c>
      <c r="AD19" s="160">
        <v>7</v>
      </c>
      <c r="AE19" s="160">
        <v>8</v>
      </c>
      <c r="AF19" s="160">
        <v>9</v>
      </c>
      <c r="AG19" s="160"/>
      <c r="AH19" s="160">
        <v>8</v>
      </c>
      <c r="AI19" s="160">
        <v>8</v>
      </c>
      <c r="AJ19" s="160">
        <v>8</v>
      </c>
      <c r="AK19" s="160">
        <v>10</v>
      </c>
      <c r="AL19" s="264"/>
      <c r="AM19" s="160">
        <v>8</v>
      </c>
      <c r="AN19" s="160">
        <v>8</v>
      </c>
      <c r="AO19" s="160">
        <v>8</v>
      </c>
      <c r="AP19" s="160">
        <v>7</v>
      </c>
      <c r="AQ19" s="270">
        <v>6</v>
      </c>
      <c r="AR19" s="270">
        <v>5.9</v>
      </c>
      <c r="AS19" s="270">
        <v>5.4</v>
      </c>
      <c r="AT19" s="270">
        <v>5.3</v>
      </c>
      <c r="AU19" s="270">
        <v>5.6</v>
      </c>
      <c r="AV19" s="270">
        <v>5.2</v>
      </c>
      <c r="AW19" s="270">
        <v>5.9</v>
      </c>
      <c r="AX19" s="270">
        <v>6.6</v>
      </c>
      <c r="AY19" s="270">
        <v>6.3</v>
      </c>
      <c r="AZ19" s="270">
        <v>7.4</v>
      </c>
      <c r="BA19" s="270">
        <v>5.9</v>
      </c>
      <c r="BB19" s="270">
        <v>5.3</v>
      </c>
      <c r="BC19" s="270">
        <v>4.8</v>
      </c>
      <c r="BD19" s="270">
        <v>4.0279708006086938</v>
      </c>
      <c r="BE19" s="270">
        <v>6.3726716579353759</v>
      </c>
      <c r="BF19" s="270">
        <f>[4]R17_CF_Parte2!$L$83*100</f>
        <v>5.0943408450124812</v>
      </c>
      <c r="BG19" s="270">
        <f>[1]R17_CF_Parte2!$F$83*100</f>
        <v>4.1401811871605156</v>
      </c>
      <c r="BH19" s="270">
        <f>[6]R17_CF_Parte2!$L$83*100</f>
        <v>3.452178522692765</v>
      </c>
      <c r="BI19" s="270">
        <f ca="1">[3]R17_CF_Parte2!$F$83*100</f>
        <v>3.9948780137615785</v>
      </c>
      <c r="BN19" s="19"/>
    </row>
    <row r="20" spans="2:66" ht="14.25" customHeight="1">
      <c r="B20" s="159" t="s">
        <v>53</v>
      </c>
      <c r="C20" s="159">
        <v>38</v>
      </c>
      <c r="D20" s="159">
        <v>31</v>
      </c>
      <c r="E20" s="159">
        <v>36</v>
      </c>
      <c r="F20" s="159">
        <v>39</v>
      </c>
      <c r="G20" s="159">
        <v>41</v>
      </c>
      <c r="H20" s="159">
        <v>40</v>
      </c>
      <c r="I20" s="159">
        <v>43</v>
      </c>
      <c r="J20" s="159">
        <v>40</v>
      </c>
      <c r="K20" s="159">
        <v>41</v>
      </c>
      <c r="L20" s="159">
        <v>39</v>
      </c>
      <c r="M20" s="159">
        <v>44</v>
      </c>
      <c r="N20" s="159">
        <v>42</v>
      </c>
      <c r="O20" s="159">
        <v>39</v>
      </c>
      <c r="P20" s="159">
        <v>40</v>
      </c>
      <c r="Q20" s="159">
        <v>41</v>
      </c>
      <c r="R20" s="159">
        <v>44</v>
      </c>
      <c r="S20" s="159">
        <v>40</v>
      </c>
      <c r="T20" s="159">
        <v>37</v>
      </c>
      <c r="U20" s="159">
        <v>39</v>
      </c>
      <c r="V20" s="159">
        <v>39</v>
      </c>
      <c r="W20" s="159">
        <v>39</v>
      </c>
      <c r="X20" s="263"/>
      <c r="Y20" s="159">
        <v>39</v>
      </c>
      <c r="Z20" s="159">
        <v>39</v>
      </c>
      <c r="AA20" s="159">
        <v>35</v>
      </c>
      <c r="AB20" s="159">
        <v>33</v>
      </c>
      <c r="AC20" s="159">
        <v>35</v>
      </c>
      <c r="AD20" s="159">
        <v>31</v>
      </c>
      <c r="AE20" s="159">
        <v>30</v>
      </c>
      <c r="AF20" s="159">
        <v>26</v>
      </c>
      <c r="AG20" s="159"/>
      <c r="AH20" s="159">
        <v>27</v>
      </c>
      <c r="AI20" s="159">
        <v>27</v>
      </c>
      <c r="AJ20" s="159">
        <v>29</v>
      </c>
      <c r="AK20" s="159">
        <v>16</v>
      </c>
      <c r="AL20" s="263"/>
      <c r="AM20" s="159">
        <v>29</v>
      </c>
      <c r="AN20" s="159">
        <v>28</v>
      </c>
      <c r="AO20" s="159">
        <v>29</v>
      </c>
      <c r="AP20" s="159">
        <v>32</v>
      </c>
      <c r="AQ20" s="271">
        <v>33</v>
      </c>
      <c r="AR20" s="271">
        <v>33.4</v>
      </c>
      <c r="AS20" s="271">
        <v>35.799999999999997</v>
      </c>
      <c r="AT20" s="271">
        <v>31.7</v>
      </c>
      <c r="AU20" s="271">
        <v>31.2</v>
      </c>
      <c r="AV20" s="271">
        <v>31</v>
      </c>
      <c r="AW20" s="271">
        <v>25.9</v>
      </c>
      <c r="AX20" s="271">
        <v>24.3</v>
      </c>
      <c r="AY20" s="271">
        <v>25.6</v>
      </c>
      <c r="AZ20" s="271">
        <v>27.2</v>
      </c>
      <c r="BA20" s="271">
        <v>34.700000000000003</v>
      </c>
      <c r="BB20" s="271">
        <v>39.1</v>
      </c>
      <c r="BC20" s="271">
        <v>43.6</v>
      </c>
      <c r="BD20" s="271">
        <v>50.365496694805955</v>
      </c>
      <c r="BE20" s="271">
        <v>47.38889027106034</v>
      </c>
      <c r="BF20" s="271">
        <f>[4]R17_CF_Parte2!$L$85*100</f>
        <v>38.333326921450151</v>
      </c>
      <c r="BG20" s="271">
        <f>[1]R17_CF_Parte2!$F$85*100</f>
        <v>37.842112586634869</v>
      </c>
      <c r="BH20" s="271">
        <f>[6]R17_CF_Parte2!$L$85*100</f>
        <v>42.024402493255018</v>
      </c>
      <c r="BI20" s="271">
        <f ca="1">[3]R17_CF_Parte2!$F$85*100</f>
        <v>36.595980763270816</v>
      </c>
      <c r="BN20" s="19"/>
    </row>
    <row r="21" spans="2:66" ht="14.25" customHeight="1">
      <c r="B21" s="160" t="s">
        <v>54</v>
      </c>
      <c r="C21" s="160">
        <v>26</v>
      </c>
      <c r="D21" s="160">
        <v>30</v>
      </c>
      <c r="E21" s="160">
        <v>27</v>
      </c>
      <c r="F21" s="160">
        <v>26</v>
      </c>
      <c r="G21" s="160">
        <v>24</v>
      </c>
      <c r="H21" s="160">
        <v>22</v>
      </c>
      <c r="I21" s="160">
        <v>22</v>
      </c>
      <c r="J21" s="160">
        <v>23</v>
      </c>
      <c r="K21" s="160">
        <v>21</v>
      </c>
      <c r="L21" s="160">
        <v>21</v>
      </c>
      <c r="M21" s="160">
        <v>22</v>
      </c>
      <c r="N21" s="160">
        <v>23</v>
      </c>
      <c r="O21" s="160">
        <v>24</v>
      </c>
      <c r="P21" s="160">
        <v>24</v>
      </c>
      <c r="Q21" s="160">
        <v>23</v>
      </c>
      <c r="R21" s="160">
        <v>23</v>
      </c>
      <c r="S21" s="160">
        <v>23</v>
      </c>
      <c r="T21" s="160">
        <v>24</v>
      </c>
      <c r="U21" s="160">
        <v>23</v>
      </c>
      <c r="V21" s="160">
        <v>23</v>
      </c>
      <c r="W21" s="160">
        <v>21</v>
      </c>
      <c r="X21" s="264"/>
      <c r="Y21" s="160">
        <v>21</v>
      </c>
      <c r="Z21" s="160">
        <v>21</v>
      </c>
      <c r="AA21" s="160">
        <v>21</v>
      </c>
      <c r="AB21" s="160">
        <v>22</v>
      </c>
      <c r="AC21" s="160">
        <v>22</v>
      </c>
      <c r="AD21" s="160">
        <v>25</v>
      </c>
      <c r="AE21" s="160">
        <v>26</v>
      </c>
      <c r="AF21" s="160">
        <v>25</v>
      </c>
      <c r="AG21" s="160"/>
      <c r="AH21" s="160">
        <v>28</v>
      </c>
      <c r="AI21" s="160">
        <v>27</v>
      </c>
      <c r="AJ21" s="160">
        <v>26</v>
      </c>
      <c r="AK21" s="160">
        <v>30</v>
      </c>
      <c r="AL21" s="264"/>
      <c r="AM21" s="160">
        <v>29</v>
      </c>
      <c r="AN21" s="160">
        <v>30</v>
      </c>
      <c r="AO21" s="160">
        <v>30</v>
      </c>
      <c r="AP21" s="160">
        <v>28</v>
      </c>
      <c r="AQ21" s="270">
        <v>29</v>
      </c>
      <c r="AR21" s="270">
        <v>28.8</v>
      </c>
      <c r="AS21" s="270">
        <v>29.1</v>
      </c>
      <c r="AT21" s="270">
        <v>31.1</v>
      </c>
      <c r="AU21" s="270">
        <v>31.3</v>
      </c>
      <c r="AV21" s="270">
        <v>31.8</v>
      </c>
      <c r="AW21" s="270">
        <v>31</v>
      </c>
      <c r="AX21" s="270">
        <v>33.1</v>
      </c>
      <c r="AY21" s="270">
        <v>31.3</v>
      </c>
      <c r="AZ21" s="270">
        <v>31.1</v>
      </c>
      <c r="BA21" s="270">
        <v>27.3</v>
      </c>
      <c r="BB21" s="270">
        <v>24.1</v>
      </c>
      <c r="BC21" s="270">
        <v>22</v>
      </c>
      <c r="BD21" s="270">
        <v>19.112513733725976</v>
      </c>
      <c r="BE21" s="270">
        <v>19.932990003207742</v>
      </c>
      <c r="BF21" s="270">
        <f>[4]R17_CF_Parte2!$L$93*100</f>
        <v>26.620572045407524</v>
      </c>
      <c r="BG21" s="270">
        <f>[1]R17_CF_Parte2!$F$93*100</f>
        <v>31.17619663987027</v>
      </c>
      <c r="BH21" s="270">
        <f>[6]R17_CF_Parte2!$L$93*100</f>
        <v>28.998030702722925</v>
      </c>
      <c r="BI21" s="270">
        <f ca="1">[3]R17_CF_Parte2!$F$93*100</f>
        <v>30.401671776255228</v>
      </c>
      <c r="BN21" s="19"/>
    </row>
    <row r="22" spans="2:66" ht="14.25" customHeight="1">
      <c r="B22" s="159" t="s">
        <v>55</v>
      </c>
      <c r="C22" s="159">
        <v>6</v>
      </c>
      <c r="D22" s="159">
        <v>6</v>
      </c>
      <c r="E22" s="159">
        <v>7</v>
      </c>
      <c r="F22" s="159">
        <v>7</v>
      </c>
      <c r="G22" s="159">
        <v>7</v>
      </c>
      <c r="H22" s="159">
        <v>7</v>
      </c>
      <c r="I22" s="159">
        <v>7</v>
      </c>
      <c r="J22" s="159">
        <v>7</v>
      </c>
      <c r="K22" s="159">
        <v>7</v>
      </c>
      <c r="L22" s="159">
        <v>7</v>
      </c>
      <c r="M22" s="159">
        <v>7</v>
      </c>
      <c r="N22" s="159">
        <v>7</v>
      </c>
      <c r="O22" s="159">
        <v>6</v>
      </c>
      <c r="P22" s="159">
        <v>6</v>
      </c>
      <c r="Q22" s="159">
        <v>6</v>
      </c>
      <c r="R22" s="159">
        <v>6</v>
      </c>
      <c r="S22" s="159">
        <v>6</v>
      </c>
      <c r="T22" s="159">
        <v>8</v>
      </c>
      <c r="U22" s="159">
        <v>8</v>
      </c>
      <c r="V22" s="159">
        <v>7</v>
      </c>
      <c r="W22" s="159">
        <v>7</v>
      </c>
      <c r="X22" s="263"/>
      <c r="Y22" s="159">
        <v>7</v>
      </c>
      <c r="Z22" s="159">
        <v>7</v>
      </c>
      <c r="AA22" s="159">
        <v>7</v>
      </c>
      <c r="AB22" s="159">
        <v>7</v>
      </c>
      <c r="AC22" s="159">
        <v>8</v>
      </c>
      <c r="AD22" s="159">
        <v>8</v>
      </c>
      <c r="AE22" s="159">
        <v>9</v>
      </c>
      <c r="AF22" s="159">
        <v>9</v>
      </c>
      <c r="AG22" s="159"/>
      <c r="AH22" s="159">
        <v>9</v>
      </c>
      <c r="AI22" s="159">
        <v>10</v>
      </c>
      <c r="AJ22" s="159">
        <v>9</v>
      </c>
      <c r="AK22" s="159">
        <v>9</v>
      </c>
      <c r="AL22" s="263"/>
      <c r="AM22" s="159">
        <v>8</v>
      </c>
      <c r="AN22" s="159">
        <v>8</v>
      </c>
      <c r="AO22" s="159">
        <v>8</v>
      </c>
      <c r="AP22" s="159">
        <v>9</v>
      </c>
      <c r="AQ22" s="271">
        <v>10</v>
      </c>
      <c r="AR22" s="271">
        <v>8.8000000000000007</v>
      </c>
      <c r="AS22" s="271">
        <v>8.6999999999999993</v>
      </c>
      <c r="AT22" s="271">
        <v>9.4</v>
      </c>
      <c r="AU22" s="271">
        <v>9.6</v>
      </c>
      <c r="AV22" s="271">
        <v>10</v>
      </c>
      <c r="AW22" s="271">
        <v>10.3</v>
      </c>
      <c r="AX22" s="271">
        <v>10.4</v>
      </c>
      <c r="AY22" s="271">
        <v>11.6</v>
      </c>
      <c r="AZ22" s="271">
        <v>10</v>
      </c>
      <c r="BA22" s="271">
        <v>10.3</v>
      </c>
      <c r="BB22" s="271">
        <v>9.5</v>
      </c>
      <c r="BC22" s="271">
        <v>8.4</v>
      </c>
      <c r="BD22" s="271">
        <v>8.2598457343467278</v>
      </c>
      <c r="BE22" s="271">
        <v>8.2133161618593942</v>
      </c>
      <c r="BF22" s="271">
        <f>[4]R17_CF_Parte2!$L$102*100</f>
        <v>8.9582288993195167</v>
      </c>
      <c r="BG22" s="271">
        <f>[1]R17_CF_Parte2!$F$102*100</f>
        <v>8.7716342200618058</v>
      </c>
      <c r="BH22" s="271">
        <f>[6]R17_CF_Parte2!$L$102*100</f>
        <v>8.4499172418584774</v>
      </c>
      <c r="BI22" s="271">
        <f ca="1">[3]R17_CF_Parte2!$F$102*100</f>
        <v>8.4777578110569554</v>
      </c>
      <c r="BN22" s="19"/>
    </row>
    <row r="23" spans="2:66" ht="5.25" customHeight="1"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35"/>
      <c r="Y23" s="57"/>
      <c r="Z23" s="57"/>
      <c r="AA23" s="57"/>
      <c r="AB23" s="57"/>
      <c r="AC23" s="57"/>
      <c r="AD23" s="57"/>
      <c r="AE23" s="57"/>
      <c r="AF23" s="57"/>
      <c r="AG23" s="44"/>
      <c r="AH23" s="57"/>
      <c r="AI23" s="57"/>
      <c r="AJ23" s="57"/>
      <c r="AK23" s="57"/>
      <c r="AL23" s="35"/>
      <c r="AM23" s="57"/>
      <c r="AN23" s="57"/>
      <c r="AO23" s="57"/>
      <c r="AP23" s="57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N23" s="19"/>
    </row>
    <row r="24" spans="2:66" ht="14.25" customHeight="1">
      <c r="B24" s="153" t="s">
        <v>85</v>
      </c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3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3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N24" s="19"/>
    </row>
    <row r="25" spans="2:66" ht="14.25" customHeight="1">
      <c r="B25" s="160" t="s">
        <v>51</v>
      </c>
      <c r="C25" s="160">
        <v>21</v>
      </c>
      <c r="D25" s="160">
        <v>21</v>
      </c>
      <c r="E25" s="160">
        <v>21</v>
      </c>
      <c r="F25" s="160">
        <v>16</v>
      </c>
      <c r="G25" s="160">
        <v>18</v>
      </c>
      <c r="H25" s="160">
        <v>13</v>
      </c>
      <c r="I25" s="160">
        <v>13</v>
      </c>
      <c r="J25" s="160">
        <v>14</v>
      </c>
      <c r="K25" s="160">
        <v>15</v>
      </c>
      <c r="L25" s="160">
        <v>11</v>
      </c>
      <c r="M25" s="160">
        <v>12</v>
      </c>
      <c r="N25" s="160">
        <v>12</v>
      </c>
      <c r="O25" s="160">
        <v>12</v>
      </c>
      <c r="P25" s="160">
        <v>11</v>
      </c>
      <c r="Q25" s="160">
        <v>13</v>
      </c>
      <c r="R25" s="160">
        <v>14</v>
      </c>
      <c r="S25" s="160">
        <v>16</v>
      </c>
      <c r="T25" s="160">
        <v>14</v>
      </c>
      <c r="U25" s="160">
        <v>11</v>
      </c>
      <c r="V25" s="160">
        <v>16</v>
      </c>
      <c r="W25" s="160">
        <v>17</v>
      </c>
      <c r="X25" s="264"/>
      <c r="Y25" s="160">
        <v>16</v>
      </c>
      <c r="Z25" s="160">
        <v>15</v>
      </c>
      <c r="AA25" s="160">
        <v>17</v>
      </c>
      <c r="AB25" s="160">
        <v>18</v>
      </c>
      <c r="AC25" s="160">
        <v>19</v>
      </c>
      <c r="AD25" s="160">
        <v>20</v>
      </c>
      <c r="AE25" s="160">
        <v>20</v>
      </c>
      <c r="AF25" s="160">
        <v>23</v>
      </c>
      <c r="AG25" s="160"/>
      <c r="AH25" s="160">
        <v>23</v>
      </c>
      <c r="AI25" s="160">
        <v>20</v>
      </c>
      <c r="AJ25" s="160">
        <v>23</v>
      </c>
      <c r="AK25" s="160">
        <v>22</v>
      </c>
      <c r="AL25" s="264"/>
      <c r="AM25" s="160">
        <v>18</v>
      </c>
      <c r="AN25" s="160">
        <v>18</v>
      </c>
      <c r="AO25" s="160">
        <v>18</v>
      </c>
      <c r="AP25" s="160">
        <v>18</v>
      </c>
      <c r="AQ25" s="270">
        <v>16</v>
      </c>
      <c r="AR25" s="270">
        <v>15.2</v>
      </c>
      <c r="AS25" s="270">
        <v>15.9</v>
      </c>
      <c r="AT25" s="270">
        <v>17.7</v>
      </c>
      <c r="AU25" s="270">
        <v>15.7</v>
      </c>
      <c r="AV25" s="270">
        <v>17.100000000000001</v>
      </c>
      <c r="AW25" s="270">
        <v>18.899999999999999</v>
      </c>
      <c r="AX25" s="270">
        <v>20.3</v>
      </c>
      <c r="AY25" s="270">
        <v>16.8</v>
      </c>
      <c r="AZ25" s="270">
        <v>18.899999999999999</v>
      </c>
      <c r="BA25" s="270">
        <v>18.2</v>
      </c>
      <c r="BB25" s="270">
        <v>17.8</v>
      </c>
      <c r="BC25" s="270">
        <v>14.5</v>
      </c>
      <c r="BD25" s="270">
        <v>13.938105244821896</v>
      </c>
      <c r="BE25" s="270">
        <v>13.504599127680498</v>
      </c>
      <c r="BF25" s="270">
        <f>[4]R17_CF_Parte2!$M$68*100</f>
        <v>13.827143919063298</v>
      </c>
      <c r="BG25" s="270">
        <f>[1]R17_CF_Parte2!$G$68*100</f>
        <v>13.698022947514946</v>
      </c>
      <c r="BH25" s="270">
        <f>[6]R17_CF_Parte2!$M$68*100</f>
        <v>13.981086264037385</v>
      </c>
      <c r="BI25" s="270">
        <f ca="1">[3]R17_CF_Parte2!$G$68*100</f>
        <v>15.461202743304506</v>
      </c>
      <c r="BN25" s="19"/>
    </row>
    <row r="26" spans="2:66" ht="14.25" customHeight="1">
      <c r="B26" s="159" t="s">
        <v>52</v>
      </c>
      <c r="C26" s="159">
        <v>7</v>
      </c>
      <c r="D26" s="159">
        <v>5</v>
      </c>
      <c r="E26" s="159">
        <v>5</v>
      </c>
      <c r="F26" s="159">
        <v>4</v>
      </c>
      <c r="G26" s="159">
        <v>5</v>
      </c>
      <c r="H26" s="159">
        <v>3</v>
      </c>
      <c r="I26" s="159">
        <v>4</v>
      </c>
      <c r="J26" s="159">
        <v>5</v>
      </c>
      <c r="K26" s="159">
        <v>4</v>
      </c>
      <c r="L26" s="159">
        <v>3</v>
      </c>
      <c r="M26" s="159">
        <v>4</v>
      </c>
      <c r="N26" s="159">
        <v>4</v>
      </c>
      <c r="O26" s="159">
        <v>5</v>
      </c>
      <c r="P26" s="159">
        <v>4</v>
      </c>
      <c r="Q26" s="159">
        <v>4</v>
      </c>
      <c r="R26" s="159">
        <v>5</v>
      </c>
      <c r="S26" s="159">
        <v>7</v>
      </c>
      <c r="T26" s="159">
        <v>7</v>
      </c>
      <c r="U26" s="159">
        <v>7</v>
      </c>
      <c r="V26" s="159">
        <v>9</v>
      </c>
      <c r="W26" s="159">
        <v>9</v>
      </c>
      <c r="X26" s="263"/>
      <c r="Y26" s="159">
        <v>3</v>
      </c>
      <c r="Z26" s="159">
        <v>5</v>
      </c>
      <c r="AA26" s="159">
        <v>7</v>
      </c>
      <c r="AB26" s="159">
        <v>8</v>
      </c>
      <c r="AC26" s="159">
        <v>6</v>
      </c>
      <c r="AD26" s="159">
        <v>6</v>
      </c>
      <c r="AE26" s="159">
        <v>8</v>
      </c>
      <c r="AF26" s="159">
        <v>10</v>
      </c>
      <c r="AG26" s="159"/>
      <c r="AH26" s="159">
        <v>9</v>
      </c>
      <c r="AI26" s="159">
        <v>8</v>
      </c>
      <c r="AJ26" s="159">
        <v>8</v>
      </c>
      <c r="AK26" s="159">
        <v>9</v>
      </c>
      <c r="AL26" s="263"/>
      <c r="AM26" s="159">
        <v>7</v>
      </c>
      <c r="AN26" s="159">
        <v>7</v>
      </c>
      <c r="AO26" s="159">
        <v>7</v>
      </c>
      <c r="AP26" s="159">
        <v>8</v>
      </c>
      <c r="AQ26" s="271">
        <v>6</v>
      </c>
      <c r="AR26" s="271">
        <v>6.4</v>
      </c>
      <c r="AS26" s="271">
        <v>6.5</v>
      </c>
      <c r="AT26" s="271">
        <v>8</v>
      </c>
      <c r="AU26" s="271">
        <v>6.8</v>
      </c>
      <c r="AV26" s="271">
        <v>8.1</v>
      </c>
      <c r="AW26" s="271">
        <v>8.8000000000000007</v>
      </c>
      <c r="AX26" s="271">
        <v>8.5</v>
      </c>
      <c r="AY26" s="271">
        <v>7</v>
      </c>
      <c r="AZ26" s="271">
        <v>8.1</v>
      </c>
      <c r="BA26" s="271">
        <v>8.1</v>
      </c>
      <c r="BB26" s="271">
        <v>7.2</v>
      </c>
      <c r="BC26" s="271">
        <v>5.7</v>
      </c>
      <c r="BD26" s="271">
        <v>5.8652664125111356</v>
      </c>
      <c r="BE26" s="271">
        <v>6.4502596797525253</v>
      </c>
      <c r="BF26" s="271">
        <f>[4]R17_CF_Parte2!$M$79*100</f>
        <v>5.5940925928872796</v>
      </c>
      <c r="BG26" s="271">
        <f>[1]R17_CF_Parte2!$G$79*100</f>
        <v>5.788951146480902</v>
      </c>
      <c r="BH26" s="271">
        <f>[6]R17_CF_Parte2!$M$79*100</f>
        <v>6.7556334618704739</v>
      </c>
      <c r="BI26" s="271">
        <f ca="1">[3]R17_CF_Parte2!$G$79*100</f>
        <v>8.3471806004714271</v>
      </c>
      <c r="BN26" s="19"/>
    </row>
    <row r="27" spans="2:66" ht="14.25" customHeight="1">
      <c r="B27" s="160" t="s">
        <v>28</v>
      </c>
      <c r="C27" s="160">
        <v>6</v>
      </c>
      <c r="D27" s="160">
        <v>6</v>
      </c>
      <c r="E27" s="160">
        <v>6</v>
      </c>
      <c r="F27" s="160">
        <v>5</v>
      </c>
      <c r="G27" s="160">
        <v>5</v>
      </c>
      <c r="H27" s="160">
        <v>4</v>
      </c>
      <c r="I27" s="160">
        <v>3</v>
      </c>
      <c r="J27" s="160">
        <v>4</v>
      </c>
      <c r="K27" s="160">
        <v>4</v>
      </c>
      <c r="L27" s="160">
        <v>3</v>
      </c>
      <c r="M27" s="160">
        <v>3</v>
      </c>
      <c r="N27" s="160">
        <v>3</v>
      </c>
      <c r="O27" s="160">
        <v>3</v>
      </c>
      <c r="P27" s="160">
        <v>3</v>
      </c>
      <c r="Q27" s="160">
        <v>3</v>
      </c>
      <c r="R27" s="160">
        <v>3</v>
      </c>
      <c r="S27" s="160">
        <v>4</v>
      </c>
      <c r="T27" s="160">
        <v>3</v>
      </c>
      <c r="U27" s="160">
        <v>3</v>
      </c>
      <c r="V27" s="160">
        <v>3</v>
      </c>
      <c r="W27" s="160">
        <v>5</v>
      </c>
      <c r="X27" s="264"/>
      <c r="Y27" s="160">
        <v>4</v>
      </c>
      <c r="Z27" s="160">
        <v>3</v>
      </c>
      <c r="AA27" s="160">
        <v>3</v>
      </c>
      <c r="AB27" s="160">
        <v>4</v>
      </c>
      <c r="AC27" s="160">
        <v>4</v>
      </c>
      <c r="AD27" s="160">
        <v>4</v>
      </c>
      <c r="AE27" s="160">
        <v>4</v>
      </c>
      <c r="AF27" s="160">
        <v>5</v>
      </c>
      <c r="AG27" s="160"/>
      <c r="AH27" s="160">
        <v>5</v>
      </c>
      <c r="AI27" s="160">
        <v>4</v>
      </c>
      <c r="AJ27" s="160">
        <v>5</v>
      </c>
      <c r="AK27" s="160">
        <v>5</v>
      </c>
      <c r="AL27" s="264"/>
      <c r="AM27" s="160">
        <v>4</v>
      </c>
      <c r="AN27" s="160">
        <v>4</v>
      </c>
      <c r="AO27" s="160">
        <v>4</v>
      </c>
      <c r="AP27" s="160">
        <v>3</v>
      </c>
      <c r="AQ27" s="270">
        <v>4</v>
      </c>
      <c r="AR27" s="270">
        <v>2.2000000000000002</v>
      </c>
      <c r="AS27" s="270">
        <v>2.2000000000000002</v>
      </c>
      <c r="AT27" s="270">
        <v>2.5</v>
      </c>
      <c r="AU27" s="270">
        <v>2.5</v>
      </c>
      <c r="AV27" s="270">
        <v>2.7</v>
      </c>
      <c r="AW27" s="270">
        <v>3.1</v>
      </c>
      <c r="AX27" s="270">
        <v>3.3</v>
      </c>
      <c r="AY27" s="270">
        <v>2.7</v>
      </c>
      <c r="AZ27" s="270">
        <v>3.5</v>
      </c>
      <c r="BA27" s="270">
        <v>3.2</v>
      </c>
      <c r="BB27" s="270">
        <v>2.9</v>
      </c>
      <c r="BC27" s="270">
        <v>1.9</v>
      </c>
      <c r="BD27" s="270">
        <v>1.8157247069810714</v>
      </c>
      <c r="BE27" s="270">
        <v>1.6468875410479884</v>
      </c>
      <c r="BF27" s="270">
        <f>[4]R17_CF_Parte2!$M$83*100</f>
        <v>1.7010159154526625</v>
      </c>
      <c r="BG27" s="270">
        <f>[1]R17_CF_Parte2!$G$83*100</f>
        <v>1.7919899694130246</v>
      </c>
      <c r="BH27" s="270">
        <f>[6]R17_CF_Parte2!$M$83*100</f>
        <v>1.8172206652450771</v>
      </c>
      <c r="BI27" s="270">
        <f ca="1">[3]R17_CF_Parte2!$G$83*100</f>
        <v>2.105074644666149</v>
      </c>
      <c r="BN27" s="19"/>
    </row>
    <row r="28" spans="2:66" ht="14.25" customHeight="1">
      <c r="B28" s="159" t="s">
        <v>53</v>
      </c>
      <c r="C28" s="159">
        <v>48</v>
      </c>
      <c r="D28" s="159">
        <v>47</v>
      </c>
      <c r="E28" s="159">
        <v>47</v>
      </c>
      <c r="F28" s="159">
        <v>55</v>
      </c>
      <c r="G28" s="159">
        <v>53</v>
      </c>
      <c r="H28" s="159">
        <v>62</v>
      </c>
      <c r="I28" s="159">
        <v>64</v>
      </c>
      <c r="J28" s="159">
        <v>60</v>
      </c>
      <c r="K28" s="159">
        <v>60</v>
      </c>
      <c r="L28" s="159">
        <v>68</v>
      </c>
      <c r="M28" s="159">
        <v>66</v>
      </c>
      <c r="N28" s="159">
        <v>66</v>
      </c>
      <c r="O28" s="159">
        <v>66</v>
      </c>
      <c r="P28" s="159">
        <v>69</v>
      </c>
      <c r="Q28" s="159">
        <v>66</v>
      </c>
      <c r="R28" s="159">
        <v>62</v>
      </c>
      <c r="S28" s="159">
        <v>58</v>
      </c>
      <c r="T28" s="159">
        <v>61</v>
      </c>
      <c r="U28" s="159">
        <v>64</v>
      </c>
      <c r="V28" s="159">
        <v>57</v>
      </c>
      <c r="W28" s="159">
        <v>56</v>
      </c>
      <c r="X28" s="263"/>
      <c r="Y28" s="159">
        <v>62</v>
      </c>
      <c r="Z28" s="159">
        <v>63</v>
      </c>
      <c r="AA28" s="159">
        <v>58</v>
      </c>
      <c r="AB28" s="159">
        <v>55</v>
      </c>
      <c r="AC28" s="159">
        <v>54</v>
      </c>
      <c r="AD28" s="159">
        <v>53</v>
      </c>
      <c r="AE28" s="159">
        <v>50</v>
      </c>
      <c r="AF28" s="159">
        <v>43</v>
      </c>
      <c r="AG28" s="159"/>
      <c r="AH28" s="159">
        <v>44</v>
      </c>
      <c r="AI28" s="159">
        <v>51</v>
      </c>
      <c r="AJ28" s="159">
        <v>47</v>
      </c>
      <c r="AK28" s="159">
        <v>46</v>
      </c>
      <c r="AL28" s="263"/>
      <c r="AM28" s="159">
        <v>55</v>
      </c>
      <c r="AN28" s="159">
        <v>55</v>
      </c>
      <c r="AO28" s="159">
        <v>55</v>
      </c>
      <c r="AP28" s="159">
        <v>54</v>
      </c>
      <c r="AQ28" s="271">
        <v>57</v>
      </c>
      <c r="AR28" s="271">
        <v>60</v>
      </c>
      <c r="AS28" s="271">
        <v>57.5</v>
      </c>
      <c r="AT28" s="271">
        <v>53.5</v>
      </c>
      <c r="AU28" s="271">
        <v>56.5</v>
      </c>
      <c r="AV28" s="271">
        <v>53.6</v>
      </c>
      <c r="AW28" s="271">
        <v>50.1</v>
      </c>
      <c r="AX28" s="271">
        <v>47.7</v>
      </c>
      <c r="AY28" s="271">
        <v>54.6</v>
      </c>
      <c r="AZ28" s="271">
        <v>51.1</v>
      </c>
      <c r="BA28" s="271">
        <v>52.6</v>
      </c>
      <c r="BB28" s="271">
        <v>55.5</v>
      </c>
      <c r="BC28" s="271">
        <v>64.8</v>
      </c>
      <c r="BD28" s="271">
        <v>65.640326614251748</v>
      </c>
      <c r="BE28" s="271">
        <v>65.948173199957495</v>
      </c>
      <c r="BF28" s="271">
        <f>[4]R17_CF_Parte2!$M$85*100</f>
        <v>65.594516798725508</v>
      </c>
      <c r="BG28" s="271">
        <f>[1]R17_CF_Parte2!$G$85*100</f>
        <v>64.747391340989921</v>
      </c>
      <c r="BH28" s="271">
        <f>[6]R17_CF_Parte2!$M$85*100</f>
        <v>62.581377863742972</v>
      </c>
      <c r="BI28" s="271">
        <f ca="1">[3]R17_CF_Parte2!$G$85*100</f>
        <v>56.632183439776377</v>
      </c>
      <c r="BN28" s="19"/>
    </row>
    <row r="29" spans="2:66" ht="14.25" customHeight="1">
      <c r="B29" s="160" t="s">
        <v>54</v>
      </c>
      <c r="C29" s="160">
        <v>9</v>
      </c>
      <c r="D29" s="160">
        <v>11</v>
      </c>
      <c r="E29" s="160">
        <v>10</v>
      </c>
      <c r="F29" s="160">
        <v>9</v>
      </c>
      <c r="G29" s="160">
        <v>9</v>
      </c>
      <c r="H29" s="160">
        <v>9</v>
      </c>
      <c r="I29" s="160">
        <v>8</v>
      </c>
      <c r="J29" s="160">
        <v>8</v>
      </c>
      <c r="K29" s="160">
        <v>8</v>
      </c>
      <c r="L29" s="160">
        <v>7</v>
      </c>
      <c r="M29" s="160">
        <v>7</v>
      </c>
      <c r="N29" s="160">
        <v>7</v>
      </c>
      <c r="O29" s="160">
        <v>6</v>
      </c>
      <c r="P29" s="160">
        <v>5</v>
      </c>
      <c r="Q29" s="160">
        <v>6</v>
      </c>
      <c r="R29" s="160">
        <v>7</v>
      </c>
      <c r="S29" s="160">
        <v>7</v>
      </c>
      <c r="T29" s="160">
        <v>7</v>
      </c>
      <c r="U29" s="160">
        <v>7</v>
      </c>
      <c r="V29" s="160">
        <v>7</v>
      </c>
      <c r="W29" s="160">
        <v>6</v>
      </c>
      <c r="X29" s="264"/>
      <c r="Y29" s="160">
        <v>8</v>
      </c>
      <c r="Z29" s="160">
        <v>7</v>
      </c>
      <c r="AA29" s="160">
        <v>7</v>
      </c>
      <c r="AB29" s="160">
        <v>7</v>
      </c>
      <c r="AC29" s="160">
        <v>8</v>
      </c>
      <c r="AD29" s="160">
        <v>7</v>
      </c>
      <c r="AE29" s="160">
        <v>8</v>
      </c>
      <c r="AF29" s="160">
        <v>8</v>
      </c>
      <c r="AG29" s="160"/>
      <c r="AH29" s="160">
        <v>8</v>
      </c>
      <c r="AI29" s="160">
        <v>7</v>
      </c>
      <c r="AJ29" s="160">
        <v>7</v>
      </c>
      <c r="AK29" s="160">
        <v>8</v>
      </c>
      <c r="AL29" s="264"/>
      <c r="AM29" s="160">
        <v>8</v>
      </c>
      <c r="AN29" s="160">
        <v>7</v>
      </c>
      <c r="AO29" s="160">
        <v>7</v>
      </c>
      <c r="AP29" s="160">
        <v>7</v>
      </c>
      <c r="AQ29" s="270">
        <v>7</v>
      </c>
      <c r="AR29" s="270">
        <v>5.8</v>
      </c>
      <c r="AS29" s="270">
        <v>6.6</v>
      </c>
      <c r="AT29" s="270">
        <v>6.7</v>
      </c>
      <c r="AU29" s="270">
        <v>6.7</v>
      </c>
      <c r="AV29" s="270">
        <v>6</v>
      </c>
      <c r="AW29" s="270">
        <v>6.7</v>
      </c>
      <c r="AX29" s="270">
        <v>6.9</v>
      </c>
      <c r="AY29" s="270">
        <v>6.4</v>
      </c>
      <c r="AZ29" s="270">
        <v>6.1</v>
      </c>
      <c r="BA29" s="270">
        <v>6.1</v>
      </c>
      <c r="BB29" s="270">
        <v>5.9</v>
      </c>
      <c r="BC29" s="270">
        <v>4.3</v>
      </c>
      <c r="BD29" s="270">
        <v>4.7148405870274539</v>
      </c>
      <c r="BE29" s="270">
        <v>5.1564323859485919</v>
      </c>
      <c r="BF29" s="270">
        <f>[4]R17_CF_Parte2!$M$93*100</f>
        <v>5.3647504771286183</v>
      </c>
      <c r="BG29" s="270">
        <f>[1]R17_CF_Parte2!$G$93*100</f>
        <v>5.4748435445772659</v>
      </c>
      <c r="BH29" s="270">
        <f>[6]R17_CF_Parte2!$M$93*100</f>
        <v>6.055104337198328</v>
      </c>
      <c r="BI29" s="270">
        <f ca="1">[3]R17_CF_Parte2!$G$93*100</f>
        <v>7.5733761842068912</v>
      </c>
      <c r="BN29" s="19"/>
    </row>
    <row r="30" spans="2:66" ht="14.25" customHeight="1">
      <c r="B30" s="159" t="s">
        <v>55</v>
      </c>
      <c r="C30" s="159">
        <v>9</v>
      </c>
      <c r="D30" s="159">
        <v>10</v>
      </c>
      <c r="E30" s="159">
        <v>11</v>
      </c>
      <c r="F30" s="159">
        <v>11</v>
      </c>
      <c r="G30" s="159">
        <v>10</v>
      </c>
      <c r="H30" s="159">
        <v>9</v>
      </c>
      <c r="I30" s="159">
        <v>8</v>
      </c>
      <c r="J30" s="159">
        <v>9</v>
      </c>
      <c r="K30" s="159">
        <v>9</v>
      </c>
      <c r="L30" s="159">
        <v>8</v>
      </c>
      <c r="M30" s="159">
        <v>8</v>
      </c>
      <c r="N30" s="159">
        <v>8</v>
      </c>
      <c r="O30" s="159">
        <v>8</v>
      </c>
      <c r="P30" s="159">
        <v>8</v>
      </c>
      <c r="Q30" s="159">
        <v>8</v>
      </c>
      <c r="R30" s="159">
        <v>9</v>
      </c>
      <c r="S30" s="159">
        <v>8</v>
      </c>
      <c r="T30" s="159">
        <v>8</v>
      </c>
      <c r="U30" s="159">
        <v>8</v>
      </c>
      <c r="V30" s="159">
        <v>8</v>
      </c>
      <c r="W30" s="159">
        <v>7</v>
      </c>
      <c r="X30" s="263"/>
      <c r="Y30" s="159">
        <v>7</v>
      </c>
      <c r="Z30" s="159">
        <v>7</v>
      </c>
      <c r="AA30" s="159">
        <v>8</v>
      </c>
      <c r="AB30" s="159">
        <v>8</v>
      </c>
      <c r="AC30" s="159">
        <v>9</v>
      </c>
      <c r="AD30" s="159">
        <v>10</v>
      </c>
      <c r="AE30" s="159">
        <v>10</v>
      </c>
      <c r="AF30" s="159">
        <v>11</v>
      </c>
      <c r="AG30" s="159"/>
      <c r="AH30" s="159">
        <v>11</v>
      </c>
      <c r="AI30" s="159">
        <v>10</v>
      </c>
      <c r="AJ30" s="159">
        <v>10</v>
      </c>
      <c r="AK30" s="159">
        <v>10</v>
      </c>
      <c r="AL30" s="263"/>
      <c r="AM30" s="159">
        <v>9</v>
      </c>
      <c r="AN30" s="159">
        <v>9</v>
      </c>
      <c r="AO30" s="159">
        <v>9</v>
      </c>
      <c r="AP30" s="159">
        <v>10</v>
      </c>
      <c r="AQ30" s="271">
        <v>10</v>
      </c>
      <c r="AR30" s="271">
        <v>10.4</v>
      </c>
      <c r="AS30" s="271">
        <v>11.4</v>
      </c>
      <c r="AT30" s="271">
        <v>11.6</v>
      </c>
      <c r="AU30" s="271">
        <v>11.7</v>
      </c>
      <c r="AV30" s="271">
        <v>12.5</v>
      </c>
      <c r="AW30" s="271">
        <v>12.5</v>
      </c>
      <c r="AX30" s="271">
        <v>13.2</v>
      </c>
      <c r="AY30" s="271">
        <v>12.5</v>
      </c>
      <c r="AZ30" s="271">
        <v>12.3</v>
      </c>
      <c r="BA30" s="271">
        <v>11.7</v>
      </c>
      <c r="BB30" s="271">
        <v>10.7</v>
      </c>
      <c r="BC30" s="271">
        <v>8.8000000000000007</v>
      </c>
      <c r="BD30" s="271">
        <v>8.0257364344066886</v>
      </c>
      <c r="BE30" s="271">
        <v>7.2936480656128966</v>
      </c>
      <c r="BF30" s="271">
        <f>[4]R17_CF_Parte2!$M$102*100</f>
        <v>7.9184802967426249</v>
      </c>
      <c r="BG30" s="271">
        <f>[1]R17_CF_Parte2!$G$102*100</f>
        <v>8.4988010510239391</v>
      </c>
      <c r="BH30" s="271">
        <f>[6]R17_CF_Parte2!$M$102*100</f>
        <v>8.8095774079057474</v>
      </c>
      <c r="BI30" s="271">
        <f ca="1">[3]R17_CF_Parte2!$G$102*100</f>
        <v>9.8809823875746474</v>
      </c>
      <c r="BN30" s="19"/>
    </row>
    <row r="31" spans="2:66" ht="5.25" customHeight="1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35"/>
      <c r="Y31" s="57"/>
      <c r="Z31" s="57"/>
      <c r="AA31" s="57"/>
      <c r="AB31" s="57"/>
      <c r="AC31" s="57"/>
      <c r="AD31" s="57"/>
      <c r="AE31" s="57"/>
      <c r="AF31" s="57"/>
      <c r="AG31" s="44"/>
      <c r="AH31" s="57"/>
      <c r="AI31" s="57"/>
      <c r="AJ31" s="57"/>
      <c r="AK31" s="57"/>
      <c r="AL31" s="35"/>
      <c r="AM31" s="57"/>
      <c r="AN31" s="57"/>
      <c r="AO31" s="57"/>
      <c r="AP31" s="57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N31" s="19"/>
    </row>
    <row r="32" spans="2:66" ht="14.25" customHeight="1">
      <c r="B32" s="153" t="s">
        <v>148</v>
      </c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3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3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N32" s="19"/>
    </row>
    <row r="33" spans="2:66" ht="14.25" customHeight="1">
      <c r="B33" s="160" t="s">
        <v>51</v>
      </c>
      <c r="C33" s="160">
        <v>15</v>
      </c>
      <c r="D33" s="160">
        <v>13</v>
      </c>
      <c r="E33" s="160">
        <v>13</v>
      </c>
      <c r="F33" s="160">
        <v>12</v>
      </c>
      <c r="G33" s="160">
        <v>12</v>
      </c>
      <c r="H33" s="160">
        <v>12</v>
      </c>
      <c r="I33" s="160">
        <v>12</v>
      </c>
      <c r="J33" s="160">
        <v>12</v>
      </c>
      <c r="K33" s="160">
        <v>11</v>
      </c>
      <c r="L33" s="160">
        <v>11</v>
      </c>
      <c r="M33" s="160">
        <v>10</v>
      </c>
      <c r="N33" s="160">
        <v>12</v>
      </c>
      <c r="O33" s="160">
        <v>12</v>
      </c>
      <c r="P33" s="160">
        <v>11</v>
      </c>
      <c r="Q33" s="160">
        <v>10</v>
      </c>
      <c r="R33" s="160">
        <v>12</v>
      </c>
      <c r="S33" s="160">
        <v>12</v>
      </c>
      <c r="T33" s="160">
        <v>11</v>
      </c>
      <c r="U33" s="160">
        <v>11</v>
      </c>
      <c r="V33" s="160">
        <v>11</v>
      </c>
      <c r="W33" s="160">
        <v>11</v>
      </c>
      <c r="X33" s="264"/>
      <c r="Y33" s="160">
        <v>11</v>
      </c>
      <c r="Z33" s="160">
        <v>12</v>
      </c>
      <c r="AA33" s="160">
        <v>14</v>
      </c>
      <c r="AB33" s="160">
        <v>14</v>
      </c>
      <c r="AC33" s="160">
        <v>14</v>
      </c>
      <c r="AD33" s="160">
        <v>13</v>
      </c>
      <c r="AE33" s="160">
        <v>15</v>
      </c>
      <c r="AF33" s="160">
        <v>13</v>
      </c>
      <c r="AG33" s="160"/>
      <c r="AH33" s="160">
        <v>13</v>
      </c>
      <c r="AI33" s="160">
        <v>14</v>
      </c>
      <c r="AJ33" s="160">
        <v>13</v>
      </c>
      <c r="AK33" s="160">
        <v>16</v>
      </c>
      <c r="AL33" s="264"/>
      <c r="AM33" s="160">
        <v>14</v>
      </c>
      <c r="AN33" s="160">
        <v>13</v>
      </c>
      <c r="AO33" s="160">
        <v>13</v>
      </c>
      <c r="AP33" s="160">
        <v>15</v>
      </c>
      <c r="AQ33" s="270">
        <v>13</v>
      </c>
      <c r="AR33" s="270">
        <v>12.4</v>
      </c>
      <c r="AS33" s="270">
        <v>13</v>
      </c>
      <c r="AT33" s="270">
        <v>12.2</v>
      </c>
      <c r="AU33" s="270">
        <v>11.6</v>
      </c>
      <c r="AV33" s="270">
        <v>10.8</v>
      </c>
      <c r="AW33" s="270">
        <v>9.9</v>
      </c>
      <c r="AX33" s="270">
        <v>11</v>
      </c>
      <c r="AY33" s="270">
        <v>14.2</v>
      </c>
      <c r="AZ33" s="270">
        <v>12.4</v>
      </c>
      <c r="BA33" s="270">
        <v>12.2</v>
      </c>
      <c r="BB33" s="270">
        <v>13.5</v>
      </c>
      <c r="BC33" s="270">
        <v>11.7</v>
      </c>
      <c r="BD33" s="270">
        <v>9.7746990009230057</v>
      </c>
      <c r="BE33" s="270">
        <v>7.379231119989214</v>
      </c>
      <c r="BF33" s="270">
        <f>[4]R17_CF_Parte2!$N$68*100</f>
        <v>9.5835052009629766</v>
      </c>
      <c r="BG33" s="270">
        <f>[1]R17_CF_Parte2!$H$68*100</f>
        <v>9.5246468584871931</v>
      </c>
      <c r="BH33" s="270">
        <f>[6]R17_CF_Parte2!$N$68*100</f>
        <v>8.6045212794700472</v>
      </c>
      <c r="BI33" s="270">
        <f ca="1">[3]R17_CF_Parte2!$H$68*100</f>
        <v>9.7405823910072744</v>
      </c>
      <c r="BN33" s="19"/>
    </row>
    <row r="34" spans="2:66" ht="14.25" customHeight="1">
      <c r="B34" s="159" t="s">
        <v>52</v>
      </c>
      <c r="C34" s="159">
        <v>6</v>
      </c>
      <c r="D34" s="159">
        <v>4</v>
      </c>
      <c r="E34" s="159">
        <v>4</v>
      </c>
      <c r="F34" s="159">
        <v>4</v>
      </c>
      <c r="G34" s="159">
        <v>4</v>
      </c>
      <c r="H34" s="159">
        <v>4</v>
      </c>
      <c r="I34" s="159">
        <v>4</v>
      </c>
      <c r="J34" s="159">
        <v>5</v>
      </c>
      <c r="K34" s="159">
        <v>4</v>
      </c>
      <c r="L34" s="159">
        <v>5</v>
      </c>
      <c r="M34" s="159">
        <v>5</v>
      </c>
      <c r="N34" s="159">
        <v>5</v>
      </c>
      <c r="O34" s="159">
        <v>5</v>
      </c>
      <c r="P34" s="159">
        <v>5</v>
      </c>
      <c r="Q34" s="159">
        <v>5</v>
      </c>
      <c r="R34" s="159">
        <v>6</v>
      </c>
      <c r="S34" s="159">
        <v>6</v>
      </c>
      <c r="T34" s="159">
        <v>5</v>
      </c>
      <c r="U34" s="159">
        <v>5</v>
      </c>
      <c r="V34" s="159">
        <v>5</v>
      </c>
      <c r="W34" s="159">
        <v>5</v>
      </c>
      <c r="X34" s="263"/>
      <c r="Y34" s="159">
        <v>5</v>
      </c>
      <c r="Z34" s="159">
        <v>6</v>
      </c>
      <c r="AA34" s="159">
        <v>7</v>
      </c>
      <c r="AB34" s="159">
        <v>7</v>
      </c>
      <c r="AC34" s="159">
        <v>5</v>
      </c>
      <c r="AD34" s="159">
        <v>4</v>
      </c>
      <c r="AE34" s="159">
        <v>4</v>
      </c>
      <c r="AF34" s="159">
        <v>4</v>
      </c>
      <c r="AG34" s="159"/>
      <c r="AH34" s="159">
        <v>4</v>
      </c>
      <c r="AI34" s="159">
        <v>5</v>
      </c>
      <c r="AJ34" s="159">
        <v>4</v>
      </c>
      <c r="AK34" s="159">
        <v>5</v>
      </c>
      <c r="AL34" s="263"/>
      <c r="AM34" s="159">
        <v>4</v>
      </c>
      <c r="AN34" s="159">
        <v>3</v>
      </c>
      <c r="AO34" s="159">
        <v>4</v>
      </c>
      <c r="AP34" s="159">
        <v>4</v>
      </c>
      <c r="AQ34" s="271">
        <v>3.7</v>
      </c>
      <c r="AR34" s="271">
        <v>3.7</v>
      </c>
      <c r="AS34" s="271">
        <v>4.5</v>
      </c>
      <c r="AT34" s="271">
        <v>4</v>
      </c>
      <c r="AU34" s="271">
        <v>3.9</v>
      </c>
      <c r="AV34" s="271">
        <v>3.6</v>
      </c>
      <c r="AW34" s="271">
        <v>3.9</v>
      </c>
      <c r="AX34" s="271">
        <v>4</v>
      </c>
      <c r="AY34" s="271">
        <v>4.5999999999999996</v>
      </c>
      <c r="AZ34" s="271">
        <v>4</v>
      </c>
      <c r="BA34" s="271">
        <v>4</v>
      </c>
      <c r="BB34" s="271">
        <v>4.4000000000000004</v>
      </c>
      <c r="BC34" s="271">
        <v>4.9000000000000004</v>
      </c>
      <c r="BD34" s="271">
        <v>3.3527225524460627</v>
      </c>
      <c r="BE34" s="271">
        <v>2.6439230152088826</v>
      </c>
      <c r="BF34" s="271">
        <f>[4]R17_CF_Parte2!$N$79*100</f>
        <v>3.5718228890381702</v>
      </c>
      <c r="BG34" s="271">
        <f>[1]R17_CF_Parte2!$H$79*100</f>
        <v>3.5856910847110179</v>
      </c>
      <c r="BH34" s="271">
        <f>[6]R17_CF_Parte2!$N$79*100</f>
        <v>2.8463211773547292</v>
      </c>
      <c r="BI34" s="271">
        <f ca="1">[3]R17_CF_Parte2!$H$79*100</f>
        <v>3.1938674052666296</v>
      </c>
      <c r="BN34" s="19"/>
    </row>
    <row r="35" spans="2:66" ht="14.25" customHeight="1">
      <c r="B35" s="160" t="s">
        <v>28</v>
      </c>
      <c r="C35" s="160">
        <v>3</v>
      </c>
      <c r="D35" s="160">
        <v>4</v>
      </c>
      <c r="E35" s="160">
        <v>4</v>
      </c>
      <c r="F35" s="160">
        <v>3</v>
      </c>
      <c r="G35" s="160">
        <v>4</v>
      </c>
      <c r="H35" s="160">
        <v>4</v>
      </c>
      <c r="I35" s="160">
        <v>4</v>
      </c>
      <c r="J35" s="160">
        <v>4</v>
      </c>
      <c r="K35" s="160">
        <v>4</v>
      </c>
      <c r="L35" s="160">
        <v>4</v>
      </c>
      <c r="M35" s="160">
        <v>3</v>
      </c>
      <c r="N35" s="160">
        <v>3</v>
      </c>
      <c r="O35" s="160">
        <v>3</v>
      </c>
      <c r="P35" s="160">
        <v>4</v>
      </c>
      <c r="Q35" s="160">
        <v>3</v>
      </c>
      <c r="R35" s="160">
        <v>3</v>
      </c>
      <c r="S35" s="160">
        <v>3</v>
      </c>
      <c r="T35" s="160">
        <v>3</v>
      </c>
      <c r="U35" s="160">
        <v>3</v>
      </c>
      <c r="V35" s="160">
        <v>3</v>
      </c>
      <c r="W35" s="160">
        <v>3</v>
      </c>
      <c r="X35" s="264"/>
      <c r="Y35" s="160">
        <v>3</v>
      </c>
      <c r="Z35" s="160">
        <v>4</v>
      </c>
      <c r="AA35" s="160">
        <v>3</v>
      </c>
      <c r="AB35" s="160">
        <v>4</v>
      </c>
      <c r="AC35" s="160">
        <v>4</v>
      </c>
      <c r="AD35" s="160">
        <v>3</v>
      </c>
      <c r="AE35" s="160">
        <v>3</v>
      </c>
      <c r="AF35" s="160">
        <v>4</v>
      </c>
      <c r="AG35" s="160"/>
      <c r="AH35" s="160">
        <v>4</v>
      </c>
      <c r="AI35" s="160">
        <v>4</v>
      </c>
      <c r="AJ35" s="160">
        <v>4</v>
      </c>
      <c r="AK35" s="160">
        <v>4</v>
      </c>
      <c r="AL35" s="264"/>
      <c r="AM35" s="160">
        <v>4</v>
      </c>
      <c r="AN35" s="160">
        <v>3</v>
      </c>
      <c r="AO35" s="160">
        <v>3</v>
      </c>
      <c r="AP35" s="160">
        <v>4</v>
      </c>
      <c r="AQ35" s="270">
        <v>4</v>
      </c>
      <c r="AR35" s="270">
        <v>2.7</v>
      </c>
      <c r="AS35" s="270">
        <v>2.7</v>
      </c>
      <c r="AT35" s="270">
        <v>2</v>
      </c>
      <c r="AU35" s="270">
        <v>2.2000000000000002</v>
      </c>
      <c r="AV35" s="270">
        <v>1.9</v>
      </c>
      <c r="AW35" s="270">
        <v>1.9</v>
      </c>
      <c r="AX35" s="270">
        <v>2</v>
      </c>
      <c r="AY35" s="270">
        <v>3</v>
      </c>
      <c r="AZ35" s="270">
        <v>3.5</v>
      </c>
      <c r="BA35" s="270">
        <v>2.4</v>
      </c>
      <c r="BB35" s="270">
        <v>2.2999999999999998</v>
      </c>
      <c r="BC35" s="270">
        <v>2.1</v>
      </c>
      <c r="BD35" s="270">
        <v>1.5779671628454748</v>
      </c>
      <c r="BE35" s="270">
        <v>1.1089045228318657</v>
      </c>
      <c r="BF35" s="270">
        <f>[4]R17_CF_Parte2!$N$83*100</f>
        <v>1.1512219967512172</v>
      </c>
      <c r="BG35" s="270">
        <f>[1]R17_CF_Parte2!$H$83*100</f>
        <v>1.1872386408775253</v>
      </c>
      <c r="BH35" s="270">
        <f>[6]R17_CF_Parte2!$N$83*100</f>
        <v>0.99487821763683959</v>
      </c>
      <c r="BI35" s="270">
        <f ca="1">[3]R17_CF_Parte2!$H$83*100</f>
        <v>1.0663049237335243</v>
      </c>
      <c r="BN35" s="19"/>
    </row>
    <row r="36" spans="2:66" ht="14.25" customHeight="1">
      <c r="B36" s="159" t="s">
        <v>53</v>
      </c>
      <c r="C36" s="159">
        <v>58</v>
      </c>
      <c r="D36" s="159">
        <v>61</v>
      </c>
      <c r="E36" s="159">
        <v>57</v>
      </c>
      <c r="F36" s="159">
        <v>59</v>
      </c>
      <c r="G36" s="159">
        <v>59</v>
      </c>
      <c r="H36" s="159">
        <v>59</v>
      </c>
      <c r="I36" s="159">
        <v>58</v>
      </c>
      <c r="J36" s="159">
        <v>58</v>
      </c>
      <c r="K36" s="159">
        <v>60</v>
      </c>
      <c r="L36" s="159">
        <v>60</v>
      </c>
      <c r="M36" s="159">
        <v>66</v>
      </c>
      <c r="N36" s="159">
        <v>62</v>
      </c>
      <c r="O36" s="159">
        <v>64</v>
      </c>
      <c r="P36" s="159">
        <v>65</v>
      </c>
      <c r="Q36" s="159">
        <v>66</v>
      </c>
      <c r="R36" s="159">
        <v>65</v>
      </c>
      <c r="S36" s="159">
        <v>64</v>
      </c>
      <c r="T36" s="159">
        <v>67</v>
      </c>
      <c r="U36" s="159">
        <v>68</v>
      </c>
      <c r="V36" s="159">
        <v>66</v>
      </c>
      <c r="W36" s="159">
        <v>66</v>
      </c>
      <c r="X36" s="263"/>
      <c r="Y36" s="159">
        <v>68</v>
      </c>
      <c r="Z36" s="159">
        <v>65</v>
      </c>
      <c r="AA36" s="159">
        <v>62</v>
      </c>
      <c r="AB36" s="159">
        <v>61</v>
      </c>
      <c r="AC36" s="159">
        <v>62</v>
      </c>
      <c r="AD36" s="159">
        <v>64</v>
      </c>
      <c r="AE36" s="159">
        <v>60</v>
      </c>
      <c r="AF36" s="159">
        <v>62</v>
      </c>
      <c r="AG36" s="159"/>
      <c r="AH36" s="159">
        <v>60</v>
      </c>
      <c r="AI36" s="159">
        <v>58</v>
      </c>
      <c r="AJ36" s="159">
        <v>61</v>
      </c>
      <c r="AK36" s="159">
        <v>58</v>
      </c>
      <c r="AL36" s="263"/>
      <c r="AM36" s="159">
        <v>60</v>
      </c>
      <c r="AN36" s="159">
        <v>65</v>
      </c>
      <c r="AO36" s="159">
        <v>63</v>
      </c>
      <c r="AP36" s="159">
        <v>59</v>
      </c>
      <c r="AQ36" s="271">
        <v>61</v>
      </c>
      <c r="AR36" s="271">
        <v>65.900000000000006</v>
      </c>
      <c r="AS36" s="271">
        <v>64.2</v>
      </c>
      <c r="AT36" s="271">
        <v>68.7</v>
      </c>
      <c r="AU36" s="271">
        <v>68.400000000000006</v>
      </c>
      <c r="AV36" s="271">
        <v>69.5</v>
      </c>
      <c r="AW36" s="271">
        <v>69.7</v>
      </c>
      <c r="AX36" s="271">
        <v>68.599999999999994</v>
      </c>
      <c r="AY36" s="271">
        <v>60.2</v>
      </c>
      <c r="AZ36" s="271">
        <v>61.4</v>
      </c>
      <c r="BA36" s="271">
        <v>64.2</v>
      </c>
      <c r="BB36" s="271">
        <v>61.8</v>
      </c>
      <c r="BC36" s="271">
        <v>65.400000000000006</v>
      </c>
      <c r="BD36" s="271">
        <v>75.684497134302461</v>
      </c>
      <c r="BE36" s="271">
        <v>80.060023249140258</v>
      </c>
      <c r="BF36" s="271">
        <f>[4]R17_CF_Parte2!$N$85*100</f>
        <v>75.112816929035276</v>
      </c>
      <c r="BG36" s="271">
        <f>[1]R17_CF_Parte2!$H$85*100</f>
        <v>73.704808914781168</v>
      </c>
      <c r="BH36" s="271">
        <f>[6]R17_CF_Parte2!$N$85*100</f>
        <v>75.944606774865534</v>
      </c>
      <c r="BI36" s="271">
        <f ca="1">[3]R17_CF_Parte2!$H$85*100</f>
        <v>72.846628465203239</v>
      </c>
      <c r="BN36" s="19"/>
    </row>
    <row r="37" spans="2:66" ht="14.25" customHeight="1">
      <c r="B37" s="160" t="s">
        <v>54</v>
      </c>
      <c r="C37" s="160">
        <v>14</v>
      </c>
      <c r="D37" s="160">
        <v>12</v>
      </c>
      <c r="E37" s="160">
        <v>16</v>
      </c>
      <c r="F37" s="160">
        <v>15</v>
      </c>
      <c r="G37" s="160">
        <v>15</v>
      </c>
      <c r="H37" s="160">
        <v>16</v>
      </c>
      <c r="I37" s="160">
        <v>17</v>
      </c>
      <c r="J37" s="160">
        <v>16</v>
      </c>
      <c r="K37" s="160">
        <v>16</v>
      </c>
      <c r="L37" s="160">
        <v>16</v>
      </c>
      <c r="M37" s="160">
        <v>11</v>
      </c>
      <c r="N37" s="160">
        <v>13</v>
      </c>
      <c r="O37" s="160">
        <v>11</v>
      </c>
      <c r="P37" s="160">
        <v>10</v>
      </c>
      <c r="Q37" s="160">
        <v>10</v>
      </c>
      <c r="R37" s="160">
        <v>9</v>
      </c>
      <c r="S37" s="160">
        <v>9</v>
      </c>
      <c r="T37" s="160">
        <v>9</v>
      </c>
      <c r="U37" s="160">
        <v>8</v>
      </c>
      <c r="V37" s="160">
        <v>9</v>
      </c>
      <c r="W37" s="160">
        <v>9</v>
      </c>
      <c r="X37" s="264"/>
      <c r="Y37" s="160">
        <v>8</v>
      </c>
      <c r="Z37" s="160">
        <v>8</v>
      </c>
      <c r="AA37" s="160">
        <v>9</v>
      </c>
      <c r="AB37" s="160">
        <v>8</v>
      </c>
      <c r="AC37" s="160">
        <v>9</v>
      </c>
      <c r="AD37" s="160">
        <v>10</v>
      </c>
      <c r="AE37" s="160">
        <v>11</v>
      </c>
      <c r="AF37" s="160">
        <v>11</v>
      </c>
      <c r="AG37" s="160"/>
      <c r="AH37" s="160">
        <v>12</v>
      </c>
      <c r="AI37" s="160">
        <v>12</v>
      </c>
      <c r="AJ37" s="160">
        <v>11</v>
      </c>
      <c r="AK37" s="160">
        <v>10</v>
      </c>
      <c r="AL37" s="264"/>
      <c r="AM37" s="160">
        <v>12</v>
      </c>
      <c r="AN37" s="160">
        <v>10</v>
      </c>
      <c r="AO37" s="160">
        <v>11</v>
      </c>
      <c r="AP37" s="160">
        <v>11</v>
      </c>
      <c r="AQ37" s="270">
        <v>12</v>
      </c>
      <c r="AR37" s="270">
        <v>9.4</v>
      </c>
      <c r="AS37" s="270">
        <v>9.6999999999999993</v>
      </c>
      <c r="AT37" s="270">
        <v>7.7</v>
      </c>
      <c r="AU37" s="270">
        <v>8.3000000000000007</v>
      </c>
      <c r="AV37" s="270">
        <v>8.4</v>
      </c>
      <c r="AW37" s="270">
        <v>8.9</v>
      </c>
      <c r="AX37" s="270">
        <v>8.6</v>
      </c>
      <c r="AY37" s="270">
        <v>11</v>
      </c>
      <c r="AZ37" s="270">
        <v>11.7</v>
      </c>
      <c r="BA37" s="270">
        <v>11</v>
      </c>
      <c r="BB37" s="270">
        <v>10.8</v>
      </c>
      <c r="BC37" s="270">
        <v>10.1</v>
      </c>
      <c r="BD37" s="270">
        <v>5.9927910212537547</v>
      </c>
      <c r="BE37" s="270">
        <v>5.3557722659378495</v>
      </c>
      <c r="BF37" s="270">
        <f>[4]R17_CF_Parte2!$N$93*100</f>
        <v>6.1549461391589473</v>
      </c>
      <c r="BG37" s="270">
        <f>[1]R17_CF_Parte2!$H$93*100</f>
        <v>7.2665377115482777</v>
      </c>
      <c r="BH37" s="270">
        <f>[6]R17_CF_Parte2!$N$93*100</f>
        <v>7.2878026048857043</v>
      </c>
      <c r="BI37" s="270">
        <f ca="1">[3]R17_CF_Parte2!$H$93*100</f>
        <v>8.4945649205281555</v>
      </c>
      <c r="BN37" s="19"/>
    </row>
    <row r="38" spans="2:66" ht="14.25" customHeight="1">
      <c r="B38" s="159" t="s">
        <v>55</v>
      </c>
      <c r="C38" s="159">
        <v>4</v>
      </c>
      <c r="D38" s="159">
        <v>6</v>
      </c>
      <c r="E38" s="159">
        <v>6</v>
      </c>
      <c r="F38" s="159">
        <v>7</v>
      </c>
      <c r="G38" s="159">
        <v>6</v>
      </c>
      <c r="H38" s="159">
        <v>5</v>
      </c>
      <c r="I38" s="159">
        <v>5</v>
      </c>
      <c r="J38" s="159">
        <v>5</v>
      </c>
      <c r="K38" s="159">
        <v>5</v>
      </c>
      <c r="L38" s="159">
        <v>4</v>
      </c>
      <c r="M38" s="159">
        <v>5</v>
      </c>
      <c r="N38" s="159">
        <v>5</v>
      </c>
      <c r="O38" s="159">
        <v>5</v>
      </c>
      <c r="P38" s="159">
        <v>5</v>
      </c>
      <c r="Q38" s="159">
        <v>6</v>
      </c>
      <c r="R38" s="159">
        <v>5</v>
      </c>
      <c r="S38" s="159">
        <v>6</v>
      </c>
      <c r="T38" s="159">
        <v>5</v>
      </c>
      <c r="U38" s="159">
        <v>5</v>
      </c>
      <c r="V38" s="159">
        <v>6</v>
      </c>
      <c r="W38" s="159">
        <v>6</v>
      </c>
      <c r="X38" s="263"/>
      <c r="Y38" s="159">
        <v>5</v>
      </c>
      <c r="Z38" s="159">
        <v>5</v>
      </c>
      <c r="AA38" s="159">
        <v>5</v>
      </c>
      <c r="AB38" s="159">
        <v>6</v>
      </c>
      <c r="AC38" s="159">
        <v>6</v>
      </c>
      <c r="AD38" s="159">
        <v>6</v>
      </c>
      <c r="AE38" s="159">
        <v>6</v>
      </c>
      <c r="AF38" s="159">
        <v>6</v>
      </c>
      <c r="AG38" s="159"/>
      <c r="AH38" s="159">
        <v>7</v>
      </c>
      <c r="AI38" s="159">
        <v>7</v>
      </c>
      <c r="AJ38" s="159">
        <v>7</v>
      </c>
      <c r="AK38" s="159">
        <v>7</v>
      </c>
      <c r="AL38" s="263"/>
      <c r="AM38" s="159">
        <v>6</v>
      </c>
      <c r="AN38" s="159">
        <v>6</v>
      </c>
      <c r="AO38" s="159">
        <v>6</v>
      </c>
      <c r="AP38" s="159">
        <v>7</v>
      </c>
      <c r="AQ38" s="271">
        <v>7</v>
      </c>
      <c r="AR38" s="271">
        <v>5.9</v>
      </c>
      <c r="AS38" s="271">
        <v>5.9</v>
      </c>
      <c r="AT38" s="271">
        <v>5.4</v>
      </c>
      <c r="AU38" s="271">
        <v>5.6</v>
      </c>
      <c r="AV38" s="271">
        <v>5.7</v>
      </c>
      <c r="AW38" s="271">
        <v>5.6</v>
      </c>
      <c r="AX38" s="271">
        <v>5.8</v>
      </c>
      <c r="AY38" s="271">
        <v>7</v>
      </c>
      <c r="AZ38" s="271">
        <v>6.7</v>
      </c>
      <c r="BA38" s="271">
        <v>6.2</v>
      </c>
      <c r="BB38" s="271">
        <v>7.2</v>
      </c>
      <c r="BC38" s="271">
        <v>5.6</v>
      </c>
      <c r="BD38" s="271">
        <v>3.6173231282292524</v>
      </c>
      <c r="BE38" s="271">
        <v>3.452145826891948</v>
      </c>
      <c r="BF38" s="271">
        <f>[4]R17_CF_Parte2!$N$102*100</f>
        <v>4.4256868450533897</v>
      </c>
      <c r="BG38" s="271">
        <f>[1]R17_CF_Parte2!$H$102*100</f>
        <v>4.7310767895947983</v>
      </c>
      <c r="BH38" s="271">
        <f>[6]R17_CF_Parte2!$N$102*100</f>
        <v>4.3218699457871477</v>
      </c>
      <c r="BI38" s="271">
        <f ca="1">[3]R17_CF_Parte2!$H$102*100</f>
        <v>4.658051894261181</v>
      </c>
      <c r="BN38" s="19"/>
    </row>
    <row r="39" spans="2:66" ht="5.25" customHeight="1"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35"/>
      <c r="Y39" s="57"/>
      <c r="Z39" s="57"/>
      <c r="AA39" s="57"/>
      <c r="AB39" s="57"/>
      <c r="AC39" s="57"/>
      <c r="AD39" s="57"/>
      <c r="AE39" s="57"/>
      <c r="AF39" s="57"/>
      <c r="AG39" s="44"/>
      <c r="AH39" s="57"/>
      <c r="AI39" s="57"/>
      <c r="AJ39" s="57"/>
      <c r="AK39" s="57"/>
      <c r="AL39" s="35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N39" s="19"/>
    </row>
    <row r="40" spans="2:66" ht="14.25" customHeight="1">
      <c r="B40" s="153" t="s">
        <v>86</v>
      </c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3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3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N40" s="19"/>
    </row>
    <row r="41" spans="2:66" ht="14.25" customHeight="1">
      <c r="B41" s="160" t="s">
        <v>51</v>
      </c>
      <c r="C41" s="160">
        <v>19</v>
      </c>
      <c r="D41" s="160">
        <v>27</v>
      </c>
      <c r="E41" s="160">
        <v>27</v>
      </c>
      <c r="F41" s="160">
        <v>23</v>
      </c>
      <c r="G41" s="160">
        <v>21</v>
      </c>
      <c r="H41" s="160">
        <v>19</v>
      </c>
      <c r="I41" s="160">
        <v>17</v>
      </c>
      <c r="J41" s="160">
        <v>17</v>
      </c>
      <c r="K41" s="160">
        <v>19</v>
      </c>
      <c r="L41" s="160">
        <v>17</v>
      </c>
      <c r="M41" s="160">
        <v>17</v>
      </c>
      <c r="N41" s="160">
        <v>17</v>
      </c>
      <c r="O41" s="160">
        <v>19</v>
      </c>
      <c r="P41" s="160">
        <v>19</v>
      </c>
      <c r="Q41" s="160">
        <v>19</v>
      </c>
      <c r="R41" s="160">
        <v>20</v>
      </c>
      <c r="S41" s="160">
        <v>22</v>
      </c>
      <c r="T41" s="160">
        <v>20</v>
      </c>
      <c r="U41" s="160">
        <v>20</v>
      </c>
      <c r="V41" s="160">
        <v>19</v>
      </c>
      <c r="W41" s="160">
        <v>21</v>
      </c>
      <c r="X41" s="264"/>
      <c r="Y41" s="160">
        <v>19</v>
      </c>
      <c r="Z41" s="160">
        <v>20</v>
      </c>
      <c r="AA41" s="160">
        <v>20</v>
      </c>
      <c r="AB41" s="160">
        <v>20</v>
      </c>
      <c r="AC41" s="160">
        <v>20</v>
      </c>
      <c r="AD41" s="160">
        <v>21</v>
      </c>
      <c r="AE41" s="160">
        <v>21</v>
      </c>
      <c r="AF41" s="160">
        <v>22</v>
      </c>
      <c r="AG41" s="160"/>
      <c r="AH41" s="160">
        <v>23</v>
      </c>
      <c r="AI41" s="160">
        <v>23</v>
      </c>
      <c r="AJ41" s="160">
        <v>27</v>
      </c>
      <c r="AK41" s="160">
        <v>28</v>
      </c>
      <c r="AL41" s="264"/>
      <c r="AM41" s="160">
        <v>23</v>
      </c>
      <c r="AN41" s="160">
        <v>20</v>
      </c>
      <c r="AO41" s="160">
        <v>20</v>
      </c>
      <c r="AP41" s="160">
        <v>20</v>
      </c>
      <c r="AQ41" s="270">
        <v>18</v>
      </c>
      <c r="AR41" s="270">
        <v>16.2</v>
      </c>
      <c r="AS41" s="270">
        <v>16.2</v>
      </c>
      <c r="AT41" s="270">
        <v>19.2</v>
      </c>
      <c r="AU41" s="270">
        <v>17.5</v>
      </c>
      <c r="AV41" s="270">
        <v>18.7</v>
      </c>
      <c r="AW41" s="270">
        <v>21.1</v>
      </c>
      <c r="AX41" s="270">
        <v>24.7</v>
      </c>
      <c r="AY41" s="270">
        <v>25.6</v>
      </c>
      <c r="AZ41" s="270">
        <v>32.799999999999997</v>
      </c>
      <c r="BA41" s="270">
        <v>29.7</v>
      </c>
      <c r="BB41" s="270">
        <v>22.8</v>
      </c>
      <c r="BC41" s="270">
        <v>20.3</v>
      </c>
      <c r="BD41" s="270">
        <v>20.698927381828724</v>
      </c>
      <c r="BE41" s="270">
        <f>([5]R17_CF_Parte2!$O$68)*100</f>
        <v>19.332006216084356</v>
      </c>
      <c r="BF41" s="270">
        <f>[4]R17_CF_Parte2!$O$68*100</f>
        <v>19.416464098806628</v>
      </c>
      <c r="BG41" s="270">
        <f>[1]R17_CF_Parte2!$I$68*100</f>
        <v>16.539726427379776</v>
      </c>
      <c r="BH41" s="270">
        <f>[6]R17_CF_Parte2!$O$68*100</f>
        <v>15.390912359118817</v>
      </c>
      <c r="BI41" s="270">
        <f ca="1">[3]R17_CF_Parte2!$I$68*100</f>
        <v>20.404299341477152</v>
      </c>
      <c r="BN41" s="19"/>
    </row>
    <row r="42" spans="2:66" ht="14.25" customHeight="1">
      <c r="B42" s="159" t="s">
        <v>52</v>
      </c>
      <c r="C42" s="159">
        <v>4</v>
      </c>
      <c r="D42" s="159">
        <v>6</v>
      </c>
      <c r="E42" s="159">
        <v>5</v>
      </c>
      <c r="F42" s="159">
        <v>5</v>
      </c>
      <c r="G42" s="159">
        <v>6</v>
      </c>
      <c r="H42" s="159">
        <v>5</v>
      </c>
      <c r="I42" s="159">
        <v>5</v>
      </c>
      <c r="J42" s="159">
        <v>6</v>
      </c>
      <c r="K42" s="159">
        <v>7</v>
      </c>
      <c r="L42" s="159">
        <v>6</v>
      </c>
      <c r="M42" s="159">
        <v>5</v>
      </c>
      <c r="N42" s="159">
        <v>6</v>
      </c>
      <c r="O42" s="159">
        <v>7</v>
      </c>
      <c r="P42" s="159">
        <v>7</v>
      </c>
      <c r="Q42" s="159">
        <v>6</v>
      </c>
      <c r="R42" s="159">
        <v>7</v>
      </c>
      <c r="S42" s="159">
        <v>7</v>
      </c>
      <c r="T42" s="159">
        <v>6</v>
      </c>
      <c r="U42" s="159">
        <v>6</v>
      </c>
      <c r="V42" s="159">
        <v>6</v>
      </c>
      <c r="W42" s="159">
        <v>6</v>
      </c>
      <c r="X42" s="263"/>
      <c r="Y42" s="159">
        <v>6</v>
      </c>
      <c r="Z42" s="159">
        <v>5</v>
      </c>
      <c r="AA42" s="159">
        <v>6</v>
      </c>
      <c r="AB42" s="159">
        <v>7</v>
      </c>
      <c r="AC42" s="159">
        <v>6</v>
      </c>
      <c r="AD42" s="159">
        <v>6</v>
      </c>
      <c r="AE42" s="159">
        <v>7</v>
      </c>
      <c r="AF42" s="159">
        <v>7</v>
      </c>
      <c r="AG42" s="159"/>
      <c r="AH42" s="159">
        <v>6</v>
      </c>
      <c r="AI42" s="159">
        <v>7</v>
      </c>
      <c r="AJ42" s="159">
        <v>6</v>
      </c>
      <c r="AK42" s="159">
        <v>7</v>
      </c>
      <c r="AL42" s="263"/>
      <c r="AM42" s="159">
        <v>5</v>
      </c>
      <c r="AN42" s="159">
        <v>6</v>
      </c>
      <c r="AO42" s="159">
        <v>5</v>
      </c>
      <c r="AP42" s="159">
        <v>5</v>
      </c>
      <c r="AQ42" s="271">
        <v>4</v>
      </c>
      <c r="AR42" s="271">
        <v>4.4000000000000004</v>
      </c>
      <c r="AS42" s="271">
        <v>4.5</v>
      </c>
      <c r="AT42" s="271">
        <v>4.9000000000000004</v>
      </c>
      <c r="AU42" s="271">
        <v>4.7</v>
      </c>
      <c r="AV42" s="271">
        <v>5.8</v>
      </c>
      <c r="AW42" s="271">
        <v>5.8</v>
      </c>
      <c r="AX42" s="271">
        <v>6.1</v>
      </c>
      <c r="AY42" s="271">
        <v>4.8</v>
      </c>
      <c r="AZ42" s="271">
        <v>7.7</v>
      </c>
      <c r="BA42" s="271">
        <v>5.7</v>
      </c>
      <c r="BB42" s="271">
        <v>4.7</v>
      </c>
      <c r="BC42" s="271">
        <v>4.4000000000000004</v>
      </c>
      <c r="BD42" s="271">
        <v>5.1585147151323802</v>
      </c>
      <c r="BE42" s="271">
        <f>([5]R17_CF_Parte2!$O$79)*100</f>
        <v>5.1297279862494918</v>
      </c>
      <c r="BF42" s="271">
        <f>[4]R17_CF_Parte2!$O$79*100</f>
        <v>4.9004861112839571</v>
      </c>
      <c r="BG42" s="271">
        <f>[1]R17_CF_Parte2!$I$79*100</f>
        <v>4.4311947145740644</v>
      </c>
      <c r="BH42" s="271">
        <f>[6]R17_CF_Parte2!$O$79*100</f>
        <v>3.8539491213930841</v>
      </c>
      <c r="BI42" s="271">
        <f ca="1">[3]R17_CF_Parte2!$I$79*100</f>
        <v>6.69136269288009</v>
      </c>
      <c r="BN42" s="19"/>
    </row>
    <row r="43" spans="2:66" ht="14.25" customHeight="1">
      <c r="B43" s="160" t="s">
        <v>28</v>
      </c>
      <c r="C43" s="160">
        <v>5</v>
      </c>
      <c r="D43" s="160">
        <v>10</v>
      </c>
      <c r="E43" s="160">
        <v>9</v>
      </c>
      <c r="F43" s="160">
        <v>6</v>
      </c>
      <c r="G43" s="160">
        <v>6</v>
      </c>
      <c r="H43" s="160">
        <v>5</v>
      </c>
      <c r="I43" s="160">
        <v>4</v>
      </c>
      <c r="J43" s="160">
        <v>5</v>
      </c>
      <c r="K43" s="160">
        <v>5</v>
      </c>
      <c r="L43" s="160">
        <v>5</v>
      </c>
      <c r="M43" s="160">
        <v>4</v>
      </c>
      <c r="N43" s="160">
        <v>4</v>
      </c>
      <c r="O43" s="160">
        <v>5</v>
      </c>
      <c r="P43" s="160">
        <v>4</v>
      </c>
      <c r="Q43" s="160">
        <v>4</v>
      </c>
      <c r="R43" s="160">
        <v>5</v>
      </c>
      <c r="S43" s="160">
        <v>5</v>
      </c>
      <c r="T43" s="160">
        <v>5</v>
      </c>
      <c r="U43" s="160">
        <v>5</v>
      </c>
      <c r="V43" s="160">
        <v>5</v>
      </c>
      <c r="W43" s="160">
        <v>5</v>
      </c>
      <c r="X43" s="264"/>
      <c r="Y43" s="160">
        <v>5</v>
      </c>
      <c r="Z43" s="160">
        <v>5</v>
      </c>
      <c r="AA43" s="160">
        <v>6</v>
      </c>
      <c r="AB43" s="160">
        <v>5</v>
      </c>
      <c r="AC43" s="160">
        <v>5</v>
      </c>
      <c r="AD43" s="160">
        <v>6</v>
      </c>
      <c r="AE43" s="160">
        <v>7</v>
      </c>
      <c r="AF43" s="160">
        <v>8</v>
      </c>
      <c r="AG43" s="160"/>
      <c r="AH43" s="160">
        <v>8</v>
      </c>
      <c r="AI43" s="160">
        <v>6</v>
      </c>
      <c r="AJ43" s="160">
        <v>6</v>
      </c>
      <c r="AK43" s="160">
        <v>7</v>
      </c>
      <c r="AL43" s="264"/>
      <c r="AM43" s="160">
        <v>6</v>
      </c>
      <c r="AN43" s="160">
        <v>6</v>
      </c>
      <c r="AO43" s="160">
        <v>5</v>
      </c>
      <c r="AP43" s="160">
        <v>6</v>
      </c>
      <c r="AQ43" s="270">
        <v>5</v>
      </c>
      <c r="AR43" s="270">
        <v>4.2</v>
      </c>
      <c r="AS43" s="270">
        <v>4</v>
      </c>
      <c r="AT43" s="270">
        <v>4.3</v>
      </c>
      <c r="AU43" s="270">
        <v>4.0999999999999996</v>
      </c>
      <c r="AV43" s="270">
        <v>4.5999999999999996</v>
      </c>
      <c r="AW43" s="270">
        <v>5.3</v>
      </c>
      <c r="AX43" s="270">
        <v>6.6</v>
      </c>
      <c r="AY43" s="270">
        <v>5.0999999999999996</v>
      </c>
      <c r="AZ43" s="270">
        <v>9.3000000000000007</v>
      </c>
      <c r="BA43" s="270">
        <v>6.8</v>
      </c>
      <c r="BB43" s="270">
        <v>5</v>
      </c>
      <c r="BC43" s="270">
        <v>4</v>
      </c>
      <c r="BD43" s="270">
        <v>4.0552075981485958</v>
      </c>
      <c r="BE43" s="270">
        <f>([5]R17_CF_Parte2!$O$83)*100</f>
        <v>3.6776297077712101</v>
      </c>
      <c r="BF43" s="270">
        <f>[4]R17_CF_Parte2!$O$83*100</f>
        <v>3.4291894033665038</v>
      </c>
      <c r="BG43" s="270">
        <f>[1]R17_CF_Parte2!$I$83*100</f>
        <v>3.631451983046377</v>
      </c>
      <c r="BH43" s="270">
        <f>[6]R17_CF_Parte2!$O$83*100</f>
        <v>3.2338690288537681</v>
      </c>
      <c r="BI43" s="270">
        <f ca="1">[3]R17_CF_Parte2!$I$83*100</f>
        <v>4.155883375080756</v>
      </c>
      <c r="BN43" s="19"/>
    </row>
    <row r="44" spans="2:66" ht="14.25" customHeight="1">
      <c r="B44" s="159" t="s">
        <v>53</v>
      </c>
      <c r="C44" s="159">
        <v>52</v>
      </c>
      <c r="D44" s="159">
        <v>34</v>
      </c>
      <c r="E44" s="159">
        <v>36</v>
      </c>
      <c r="F44" s="159">
        <v>41</v>
      </c>
      <c r="G44" s="159">
        <v>43</v>
      </c>
      <c r="H44" s="159">
        <v>50</v>
      </c>
      <c r="I44" s="159">
        <v>54</v>
      </c>
      <c r="J44" s="159">
        <v>51</v>
      </c>
      <c r="K44" s="159">
        <v>49</v>
      </c>
      <c r="L44" s="159">
        <v>54</v>
      </c>
      <c r="M44" s="159">
        <v>56</v>
      </c>
      <c r="N44" s="159">
        <v>54</v>
      </c>
      <c r="O44" s="159">
        <v>50</v>
      </c>
      <c r="P44" s="159">
        <v>51</v>
      </c>
      <c r="Q44" s="159">
        <v>52</v>
      </c>
      <c r="R44" s="159">
        <v>47</v>
      </c>
      <c r="S44" s="159">
        <v>45</v>
      </c>
      <c r="T44" s="159">
        <v>49</v>
      </c>
      <c r="U44" s="159">
        <v>47</v>
      </c>
      <c r="V44" s="159">
        <v>46</v>
      </c>
      <c r="W44" s="159">
        <v>45</v>
      </c>
      <c r="X44" s="263"/>
      <c r="Y44" s="159">
        <v>48</v>
      </c>
      <c r="Z44" s="159">
        <v>49</v>
      </c>
      <c r="AA44" s="159">
        <v>46</v>
      </c>
      <c r="AB44" s="159">
        <v>46</v>
      </c>
      <c r="AC44" s="159">
        <v>46</v>
      </c>
      <c r="AD44" s="159">
        <v>43</v>
      </c>
      <c r="AE44" s="159">
        <v>41</v>
      </c>
      <c r="AF44" s="159">
        <v>38</v>
      </c>
      <c r="AG44" s="159"/>
      <c r="AH44" s="159">
        <v>41</v>
      </c>
      <c r="AI44" s="159">
        <v>42</v>
      </c>
      <c r="AJ44" s="159">
        <v>38</v>
      </c>
      <c r="AK44" s="159">
        <v>34</v>
      </c>
      <c r="AL44" s="263"/>
      <c r="AM44" s="159">
        <v>43</v>
      </c>
      <c r="AN44" s="159">
        <v>46</v>
      </c>
      <c r="AO44" s="159">
        <v>48</v>
      </c>
      <c r="AP44" s="159">
        <v>45</v>
      </c>
      <c r="AQ44" s="271">
        <v>50</v>
      </c>
      <c r="AR44" s="271">
        <v>51</v>
      </c>
      <c r="AS44" s="271">
        <v>50.7</v>
      </c>
      <c r="AT44" s="271">
        <v>48.7</v>
      </c>
      <c r="AU44" s="271">
        <v>50.2</v>
      </c>
      <c r="AV44" s="271">
        <v>47</v>
      </c>
      <c r="AW44" s="271">
        <v>44</v>
      </c>
      <c r="AX44" s="271">
        <v>37.200000000000003</v>
      </c>
      <c r="AY44" s="271">
        <v>39.5</v>
      </c>
      <c r="AZ44" s="271">
        <v>27.4</v>
      </c>
      <c r="BA44" s="271">
        <v>35.6</v>
      </c>
      <c r="BB44" s="271">
        <v>45.9</v>
      </c>
      <c r="BC44" s="271">
        <v>52.3</v>
      </c>
      <c r="BD44" s="271">
        <v>51.899259055909383</v>
      </c>
      <c r="BE44" s="271">
        <f>([5]R17_CF_Parte2!$O$85)*100</f>
        <v>53.292982030786021</v>
      </c>
      <c r="BF44" s="271">
        <f>[4]R17_CF_Parte2!$O$85*100</f>
        <v>52.907979481747248</v>
      </c>
      <c r="BG44" s="271">
        <f>[1]R17_CF_Parte2!$I$85*100</f>
        <v>56.38485159497354</v>
      </c>
      <c r="BH44" s="271">
        <f>[6]R17_CF_Parte2!$O$85*100</f>
        <v>58.581398779249781</v>
      </c>
      <c r="BI44" s="271">
        <f ca="1">[3]R17_CF_Parte2!$I$85*100</f>
        <v>48.649218350289274</v>
      </c>
      <c r="BN44" s="19"/>
    </row>
    <row r="45" spans="2:66" ht="14.25" customHeight="1">
      <c r="B45" s="160" t="s">
        <v>54</v>
      </c>
      <c r="C45" s="160">
        <v>10</v>
      </c>
      <c r="D45" s="160">
        <v>12</v>
      </c>
      <c r="E45" s="160">
        <v>12</v>
      </c>
      <c r="F45" s="160">
        <v>12</v>
      </c>
      <c r="G45" s="160">
        <v>12</v>
      </c>
      <c r="H45" s="160">
        <v>11</v>
      </c>
      <c r="I45" s="160">
        <v>10</v>
      </c>
      <c r="J45" s="160">
        <v>10</v>
      </c>
      <c r="K45" s="160">
        <v>10</v>
      </c>
      <c r="L45" s="160">
        <v>9</v>
      </c>
      <c r="M45" s="160">
        <v>9</v>
      </c>
      <c r="N45" s="160">
        <v>9</v>
      </c>
      <c r="O45" s="160">
        <v>9</v>
      </c>
      <c r="P45" s="160">
        <v>9</v>
      </c>
      <c r="Q45" s="160">
        <v>9</v>
      </c>
      <c r="R45" s="160">
        <v>10</v>
      </c>
      <c r="S45" s="160">
        <v>10</v>
      </c>
      <c r="T45" s="160">
        <v>9</v>
      </c>
      <c r="U45" s="160">
        <v>11</v>
      </c>
      <c r="V45" s="160">
        <v>12</v>
      </c>
      <c r="W45" s="160">
        <v>12</v>
      </c>
      <c r="X45" s="264"/>
      <c r="Y45" s="160">
        <v>12</v>
      </c>
      <c r="Z45" s="160">
        <v>11</v>
      </c>
      <c r="AA45" s="160">
        <v>12</v>
      </c>
      <c r="AB45" s="160">
        <v>12</v>
      </c>
      <c r="AC45" s="160">
        <v>12</v>
      </c>
      <c r="AD45" s="160">
        <v>13</v>
      </c>
      <c r="AE45" s="160">
        <v>13</v>
      </c>
      <c r="AF45" s="160">
        <v>13</v>
      </c>
      <c r="AG45" s="160"/>
      <c r="AH45" s="160">
        <v>11</v>
      </c>
      <c r="AI45" s="160">
        <v>11</v>
      </c>
      <c r="AJ45" s="160">
        <v>13</v>
      </c>
      <c r="AK45" s="160">
        <v>14</v>
      </c>
      <c r="AL45" s="264"/>
      <c r="AM45" s="160">
        <v>13</v>
      </c>
      <c r="AN45" s="160">
        <v>13</v>
      </c>
      <c r="AO45" s="160">
        <v>12</v>
      </c>
      <c r="AP45" s="160">
        <v>13</v>
      </c>
      <c r="AQ45" s="270">
        <v>12</v>
      </c>
      <c r="AR45" s="270">
        <v>11.5</v>
      </c>
      <c r="AS45" s="270">
        <v>11.1</v>
      </c>
      <c r="AT45" s="270">
        <v>8.8000000000000007</v>
      </c>
      <c r="AU45" s="270">
        <v>8.5</v>
      </c>
      <c r="AV45" s="270">
        <v>9.3000000000000007</v>
      </c>
      <c r="AW45" s="270">
        <v>9.5</v>
      </c>
      <c r="AX45" s="270">
        <v>10.8</v>
      </c>
      <c r="AY45" s="270">
        <v>9.9</v>
      </c>
      <c r="AZ45" s="270">
        <v>10.9</v>
      </c>
      <c r="BA45" s="270">
        <v>9.8000000000000007</v>
      </c>
      <c r="BB45" s="270">
        <v>9.1999999999999993</v>
      </c>
      <c r="BC45" s="270">
        <v>8.3000000000000007</v>
      </c>
      <c r="BD45" s="270">
        <v>7.8455442642995354</v>
      </c>
      <c r="BE45" s="270">
        <f>([5]R17_CF_Parte2!$O$93)*100</f>
        <v>8.6675371426417769</v>
      </c>
      <c r="BF45" s="270">
        <f>[4]R17_CF_Parte2!$O$93*100</f>
        <v>9.4890979819243508</v>
      </c>
      <c r="BG45" s="270">
        <f>[1]R17_CF_Parte2!$I$93*100</f>
        <v>8.5784381509537244</v>
      </c>
      <c r="BH45" s="270">
        <f>[6]R17_CF_Parte2!$O$93*100</f>
        <v>8.9204694442069439</v>
      </c>
      <c r="BI45" s="270">
        <f ca="1">[3]R17_CF_Parte2!$I$93*100</f>
        <v>9.2025993580548331</v>
      </c>
      <c r="BN45" s="19"/>
    </row>
    <row r="46" spans="2:66" ht="14.25" customHeight="1">
      <c r="B46" s="159" t="s">
        <v>55</v>
      </c>
      <c r="C46" s="159">
        <v>10</v>
      </c>
      <c r="D46" s="159">
        <v>11</v>
      </c>
      <c r="E46" s="159">
        <v>11</v>
      </c>
      <c r="F46" s="159">
        <v>13</v>
      </c>
      <c r="G46" s="159">
        <v>12</v>
      </c>
      <c r="H46" s="159">
        <v>10</v>
      </c>
      <c r="I46" s="159">
        <v>10</v>
      </c>
      <c r="J46" s="159">
        <v>11</v>
      </c>
      <c r="K46" s="159">
        <v>10</v>
      </c>
      <c r="L46" s="159">
        <v>9</v>
      </c>
      <c r="M46" s="159">
        <v>9</v>
      </c>
      <c r="N46" s="159">
        <v>10</v>
      </c>
      <c r="O46" s="159">
        <v>10</v>
      </c>
      <c r="P46" s="159">
        <v>10</v>
      </c>
      <c r="Q46" s="159">
        <v>10</v>
      </c>
      <c r="R46" s="159">
        <v>11</v>
      </c>
      <c r="S46" s="159">
        <v>11</v>
      </c>
      <c r="T46" s="159">
        <v>11</v>
      </c>
      <c r="U46" s="159">
        <v>11</v>
      </c>
      <c r="V46" s="159">
        <v>12</v>
      </c>
      <c r="W46" s="159">
        <v>11</v>
      </c>
      <c r="X46" s="263"/>
      <c r="Y46" s="159">
        <v>10</v>
      </c>
      <c r="Z46" s="159">
        <v>10</v>
      </c>
      <c r="AA46" s="159">
        <v>10</v>
      </c>
      <c r="AB46" s="159">
        <v>10</v>
      </c>
      <c r="AC46" s="159">
        <v>11</v>
      </c>
      <c r="AD46" s="159">
        <v>11</v>
      </c>
      <c r="AE46" s="159">
        <v>11</v>
      </c>
      <c r="AF46" s="159">
        <v>12</v>
      </c>
      <c r="AG46" s="159"/>
      <c r="AH46" s="159">
        <v>12</v>
      </c>
      <c r="AI46" s="159">
        <v>11</v>
      </c>
      <c r="AJ46" s="159">
        <v>10</v>
      </c>
      <c r="AK46" s="159">
        <v>10</v>
      </c>
      <c r="AL46" s="263"/>
      <c r="AM46" s="159">
        <v>10</v>
      </c>
      <c r="AN46" s="159">
        <v>9</v>
      </c>
      <c r="AO46" s="159">
        <v>10</v>
      </c>
      <c r="AP46" s="159">
        <v>11</v>
      </c>
      <c r="AQ46" s="271">
        <v>12.6</v>
      </c>
      <c r="AR46" s="271">
        <v>12.6</v>
      </c>
      <c r="AS46" s="271">
        <v>13.6</v>
      </c>
      <c r="AT46" s="271">
        <v>14.3</v>
      </c>
      <c r="AU46" s="271">
        <v>15</v>
      </c>
      <c r="AV46" s="271">
        <v>14.6</v>
      </c>
      <c r="AW46" s="271">
        <v>14.4</v>
      </c>
      <c r="AX46" s="271">
        <v>14.6</v>
      </c>
      <c r="AY46" s="271">
        <v>15.1</v>
      </c>
      <c r="AZ46" s="271">
        <v>11.9</v>
      </c>
      <c r="BA46" s="271">
        <v>12.3</v>
      </c>
      <c r="BB46" s="271">
        <v>12.4</v>
      </c>
      <c r="BC46" s="271">
        <v>10.6</v>
      </c>
      <c r="BD46" s="271">
        <v>10.342546984681395</v>
      </c>
      <c r="BE46" s="271">
        <f>([5]R17_CF_Parte2!$O$102)*100</f>
        <v>9.9001169164671392</v>
      </c>
      <c r="BF46" s="271">
        <f>[4]R17_CF_Parte2!$O$102*100</f>
        <v>9.8567829228713233</v>
      </c>
      <c r="BG46" s="271">
        <f>[1]R17_CF_Parte2!$I$102*100</f>
        <v>10.434337129072537</v>
      </c>
      <c r="BH46" s="271">
        <f>[6]R17_CF_Parte2!$O$102*100</f>
        <v>10.01940126717766</v>
      </c>
      <c r="BI46" s="271">
        <f ca="1">[3]R17_CF_Parte2!$I$102*100</f>
        <v>10.896636882217877</v>
      </c>
      <c r="BN46" s="19"/>
    </row>
    <row r="47" spans="2:66" ht="14.5"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51"/>
      <c r="AH47" s="34"/>
      <c r="AI47" s="34"/>
      <c r="AJ47" s="34"/>
      <c r="AK47" s="34"/>
      <c r="AL47" s="34"/>
      <c r="AM47" s="34"/>
      <c r="AN47" s="34"/>
      <c r="AO47" s="34"/>
      <c r="AP47" s="34"/>
      <c r="AQ47" s="34"/>
    </row>
    <row r="48" spans="2:66" ht="16.5" thickBot="1">
      <c r="B48" s="341" t="s">
        <v>70</v>
      </c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147"/>
      <c r="Y48" s="341"/>
      <c r="Z48" s="341"/>
      <c r="AA48" s="341"/>
      <c r="AB48" s="341"/>
      <c r="AC48" s="341"/>
      <c r="AD48" s="341"/>
      <c r="AE48" s="341"/>
      <c r="AF48" s="341"/>
      <c r="AG48" s="342"/>
      <c r="AH48" s="341"/>
      <c r="AI48" s="341"/>
      <c r="AJ48" s="341"/>
      <c r="AK48" s="341"/>
      <c r="AL48" s="147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</row>
    <row r="49" spans="2:61" ht="16.5" thickTop="1">
      <c r="B49" s="125" t="s">
        <v>51</v>
      </c>
      <c r="C49" s="78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265"/>
      <c r="AH49" s="147"/>
      <c r="AI49" s="147"/>
      <c r="AJ49" s="147"/>
      <c r="AK49" s="147"/>
      <c r="AL49" s="147"/>
      <c r="AM49" s="78"/>
      <c r="AN49" s="78"/>
      <c r="AO49" s="78"/>
      <c r="AS49" s="125"/>
      <c r="AT49" s="125"/>
      <c r="AU49" s="78"/>
      <c r="AV49" s="125"/>
      <c r="AW49" s="125"/>
      <c r="AY49" s="125"/>
      <c r="AZ49" s="125"/>
      <c r="BA49" s="125"/>
      <c r="BB49" s="125"/>
      <c r="BC49" s="125" t="s">
        <v>61</v>
      </c>
      <c r="BD49" s="125"/>
      <c r="BE49" s="125"/>
      <c r="BF49" s="125"/>
      <c r="BG49" s="125"/>
      <c r="BH49" s="125"/>
      <c r="BI49" s="125"/>
    </row>
    <row r="50" spans="2:61" ht="16">
      <c r="B50" s="125" t="s">
        <v>53</v>
      </c>
      <c r="C50" s="78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265"/>
      <c r="AH50" s="147"/>
      <c r="AI50" s="147"/>
      <c r="AJ50" s="147"/>
      <c r="AK50" s="147"/>
      <c r="AL50" s="147"/>
      <c r="AM50" s="78"/>
      <c r="AN50" s="78"/>
      <c r="AO50" s="78"/>
      <c r="AS50" s="125"/>
      <c r="AT50" s="125"/>
      <c r="AU50" s="78"/>
      <c r="AV50" s="125"/>
      <c r="AW50" s="125"/>
      <c r="AY50" s="125"/>
      <c r="AZ50" s="125"/>
      <c r="BA50" s="125"/>
      <c r="BB50" s="125"/>
      <c r="BC50" s="125" t="s">
        <v>140</v>
      </c>
      <c r="BD50" s="125"/>
      <c r="BE50" s="125"/>
      <c r="BF50" s="125"/>
      <c r="BG50" s="125"/>
      <c r="BH50" s="125"/>
      <c r="BI50" s="125"/>
    </row>
    <row r="51" spans="2:61" ht="16">
      <c r="B51" s="125" t="s">
        <v>54</v>
      </c>
      <c r="C51" s="78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265"/>
      <c r="AH51" s="147"/>
      <c r="AI51" s="147"/>
      <c r="AJ51" s="147"/>
      <c r="AK51" s="147"/>
      <c r="AL51" s="147"/>
      <c r="AM51" s="78"/>
      <c r="AN51" s="78"/>
      <c r="AO51" s="78"/>
      <c r="AS51" s="125"/>
      <c r="AT51" s="125"/>
      <c r="AU51" s="78"/>
      <c r="AV51" s="125"/>
      <c r="AW51" s="125"/>
      <c r="AY51" s="125"/>
      <c r="AZ51" s="125"/>
      <c r="BA51" s="125"/>
      <c r="BB51" s="125"/>
      <c r="BC51" s="125" t="s">
        <v>141</v>
      </c>
      <c r="BD51" s="125"/>
      <c r="BE51" s="125"/>
      <c r="BF51" s="125"/>
      <c r="BG51" s="125"/>
      <c r="BH51" s="125"/>
      <c r="BI51" s="125"/>
    </row>
    <row r="52" spans="2:61" ht="16">
      <c r="B52" s="125" t="s">
        <v>55</v>
      </c>
      <c r="C52" s="78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265"/>
      <c r="AH52" s="147"/>
      <c r="AI52" s="147"/>
      <c r="AJ52" s="147"/>
      <c r="AK52" s="147"/>
      <c r="AL52" s="147"/>
      <c r="AM52" s="78"/>
      <c r="AN52" s="78"/>
      <c r="AO52" s="78"/>
      <c r="AS52" s="125"/>
      <c r="AT52" s="125"/>
      <c r="AU52" s="78"/>
      <c r="AV52" s="125"/>
      <c r="AW52" s="125"/>
      <c r="AY52" s="125"/>
      <c r="AZ52" s="125"/>
      <c r="BA52" s="125"/>
      <c r="BB52" s="125"/>
      <c r="BC52" s="125" t="s">
        <v>60</v>
      </c>
      <c r="BD52" s="125"/>
      <c r="BE52" s="125"/>
      <c r="BF52" s="125"/>
      <c r="BG52" s="125"/>
      <c r="BH52" s="125"/>
      <c r="BI52" s="125"/>
    </row>
    <row r="53" spans="2:61" ht="14.5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51"/>
      <c r="AH53" s="34"/>
      <c r="AI53" s="34"/>
      <c r="AJ53" s="34"/>
      <c r="AK53" s="34"/>
      <c r="AL53" s="34"/>
    </row>
    <row r="54" spans="2:61" ht="16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51"/>
      <c r="AH54" s="34"/>
      <c r="AI54" s="34"/>
      <c r="AJ54" s="34"/>
      <c r="AK54" s="34"/>
      <c r="AL54" s="34"/>
      <c r="AR54" s="125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</row>
    <row r="55" spans="2:61" ht="16">
      <c r="AR55" s="125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</row>
    <row r="56" spans="2:61" ht="14.25" customHeight="1">
      <c r="B56" s="4"/>
      <c r="C56" s="4"/>
      <c r="D56" s="4"/>
      <c r="E56" s="4"/>
      <c r="F56" s="5"/>
      <c r="G56" s="6"/>
      <c r="H56" s="6"/>
      <c r="I56" s="6"/>
      <c r="J56" s="6"/>
      <c r="K56" s="6"/>
      <c r="L56" s="6"/>
      <c r="M56" s="6"/>
      <c r="AR56" s="125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</row>
    <row r="57" spans="2:61" ht="16">
      <c r="AR57" s="125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="90" zoomScaleNormal="90" workbookViewId="0">
      <selection activeCell="G8" sqref="G8"/>
    </sheetView>
  </sheetViews>
  <sheetFormatPr defaultColWidth="9.1796875" defaultRowHeight="16"/>
  <cols>
    <col min="1" max="1" width="43.1796875" style="346" customWidth="1"/>
    <col min="2" max="2" width="10.7265625" style="346" hidden="1" customWidth="1"/>
    <col min="3" max="7" width="9.453125" style="346" customWidth="1"/>
    <col min="8" max="16384" width="9.1796875" style="346"/>
  </cols>
  <sheetData>
    <row r="1" spans="1:7" s="343" customFormat="1">
      <c r="A1" s="492" t="s">
        <v>211</v>
      </c>
      <c r="B1" s="492"/>
      <c r="C1" s="492"/>
      <c r="D1" s="492"/>
      <c r="E1" s="492"/>
      <c r="F1" s="492"/>
      <c r="G1" s="492"/>
    </row>
    <row r="2" spans="1:7" s="343" customFormat="1">
      <c r="A2" s="376"/>
      <c r="B2" s="376"/>
      <c r="C2" s="376"/>
      <c r="D2" s="376"/>
      <c r="E2" s="376"/>
      <c r="F2" s="376"/>
      <c r="G2" s="376"/>
    </row>
    <row r="3" spans="1:7" s="343" customFormat="1">
      <c r="A3" s="376"/>
      <c r="B3" s="376"/>
      <c r="C3" s="376"/>
      <c r="D3" s="376"/>
      <c r="E3" s="376"/>
      <c r="F3" s="376"/>
      <c r="G3" s="376"/>
    </row>
    <row r="4" spans="1:7" s="343" customFormat="1">
      <c r="A4" s="376"/>
      <c r="B4" s="376"/>
      <c r="C4" s="376"/>
      <c r="D4" s="376"/>
      <c r="E4" s="376"/>
      <c r="F4" s="376"/>
      <c r="G4" s="376"/>
    </row>
    <row r="5" spans="1:7" s="345" customFormat="1" ht="4.5" customHeight="1" thickBot="1">
      <c r="A5" s="344"/>
    </row>
    <row r="6" spans="1:7" ht="14.25" customHeight="1" thickBot="1">
      <c r="A6" s="266" t="s">
        <v>212</v>
      </c>
      <c r="B6" s="370" t="s">
        <v>210</v>
      </c>
      <c r="C6" s="267" t="s">
        <v>181</v>
      </c>
      <c r="D6" s="267" t="s">
        <v>182</v>
      </c>
      <c r="E6" s="267" t="s">
        <v>183</v>
      </c>
      <c r="F6" s="267" t="s">
        <v>198</v>
      </c>
      <c r="G6" s="267">
        <v>2018</v>
      </c>
    </row>
    <row r="7" spans="1:7" ht="16.5" thickTop="1">
      <c r="A7" s="347" t="s">
        <v>213</v>
      </c>
      <c r="B7" s="348"/>
      <c r="C7" s="349"/>
      <c r="D7" s="349"/>
      <c r="E7" s="349"/>
      <c r="F7" s="349"/>
      <c r="G7" s="349"/>
    </row>
    <row r="8" spans="1:7">
      <c r="A8" s="350" t="s">
        <v>214</v>
      </c>
      <c r="B8" s="351">
        <v>3217</v>
      </c>
      <c r="C8" s="353">
        <v>1532</v>
      </c>
      <c r="D8" s="353">
        <v>1381</v>
      </c>
      <c r="E8" s="352">
        <v>1479</v>
      </c>
      <c r="F8" s="352">
        <v>1454</v>
      </c>
      <c r="G8" s="352">
        <f>SUM(C8:F8)</f>
        <v>5846</v>
      </c>
    </row>
    <row r="9" spans="1:7">
      <c r="A9" s="354" t="s">
        <v>215</v>
      </c>
      <c r="B9" s="377">
        <v>2985</v>
      </c>
      <c r="C9" s="378">
        <v>1438</v>
      </c>
      <c r="D9" s="378">
        <v>1364</v>
      </c>
      <c r="E9" s="378">
        <v>1422</v>
      </c>
      <c r="F9" s="378">
        <v>1311.1079999999999</v>
      </c>
      <c r="G9" s="378">
        <f>SUM(C9:F9)</f>
        <v>5535.1080000000002</v>
      </c>
    </row>
    <row r="10" spans="1:7">
      <c r="A10" s="347" t="s">
        <v>216</v>
      </c>
      <c r="B10" s="355"/>
      <c r="C10" s="356"/>
      <c r="D10" s="356"/>
      <c r="E10" s="356"/>
      <c r="F10" s="356"/>
      <c r="G10" s="356"/>
    </row>
    <row r="11" spans="1:7" ht="14.25" customHeight="1">
      <c r="A11" s="350" t="s">
        <v>217</v>
      </c>
      <c r="B11" s="351">
        <v>10026</v>
      </c>
      <c r="C11" s="353">
        <v>3611</v>
      </c>
      <c r="D11" s="353">
        <v>3798</v>
      </c>
      <c r="E11" s="352">
        <v>4390</v>
      </c>
      <c r="F11" s="352">
        <v>3945.8471660600003</v>
      </c>
      <c r="G11" s="352">
        <f>SUM(C11:F11)</f>
        <v>15744.847166060001</v>
      </c>
    </row>
    <row r="12" spans="1:7">
      <c r="A12" s="354" t="s">
        <v>23</v>
      </c>
      <c r="B12" s="377">
        <v>-8757</v>
      </c>
      <c r="C12" s="378">
        <f>C13-C11</f>
        <v>-2929</v>
      </c>
      <c r="D12" s="378">
        <f>D13-D11</f>
        <v>-3139</v>
      </c>
      <c r="E12" s="378">
        <f>E13-E11</f>
        <v>-3602</v>
      </c>
      <c r="F12" s="378">
        <f>F13-F11</f>
        <v>-3374.4782453800981</v>
      </c>
      <c r="G12" s="378">
        <f>SUM(C12:F12)</f>
        <v>-13044.478245380098</v>
      </c>
    </row>
    <row r="13" spans="1:7" ht="14.25" customHeight="1">
      <c r="A13" s="350" t="s">
        <v>24</v>
      </c>
      <c r="B13" s="351">
        <f>B11+B12</f>
        <v>1269</v>
      </c>
      <c r="C13" s="353">
        <v>682</v>
      </c>
      <c r="D13" s="353">
        <v>659</v>
      </c>
      <c r="E13" s="352">
        <v>788</v>
      </c>
      <c r="F13" s="352">
        <v>571.3689206799022</v>
      </c>
      <c r="G13" s="352">
        <f>SUM(C13:F13)</f>
        <v>2700.3689206799022</v>
      </c>
    </row>
    <row r="14" spans="1:7" s="360" customFormat="1" ht="14.25" customHeight="1">
      <c r="A14" s="357" t="s">
        <v>218</v>
      </c>
      <c r="B14" s="358">
        <f t="shared" ref="B14:G14" si="0">B13/B11</f>
        <v>0.12657091561938957</v>
      </c>
      <c r="C14" s="359">
        <f t="shared" si="0"/>
        <v>0.18886734976460814</v>
      </c>
      <c r="D14" s="359">
        <f t="shared" si="0"/>
        <v>0.17351237493417587</v>
      </c>
      <c r="E14" s="359">
        <f t="shared" si="0"/>
        <v>0.17949886104783599</v>
      </c>
      <c r="F14" s="359">
        <f t="shared" si="0"/>
        <v>0.14480259792992042</v>
      </c>
      <c r="G14" s="359">
        <f t="shared" si="0"/>
        <v>0.17150810625211321</v>
      </c>
    </row>
    <row r="15" spans="1:7" ht="14.25" customHeight="1">
      <c r="A15" s="354" t="s">
        <v>219</v>
      </c>
      <c r="B15" s="364">
        <v>1552</v>
      </c>
      <c r="C15" s="366">
        <v>751</v>
      </c>
      <c r="D15" s="366">
        <v>743</v>
      </c>
      <c r="E15" s="365">
        <v>891</v>
      </c>
      <c r="F15" s="365">
        <v>646.66360937990214</v>
      </c>
      <c r="G15" s="365">
        <f>SUM(C15:F15)</f>
        <v>3031.663609379902</v>
      </c>
    </row>
    <row r="16" spans="1:7" s="360" customFormat="1" ht="14.25" customHeight="1" thickBot="1">
      <c r="A16" s="367" t="s">
        <v>220</v>
      </c>
      <c r="B16" s="368">
        <f t="shared" ref="B16:G16" si="1">B15/B11</f>
        <v>0.15479752643127867</v>
      </c>
      <c r="C16" s="361">
        <f t="shared" si="1"/>
        <v>0.20797563001938521</v>
      </c>
      <c r="D16" s="361">
        <f t="shared" si="1"/>
        <v>0.19562927856766718</v>
      </c>
      <c r="E16" s="361">
        <f t="shared" si="1"/>
        <v>0.20296127562642369</v>
      </c>
      <c r="F16" s="361">
        <f t="shared" si="1"/>
        <v>0.16388460631271926</v>
      </c>
      <c r="G16" s="361">
        <f t="shared" si="1"/>
        <v>0.19254957367354028</v>
      </c>
    </row>
    <row r="17" spans="1:7" ht="14.25" customHeight="1">
      <c r="A17" s="362"/>
      <c r="B17" s="379"/>
      <c r="C17" s="379"/>
      <c r="D17" s="379"/>
      <c r="E17" s="379"/>
      <c r="F17" s="379"/>
      <c r="G17" s="363"/>
    </row>
    <row r="18" spans="1:7" s="345" customFormat="1" ht="4.5" customHeight="1" thickBot="1">
      <c r="A18" s="344"/>
    </row>
    <row r="19" spans="1:7" ht="14.25" customHeight="1" thickBot="1">
      <c r="A19" s="266" t="s">
        <v>221</v>
      </c>
      <c r="B19" s="370" t="s">
        <v>210</v>
      </c>
      <c r="C19" s="267" t="s">
        <v>181</v>
      </c>
      <c r="D19" s="267" t="s">
        <v>182</v>
      </c>
      <c r="E19" s="267" t="s">
        <v>183</v>
      </c>
      <c r="F19" s="267" t="s">
        <v>198</v>
      </c>
      <c r="G19" s="267">
        <v>2018</v>
      </c>
    </row>
    <row r="20" spans="1:7" ht="16.5" thickTop="1">
      <c r="A20" s="347" t="s">
        <v>213</v>
      </c>
      <c r="B20" s="348"/>
      <c r="C20" s="349"/>
      <c r="D20" s="349"/>
      <c r="E20" s="349"/>
      <c r="F20" s="349"/>
      <c r="G20" s="349"/>
    </row>
    <row r="21" spans="1:7">
      <c r="A21" s="350" t="s">
        <v>214</v>
      </c>
      <c r="B21" s="351">
        <v>3217</v>
      </c>
      <c r="C21" s="353">
        <v>1328</v>
      </c>
      <c r="D21" s="353">
        <v>1297</v>
      </c>
      <c r="E21" s="352">
        <v>1221</v>
      </c>
      <c r="F21" s="352">
        <v>1008</v>
      </c>
      <c r="G21" s="352">
        <f>SUM(C21:F21)</f>
        <v>4854</v>
      </c>
    </row>
    <row r="22" spans="1:7">
      <c r="A22" s="354" t="s">
        <v>215</v>
      </c>
      <c r="B22" s="377">
        <v>2985</v>
      </c>
      <c r="C22" s="378">
        <v>1061</v>
      </c>
      <c r="D22" s="378">
        <v>1125</v>
      </c>
      <c r="E22" s="378">
        <v>1027</v>
      </c>
      <c r="F22" s="378">
        <v>1003</v>
      </c>
      <c r="G22" s="378">
        <f>SUM(C22:F22)</f>
        <v>4216</v>
      </c>
    </row>
    <row r="23" spans="1:7">
      <c r="A23" s="347" t="s">
        <v>216</v>
      </c>
      <c r="B23" s="355"/>
      <c r="C23" s="356"/>
      <c r="D23" s="356"/>
      <c r="E23" s="356"/>
      <c r="F23" s="356"/>
      <c r="G23" s="356"/>
    </row>
    <row r="24" spans="1:7" ht="14.25" customHeight="1">
      <c r="A24" s="350" t="s">
        <v>217</v>
      </c>
      <c r="B24" s="351">
        <v>10026</v>
      </c>
      <c r="C24" s="353">
        <v>2933</v>
      </c>
      <c r="D24" s="353">
        <v>3818</v>
      </c>
      <c r="E24" s="352">
        <v>4030</v>
      </c>
      <c r="F24" s="352">
        <v>3705</v>
      </c>
      <c r="G24" s="352">
        <f>SUM(C24:F24)</f>
        <v>14486</v>
      </c>
    </row>
    <row r="25" spans="1:7">
      <c r="A25" s="354" t="s">
        <v>23</v>
      </c>
      <c r="B25" s="377">
        <v>-8757</v>
      </c>
      <c r="C25" s="378">
        <v>-2693</v>
      </c>
      <c r="D25" s="378">
        <v>-3376</v>
      </c>
      <c r="E25" s="378">
        <v>-3516</v>
      </c>
      <c r="F25" s="378">
        <v>-3325</v>
      </c>
      <c r="G25" s="378">
        <f>SUM(C25:F25)</f>
        <v>-12910</v>
      </c>
    </row>
    <row r="26" spans="1:7" ht="14.25" customHeight="1">
      <c r="A26" s="350" t="s">
        <v>24</v>
      </c>
      <c r="B26" s="351">
        <f>B24+B25</f>
        <v>1269</v>
      </c>
      <c r="C26" s="353">
        <f>C24+C25</f>
        <v>240</v>
      </c>
      <c r="D26" s="353">
        <f>D24+D25</f>
        <v>442</v>
      </c>
      <c r="E26" s="353">
        <f>E24+E25</f>
        <v>514</v>
      </c>
      <c r="F26" s="353">
        <f>F24+F25</f>
        <v>380</v>
      </c>
      <c r="G26" s="352">
        <f>SUM(C26:F26)</f>
        <v>1576</v>
      </c>
    </row>
    <row r="27" spans="1:7" s="360" customFormat="1" ht="14.25" customHeight="1">
      <c r="A27" s="357" t="s">
        <v>218</v>
      </c>
      <c r="B27" s="358">
        <f t="shared" ref="B27:G27" si="2">B26/B24</f>
        <v>0.12657091561938957</v>
      </c>
      <c r="C27" s="359">
        <f t="shared" si="2"/>
        <v>8.1827480395499488E-2</v>
      </c>
      <c r="D27" s="359">
        <f t="shared" si="2"/>
        <v>0.11576741749607124</v>
      </c>
      <c r="E27" s="359">
        <f t="shared" si="2"/>
        <v>0.12754342431761787</v>
      </c>
      <c r="F27" s="359">
        <f t="shared" si="2"/>
        <v>0.10256410256410256</v>
      </c>
      <c r="G27" s="359">
        <f t="shared" si="2"/>
        <v>0.10879469832942151</v>
      </c>
    </row>
    <row r="28" spans="1:7" ht="14.25" customHeight="1">
      <c r="A28" s="354" t="s">
        <v>219</v>
      </c>
      <c r="B28" s="364">
        <v>1552</v>
      </c>
      <c r="C28" s="366">
        <v>239</v>
      </c>
      <c r="D28" s="366">
        <v>437</v>
      </c>
      <c r="E28" s="365">
        <v>522</v>
      </c>
      <c r="F28" s="365">
        <v>406</v>
      </c>
      <c r="G28" s="365">
        <f>SUM(C28:F28)</f>
        <v>1604</v>
      </c>
    </row>
    <row r="29" spans="1:7" s="360" customFormat="1" ht="14.25" customHeight="1" thickBot="1">
      <c r="A29" s="367" t="s">
        <v>220</v>
      </c>
      <c r="B29" s="368">
        <f t="shared" ref="B29:G29" si="3">B28/B24</f>
        <v>0.15479752643127867</v>
      </c>
      <c r="C29" s="361">
        <f t="shared" si="3"/>
        <v>8.1486532560518243E-2</v>
      </c>
      <c r="D29" s="361">
        <f t="shared" si="3"/>
        <v>0.1144578313253012</v>
      </c>
      <c r="E29" s="361">
        <f t="shared" si="3"/>
        <v>0.12952853598014888</v>
      </c>
      <c r="F29" s="361">
        <f t="shared" si="3"/>
        <v>0.10958164642375169</v>
      </c>
      <c r="G29" s="361">
        <f t="shared" si="3"/>
        <v>0.1107275990611625</v>
      </c>
    </row>
    <row r="31" spans="1:7" s="345" customFormat="1" ht="4.5" customHeight="1" thickBot="1">
      <c r="A31" s="344"/>
    </row>
    <row r="32" spans="1:7" ht="14.25" customHeight="1" thickBot="1">
      <c r="A32" s="266" t="s">
        <v>222</v>
      </c>
      <c r="B32" s="370" t="s">
        <v>210</v>
      </c>
      <c r="C32" s="267" t="s">
        <v>181</v>
      </c>
      <c r="D32" s="267" t="s">
        <v>182</v>
      </c>
      <c r="E32" s="267" t="s">
        <v>183</v>
      </c>
      <c r="F32" s="267" t="s">
        <v>198</v>
      </c>
      <c r="G32" s="267">
        <v>2018</v>
      </c>
    </row>
    <row r="33" spans="1:7" ht="16.5" thickTop="1">
      <c r="A33" s="347" t="s">
        <v>213</v>
      </c>
      <c r="B33" s="348"/>
      <c r="C33" s="349"/>
      <c r="D33" s="349"/>
      <c r="E33" s="349"/>
      <c r="F33" s="349"/>
      <c r="G33" s="349"/>
    </row>
    <row r="34" spans="1:7">
      <c r="A34" s="350" t="s">
        <v>214</v>
      </c>
      <c r="B34" s="351">
        <v>3217</v>
      </c>
      <c r="C34" s="353">
        <v>522</v>
      </c>
      <c r="D34" s="353">
        <v>568</v>
      </c>
      <c r="E34" s="352">
        <v>578</v>
      </c>
      <c r="F34" s="352">
        <v>444</v>
      </c>
      <c r="G34" s="352">
        <f>SUM(C34:F34)</f>
        <v>2112</v>
      </c>
    </row>
    <row r="35" spans="1:7">
      <c r="A35" s="354" t="s">
        <v>215</v>
      </c>
      <c r="B35" s="377">
        <v>2985</v>
      </c>
      <c r="C35" s="378">
        <v>445</v>
      </c>
      <c r="D35" s="378">
        <v>502</v>
      </c>
      <c r="E35" s="378">
        <v>494</v>
      </c>
      <c r="F35" s="378">
        <v>474</v>
      </c>
      <c r="G35" s="378">
        <f>SUM(C35:F35)</f>
        <v>1915</v>
      </c>
    </row>
    <row r="36" spans="1:7">
      <c r="A36" s="347" t="s">
        <v>216</v>
      </c>
      <c r="B36" s="355"/>
      <c r="C36" s="356"/>
      <c r="D36" s="356"/>
      <c r="E36" s="356"/>
      <c r="F36" s="356"/>
      <c r="G36" s="356"/>
    </row>
    <row r="37" spans="1:7" ht="14.25" customHeight="1">
      <c r="A37" s="350" t="s">
        <v>217</v>
      </c>
      <c r="B37" s="351">
        <v>10026</v>
      </c>
      <c r="C37" s="353">
        <v>1557</v>
      </c>
      <c r="D37" s="353">
        <v>1931</v>
      </c>
      <c r="E37" s="352">
        <v>2116</v>
      </c>
      <c r="F37" s="352">
        <v>1989</v>
      </c>
      <c r="G37" s="352">
        <f>SUM(C37:F37)</f>
        <v>7593</v>
      </c>
    </row>
    <row r="38" spans="1:7">
      <c r="A38" s="354" t="s">
        <v>23</v>
      </c>
      <c r="B38" s="377">
        <v>-8757</v>
      </c>
      <c r="C38" s="378">
        <v>-1321</v>
      </c>
      <c r="D38" s="378">
        <v>-1633</v>
      </c>
      <c r="E38" s="378">
        <v>-1819</v>
      </c>
      <c r="F38" s="378">
        <v>-1814</v>
      </c>
      <c r="G38" s="378">
        <f>SUM(C38:F38)</f>
        <v>-6587</v>
      </c>
    </row>
    <row r="39" spans="1:7" ht="14.25" customHeight="1">
      <c r="A39" s="350" t="s">
        <v>24</v>
      </c>
      <c r="B39" s="351">
        <f>B37+B38</f>
        <v>1269</v>
      </c>
      <c r="C39" s="353">
        <f>C37+C38</f>
        <v>236</v>
      </c>
      <c r="D39" s="353">
        <f>D37+D38</f>
        <v>298</v>
      </c>
      <c r="E39" s="353">
        <f>E37+E38</f>
        <v>297</v>
      </c>
      <c r="F39" s="353">
        <f>F37+F38</f>
        <v>175</v>
      </c>
      <c r="G39" s="352">
        <f>SUM(C39:F39)</f>
        <v>1006</v>
      </c>
    </row>
    <row r="40" spans="1:7" s="360" customFormat="1" ht="14.25" customHeight="1">
      <c r="A40" s="357" t="s">
        <v>218</v>
      </c>
      <c r="B40" s="358">
        <f t="shared" ref="B40:G40" si="4">B39/B37</f>
        <v>0.12657091561938957</v>
      </c>
      <c r="C40" s="359">
        <f t="shared" si="4"/>
        <v>0.15157353885677585</v>
      </c>
      <c r="D40" s="359">
        <f t="shared" si="4"/>
        <v>0.15432418436043502</v>
      </c>
      <c r="E40" s="359">
        <f t="shared" si="4"/>
        <v>0.14035916824196598</v>
      </c>
      <c r="F40" s="359">
        <f t="shared" si="4"/>
        <v>8.7983911513323285E-2</v>
      </c>
      <c r="G40" s="359">
        <f t="shared" si="4"/>
        <v>0.13249045173185828</v>
      </c>
    </row>
    <row r="41" spans="1:7" ht="14.25" customHeight="1">
      <c r="A41" s="354" t="s">
        <v>219</v>
      </c>
      <c r="B41" s="364">
        <v>1552</v>
      </c>
      <c r="C41" s="366">
        <v>283</v>
      </c>
      <c r="D41" s="366">
        <v>351</v>
      </c>
      <c r="E41" s="365">
        <v>342</v>
      </c>
      <c r="F41" s="365">
        <v>226</v>
      </c>
      <c r="G41" s="365">
        <f>SUM(C41:F41)</f>
        <v>1202</v>
      </c>
    </row>
    <row r="42" spans="1:7" s="360" customFormat="1" ht="14.25" customHeight="1" thickBot="1">
      <c r="A42" s="367" t="s">
        <v>220</v>
      </c>
      <c r="B42" s="368">
        <f t="shared" ref="B42:G42" si="5">B41/B37</f>
        <v>0.15479752643127867</v>
      </c>
      <c r="C42" s="361">
        <f t="shared" si="5"/>
        <v>0.18175979447655749</v>
      </c>
      <c r="D42" s="361">
        <f t="shared" si="5"/>
        <v>0.18177110305541169</v>
      </c>
      <c r="E42" s="361">
        <f t="shared" si="5"/>
        <v>0.16162570888468808</v>
      </c>
      <c r="F42" s="361">
        <f t="shared" si="5"/>
        <v>0.11362493715434892</v>
      </c>
      <c r="G42" s="361">
        <f t="shared" si="5"/>
        <v>0.15830370077703149</v>
      </c>
    </row>
    <row r="44" spans="1:7" s="345" customFormat="1" ht="4.5" customHeight="1" thickBot="1">
      <c r="A44" s="344"/>
    </row>
    <row r="45" spans="1:7" ht="14.25" customHeight="1" thickBot="1">
      <c r="A45" s="266" t="s">
        <v>223</v>
      </c>
      <c r="B45" s="370" t="s">
        <v>210</v>
      </c>
      <c r="C45" s="267" t="s">
        <v>181</v>
      </c>
      <c r="D45" s="267" t="s">
        <v>182</v>
      </c>
      <c r="E45" s="267" t="s">
        <v>183</v>
      </c>
      <c r="F45" s="267" t="s">
        <v>198</v>
      </c>
      <c r="G45" s="267">
        <v>2018</v>
      </c>
    </row>
    <row r="46" spans="1:7" ht="16.5" thickTop="1">
      <c r="A46" s="347" t="s">
        <v>213</v>
      </c>
      <c r="B46" s="348"/>
      <c r="C46" s="349"/>
      <c r="D46" s="349"/>
      <c r="E46" s="349"/>
      <c r="F46" s="349"/>
      <c r="G46" s="349"/>
    </row>
    <row r="47" spans="1:7">
      <c r="A47" s="350" t="s">
        <v>214</v>
      </c>
      <c r="B47" s="351">
        <v>3217</v>
      </c>
      <c r="C47" s="353">
        <v>146</v>
      </c>
      <c r="D47" s="353">
        <v>169</v>
      </c>
      <c r="E47" s="352">
        <v>142</v>
      </c>
      <c r="F47" s="352">
        <v>144</v>
      </c>
      <c r="G47" s="352">
        <f>SUM(C47:F47)</f>
        <v>601</v>
      </c>
    </row>
    <row r="48" spans="1:7">
      <c r="A48" s="354" t="s">
        <v>215</v>
      </c>
      <c r="B48" s="377">
        <v>2985</v>
      </c>
      <c r="C48" s="378">
        <v>262</v>
      </c>
      <c r="D48" s="378">
        <v>275</v>
      </c>
      <c r="E48" s="378">
        <v>284</v>
      </c>
      <c r="F48" s="378">
        <v>262</v>
      </c>
      <c r="G48" s="378">
        <f>SUM(C48:F48)</f>
        <v>1083</v>
      </c>
    </row>
    <row r="49" spans="1:7">
      <c r="A49" s="347" t="s">
        <v>216</v>
      </c>
      <c r="B49" s="355"/>
      <c r="C49" s="356"/>
      <c r="D49" s="356"/>
      <c r="E49" s="356"/>
      <c r="F49" s="356"/>
      <c r="G49" s="356"/>
    </row>
    <row r="50" spans="1:7" ht="14.25" customHeight="1">
      <c r="A50" s="350" t="s">
        <v>217</v>
      </c>
      <c r="B50" s="351">
        <v>10026</v>
      </c>
      <c r="C50" s="353">
        <v>691</v>
      </c>
      <c r="D50" s="353">
        <v>808</v>
      </c>
      <c r="E50" s="352">
        <v>907</v>
      </c>
      <c r="F50" s="352">
        <v>819</v>
      </c>
      <c r="G50" s="352">
        <f>SUM(C50:F50)</f>
        <v>3225</v>
      </c>
    </row>
    <row r="51" spans="1:7">
      <c r="A51" s="354" t="s">
        <v>23</v>
      </c>
      <c r="B51" s="377">
        <v>-8757</v>
      </c>
      <c r="C51" s="378">
        <v>-583</v>
      </c>
      <c r="D51" s="378">
        <v>-667</v>
      </c>
      <c r="E51" s="378">
        <v>-762</v>
      </c>
      <c r="F51" s="378">
        <v>-701</v>
      </c>
      <c r="G51" s="378">
        <f>SUM(C51:F51)</f>
        <v>-2713</v>
      </c>
    </row>
    <row r="52" spans="1:7" ht="14.25" customHeight="1">
      <c r="A52" s="350" t="s">
        <v>24</v>
      </c>
      <c r="B52" s="351">
        <f>B50+B51</f>
        <v>1269</v>
      </c>
      <c r="C52" s="353">
        <f>C50+C51</f>
        <v>108</v>
      </c>
      <c r="D52" s="353">
        <f>D50+D51</f>
        <v>141</v>
      </c>
      <c r="E52" s="353">
        <f>E50+E51</f>
        <v>145</v>
      </c>
      <c r="F52" s="353">
        <f>F50+F51</f>
        <v>118</v>
      </c>
      <c r="G52" s="352">
        <f>SUM(C52:F52)</f>
        <v>512</v>
      </c>
    </row>
    <row r="53" spans="1:7" s="360" customFormat="1" ht="14.25" customHeight="1">
      <c r="A53" s="357" t="s">
        <v>218</v>
      </c>
      <c r="B53" s="358">
        <f t="shared" ref="B53:G53" si="6">B52/B50</f>
        <v>0.12657091561938957</v>
      </c>
      <c r="C53" s="359">
        <f t="shared" si="6"/>
        <v>0.15629522431259044</v>
      </c>
      <c r="D53" s="359">
        <f t="shared" si="6"/>
        <v>0.17450495049504949</v>
      </c>
      <c r="E53" s="359">
        <f t="shared" si="6"/>
        <v>0.15986769570011025</v>
      </c>
      <c r="F53" s="359">
        <f t="shared" si="6"/>
        <v>0.14407814407814407</v>
      </c>
      <c r="G53" s="359">
        <f t="shared" si="6"/>
        <v>0.15875968992248063</v>
      </c>
    </row>
    <row r="54" spans="1:7" ht="14.25" customHeight="1">
      <c r="A54" s="354" t="s">
        <v>219</v>
      </c>
      <c r="B54" s="364">
        <v>1552</v>
      </c>
      <c r="C54" s="366">
        <v>154</v>
      </c>
      <c r="D54" s="366">
        <v>174</v>
      </c>
      <c r="E54" s="365">
        <v>185</v>
      </c>
      <c r="F54" s="365">
        <v>128</v>
      </c>
      <c r="G54" s="365">
        <f>SUM(C54:F54)</f>
        <v>641</v>
      </c>
    </row>
    <row r="55" spans="1:7" s="360" customFormat="1" ht="14.25" customHeight="1" thickBot="1">
      <c r="A55" s="367" t="s">
        <v>220</v>
      </c>
      <c r="B55" s="368">
        <f t="shared" ref="B55:G55" si="7">B54/B50</f>
        <v>0.15479752643127867</v>
      </c>
      <c r="C55" s="361">
        <f t="shared" si="7"/>
        <v>0.22286541244573083</v>
      </c>
      <c r="D55" s="361">
        <f t="shared" si="7"/>
        <v>0.21534653465346534</v>
      </c>
      <c r="E55" s="361">
        <f t="shared" si="7"/>
        <v>0.20396912899669239</v>
      </c>
      <c r="F55" s="361">
        <f t="shared" si="7"/>
        <v>0.15628815628815629</v>
      </c>
      <c r="G55" s="361">
        <f t="shared" si="7"/>
        <v>0.19875968992248061</v>
      </c>
    </row>
    <row r="56" spans="1:7" ht="16.5" thickBot="1"/>
    <row r="57" spans="1:7" ht="14.25" customHeight="1" thickBot="1">
      <c r="A57" s="266" t="s">
        <v>224</v>
      </c>
      <c r="B57" s="370" t="s">
        <v>210</v>
      </c>
      <c r="C57" s="267" t="s">
        <v>181</v>
      </c>
      <c r="D57" s="267" t="s">
        <v>182</v>
      </c>
      <c r="E57" s="267" t="s">
        <v>183</v>
      </c>
      <c r="F57" s="267" t="s">
        <v>198</v>
      </c>
      <c r="G57" s="267">
        <v>2018</v>
      </c>
    </row>
    <row r="58" spans="1:7" ht="16.5" thickTop="1">
      <c r="A58" s="347" t="s">
        <v>213</v>
      </c>
      <c r="B58" s="348"/>
      <c r="C58" s="349"/>
      <c r="D58" s="349"/>
      <c r="E58" s="349"/>
      <c r="F58" s="349"/>
      <c r="G58" s="349"/>
    </row>
    <row r="59" spans="1:7">
      <c r="A59" s="350" t="s">
        <v>214</v>
      </c>
      <c r="B59" s="351">
        <v>3217</v>
      </c>
      <c r="C59" s="353">
        <f>'[26]Proforma por Trimestre'!G7</f>
        <v>3527</v>
      </c>
      <c r="D59" s="353">
        <f>'[26]Proforma por Trimestre'!L7</f>
        <v>3412</v>
      </c>
      <c r="E59" s="352">
        <f>'[26]Proforma por Trimestre'!Q7</f>
        <v>3421</v>
      </c>
      <c r="F59" s="352">
        <f>'[26]Proforma por Trimestre'!V7</f>
        <v>3051</v>
      </c>
      <c r="G59" s="352">
        <f>SUM(C59:F59)</f>
        <v>13411</v>
      </c>
    </row>
    <row r="60" spans="1:7">
      <c r="A60" s="354" t="s">
        <v>215</v>
      </c>
      <c r="B60" s="377">
        <v>2985</v>
      </c>
      <c r="C60" s="378">
        <f>'[26]Proforma por Trimestre'!G8</f>
        <v>3060</v>
      </c>
      <c r="D60" s="378">
        <f>'[26]Proforma por Trimestre'!L8</f>
        <v>3117</v>
      </c>
      <c r="E60" s="378">
        <f>'[26]Proforma por Trimestre'!Q8</f>
        <v>3124</v>
      </c>
      <c r="F60" s="378">
        <f>'[26]Proforma por Trimestre'!V8</f>
        <v>2971</v>
      </c>
      <c r="G60" s="378">
        <f>SUM(C60:F60)</f>
        <v>12272</v>
      </c>
    </row>
    <row r="61" spans="1:7">
      <c r="A61" s="347" t="s">
        <v>216</v>
      </c>
      <c r="B61" s="355"/>
      <c r="C61" s="356"/>
      <c r="D61" s="356"/>
      <c r="E61" s="356"/>
      <c r="F61" s="356"/>
      <c r="G61" s="356"/>
    </row>
    <row r="62" spans="1:7">
      <c r="A62" s="350" t="s">
        <v>217</v>
      </c>
      <c r="B62" s="351">
        <v>10026</v>
      </c>
      <c r="C62" s="353">
        <f>'[26]Proforma por Trimestre'!G10</f>
        <v>8443</v>
      </c>
      <c r="D62" s="353">
        <f>'[26]Proforma por Trimestre'!L10</f>
        <v>9937</v>
      </c>
      <c r="E62" s="352">
        <f>'[26]Proforma por Trimestre'!Q10</f>
        <v>10927</v>
      </c>
      <c r="F62" s="352">
        <f>'[26]Proforma por Trimestre'!V10</f>
        <v>10270</v>
      </c>
      <c r="G62" s="352">
        <f>SUM(C62:F62)</f>
        <v>39577</v>
      </c>
    </row>
    <row r="63" spans="1:7">
      <c r="A63" s="354" t="s">
        <v>23</v>
      </c>
      <c r="B63" s="377">
        <v>-8757</v>
      </c>
      <c r="C63" s="378">
        <f>'[26]Proforma por Trimestre'!G11</f>
        <v>-7167</v>
      </c>
      <c r="D63" s="378">
        <f>'[26]Proforma por Trimestre'!L11</f>
        <v>-8397</v>
      </c>
      <c r="E63" s="378">
        <f>'[26]Proforma por Trimestre'!Q11</f>
        <v>-9177</v>
      </c>
      <c r="F63" s="378">
        <f>'[26]Proforma por Trimestre'!V11</f>
        <v>-9006</v>
      </c>
      <c r="G63" s="378">
        <f>SUM(C63:F63)</f>
        <v>-33747</v>
      </c>
    </row>
    <row r="64" spans="1:7">
      <c r="A64" s="350" t="s">
        <v>24</v>
      </c>
      <c r="B64" s="351">
        <f>B62+B63</f>
        <v>1269</v>
      </c>
      <c r="C64" s="353">
        <f>C62+C63</f>
        <v>1276</v>
      </c>
      <c r="D64" s="353">
        <f>D62+D63</f>
        <v>1540</v>
      </c>
      <c r="E64" s="353">
        <f>E62+E63</f>
        <v>1750</v>
      </c>
      <c r="F64" s="353">
        <f>F62+F63</f>
        <v>1264</v>
      </c>
      <c r="G64" s="352">
        <f>SUM(C64:F64)</f>
        <v>5830</v>
      </c>
    </row>
    <row r="65" spans="1:10">
      <c r="A65" s="357" t="s">
        <v>218</v>
      </c>
      <c r="B65" s="358">
        <f t="shared" ref="B65:G65" si="8">B64/B62</f>
        <v>0.12657091561938957</v>
      </c>
      <c r="C65" s="359">
        <f t="shared" si="8"/>
        <v>0.15113111453274902</v>
      </c>
      <c r="D65" s="359">
        <f t="shared" si="8"/>
        <v>0.15497635101137164</v>
      </c>
      <c r="E65" s="359">
        <f t="shared" si="8"/>
        <v>0.1601537475976938</v>
      </c>
      <c r="F65" s="359">
        <f t="shared" si="8"/>
        <v>0.12307692307692308</v>
      </c>
      <c r="G65" s="359">
        <f t="shared" si="8"/>
        <v>0.14730777977107917</v>
      </c>
    </row>
    <row r="66" spans="1:10">
      <c r="A66" s="354" t="s">
        <v>219</v>
      </c>
      <c r="B66" s="364">
        <v>1552</v>
      </c>
      <c r="C66" s="366">
        <f>'[26]Proforma por Trimestre'!G18</f>
        <v>1410</v>
      </c>
      <c r="D66" s="366">
        <f>'[26]Proforma por Trimestre'!L18</f>
        <v>1657</v>
      </c>
      <c r="E66" s="365">
        <f>'[26]Proforma por Trimestre'!Q18</f>
        <v>1899</v>
      </c>
      <c r="F66" s="365">
        <f>'[26]Proforma por Trimestre'!V18</f>
        <v>1373</v>
      </c>
      <c r="G66" s="365">
        <f>SUM(C66:F66)</f>
        <v>6339</v>
      </c>
    </row>
    <row r="67" spans="1:10" ht="16.5" thickBot="1">
      <c r="A67" s="367" t="s">
        <v>219</v>
      </c>
      <c r="B67" s="368">
        <f t="shared" ref="B67:G67" si="9">B66/B62</f>
        <v>0.15479752643127867</v>
      </c>
      <c r="C67" s="361">
        <f t="shared" si="9"/>
        <v>0.16700225038493427</v>
      </c>
      <c r="D67" s="361">
        <f t="shared" si="9"/>
        <v>0.16675052832846934</v>
      </c>
      <c r="E67" s="361">
        <f t="shared" si="9"/>
        <v>0.17378969525029742</v>
      </c>
      <c r="F67" s="361">
        <f t="shared" si="9"/>
        <v>0.13369036027263875</v>
      </c>
      <c r="G67" s="361">
        <f t="shared" si="9"/>
        <v>0.16016878490032088</v>
      </c>
    </row>
    <row r="68" spans="1:10" ht="16.5" thickBot="1"/>
    <row r="69" spans="1:10" ht="14.25" customHeight="1" thickBot="1">
      <c r="A69" s="266" t="s">
        <v>225</v>
      </c>
      <c r="B69" s="370" t="s">
        <v>210</v>
      </c>
      <c r="C69" s="267" t="s">
        <v>181</v>
      </c>
      <c r="D69" s="267" t="s">
        <v>182</v>
      </c>
      <c r="E69" s="267" t="s">
        <v>183</v>
      </c>
      <c r="F69" s="267" t="s">
        <v>198</v>
      </c>
      <c r="G69" s="267">
        <v>2018</v>
      </c>
    </row>
    <row r="70" spans="1:10" ht="16.5" thickTop="1">
      <c r="A70" s="347" t="s">
        <v>213</v>
      </c>
      <c r="B70" s="348"/>
      <c r="C70" s="349"/>
      <c r="D70" s="349"/>
      <c r="E70" s="349"/>
      <c r="F70" s="349"/>
      <c r="G70" s="349"/>
    </row>
    <row r="71" spans="1:10">
      <c r="A71" s="350" t="s">
        <v>214</v>
      </c>
      <c r="B71" s="351">
        <v>3217</v>
      </c>
      <c r="C71" s="353">
        <f>'[26]Proforma por Trimestre'!E7</f>
        <v>638</v>
      </c>
      <c r="D71" s="353">
        <f>'[26]Proforma por Trimestre'!J7</f>
        <v>575</v>
      </c>
      <c r="E71" s="352">
        <f>'[26]Proforma por Trimestre'!O7</f>
        <v>548</v>
      </c>
      <c r="F71" s="352">
        <f>'[26]Proforma por Trimestre'!T7</f>
        <v>170</v>
      </c>
      <c r="G71" s="352">
        <f>SUM(C71:F71)</f>
        <v>1931</v>
      </c>
      <c r="J71" s="369"/>
    </row>
    <row r="72" spans="1:10">
      <c r="A72" s="354" t="s">
        <v>215</v>
      </c>
      <c r="B72" s="377">
        <v>2985</v>
      </c>
      <c r="C72" s="378">
        <f>'[26]Proforma por Trimestre'!E8</f>
        <v>811</v>
      </c>
      <c r="D72" s="378">
        <f>'[26]Proforma por Trimestre'!J8</f>
        <v>718</v>
      </c>
      <c r="E72" s="378">
        <f>'[26]Proforma por Trimestre'!O8</f>
        <v>564</v>
      </c>
      <c r="F72" s="378">
        <f>'[26]Proforma por Trimestre'!T8</f>
        <v>196</v>
      </c>
      <c r="G72" s="378">
        <f>SUM(C72:F72)</f>
        <v>2289</v>
      </c>
      <c r="J72" s="369"/>
    </row>
    <row r="73" spans="1:10">
      <c r="A73" s="347" t="s">
        <v>216</v>
      </c>
      <c r="B73" s="355"/>
      <c r="C73" s="356"/>
      <c r="D73" s="356"/>
      <c r="E73" s="356"/>
      <c r="F73" s="356"/>
      <c r="G73" s="356"/>
      <c r="J73" s="369"/>
    </row>
    <row r="74" spans="1:10">
      <c r="A74" s="350" t="s">
        <v>217</v>
      </c>
      <c r="B74" s="351">
        <v>10026</v>
      </c>
      <c r="C74" s="353">
        <f>'[26]Proforma por Trimestre'!E10</f>
        <v>1946</v>
      </c>
      <c r="D74" s="353">
        <f>'[26]Proforma por Trimestre'!J10</f>
        <v>2097</v>
      </c>
      <c r="E74" s="352">
        <f>'[26]Proforma por Trimestre'!O10</f>
        <v>1909</v>
      </c>
      <c r="F74" s="352">
        <f>'[26]Proforma por Trimestre'!T10</f>
        <v>630</v>
      </c>
      <c r="G74" s="352">
        <f>SUM(C74:F74)</f>
        <v>6582</v>
      </c>
      <c r="J74" s="369"/>
    </row>
    <row r="75" spans="1:10">
      <c r="A75" s="354" t="s">
        <v>23</v>
      </c>
      <c r="B75" s="377">
        <v>-8757</v>
      </c>
      <c r="C75" s="378">
        <f>'[26]Proforma por Trimestre'!E11</f>
        <v>-1883</v>
      </c>
      <c r="D75" s="378">
        <f>'[26]Proforma por Trimestre'!J11</f>
        <v>-1993</v>
      </c>
      <c r="E75" s="378">
        <f>'[26]Proforma por Trimestre'!O11</f>
        <v>-1797</v>
      </c>
      <c r="F75" s="378">
        <f>'[26]Proforma por Trimestre'!T11</f>
        <v>-590</v>
      </c>
      <c r="G75" s="378">
        <f>SUM(C75:F75)</f>
        <v>-6263</v>
      </c>
      <c r="J75" s="369"/>
    </row>
    <row r="76" spans="1:10">
      <c r="A76" s="350" t="s">
        <v>24</v>
      </c>
      <c r="B76" s="351">
        <f>B74+B75</f>
        <v>1269</v>
      </c>
      <c r="C76" s="353">
        <f>C74+C75</f>
        <v>63</v>
      </c>
      <c r="D76" s="353">
        <f>D74+D75</f>
        <v>104</v>
      </c>
      <c r="E76" s="353">
        <f>E74+E75</f>
        <v>112</v>
      </c>
      <c r="F76" s="353">
        <f>F74+F75</f>
        <v>40</v>
      </c>
      <c r="G76" s="352">
        <f>SUM(C76:F76)</f>
        <v>319</v>
      </c>
      <c r="J76" s="369"/>
    </row>
    <row r="77" spans="1:10">
      <c r="A77" s="357" t="s">
        <v>218</v>
      </c>
      <c r="B77" s="358">
        <f>B76/B74</f>
        <v>0.12657091561938957</v>
      </c>
      <c r="C77" s="359"/>
      <c r="D77" s="359"/>
      <c r="E77" s="359"/>
      <c r="F77" s="359"/>
      <c r="G77" s="359"/>
      <c r="J77" s="369"/>
    </row>
    <row r="78" spans="1:10" s="371" customFormat="1">
      <c r="A78" s="354" t="s">
        <v>219</v>
      </c>
      <c r="B78" s="364">
        <v>1552</v>
      </c>
      <c r="C78" s="366">
        <f>'[26]Proforma por Trimestre'!E18</f>
        <v>74</v>
      </c>
      <c r="D78" s="366">
        <f>'[26]Proforma por Trimestre'!J18</f>
        <v>99</v>
      </c>
      <c r="E78" s="365">
        <f>'[26]Proforma por Trimestre'!O18</f>
        <v>114</v>
      </c>
      <c r="F78" s="365">
        <f>'[26]Proforma por Trimestre'!T18</f>
        <v>31</v>
      </c>
      <c r="G78" s="365">
        <f>SUM(C78:F78)</f>
        <v>318</v>
      </c>
      <c r="J78" s="372"/>
    </row>
    <row r="79" spans="1:10" s="371" customFormat="1" ht="16.5" thickBot="1">
      <c r="A79" s="367" t="s">
        <v>220</v>
      </c>
      <c r="B79" s="368">
        <f>B78/B74</f>
        <v>0.15479752643127867</v>
      </c>
      <c r="C79" s="361"/>
      <c r="D79" s="361"/>
      <c r="E79" s="361"/>
      <c r="F79" s="361"/>
      <c r="G79" s="361"/>
    </row>
    <row r="80" spans="1:10" ht="16.5" thickBot="1"/>
    <row r="81" spans="1:7" ht="14.25" customHeight="1" thickBot="1">
      <c r="A81" s="266" t="s">
        <v>226</v>
      </c>
      <c r="B81" s="370" t="s">
        <v>210</v>
      </c>
      <c r="C81" s="267" t="s">
        <v>181</v>
      </c>
      <c r="D81" s="267" t="s">
        <v>182</v>
      </c>
      <c r="E81" s="267" t="s">
        <v>183</v>
      </c>
      <c r="F81" s="267" t="s">
        <v>198</v>
      </c>
      <c r="G81" s="267">
        <v>2018</v>
      </c>
    </row>
    <row r="82" spans="1:7" ht="16.5" thickTop="1">
      <c r="A82" s="347" t="s">
        <v>213</v>
      </c>
      <c r="B82" s="348"/>
      <c r="C82" s="349"/>
      <c r="D82" s="349"/>
      <c r="E82" s="349"/>
      <c r="F82" s="349"/>
      <c r="G82" s="349"/>
    </row>
    <row r="83" spans="1:7">
      <c r="A83" s="350" t="s">
        <v>214</v>
      </c>
      <c r="B83" s="351">
        <v>3217</v>
      </c>
      <c r="C83" s="353">
        <f>'[26]Proforma por Trimestre'!D7</f>
        <v>4165</v>
      </c>
      <c r="D83" s="353">
        <f>'[26]Proforma por Trimestre'!I7</f>
        <v>3987</v>
      </c>
      <c r="E83" s="352">
        <f>'[26]Proforma por Trimestre'!N7</f>
        <v>3969</v>
      </c>
      <c r="F83" s="352">
        <f>'[26]Proforma por Trimestre'!S7</f>
        <v>3221</v>
      </c>
      <c r="G83" s="352">
        <f>SUM(C83:F83)</f>
        <v>15342</v>
      </c>
    </row>
    <row r="84" spans="1:7">
      <c r="A84" s="354" t="s">
        <v>215</v>
      </c>
      <c r="B84" s="377">
        <v>2985</v>
      </c>
      <c r="C84" s="378">
        <f>'[26]Proforma por Trimestre'!D8</f>
        <v>3871</v>
      </c>
      <c r="D84" s="378">
        <f>'[26]Proforma por Trimestre'!I8</f>
        <v>3835</v>
      </c>
      <c r="E84" s="378">
        <f>'[26]Proforma por Trimestre'!N8</f>
        <v>3688</v>
      </c>
      <c r="F84" s="378">
        <f>'[26]Proforma por Trimestre'!S8</f>
        <v>3167</v>
      </c>
      <c r="G84" s="378">
        <f>SUM(C84:F84)</f>
        <v>14561</v>
      </c>
    </row>
    <row r="85" spans="1:7">
      <c r="A85" s="347" t="s">
        <v>216</v>
      </c>
      <c r="B85" s="355"/>
      <c r="C85" s="356"/>
      <c r="D85" s="356"/>
      <c r="E85" s="356"/>
      <c r="F85" s="356"/>
      <c r="G85" s="356"/>
    </row>
    <row r="86" spans="1:7">
      <c r="A86" s="350" t="s">
        <v>217</v>
      </c>
      <c r="B86" s="351">
        <v>10026</v>
      </c>
      <c r="C86" s="353">
        <f>'[26]Proforma por Trimestre'!D10</f>
        <v>10389</v>
      </c>
      <c r="D86" s="353">
        <f>'[26]Proforma por Trimestre'!I10</f>
        <v>12034</v>
      </c>
      <c r="E86" s="352">
        <f>'[26]Proforma por Trimestre'!N10</f>
        <v>12836</v>
      </c>
      <c r="F86" s="352">
        <f>'[26]Proforma por Trimestre'!S10</f>
        <v>10900</v>
      </c>
      <c r="G86" s="352">
        <f>SUM(C86:F86)</f>
        <v>46159</v>
      </c>
    </row>
    <row r="87" spans="1:7">
      <c r="A87" s="354" t="s">
        <v>23</v>
      </c>
      <c r="B87" s="377">
        <v>-8757</v>
      </c>
      <c r="C87" s="378">
        <f>'[26]Proforma por Trimestre'!D11</f>
        <v>-9050</v>
      </c>
      <c r="D87" s="378">
        <f>'[26]Proforma por Trimestre'!I11</f>
        <v>-10390</v>
      </c>
      <c r="E87" s="378">
        <f>'[26]Proforma por Trimestre'!N11</f>
        <v>-10974</v>
      </c>
      <c r="F87" s="378">
        <f>'[26]Proforma por Trimestre'!S11</f>
        <v>-9596</v>
      </c>
      <c r="G87" s="378">
        <f>SUM(C87:F87)</f>
        <v>-40010</v>
      </c>
    </row>
    <row r="88" spans="1:7">
      <c r="A88" s="350" t="s">
        <v>24</v>
      </c>
      <c r="B88" s="351">
        <f>B86+B87</f>
        <v>1269</v>
      </c>
      <c r="C88" s="353">
        <f>C86+C87</f>
        <v>1339</v>
      </c>
      <c r="D88" s="353">
        <f>D86+D87</f>
        <v>1644</v>
      </c>
      <c r="E88" s="353">
        <f>E86+E87</f>
        <v>1862</v>
      </c>
      <c r="F88" s="353">
        <f>F86+F87</f>
        <v>1304</v>
      </c>
      <c r="G88" s="352">
        <f>SUM(C88:F88)</f>
        <v>6149</v>
      </c>
    </row>
    <row r="89" spans="1:7">
      <c r="A89" s="357" t="s">
        <v>218</v>
      </c>
      <c r="B89" s="358">
        <f t="shared" ref="B89:G89" si="10">B88/B86</f>
        <v>0.12657091561938957</v>
      </c>
      <c r="C89" s="359">
        <f t="shared" si="10"/>
        <v>0.1288863220714217</v>
      </c>
      <c r="D89" s="359">
        <f t="shared" si="10"/>
        <v>0.13661293003157721</v>
      </c>
      <c r="E89" s="359">
        <f t="shared" si="10"/>
        <v>0.1450607665939545</v>
      </c>
      <c r="F89" s="359">
        <f t="shared" si="10"/>
        <v>0.11963302752293578</v>
      </c>
      <c r="G89" s="359">
        <f t="shared" si="10"/>
        <v>0.13321345783054225</v>
      </c>
    </row>
    <row r="90" spans="1:7">
      <c r="A90" s="354" t="s">
        <v>219</v>
      </c>
      <c r="B90" s="364">
        <v>1552</v>
      </c>
      <c r="C90" s="366">
        <f>'[26]Proforma por Trimestre'!D18</f>
        <v>1484</v>
      </c>
      <c r="D90" s="366">
        <f>'[26]Proforma por Trimestre'!I18</f>
        <v>1756</v>
      </c>
      <c r="E90" s="365">
        <f>'[26]Proforma por Trimestre'!N18</f>
        <v>2013</v>
      </c>
      <c r="F90" s="365">
        <f>'[26]Proforma por Trimestre'!S18</f>
        <v>1404</v>
      </c>
      <c r="G90" s="365">
        <f>SUM(C90:F90)</f>
        <v>6657</v>
      </c>
    </row>
    <row r="91" spans="1:7" ht="16.5" thickBot="1">
      <c r="A91" s="367" t="s">
        <v>220</v>
      </c>
      <c r="B91" s="368">
        <f t="shared" ref="B91:G91" si="11">B90/B86</f>
        <v>0.15479752643127867</v>
      </c>
      <c r="C91" s="361">
        <f t="shared" si="11"/>
        <v>0.1428433920492829</v>
      </c>
      <c r="D91" s="361">
        <f t="shared" si="11"/>
        <v>0.14591989363470168</v>
      </c>
      <c r="E91" s="361">
        <f t="shared" si="11"/>
        <v>0.1568245559364288</v>
      </c>
      <c r="F91" s="361">
        <f t="shared" si="11"/>
        <v>0.12880733944954129</v>
      </c>
      <c r="G91" s="361">
        <f t="shared" si="11"/>
        <v>0.14421889555666284</v>
      </c>
    </row>
    <row r="96" spans="1:7">
      <c r="A96" s="374"/>
    </row>
    <row r="97" spans="1:1" ht="18.5">
      <c r="A97" s="37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7"/>
  <sheetViews>
    <sheetView showGridLines="0" zoomScale="80" zoomScaleNormal="80" workbookViewId="0">
      <selection activeCell="AA10" sqref="AA10"/>
    </sheetView>
  </sheetViews>
  <sheetFormatPr defaultColWidth="9.1796875" defaultRowHeight="16"/>
  <cols>
    <col min="1" max="1" width="24.26953125" style="346" customWidth="1"/>
    <col min="2" max="2" width="23.26953125" style="346" bestFit="1" customWidth="1"/>
    <col min="3" max="3" width="5" style="346" bestFit="1" customWidth="1"/>
    <col min="4" max="4" width="14.453125" style="346" bestFit="1" customWidth="1"/>
    <col min="5" max="6" width="9.453125" style="346" customWidth="1"/>
    <col min="7" max="7" width="9.453125" style="346" hidden="1" customWidth="1"/>
    <col min="8" max="15" width="0" style="346" hidden="1" customWidth="1"/>
    <col min="16" max="16384" width="9.1796875" style="346"/>
  </cols>
  <sheetData>
    <row r="1" spans="1:28" s="343" customFormat="1">
      <c r="A1" s="492" t="s">
        <v>211</v>
      </c>
      <c r="B1" s="492"/>
      <c r="C1" s="492"/>
      <c r="D1" s="492"/>
      <c r="E1" s="492"/>
      <c r="F1" s="492"/>
      <c r="G1" s="492"/>
    </row>
    <row r="2" spans="1:28" s="343" customFormat="1">
      <c r="A2" s="410"/>
      <c r="B2" s="410"/>
      <c r="C2" s="410"/>
      <c r="D2" s="410"/>
      <c r="E2" s="410"/>
      <c r="F2" s="410"/>
      <c r="G2" s="410"/>
    </row>
    <row r="3" spans="1:28" s="343" customFormat="1">
      <c r="A3" s="410"/>
      <c r="B3" s="410"/>
      <c r="C3" s="410"/>
      <c r="D3" s="410"/>
      <c r="E3" s="410"/>
      <c r="F3" s="410"/>
      <c r="G3" s="410"/>
    </row>
    <row r="4" spans="1:28" s="343" customFormat="1">
      <c r="A4" s="410"/>
      <c r="B4" s="410"/>
      <c r="C4" s="410"/>
      <c r="D4" s="410"/>
      <c r="E4" s="410"/>
      <c r="F4" s="410"/>
      <c r="G4" s="410"/>
    </row>
    <row r="5" spans="1:28" s="345" customFormat="1" ht="4.5" customHeight="1">
      <c r="A5" s="344"/>
      <c r="S5" s="343"/>
    </row>
    <row r="6" spans="1:28" ht="14.25" customHeight="1">
      <c r="A6" s="362"/>
      <c r="B6" s="379"/>
      <c r="C6" s="379"/>
      <c r="D6" s="379"/>
      <c r="E6" s="379"/>
      <c r="F6" s="379"/>
      <c r="G6" s="363"/>
      <c r="S6" s="345"/>
    </row>
    <row r="7" spans="1:28" s="345" customFormat="1" ht="8.5" customHeight="1">
      <c r="A7" s="344"/>
      <c r="S7" s="346"/>
    </row>
    <row r="8" spans="1:28" ht="19" customHeight="1">
      <c r="A8" s="425" t="s">
        <v>343</v>
      </c>
      <c r="S8" s="345"/>
    </row>
    <row r="9" spans="1:28" ht="14.25" customHeight="1" thickBot="1">
      <c r="A9" s="266" t="s">
        <v>244</v>
      </c>
      <c r="B9" s="429" t="s">
        <v>245</v>
      </c>
      <c r="C9" s="267" t="s">
        <v>246</v>
      </c>
      <c r="D9" s="267" t="s">
        <v>247</v>
      </c>
      <c r="E9" s="267" t="s">
        <v>248</v>
      </c>
      <c r="F9" s="267" t="s">
        <v>249</v>
      </c>
      <c r="G9" s="267">
        <v>2001</v>
      </c>
      <c r="H9" s="267">
        <v>2002</v>
      </c>
      <c r="I9" s="267">
        <v>2003</v>
      </c>
      <c r="J9" s="267">
        <v>2004</v>
      </c>
      <c r="K9" s="267">
        <v>2005</v>
      </c>
      <c r="L9" s="267">
        <v>2006</v>
      </c>
      <c r="M9" s="267">
        <v>2007</v>
      </c>
      <c r="N9" s="267">
        <v>2008</v>
      </c>
      <c r="O9" s="267">
        <v>2009</v>
      </c>
      <c r="P9" s="267">
        <v>2010</v>
      </c>
      <c r="Q9" s="267">
        <v>2011</v>
      </c>
      <c r="R9" s="267">
        <v>2012</v>
      </c>
      <c r="S9" s="267">
        <v>2013</v>
      </c>
      <c r="T9" s="267">
        <v>2014</v>
      </c>
      <c r="U9" s="267">
        <v>2015</v>
      </c>
      <c r="V9" s="267">
        <v>2016</v>
      </c>
      <c r="W9" s="267">
        <v>2017</v>
      </c>
      <c r="X9" s="267">
        <v>2018</v>
      </c>
      <c r="Y9" s="267">
        <v>2019</v>
      </c>
      <c r="Z9" s="267">
        <v>2020</v>
      </c>
      <c r="AA9" s="267">
        <v>2021</v>
      </c>
    </row>
    <row r="10" spans="1:28" ht="16.5" thickTop="1">
      <c r="A10" s="412" t="s">
        <v>250</v>
      </c>
      <c r="B10" s="411" t="s">
        <v>317</v>
      </c>
      <c r="C10" s="411" t="s">
        <v>252</v>
      </c>
      <c r="D10" s="411" t="s">
        <v>305</v>
      </c>
      <c r="E10" s="416">
        <v>-20.541945999999999</v>
      </c>
      <c r="F10" s="416">
        <v>-43.742612999999999</v>
      </c>
      <c r="G10" s="412">
        <v>0</v>
      </c>
      <c r="H10" s="412">
        <v>3000</v>
      </c>
      <c r="I10" s="412">
        <v>3000</v>
      </c>
      <c r="J10" s="412">
        <v>3000</v>
      </c>
      <c r="K10" s="412">
        <v>3000</v>
      </c>
      <c r="L10" s="412">
        <v>3000</v>
      </c>
      <c r="M10" s="412">
        <v>4500</v>
      </c>
      <c r="N10" s="412">
        <v>4500</v>
      </c>
      <c r="O10" s="412">
        <v>4500</v>
      </c>
      <c r="P10" s="412">
        <v>4500</v>
      </c>
      <c r="Q10" s="412">
        <v>4500</v>
      </c>
      <c r="R10" s="412">
        <v>4500</v>
      </c>
      <c r="S10" s="412">
        <v>4500</v>
      </c>
      <c r="T10" s="412">
        <v>4500</v>
      </c>
      <c r="U10" s="412">
        <v>4500</v>
      </c>
      <c r="V10" s="412">
        <v>4500</v>
      </c>
      <c r="W10" s="412">
        <v>4500</v>
      </c>
      <c r="X10" s="412">
        <v>4500</v>
      </c>
      <c r="Y10" s="412">
        <v>4500</v>
      </c>
      <c r="Z10" s="431">
        <v>3850</v>
      </c>
      <c r="AA10" s="431">
        <v>3600</v>
      </c>
      <c r="AB10" s="431"/>
    </row>
    <row r="11" spans="1:28">
      <c r="A11" s="411" t="s">
        <v>253</v>
      </c>
      <c r="B11" s="430" t="s">
        <v>317</v>
      </c>
      <c r="C11" s="411" t="s">
        <v>254</v>
      </c>
      <c r="D11" s="411" t="s">
        <v>305</v>
      </c>
      <c r="E11" s="417">
        <v>-23.438216000000001</v>
      </c>
      <c r="F11" s="416">
        <v>-47.088388999999999</v>
      </c>
      <c r="G11" s="411">
        <v>0</v>
      </c>
      <c r="H11" s="411">
        <v>0</v>
      </c>
      <c r="I11" s="411">
        <v>0</v>
      </c>
      <c r="J11" s="411">
        <v>0</v>
      </c>
      <c r="K11" s="411">
        <v>900</v>
      </c>
      <c r="L11" s="411">
        <v>900</v>
      </c>
      <c r="M11" s="411">
        <v>900</v>
      </c>
      <c r="N11" s="411">
        <v>900</v>
      </c>
      <c r="O11" s="411">
        <v>900</v>
      </c>
      <c r="P11" s="411">
        <v>820</v>
      </c>
      <c r="Q11" s="411">
        <v>820</v>
      </c>
      <c r="R11" s="411">
        <v>820</v>
      </c>
      <c r="S11" s="411">
        <v>820</v>
      </c>
      <c r="T11" s="411">
        <v>820</v>
      </c>
      <c r="U11" s="411">
        <v>820</v>
      </c>
      <c r="V11" s="411">
        <v>950</v>
      </c>
      <c r="W11" s="411">
        <v>950</v>
      </c>
      <c r="X11" s="411">
        <v>950</v>
      </c>
      <c r="Y11" s="411">
        <v>950</v>
      </c>
      <c r="Z11" s="430">
        <v>950</v>
      </c>
      <c r="AA11" s="430">
        <v>950</v>
      </c>
      <c r="AB11" s="430"/>
    </row>
    <row r="12" spans="1:28">
      <c r="A12" s="411" t="s">
        <v>255</v>
      </c>
      <c r="B12" s="430" t="s">
        <v>317</v>
      </c>
      <c r="C12" s="411" t="s">
        <v>254</v>
      </c>
      <c r="D12" s="411" t="s">
        <v>305</v>
      </c>
      <c r="E12" s="418">
        <v>-22.886655000000001</v>
      </c>
      <c r="F12" s="422">
        <v>-43.751722000000001</v>
      </c>
      <c r="G12" s="411">
        <v>1404</v>
      </c>
      <c r="H12" s="411">
        <v>1404</v>
      </c>
      <c r="I12" s="411">
        <v>1400</v>
      </c>
      <c r="J12" s="411">
        <v>1400</v>
      </c>
      <c r="K12" s="411">
        <v>1400</v>
      </c>
      <c r="L12" s="411">
        <v>1600</v>
      </c>
      <c r="M12" s="411">
        <v>1600</v>
      </c>
      <c r="N12" s="411">
        <v>900</v>
      </c>
      <c r="O12" s="411">
        <v>900</v>
      </c>
      <c r="P12" s="411">
        <v>930</v>
      </c>
      <c r="Q12" s="411">
        <v>930</v>
      </c>
      <c r="R12" s="411">
        <v>930</v>
      </c>
      <c r="S12" s="411">
        <v>932</v>
      </c>
      <c r="T12" s="411">
        <v>932</v>
      </c>
      <c r="U12" s="411">
        <v>932</v>
      </c>
      <c r="V12" s="411">
        <v>932</v>
      </c>
      <c r="W12" s="411">
        <v>932</v>
      </c>
      <c r="X12" s="411">
        <v>932</v>
      </c>
      <c r="Y12" s="411">
        <v>932</v>
      </c>
      <c r="Z12" s="430">
        <v>936</v>
      </c>
      <c r="AA12" s="430">
        <v>936</v>
      </c>
      <c r="AB12" s="430"/>
    </row>
    <row r="13" spans="1:28" ht="14.25" customHeight="1">
      <c r="A13" s="411" t="s">
        <v>256</v>
      </c>
      <c r="B13" s="430" t="s">
        <v>317</v>
      </c>
      <c r="C13" s="411" t="s">
        <v>252</v>
      </c>
      <c r="D13" s="411" t="s">
        <v>305</v>
      </c>
      <c r="E13" s="418">
        <v>-20.153541000000001</v>
      </c>
      <c r="F13" s="422">
        <v>-44.875486000000002</v>
      </c>
      <c r="G13" s="411">
        <v>500</v>
      </c>
      <c r="H13" s="411">
        <v>600</v>
      </c>
      <c r="I13" s="411">
        <v>600</v>
      </c>
      <c r="J13" s="411">
        <v>600</v>
      </c>
      <c r="K13" s="411">
        <v>600</v>
      </c>
      <c r="L13" s="411">
        <v>600</v>
      </c>
      <c r="M13" s="411">
        <v>600</v>
      </c>
      <c r="N13" s="411">
        <v>600</v>
      </c>
      <c r="O13" s="411">
        <v>600</v>
      </c>
      <c r="P13" s="411">
        <v>580</v>
      </c>
      <c r="Q13" s="411">
        <v>580</v>
      </c>
      <c r="R13" s="411">
        <v>580</v>
      </c>
      <c r="S13" s="411">
        <v>570</v>
      </c>
      <c r="T13" s="411">
        <v>570</v>
      </c>
      <c r="U13" s="411">
        <v>570</v>
      </c>
      <c r="V13" s="411">
        <v>570</v>
      </c>
      <c r="W13" s="411">
        <v>570</v>
      </c>
      <c r="X13" s="411">
        <v>570</v>
      </c>
      <c r="Y13" s="411">
        <v>570</v>
      </c>
      <c r="Z13" s="430">
        <v>600</v>
      </c>
      <c r="AA13" s="430">
        <v>600</v>
      </c>
      <c r="AB13" s="430"/>
    </row>
    <row r="14" spans="1:28">
      <c r="A14" s="411" t="s">
        <v>257</v>
      </c>
      <c r="B14" s="430" t="s">
        <v>317</v>
      </c>
      <c r="C14" s="411" t="s">
        <v>254</v>
      </c>
      <c r="D14" s="411" t="s">
        <v>305</v>
      </c>
      <c r="E14" s="418">
        <v>-29.808160999999998</v>
      </c>
      <c r="F14" s="422">
        <v>-51.174163999999998</v>
      </c>
      <c r="G14" s="411">
        <v>390</v>
      </c>
      <c r="H14" s="411">
        <v>390</v>
      </c>
      <c r="I14" s="411">
        <v>440</v>
      </c>
      <c r="J14" s="411">
        <v>440</v>
      </c>
      <c r="K14" s="411">
        <v>440</v>
      </c>
      <c r="L14" s="411">
        <v>450</v>
      </c>
      <c r="M14" s="411">
        <v>480</v>
      </c>
      <c r="N14" s="411">
        <v>440</v>
      </c>
      <c r="O14" s="411">
        <v>440</v>
      </c>
      <c r="P14" s="411">
        <v>450</v>
      </c>
      <c r="Q14" s="411">
        <v>450</v>
      </c>
      <c r="R14" s="411">
        <v>450</v>
      </c>
      <c r="S14" s="411">
        <v>450</v>
      </c>
      <c r="T14" s="411">
        <v>450</v>
      </c>
      <c r="U14" s="411">
        <v>450</v>
      </c>
      <c r="V14" s="411">
        <v>450</v>
      </c>
      <c r="W14" s="411">
        <v>450</v>
      </c>
      <c r="X14" s="411">
        <v>450</v>
      </c>
      <c r="Y14" s="411">
        <v>450</v>
      </c>
      <c r="Z14" s="430">
        <v>450</v>
      </c>
      <c r="AA14" s="430">
        <v>450</v>
      </c>
      <c r="AB14" s="430"/>
    </row>
    <row r="15" spans="1:28" ht="14.25" customHeight="1">
      <c r="A15" s="411" t="s">
        <v>258</v>
      </c>
      <c r="B15" s="430" t="s">
        <v>317</v>
      </c>
      <c r="C15" s="411" t="s">
        <v>252</v>
      </c>
      <c r="D15" s="411" t="s">
        <v>305</v>
      </c>
      <c r="E15" s="418">
        <v>-19.936737000000001</v>
      </c>
      <c r="F15" s="422">
        <v>-43.477446</v>
      </c>
      <c r="G15" s="411">
        <v>330</v>
      </c>
      <c r="H15" s="411">
        <v>330</v>
      </c>
      <c r="I15" s="411">
        <v>350</v>
      </c>
      <c r="J15" s="411">
        <v>350</v>
      </c>
      <c r="K15" s="411">
        <v>350</v>
      </c>
      <c r="L15" s="411">
        <v>350</v>
      </c>
      <c r="M15" s="411">
        <v>350</v>
      </c>
      <c r="N15" s="411">
        <v>350</v>
      </c>
      <c r="O15" s="411">
        <v>350</v>
      </c>
      <c r="P15" s="411">
        <v>330</v>
      </c>
      <c r="Q15" s="411">
        <v>330</v>
      </c>
      <c r="R15" s="411">
        <v>330</v>
      </c>
      <c r="S15" s="411">
        <v>330</v>
      </c>
      <c r="T15" s="411">
        <v>330</v>
      </c>
      <c r="U15" s="411">
        <v>330</v>
      </c>
      <c r="V15" s="411">
        <v>330</v>
      </c>
      <c r="W15" s="411">
        <v>330</v>
      </c>
      <c r="X15" s="411">
        <v>330</v>
      </c>
      <c r="Y15" s="411">
        <v>330</v>
      </c>
      <c r="Z15" s="430">
        <v>330</v>
      </c>
      <c r="AA15" s="430">
        <v>330</v>
      </c>
      <c r="AB15" s="430"/>
    </row>
    <row r="16" spans="1:28" s="360" customFormat="1" ht="14.25" customHeight="1">
      <c r="A16" s="411" t="s">
        <v>259</v>
      </c>
      <c r="B16" s="430" t="s">
        <v>317</v>
      </c>
      <c r="C16" s="411" t="s">
        <v>254</v>
      </c>
      <c r="D16" s="411" t="s">
        <v>305</v>
      </c>
      <c r="E16" s="418">
        <v>-8.0745260000000005</v>
      </c>
      <c r="F16" s="422">
        <v>-34.975701000000001</v>
      </c>
      <c r="G16" s="411">
        <v>230</v>
      </c>
      <c r="H16" s="411">
        <v>230</v>
      </c>
      <c r="I16" s="411">
        <v>250</v>
      </c>
      <c r="J16" s="411">
        <v>250</v>
      </c>
      <c r="K16" s="411">
        <v>280</v>
      </c>
      <c r="L16" s="411">
        <v>280</v>
      </c>
      <c r="M16" s="411">
        <v>300</v>
      </c>
      <c r="N16" s="411">
        <v>300</v>
      </c>
      <c r="O16" s="411">
        <v>300</v>
      </c>
      <c r="P16" s="411">
        <v>260</v>
      </c>
      <c r="Q16" s="411">
        <v>260</v>
      </c>
      <c r="R16" s="411">
        <v>260</v>
      </c>
      <c r="S16" s="411">
        <v>265</v>
      </c>
      <c r="T16" s="411">
        <v>265</v>
      </c>
      <c r="U16" s="411">
        <v>265</v>
      </c>
      <c r="V16" s="411">
        <v>265</v>
      </c>
      <c r="W16" s="411">
        <v>265</v>
      </c>
      <c r="X16" s="411">
        <v>265</v>
      </c>
      <c r="Y16" s="411">
        <v>265</v>
      </c>
      <c r="Z16" s="430">
        <v>265</v>
      </c>
      <c r="AA16" s="430">
        <v>265</v>
      </c>
      <c r="AB16" s="430"/>
    </row>
    <row r="17" spans="1:28" ht="14.25" customHeight="1">
      <c r="A17" s="411" t="s">
        <v>260</v>
      </c>
      <c r="B17" s="430" t="s">
        <v>317</v>
      </c>
      <c r="C17" s="411" t="s">
        <v>254</v>
      </c>
      <c r="D17" s="411" t="s">
        <v>305</v>
      </c>
      <c r="E17" s="418">
        <v>-3.8548979999999999</v>
      </c>
      <c r="F17" s="422">
        <v>-38.605668999999999</v>
      </c>
      <c r="G17" s="411">
        <v>120</v>
      </c>
      <c r="H17" s="411">
        <v>120</v>
      </c>
      <c r="I17" s="411">
        <v>130</v>
      </c>
      <c r="J17" s="411">
        <v>130</v>
      </c>
      <c r="K17" s="411">
        <v>145</v>
      </c>
      <c r="L17" s="411">
        <v>170</v>
      </c>
      <c r="M17" s="411">
        <v>200</v>
      </c>
      <c r="N17" s="411">
        <v>200</v>
      </c>
      <c r="O17" s="411">
        <v>200</v>
      </c>
      <c r="P17" s="411">
        <v>200</v>
      </c>
      <c r="Q17" s="411">
        <v>200</v>
      </c>
      <c r="R17" s="411">
        <v>200</v>
      </c>
      <c r="S17" s="411">
        <v>198</v>
      </c>
      <c r="T17" s="411">
        <v>198</v>
      </c>
      <c r="U17" s="411">
        <v>198</v>
      </c>
      <c r="V17" s="411">
        <v>198</v>
      </c>
      <c r="W17" s="411">
        <v>198</v>
      </c>
      <c r="X17" s="411">
        <v>198</v>
      </c>
      <c r="Y17" s="411">
        <v>198</v>
      </c>
      <c r="Z17" s="430">
        <v>160</v>
      </c>
      <c r="AA17" s="430">
        <v>160</v>
      </c>
      <c r="AB17" s="430"/>
    </row>
    <row r="18" spans="1:28" s="360" customFormat="1" ht="14.25" customHeight="1">
      <c r="A18" s="411" t="s">
        <v>261</v>
      </c>
      <c r="B18" s="430" t="s">
        <v>317</v>
      </c>
      <c r="C18" s="411" t="s">
        <v>254</v>
      </c>
      <c r="D18" s="411" t="s">
        <v>305</v>
      </c>
      <c r="E18" s="418">
        <v>-25.563196000000001</v>
      </c>
      <c r="F18" s="422">
        <v>-49.421805999999997</v>
      </c>
      <c r="G18" s="411">
        <v>390</v>
      </c>
      <c r="H18" s="411">
        <v>390</v>
      </c>
      <c r="I18" s="411">
        <v>510</v>
      </c>
      <c r="J18" s="411">
        <v>510</v>
      </c>
      <c r="K18" s="411">
        <v>510</v>
      </c>
      <c r="L18" s="411">
        <v>560</v>
      </c>
      <c r="M18" s="411">
        <v>560</v>
      </c>
      <c r="N18" s="411">
        <v>560</v>
      </c>
      <c r="O18" s="411">
        <v>560</v>
      </c>
      <c r="P18" s="411">
        <v>540</v>
      </c>
      <c r="Q18" s="411">
        <v>540</v>
      </c>
      <c r="R18" s="411">
        <v>540</v>
      </c>
      <c r="S18" s="411">
        <v>541</v>
      </c>
      <c r="T18" s="411">
        <v>541</v>
      </c>
      <c r="U18" s="411">
        <v>0</v>
      </c>
      <c r="V18" s="411">
        <v>0</v>
      </c>
      <c r="W18" s="411">
        <v>0</v>
      </c>
      <c r="X18" s="411">
        <v>0</v>
      </c>
      <c r="Y18" s="411">
        <v>0</v>
      </c>
      <c r="Z18" s="430">
        <v>0</v>
      </c>
      <c r="AA18" s="430">
        <v>420</v>
      </c>
      <c r="AB18" s="430"/>
    </row>
    <row r="19" spans="1:28">
      <c r="A19" s="414" t="s">
        <v>262</v>
      </c>
      <c r="B19" s="433" t="s">
        <v>317</v>
      </c>
      <c r="C19" s="414" t="s">
        <v>254</v>
      </c>
      <c r="D19" s="414" t="s">
        <v>305</v>
      </c>
      <c r="E19" s="419">
        <v>-12.85547</v>
      </c>
      <c r="F19" s="423">
        <v>-38.421968</v>
      </c>
      <c r="G19" s="414">
        <v>500</v>
      </c>
      <c r="H19" s="414">
        <v>600</v>
      </c>
      <c r="I19" s="414">
        <v>520</v>
      </c>
      <c r="J19" s="414">
        <v>520</v>
      </c>
      <c r="K19" s="414">
        <v>560</v>
      </c>
      <c r="L19" s="414">
        <v>560</v>
      </c>
      <c r="M19" s="414">
        <v>560</v>
      </c>
      <c r="N19" s="414">
        <v>560</v>
      </c>
      <c r="O19" s="414">
        <v>520</v>
      </c>
      <c r="P19" s="414">
        <v>490</v>
      </c>
      <c r="Q19" s="414">
        <v>490</v>
      </c>
      <c r="R19" s="414">
        <v>490</v>
      </c>
      <c r="S19" s="414">
        <v>495</v>
      </c>
      <c r="T19" s="414">
        <v>495</v>
      </c>
      <c r="U19" s="414">
        <v>0</v>
      </c>
      <c r="V19" s="414">
        <v>0</v>
      </c>
      <c r="W19" s="414">
        <v>0</v>
      </c>
      <c r="X19" s="414">
        <v>0</v>
      </c>
      <c r="Y19" s="414">
        <v>0</v>
      </c>
      <c r="Z19" s="433">
        <v>0</v>
      </c>
      <c r="AA19" s="433">
        <v>0</v>
      </c>
    </row>
    <row r="20" spans="1:28" s="345" customFormat="1">
      <c r="A20" s="411" t="s">
        <v>263</v>
      </c>
      <c r="B20" s="430" t="s">
        <v>317</v>
      </c>
      <c r="C20" s="411" t="s">
        <v>254</v>
      </c>
      <c r="D20" s="411" t="s">
        <v>306</v>
      </c>
      <c r="E20" s="417">
        <v>-22.902715000000001</v>
      </c>
      <c r="F20" s="416">
        <v>-45.354213999999999</v>
      </c>
      <c r="G20" s="411">
        <v>0</v>
      </c>
      <c r="H20" s="411">
        <v>0</v>
      </c>
      <c r="I20" s="411">
        <v>0</v>
      </c>
      <c r="J20" s="411">
        <v>0</v>
      </c>
      <c r="K20" s="411">
        <v>0</v>
      </c>
      <c r="L20" s="411">
        <v>0</v>
      </c>
      <c r="M20" s="411">
        <v>0</v>
      </c>
      <c r="N20" s="411">
        <v>990</v>
      </c>
      <c r="O20" s="411">
        <v>990</v>
      </c>
      <c r="P20" s="411">
        <v>1000</v>
      </c>
      <c r="Q20" s="411">
        <v>700</v>
      </c>
      <c r="R20" s="411">
        <v>620</v>
      </c>
      <c r="S20" s="411">
        <v>620</v>
      </c>
      <c r="T20" s="411">
        <v>620</v>
      </c>
      <c r="U20" s="411">
        <v>620</v>
      </c>
      <c r="V20" s="411">
        <v>620</v>
      </c>
      <c r="W20" s="411">
        <v>620</v>
      </c>
      <c r="X20" s="411">
        <v>620</v>
      </c>
      <c r="Y20" s="411">
        <v>620</v>
      </c>
      <c r="Z20" s="430">
        <v>620</v>
      </c>
      <c r="AA20" s="430">
        <v>620</v>
      </c>
    </row>
    <row r="21" spans="1:28" ht="14.25" customHeight="1">
      <c r="A21" s="411" t="s">
        <v>264</v>
      </c>
      <c r="B21" s="430" t="s">
        <v>317</v>
      </c>
      <c r="C21" s="411" t="s">
        <v>254</v>
      </c>
      <c r="D21" s="411" t="s">
        <v>306</v>
      </c>
      <c r="E21" s="418">
        <v>-29.959537999999998</v>
      </c>
      <c r="F21" s="422">
        <v>-51.615285999999998</v>
      </c>
      <c r="G21" s="411">
        <v>310</v>
      </c>
      <c r="H21" s="411">
        <v>310</v>
      </c>
      <c r="I21" s="411">
        <v>375</v>
      </c>
      <c r="J21" s="411">
        <v>375</v>
      </c>
      <c r="K21" s="411">
        <v>400</v>
      </c>
      <c r="L21" s="411">
        <v>400</v>
      </c>
      <c r="M21" s="411">
        <v>390</v>
      </c>
      <c r="N21" s="411">
        <v>410</v>
      </c>
      <c r="O21" s="411">
        <v>430</v>
      </c>
      <c r="P21" s="411">
        <v>430</v>
      </c>
      <c r="Q21" s="411">
        <v>430</v>
      </c>
      <c r="R21" s="411">
        <v>430</v>
      </c>
      <c r="S21" s="411">
        <v>430</v>
      </c>
      <c r="T21" s="411">
        <v>430</v>
      </c>
      <c r="U21" s="411">
        <v>430</v>
      </c>
      <c r="V21" s="411">
        <v>430</v>
      </c>
      <c r="W21" s="411">
        <v>430</v>
      </c>
      <c r="X21" s="411">
        <v>430</v>
      </c>
      <c r="Y21" s="411">
        <v>430</v>
      </c>
      <c r="Z21" s="430">
        <v>430</v>
      </c>
      <c r="AA21" s="430">
        <v>430</v>
      </c>
    </row>
    <row r="22" spans="1:28">
      <c r="A22" s="411" t="s">
        <v>265</v>
      </c>
      <c r="B22" s="411" t="s">
        <v>318</v>
      </c>
      <c r="C22" s="411" t="s">
        <v>254</v>
      </c>
      <c r="D22" s="411" t="s">
        <v>306</v>
      </c>
      <c r="E22" s="417">
        <v>41.894281999999997</v>
      </c>
      <c r="F22" s="416">
        <v>-83.359920000000002</v>
      </c>
      <c r="G22" s="411">
        <v>0</v>
      </c>
      <c r="H22" s="411">
        <v>0</v>
      </c>
      <c r="I22" s="411">
        <v>0</v>
      </c>
      <c r="J22" s="411">
        <v>0</v>
      </c>
      <c r="K22" s="411">
        <v>0</v>
      </c>
      <c r="L22" s="411">
        <v>0</v>
      </c>
      <c r="M22" s="411">
        <v>0</v>
      </c>
      <c r="N22" s="411">
        <v>460</v>
      </c>
      <c r="O22" s="411">
        <v>460</v>
      </c>
      <c r="P22" s="411">
        <v>520</v>
      </c>
      <c r="Q22" s="411">
        <v>520</v>
      </c>
      <c r="R22" s="411">
        <v>520</v>
      </c>
      <c r="S22" s="411">
        <v>551</v>
      </c>
      <c r="T22" s="411">
        <v>551</v>
      </c>
      <c r="U22" s="411">
        <v>551</v>
      </c>
      <c r="V22" s="411">
        <v>600</v>
      </c>
      <c r="W22" s="411">
        <v>600</v>
      </c>
      <c r="X22" s="411">
        <v>600</v>
      </c>
      <c r="Y22" s="411">
        <v>600</v>
      </c>
      <c r="Z22" s="430">
        <v>600</v>
      </c>
      <c r="AA22" s="430">
        <v>600</v>
      </c>
    </row>
    <row r="23" spans="1:28">
      <c r="A23" s="411" t="s">
        <v>266</v>
      </c>
      <c r="B23" s="430" t="s">
        <v>318</v>
      </c>
      <c r="C23" s="411" t="s">
        <v>254</v>
      </c>
      <c r="D23" s="411" t="s">
        <v>306</v>
      </c>
      <c r="E23" s="416">
        <v>35.307222000000003</v>
      </c>
      <c r="F23" s="416">
        <v>-94.374323000000004</v>
      </c>
      <c r="G23" s="411">
        <v>0</v>
      </c>
      <c r="H23" s="411">
        <v>0</v>
      </c>
      <c r="I23" s="411">
        <v>0</v>
      </c>
      <c r="J23" s="411">
        <v>0</v>
      </c>
      <c r="K23" s="411">
        <v>0</v>
      </c>
      <c r="L23" s="411">
        <v>0</v>
      </c>
      <c r="M23" s="411">
        <v>0</v>
      </c>
      <c r="N23" s="411">
        <v>470</v>
      </c>
      <c r="O23" s="411">
        <v>470</v>
      </c>
      <c r="P23" s="411">
        <v>535</v>
      </c>
      <c r="Q23" s="411">
        <v>535</v>
      </c>
      <c r="R23" s="411">
        <v>535</v>
      </c>
      <c r="S23" s="411">
        <v>474</v>
      </c>
      <c r="T23" s="411">
        <v>474</v>
      </c>
      <c r="U23" s="411">
        <v>474</v>
      </c>
      <c r="V23" s="411">
        <v>550</v>
      </c>
      <c r="W23" s="411">
        <v>550</v>
      </c>
      <c r="X23" s="411">
        <v>550</v>
      </c>
      <c r="Y23" s="411">
        <v>550</v>
      </c>
      <c r="Z23" s="430">
        <v>500</v>
      </c>
      <c r="AA23" s="430">
        <v>500</v>
      </c>
    </row>
    <row r="24" spans="1:28">
      <c r="A24" s="411" t="s">
        <v>267</v>
      </c>
      <c r="B24" s="411" t="s">
        <v>317</v>
      </c>
      <c r="C24" s="411" t="s">
        <v>254</v>
      </c>
      <c r="D24" s="411" t="s">
        <v>306</v>
      </c>
      <c r="E24" s="417">
        <v>-23.524728</v>
      </c>
      <c r="F24" s="416">
        <v>-46.157938000000001</v>
      </c>
      <c r="G24" s="413">
        <v>0</v>
      </c>
      <c r="H24" s="413">
        <v>0</v>
      </c>
      <c r="I24" s="413">
        <v>0</v>
      </c>
      <c r="J24" s="413">
        <v>0</v>
      </c>
      <c r="K24" s="413">
        <v>0</v>
      </c>
      <c r="L24" s="413">
        <v>0</v>
      </c>
      <c r="M24" s="413">
        <v>0</v>
      </c>
      <c r="N24" s="413">
        <v>0</v>
      </c>
      <c r="O24" s="413">
        <v>0</v>
      </c>
      <c r="P24" s="413">
        <v>0</v>
      </c>
      <c r="Q24" s="413">
        <v>0</v>
      </c>
      <c r="R24" s="413">
        <v>375</v>
      </c>
      <c r="S24" s="413">
        <v>375</v>
      </c>
      <c r="T24" s="413">
        <v>375</v>
      </c>
      <c r="U24" s="413">
        <v>0</v>
      </c>
      <c r="V24" s="413">
        <v>0</v>
      </c>
      <c r="W24" s="413">
        <v>375</v>
      </c>
      <c r="X24" s="413">
        <v>375</v>
      </c>
      <c r="Y24" s="413">
        <v>375</v>
      </c>
      <c r="Z24" s="432">
        <v>0</v>
      </c>
      <c r="AA24" s="432">
        <v>340</v>
      </c>
    </row>
    <row r="25" spans="1:28">
      <c r="A25" s="411" t="s">
        <v>268</v>
      </c>
      <c r="B25" s="430" t="s">
        <v>318</v>
      </c>
      <c r="C25" s="411" t="s">
        <v>254</v>
      </c>
      <c r="D25" s="411" t="s">
        <v>306</v>
      </c>
      <c r="E25" s="416">
        <v>42.313298000000003</v>
      </c>
      <c r="F25" s="416">
        <v>-84.430014</v>
      </c>
      <c r="G25" s="411">
        <v>0</v>
      </c>
      <c r="H25" s="411">
        <v>0</v>
      </c>
      <c r="I25" s="411">
        <v>0</v>
      </c>
      <c r="J25" s="411">
        <v>0</v>
      </c>
      <c r="K25" s="411">
        <v>0</v>
      </c>
      <c r="L25" s="411">
        <v>0</v>
      </c>
      <c r="M25" s="411">
        <v>0</v>
      </c>
      <c r="N25" s="411">
        <v>250</v>
      </c>
      <c r="O25" s="411">
        <v>250</v>
      </c>
      <c r="P25" s="411">
        <v>300</v>
      </c>
      <c r="Q25" s="411">
        <v>300</v>
      </c>
      <c r="R25" s="411">
        <v>300</v>
      </c>
      <c r="S25" s="411">
        <v>299</v>
      </c>
      <c r="T25" s="411">
        <v>299</v>
      </c>
      <c r="U25" s="411">
        <v>299</v>
      </c>
      <c r="V25" s="411">
        <v>300</v>
      </c>
      <c r="W25" s="411">
        <v>300</v>
      </c>
      <c r="X25" s="411">
        <v>300</v>
      </c>
      <c r="Y25" s="411">
        <v>300</v>
      </c>
      <c r="Z25" s="430">
        <v>0</v>
      </c>
      <c r="AA25" s="430">
        <v>0</v>
      </c>
    </row>
    <row r="26" spans="1:28" ht="14.25" customHeight="1">
      <c r="A26" s="411" t="s">
        <v>269</v>
      </c>
      <c r="B26" s="411" t="s">
        <v>320</v>
      </c>
      <c r="C26" s="411" t="s">
        <v>254</v>
      </c>
      <c r="D26" s="411" t="s">
        <v>306</v>
      </c>
      <c r="E26" s="416">
        <v>43.229018000000003</v>
      </c>
      <c r="F26" s="416">
        <v>-2.8857249999999999</v>
      </c>
      <c r="G26" s="411">
        <v>0</v>
      </c>
      <c r="H26" s="411">
        <v>0</v>
      </c>
      <c r="I26" s="411">
        <v>0</v>
      </c>
      <c r="J26" s="411">
        <v>0</v>
      </c>
      <c r="K26" s="411">
        <v>0</v>
      </c>
      <c r="L26" s="411">
        <v>975</v>
      </c>
      <c r="M26" s="411">
        <v>975</v>
      </c>
      <c r="N26" s="411">
        <v>735</v>
      </c>
      <c r="O26" s="411">
        <v>740</v>
      </c>
      <c r="P26" s="411">
        <v>740</v>
      </c>
      <c r="Q26" s="411">
        <v>740</v>
      </c>
      <c r="R26" s="411">
        <v>735</v>
      </c>
      <c r="S26" s="411">
        <v>735</v>
      </c>
      <c r="T26" s="411">
        <v>820</v>
      </c>
      <c r="U26" s="411">
        <v>820</v>
      </c>
      <c r="V26" s="411">
        <v>0</v>
      </c>
      <c r="W26" s="411">
        <v>0</v>
      </c>
      <c r="X26" s="411">
        <v>0</v>
      </c>
      <c r="Y26" s="411">
        <v>0</v>
      </c>
      <c r="Z26" s="430">
        <v>0</v>
      </c>
      <c r="AA26" s="430">
        <v>0</v>
      </c>
    </row>
    <row r="27" spans="1:28">
      <c r="A27" s="411" t="s">
        <v>270</v>
      </c>
      <c r="B27" s="430" t="s">
        <v>320</v>
      </c>
      <c r="C27" s="411" t="s">
        <v>254</v>
      </c>
      <c r="D27" s="411" t="s">
        <v>306</v>
      </c>
      <c r="E27" s="416">
        <v>43.011865</v>
      </c>
      <c r="F27" s="416">
        <v>-4.1367969999999996</v>
      </c>
      <c r="G27" s="411">
        <v>0</v>
      </c>
      <c r="H27" s="411">
        <v>0</v>
      </c>
      <c r="I27" s="411">
        <v>0</v>
      </c>
      <c r="J27" s="411">
        <v>0</v>
      </c>
      <c r="K27" s="411">
        <v>0</v>
      </c>
      <c r="L27" s="411">
        <v>0</v>
      </c>
      <c r="M27" s="411">
        <v>0</v>
      </c>
      <c r="N27" s="411">
        <v>240</v>
      </c>
      <c r="O27" s="411">
        <v>240</v>
      </c>
      <c r="P27" s="411">
        <v>240</v>
      </c>
      <c r="Q27" s="411">
        <v>240</v>
      </c>
      <c r="R27" s="411">
        <v>240</v>
      </c>
      <c r="S27" s="411">
        <v>240</v>
      </c>
      <c r="T27" s="411">
        <v>240</v>
      </c>
      <c r="U27" s="411">
        <v>240</v>
      </c>
      <c r="V27" s="411">
        <v>0</v>
      </c>
      <c r="W27" s="411">
        <v>0</v>
      </c>
      <c r="X27" s="411">
        <v>0</v>
      </c>
      <c r="Y27" s="411">
        <v>0</v>
      </c>
      <c r="Z27" s="430">
        <v>0</v>
      </c>
      <c r="AA27" s="430">
        <v>0</v>
      </c>
    </row>
    <row r="28" spans="1:28" ht="14.25" customHeight="1">
      <c r="A28" s="411" t="s">
        <v>271</v>
      </c>
      <c r="B28" s="430" t="s">
        <v>320</v>
      </c>
      <c r="C28" s="411" t="s">
        <v>254</v>
      </c>
      <c r="D28" s="411" t="s">
        <v>306</v>
      </c>
      <c r="E28" s="416">
        <v>43.195217</v>
      </c>
      <c r="F28" s="416">
        <v>-2.3100360000000002</v>
      </c>
      <c r="G28" s="411">
        <v>0</v>
      </c>
      <c r="H28" s="411">
        <v>0</v>
      </c>
      <c r="I28" s="411">
        <v>0</v>
      </c>
      <c r="J28" s="411">
        <v>0</v>
      </c>
      <c r="K28" s="411">
        <v>0</v>
      </c>
      <c r="L28" s="411">
        <v>0</v>
      </c>
      <c r="M28" s="411">
        <v>175</v>
      </c>
      <c r="N28" s="411">
        <v>175</v>
      </c>
      <c r="O28" s="411">
        <v>175</v>
      </c>
      <c r="P28" s="411">
        <v>0</v>
      </c>
      <c r="Q28" s="411">
        <v>0</v>
      </c>
      <c r="R28" s="411">
        <v>0</v>
      </c>
      <c r="S28" s="411">
        <v>0</v>
      </c>
      <c r="T28" s="411">
        <v>0</v>
      </c>
      <c r="U28" s="411">
        <v>0</v>
      </c>
      <c r="V28" s="411">
        <v>0</v>
      </c>
      <c r="W28" s="411">
        <v>0</v>
      </c>
      <c r="X28" s="411">
        <v>0</v>
      </c>
      <c r="Y28" s="411">
        <v>0</v>
      </c>
      <c r="Z28" s="430">
        <v>0</v>
      </c>
      <c r="AA28" s="430">
        <v>0</v>
      </c>
    </row>
    <row r="29" spans="1:28" s="360" customFormat="1" ht="14.25" customHeight="1">
      <c r="A29" s="414" t="s">
        <v>272</v>
      </c>
      <c r="B29" s="414" t="s">
        <v>273</v>
      </c>
      <c r="C29" s="414" t="s">
        <v>252</v>
      </c>
      <c r="D29" s="414" t="s">
        <v>306</v>
      </c>
      <c r="E29" s="420">
        <v>15.159207</v>
      </c>
      <c r="F29" s="424">
        <v>78.005082000000002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250</v>
      </c>
      <c r="S29" s="414">
        <v>250</v>
      </c>
      <c r="T29" s="414">
        <v>250</v>
      </c>
      <c r="U29" s="414">
        <v>250</v>
      </c>
      <c r="V29" s="414">
        <v>250</v>
      </c>
      <c r="W29" s="414">
        <v>250</v>
      </c>
      <c r="X29" s="414">
        <v>0</v>
      </c>
      <c r="Y29" s="414">
        <v>0</v>
      </c>
      <c r="Z29" s="433">
        <v>0</v>
      </c>
      <c r="AA29" s="433">
        <v>0</v>
      </c>
    </row>
    <row r="30" spans="1:28" ht="14.25" customHeight="1">
      <c r="A30" s="411" t="s">
        <v>274</v>
      </c>
      <c r="B30" s="411" t="s">
        <v>275</v>
      </c>
      <c r="C30" s="411" t="s">
        <v>254</v>
      </c>
      <c r="D30" s="411" t="s">
        <v>307</v>
      </c>
      <c r="E30" s="417">
        <v>-9.058961</v>
      </c>
      <c r="F30" s="416">
        <v>-78.600645</v>
      </c>
      <c r="G30" s="411">
        <v>0</v>
      </c>
      <c r="H30" s="411">
        <v>0</v>
      </c>
      <c r="I30" s="411">
        <v>0</v>
      </c>
      <c r="J30" s="411">
        <v>0</v>
      </c>
      <c r="K30" s="411">
        <v>0</v>
      </c>
      <c r="L30" s="411">
        <v>540</v>
      </c>
      <c r="M30" s="411">
        <v>540</v>
      </c>
      <c r="N30" s="411">
        <v>560</v>
      </c>
      <c r="O30" s="411">
        <v>600</v>
      </c>
      <c r="P30" s="411">
        <v>650</v>
      </c>
      <c r="Q30" s="411">
        <v>650</v>
      </c>
      <c r="R30" s="411">
        <v>650</v>
      </c>
      <c r="S30" s="411">
        <v>650</v>
      </c>
      <c r="T30" s="411">
        <v>650</v>
      </c>
      <c r="U30" s="411">
        <v>650</v>
      </c>
      <c r="V30" s="411">
        <v>720</v>
      </c>
      <c r="W30" s="411">
        <v>720</v>
      </c>
      <c r="X30" s="411">
        <v>720</v>
      </c>
      <c r="Y30" s="411">
        <v>720</v>
      </c>
      <c r="Z30" s="430">
        <v>340</v>
      </c>
      <c r="AA30" s="430">
        <v>340</v>
      </c>
    </row>
    <row r="31" spans="1:28" s="360" customFormat="1" ht="14.25" customHeight="1">
      <c r="A31" s="411" t="s">
        <v>276</v>
      </c>
      <c r="B31" s="411" t="s">
        <v>277</v>
      </c>
      <c r="C31" s="411" t="s">
        <v>254</v>
      </c>
      <c r="D31" s="411" t="s">
        <v>307</v>
      </c>
      <c r="E31" s="417">
        <v>-32.988267999999998</v>
      </c>
      <c r="F31" s="416">
        <v>-60.754866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v>0</v>
      </c>
      <c r="M31" s="411">
        <v>0</v>
      </c>
      <c r="N31" s="411">
        <v>0</v>
      </c>
      <c r="O31" s="411">
        <v>0</v>
      </c>
      <c r="P31" s="411">
        <v>0</v>
      </c>
      <c r="Q31" s="411">
        <v>0</v>
      </c>
      <c r="R31" s="411">
        <v>0</v>
      </c>
      <c r="S31" s="411">
        <v>0</v>
      </c>
      <c r="T31" s="411">
        <v>0</v>
      </c>
      <c r="U31" s="411">
        <v>0</v>
      </c>
      <c r="V31" s="411">
        <v>0</v>
      </c>
      <c r="W31" s="411">
        <v>0</v>
      </c>
      <c r="X31" s="411">
        <v>650</v>
      </c>
      <c r="Y31" s="411">
        <v>650</v>
      </c>
      <c r="Z31" s="430">
        <v>450</v>
      </c>
      <c r="AA31" s="430">
        <v>450</v>
      </c>
    </row>
    <row r="32" spans="1:28">
      <c r="A32" s="411" t="s">
        <v>278</v>
      </c>
      <c r="B32" s="411" t="s">
        <v>279</v>
      </c>
      <c r="C32" s="411" t="s">
        <v>254</v>
      </c>
      <c r="D32" s="411" t="s">
        <v>307</v>
      </c>
      <c r="E32" s="417">
        <v>10.202360000000001</v>
      </c>
      <c r="F32" s="416">
        <v>-71.278664000000006</v>
      </c>
      <c r="G32" s="411">
        <v>0</v>
      </c>
      <c r="H32" s="411">
        <v>0</v>
      </c>
      <c r="I32" s="411">
        <v>0</v>
      </c>
      <c r="J32" s="411">
        <v>0</v>
      </c>
      <c r="K32" s="411">
        <v>0</v>
      </c>
      <c r="L32" s="411">
        <v>0</v>
      </c>
      <c r="M32" s="411">
        <v>300</v>
      </c>
      <c r="N32" s="411">
        <v>300</v>
      </c>
      <c r="O32" s="411">
        <v>300</v>
      </c>
      <c r="P32" s="411">
        <v>300</v>
      </c>
      <c r="Q32" s="411">
        <v>300</v>
      </c>
      <c r="R32" s="411">
        <v>300</v>
      </c>
      <c r="S32" s="411">
        <v>250</v>
      </c>
      <c r="T32" s="411">
        <v>250</v>
      </c>
      <c r="U32" s="411">
        <v>250</v>
      </c>
      <c r="V32" s="411">
        <v>250</v>
      </c>
      <c r="W32" s="411">
        <v>250</v>
      </c>
      <c r="X32" s="411">
        <v>250</v>
      </c>
      <c r="Y32" s="411">
        <v>0</v>
      </c>
      <c r="Z32" s="430">
        <v>250</v>
      </c>
      <c r="AA32" s="430">
        <v>250</v>
      </c>
    </row>
    <row r="33" spans="1:27" s="345" customFormat="1">
      <c r="A33" s="411" t="s">
        <v>280</v>
      </c>
      <c r="B33" s="411" t="s">
        <v>319</v>
      </c>
      <c r="C33" s="411" t="s">
        <v>254</v>
      </c>
      <c r="D33" s="411" t="s">
        <v>307</v>
      </c>
      <c r="E33" s="418">
        <v>-34.811472000000002</v>
      </c>
      <c r="F33" s="422">
        <v>-56.100338000000001</v>
      </c>
      <c r="G33" s="411">
        <v>70</v>
      </c>
      <c r="H33" s="411">
        <v>70</v>
      </c>
      <c r="I33" s="411">
        <v>70</v>
      </c>
      <c r="J33" s="411">
        <v>70</v>
      </c>
      <c r="K33" s="411">
        <v>70</v>
      </c>
      <c r="L33" s="411">
        <v>100</v>
      </c>
      <c r="M33" s="411">
        <v>100</v>
      </c>
      <c r="N33" s="411">
        <v>100</v>
      </c>
      <c r="O33" s="411">
        <v>100</v>
      </c>
      <c r="P33" s="411">
        <v>100</v>
      </c>
      <c r="Q33" s="411">
        <v>100</v>
      </c>
      <c r="R33" s="411">
        <v>100</v>
      </c>
      <c r="S33" s="411">
        <v>100</v>
      </c>
      <c r="T33" s="411">
        <v>100</v>
      </c>
      <c r="U33" s="411">
        <v>100</v>
      </c>
      <c r="V33" s="411">
        <v>100</v>
      </c>
      <c r="W33" s="411">
        <v>100</v>
      </c>
      <c r="X33" s="411">
        <v>100</v>
      </c>
      <c r="Y33" s="411">
        <v>100</v>
      </c>
      <c r="Z33" s="430">
        <v>100</v>
      </c>
      <c r="AA33" s="430">
        <v>100</v>
      </c>
    </row>
    <row r="34" spans="1:27" ht="14.25" customHeight="1">
      <c r="A34" s="411" t="s">
        <v>281</v>
      </c>
      <c r="B34" s="411" t="s">
        <v>282</v>
      </c>
      <c r="C34" s="411" t="s">
        <v>254</v>
      </c>
      <c r="D34" s="411" t="s">
        <v>307</v>
      </c>
      <c r="E34" s="418">
        <v>-33.401152000000003</v>
      </c>
      <c r="F34" s="422">
        <v>-70.682151000000005</v>
      </c>
      <c r="G34" s="411">
        <v>360</v>
      </c>
      <c r="H34" s="411">
        <v>360</v>
      </c>
      <c r="I34" s="411">
        <v>440</v>
      </c>
      <c r="J34" s="411">
        <v>440</v>
      </c>
      <c r="K34" s="411">
        <v>440</v>
      </c>
      <c r="L34" s="411">
        <v>470</v>
      </c>
      <c r="M34" s="411">
        <v>460</v>
      </c>
      <c r="N34" s="411">
        <v>470</v>
      </c>
      <c r="O34" s="411">
        <v>490</v>
      </c>
      <c r="P34" s="411">
        <v>490</v>
      </c>
      <c r="Q34" s="411">
        <v>490</v>
      </c>
      <c r="R34" s="411">
        <v>490</v>
      </c>
      <c r="S34" s="411">
        <v>520</v>
      </c>
      <c r="T34" s="411">
        <v>520</v>
      </c>
      <c r="U34" s="411">
        <v>520</v>
      </c>
      <c r="V34" s="411">
        <v>520</v>
      </c>
      <c r="W34" s="411">
        <v>520</v>
      </c>
      <c r="X34" s="411">
        <v>0</v>
      </c>
      <c r="Y34" s="411">
        <v>0</v>
      </c>
      <c r="Z34" s="430">
        <v>0</v>
      </c>
      <c r="AA34" s="430">
        <v>0</v>
      </c>
    </row>
    <row r="35" spans="1:27">
      <c r="A35" s="414" t="s">
        <v>283</v>
      </c>
      <c r="B35" s="414" t="s">
        <v>284</v>
      </c>
      <c r="C35" s="414" t="s">
        <v>254</v>
      </c>
      <c r="D35" s="414" t="s">
        <v>307</v>
      </c>
      <c r="E35" s="420">
        <v>5.7279109999999998</v>
      </c>
      <c r="F35" s="424">
        <v>-73.222161</v>
      </c>
      <c r="G35" s="414">
        <v>0</v>
      </c>
      <c r="H35" s="414">
        <v>0</v>
      </c>
      <c r="I35" s="414">
        <v>0</v>
      </c>
      <c r="J35" s="414">
        <v>0</v>
      </c>
      <c r="K35" s="414">
        <v>500</v>
      </c>
      <c r="L35" s="414">
        <v>530</v>
      </c>
      <c r="M35" s="414">
        <v>515</v>
      </c>
      <c r="N35" s="414">
        <v>510</v>
      </c>
      <c r="O35" s="414">
        <v>580</v>
      </c>
      <c r="P35" s="414">
        <v>550</v>
      </c>
      <c r="Q35" s="414">
        <v>550</v>
      </c>
      <c r="R35" s="414">
        <v>710</v>
      </c>
      <c r="S35" s="414">
        <v>720</v>
      </c>
      <c r="T35" s="414">
        <v>854</v>
      </c>
      <c r="U35" s="414">
        <v>854</v>
      </c>
      <c r="V35" s="414">
        <v>674</v>
      </c>
      <c r="W35" s="414">
        <v>650</v>
      </c>
      <c r="X35" s="414">
        <v>0</v>
      </c>
      <c r="Y35" s="414">
        <v>0</v>
      </c>
      <c r="Z35" s="433">
        <v>0</v>
      </c>
      <c r="AA35" s="433">
        <v>0</v>
      </c>
    </row>
    <row r="36" spans="1:27">
      <c r="A36" s="415" t="s">
        <v>285</v>
      </c>
      <c r="B36" s="415" t="s">
        <v>286</v>
      </c>
      <c r="C36" s="415" t="s">
        <v>254</v>
      </c>
      <c r="D36" s="415" t="s">
        <v>308</v>
      </c>
      <c r="E36" s="426">
        <v>19.632771000000002</v>
      </c>
      <c r="F36" s="427">
        <v>-99.179068000000001</v>
      </c>
      <c r="G36" s="415">
        <v>0</v>
      </c>
      <c r="H36" s="415">
        <v>0</v>
      </c>
      <c r="I36" s="415">
        <v>0</v>
      </c>
      <c r="J36" s="415">
        <v>0</v>
      </c>
      <c r="K36" s="415">
        <v>0</v>
      </c>
      <c r="L36" s="415">
        <v>0</v>
      </c>
      <c r="M36" s="415">
        <v>350</v>
      </c>
      <c r="N36" s="415">
        <v>500</v>
      </c>
      <c r="O36" s="415">
        <v>500</v>
      </c>
      <c r="P36" s="415">
        <v>500</v>
      </c>
      <c r="Q36" s="415">
        <v>500</v>
      </c>
      <c r="R36" s="415">
        <v>500</v>
      </c>
      <c r="S36" s="415">
        <v>500</v>
      </c>
      <c r="T36" s="415">
        <v>500</v>
      </c>
      <c r="U36" s="415">
        <v>500</v>
      </c>
      <c r="V36" s="415">
        <v>500</v>
      </c>
      <c r="W36" s="415">
        <v>500</v>
      </c>
      <c r="X36" s="415">
        <v>500</v>
      </c>
      <c r="Y36" s="415">
        <v>500</v>
      </c>
      <c r="Z36" s="434">
        <v>500</v>
      </c>
      <c r="AA36" s="434">
        <v>500</v>
      </c>
    </row>
    <row r="37" spans="1:27">
      <c r="A37" s="411" t="s">
        <v>287</v>
      </c>
      <c r="B37" s="430" t="s">
        <v>318</v>
      </c>
      <c r="C37" s="411" t="s">
        <v>254</v>
      </c>
      <c r="D37" s="415" t="s">
        <v>308</v>
      </c>
      <c r="E37" s="416">
        <v>32.462156999999998</v>
      </c>
      <c r="F37" s="416">
        <v>-97.028647000000007</v>
      </c>
      <c r="G37" s="411">
        <v>0</v>
      </c>
      <c r="H37" s="411">
        <v>0</v>
      </c>
      <c r="I37" s="411">
        <v>0</v>
      </c>
      <c r="J37" s="411">
        <v>0</v>
      </c>
      <c r="K37" s="411">
        <v>0</v>
      </c>
      <c r="L37" s="411">
        <v>0</v>
      </c>
      <c r="M37" s="411">
        <v>1500</v>
      </c>
      <c r="N37" s="411">
        <v>1500</v>
      </c>
      <c r="O37" s="411">
        <v>1500</v>
      </c>
      <c r="P37" s="411">
        <v>1500</v>
      </c>
      <c r="Q37" s="411">
        <v>1500</v>
      </c>
      <c r="R37" s="411">
        <v>1500</v>
      </c>
      <c r="S37" s="411">
        <v>1500</v>
      </c>
      <c r="T37" s="411">
        <v>1500</v>
      </c>
      <c r="U37" s="411">
        <v>1500</v>
      </c>
      <c r="V37" s="411">
        <v>1741</v>
      </c>
      <c r="W37" s="411">
        <v>1753</v>
      </c>
      <c r="X37" s="411">
        <v>1753</v>
      </c>
      <c r="Y37" s="411">
        <v>1753</v>
      </c>
      <c r="Z37" s="430">
        <v>1395</v>
      </c>
      <c r="AA37" s="430">
        <v>1395</v>
      </c>
    </row>
    <row r="38" spans="1:27">
      <c r="A38" s="411" t="s">
        <v>288</v>
      </c>
      <c r="B38" s="430" t="s">
        <v>318</v>
      </c>
      <c r="C38" s="411" t="s">
        <v>254</v>
      </c>
      <c r="D38" s="415" t="s">
        <v>308</v>
      </c>
      <c r="E38" s="416">
        <v>37.186810000000001</v>
      </c>
      <c r="F38" s="416">
        <v>-77.450515999999993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1000</v>
      </c>
      <c r="N38" s="411">
        <v>1000</v>
      </c>
      <c r="O38" s="411">
        <v>1000</v>
      </c>
      <c r="P38" s="411">
        <v>1000</v>
      </c>
      <c r="Q38" s="411">
        <v>1000</v>
      </c>
      <c r="R38" s="411">
        <v>1000</v>
      </c>
      <c r="S38" s="411">
        <v>1000</v>
      </c>
      <c r="T38" s="411">
        <v>1000</v>
      </c>
      <c r="U38" s="411">
        <v>1000</v>
      </c>
      <c r="V38" s="411">
        <v>857</v>
      </c>
      <c r="W38" s="411">
        <v>965</v>
      </c>
      <c r="X38" s="411">
        <v>965</v>
      </c>
      <c r="Y38" s="411">
        <v>965</v>
      </c>
      <c r="Z38" s="430">
        <v>833</v>
      </c>
      <c r="AA38" s="430">
        <v>833</v>
      </c>
    </row>
    <row r="39" spans="1:27" ht="14.25" customHeight="1">
      <c r="A39" s="411" t="s">
        <v>289</v>
      </c>
      <c r="B39" s="411" t="s">
        <v>290</v>
      </c>
      <c r="C39" s="411" t="s">
        <v>254</v>
      </c>
      <c r="D39" s="415" t="s">
        <v>308</v>
      </c>
      <c r="E39" s="416">
        <v>43.857089999999999</v>
      </c>
      <c r="F39" s="416">
        <v>-78.910328000000007</v>
      </c>
      <c r="G39" s="411">
        <v>0</v>
      </c>
      <c r="H39" s="411">
        <v>872</v>
      </c>
      <c r="I39" s="411">
        <v>871</v>
      </c>
      <c r="J39" s="411">
        <v>871</v>
      </c>
      <c r="K39" s="411">
        <v>871</v>
      </c>
      <c r="L39" s="411">
        <v>870</v>
      </c>
      <c r="M39" s="411">
        <v>900</v>
      </c>
      <c r="N39" s="411">
        <v>900</v>
      </c>
      <c r="O39" s="411">
        <v>900</v>
      </c>
      <c r="P39" s="411">
        <v>900</v>
      </c>
      <c r="Q39" s="411">
        <v>900</v>
      </c>
      <c r="R39" s="411">
        <v>900</v>
      </c>
      <c r="S39" s="411">
        <v>900</v>
      </c>
      <c r="T39" s="411">
        <v>900</v>
      </c>
      <c r="U39" s="411">
        <v>900</v>
      </c>
      <c r="V39" s="411">
        <v>900</v>
      </c>
      <c r="W39" s="411">
        <v>949</v>
      </c>
      <c r="X39" s="411">
        <v>949</v>
      </c>
      <c r="Y39" s="411">
        <v>949</v>
      </c>
      <c r="Z39" s="430">
        <v>788</v>
      </c>
      <c r="AA39" s="430">
        <v>788</v>
      </c>
    </row>
    <row r="40" spans="1:27">
      <c r="A40" s="411" t="s">
        <v>291</v>
      </c>
      <c r="B40" s="430" t="s">
        <v>318</v>
      </c>
      <c r="C40" s="411" t="s">
        <v>254</v>
      </c>
      <c r="D40" s="415" t="s">
        <v>308</v>
      </c>
      <c r="E40" s="416">
        <v>34.244720000000001</v>
      </c>
      <c r="F40" s="416">
        <v>-84.797549000000004</v>
      </c>
      <c r="G40" s="411">
        <v>0</v>
      </c>
      <c r="H40" s="411">
        <v>780</v>
      </c>
      <c r="I40" s="411">
        <v>780</v>
      </c>
      <c r="J40" s="411">
        <v>780</v>
      </c>
      <c r="K40" s="411">
        <v>780</v>
      </c>
      <c r="L40" s="411">
        <v>780</v>
      </c>
      <c r="M40" s="411">
        <v>780</v>
      </c>
      <c r="N40" s="411">
        <v>840</v>
      </c>
      <c r="O40" s="411">
        <v>840</v>
      </c>
      <c r="P40" s="411">
        <v>840</v>
      </c>
      <c r="Q40" s="411">
        <v>840</v>
      </c>
      <c r="R40" s="411">
        <v>840</v>
      </c>
      <c r="S40" s="411">
        <v>840</v>
      </c>
      <c r="T40" s="411">
        <v>840</v>
      </c>
      <c r="U40" s="411">
        <v>840</v>
      </c>
      <c r="V40" s="411">
        <v>967</v>
      </c>
      <c r="W40" s="411">
        <v>925</v>
      </c>
      <c r="X40" s="411">
        <v>925</v>
      </c>
      <c r="Y40" s="411">
        <v>925</v>
      </c>
      <c r="Z40" s="430">
        <v>965</v>
      </c>
      <c r="AA40" s="430">
        <v>965</v>
      </c>
    </row>
    <row r="41" spans="1:27" ht="14.25" customHeight="1">
      <c r="A41" s="411" t="s">
        <v>292</v>
      </c>
      <c r="B41" s="430" t="s">
        <v>318</v>
      </c>
      <c r="C41" s="411" t="s">
        <v>254</v>
      </c>
      <c r="D41" s="415" t="s">
        <v>308</v>
      </c>
      <c r="E41" s="418">
        <v>42.2042</v>
      </c>
      <c r="F41" s="422">
        <v>-84.364417000000003</v>
      </c>
      <c r="G41" s="411">
        <v>635</v>
      </c>
      <c r="H41" s="411">
        <v>607</v>
      </c>
      <c r="I41" s="411">
        <v>608</v>
      </c>
      <c r="J41" s="411">
        <v>608</v>
      </c>
      <c r="K41" s="411">
        <v>608</v>
      </c>
      <c r="L41" s="411">
        <v>610</v>
      </c>
      <c r="M41" s="411">
        <v>610</v>
      </c>
      <c r="N41" s="411">
        <v>610</v>
      </c>
      <c r="O41" s="411">
        <v>610</v>
      </c>
      <c r="P41" s="411">
        <v>610</v>
      </c>
      <c r="Q41" s="411">
        <v>610</v>
      </c>
      <c r="R41" s="411">
        <v>610</v>
      </c>
      <c r="S41" s="411">
        <v>610</v>
      </c>
      <c r="T41" s="411">
        <v>610</v>
      </c>
      <c r="U41" s="411">
        <v>610</v>
      </c>
      <c r="V41" s="411">
        <v>714</v>
      </c>
      <c r="W41" s="411">
        <v>764</v>
      </c>
      <c r="X41" s="411">
        <v>764</v>
      </c>
      <c r="Y41" s="411">
        <v>764</v>
      </c>
      <c r="Z41" s="430">
        <v>676</v>
      </c>
      <c r="AA41" s="430">
        <v>676</v>
      </c>
    </row>
    <row r="42" spans="1:27" s="360" customFormat="1" ht="14.25" customHeight="1">
      <c r="A42" s="411" t="s">
        <v>293</v>
      </c>
      <c r="B42" s="430" t="s">
        <v>318</v>
      </c>
      <c r="C42" s="411" t="s">
        <v>254</v>
      </c>
      <c r="D42" s="415" t="s">
        <v>308</v>
      </c>
      <c r="E42" s="416">
        <v>44.894903999999997</v>
      </c>
      <c r="F42" s="416">
        <v>-93.011009000000001</v>
      </c>
      <c r="G42" s="411">
        <v>0</v>
      </c>
      <c r="H42" s="411">
        <v>0</v>
      </c>
      <c r="I42" s="411">
        <v>0</v>
      </c>
      <c r="J42" s="411">
        <v>544</v>
      </c>
      <c r="K42" s="411">
        <v>544</v>
      </c>
      <c r="L42" s="411">
        <v>540</v>
      </c>
      <c r="M42" s="411">
        <v>520</v>
      </c>
      <c r="N42" s="411">
        <v>520</v>
      </c>
      <c r="O42" s="411">
        <v>520</v>
      </c>
      <c r="P42" s="411">
        <v>520</v>
      </c>
      <c r="Q42" s="411">
        <v>520</v>
      </c>
      <c r="R42" s="411">
        <v>520</v>
      </c>
      <c r="S42" s="411">
        <v>520</v>
      </c>
      <c r="T42" s="411">
        <v>620</v>
      </c>
      <c r="U42" s="411">
        <v>620</v>
      </c>
      <c r="V42" s="411">
        <v>527</v>
      </c>
      <c r="W42" s="411">
        <v>502</v>
      </c>
      <c r="X42" s="411">
        <v>502</v>
      </c>
      <c r="Y42" s="411">
        <v>502</v>
      </c>
      <c r="Z42" s="430">
        <v>0</v>
      </c>
      <c r="AA42" s="430">
        <v>0</v>
      </c>
    </row>
    <row r="43" spans="1:27" ht="14.25" customHeight="1">
      <c r="A43" s="411" t="s">
        <v>294</v>
      </c>
      <c r="B43" s="430" t="s">
        <v>318</v>
      </c>
      <c r="C43" s="411" t="s">
        <v>254</v>
      </c>
      <c r="D43" s="415" t="s">
        <v>308</v>
      </c>
      <c r="E43" s="418">
        <v>35.340643</v>
      </c>
      <c r="F43" s="422">
        <v>-80.827214999999995</v>
      </c>
      <c r="G43" s="411">
        <v>435</v>
      </c>
      <c r="H43" s="411">
        <v>417</v>
      </c>
      <c r="I43" s="411">
        <v>417</v>
      </c>
      <c r="J43" s="411">
        <v>417</v>
      </c>
      <c r="K43" s="411">
        <v>417</v>
      </c>
      <c r="L43" s="411">
        <v>420</v>
      </c>
      <c r="M43" s="411">
        <v>370</v>
      </c>
      <c r="N43" s="411">
        <v>370</v>
      </c>
      <c r="O43" s="411">
        <v>370</v>
      </c>
      <c r="P43" s="411">
        <v>370</v>
      </c>
      <c r="Q43" s="411">
        <v>370</v>
      </c>
      <c r="R43" s="411">
        <v>370</v>
      </c>
      <c r="S43" s="411">
        <v>370</v>
      </c>
      <c r="T43" s="411">
        <v>370</v>
      </c>
      <c r="U43" s="411">
        <v>370</v>
      </c>
      <c r="V43" s="411">
        <v>459</v>
      </c>
      <c r="W43" s="411">
        <v>468</v>
      </c>
      <c r="X43" s="411">
        <v>468</v>
      </c>
      <c r="Y43" s="411">
        <v>468</v>
      </c>
      <c r="Z43" s="430">
        <v>420</v>
      </c>
      <c r="AA43" s="430">
        <v>420</v>
      </c>
    </row>
    <row r="44" spans="1:27" s="360" customFormat="1" ht="14.25" customHeight="1">
      <c r="A44" s="411" t="s">
        <v>295</v>
      </c>
      <c r="B44" s="411" t="s">
        <v>290</v>
      </c>
      <c r="C44" s="411" t="s">
        <v>254</v>
      </c>
      <c r="D44" s="415" t="s">
        <v>308</v>
      </c>
      <c r="E44" s="418">
        <v>50.133490999999999</v>
      </c>
      <c r="F44" s="422">
        <v>-96.905995300000001</v>
      </c>
      <c r="G44" s="411">
        <v>355</v>
      </c>
      <c r="H44" s="411">
        <v>349</v>
      </c>
      <c r="I44" s="411">
        <v>349</v>
      </c>
      <c r="J44" s="411">
        <v>349</v>
      </c>
      <c r="K44" s="411">
        <v>349</v>
      </c>
      <c r="L44" s="411">
        <v>350</v>
      </c>
      <c r="M44" s="411">
        <v>430</v>
      </c>
      <c r="N44" s="411">
        <v>430</v>
      </c>
      <c r="O44" s="411">
        <v>430</v>
      </c>
      <c r="P44" s="411">
        <v>430</v>
      </c>
      <c r="Q44" s="411">
        <v>430</v>
      </c>
      <c r="R44" s="411">
        <v>430</v>
      </c>
      <c r="S44" s="411">
        <v>430</v>
      </c>
      <c r="T44" s="411">
        <v>430</v>
      </c>
      <c r="U44" s="411">
        <v>430</v>
      </c>
      <c r="V44" s="411">
        <v>361</v>
      </c>
      <c r="W44" s="411">
        <v>394</v>
      </c>
      <c r="X44" s="411">
        <v>394</v>
      </c>
      <c r="Y44" s="411">
        <v>394</v>
      </c>
      <c r="Z44" s="430">
        <v>397</v>
      </c>
      <c r="AA44" s="430">
        <v>397</v>
      </c>
    </row>
    <row r="45" spans="1:27">
      <c r="A45" s="411" t="s">
        <v>296</v>
      </c>
      <c r="B45" s="430" t="s">
        <v>318</v>
      </c>
      <c r="C45" s="411" t="s">
        <v>254</v>
      </c>
      <c r="D45" s="415" t="s">
        <v>308</v>
      </c>
      <c r="E45" s="416">
        <v>41.584448000000002</v>
      </c>
      <c r="F45" s="416">
        <v>-91.045434999999998</v>
      </c>
      <c r="G45" s="411">
        <v>0</v>
      </c>
      <c r="H45" s="411">
        <v>0</v>
      </c>
      <c r="I45" s="411">
        <v>0</v>
      </c>
      <c r="J45" s="411">
        <v>318</v>
      </c>
      <c r="K45" s="411">
        <v>318</v>
      </c>
      <c r="L45" s="411">
        <v>320</v>
      </c>
      <c r="M45" s="411">
        <v>320</v>
      </c>
      <c r="N45" s="411">
        <v>320</v>
      </c>
      <c r="O45" s="411">
        <v>320</v>
      </c>
      <c r="P45" s="411">
        <v>320</v>
      </c>
      <c r="Q45" s="411">
        <v>320</v>
      </c>
      <c r="R45" s="411">
        <v>320</v>
      </c>
      <c r="S45" s="411">
        <v>320</v>
      </c>
      <c r="T45" s="411">
        <v>320</v>
      </c>
      <c r="U45" s="411">
        <v>320</v>
      </c>
      <c r="V45" s="411">
        <v>359</v>
      </c>
      <c r="W45" s="411">
        <v>322</v>
      </c>
      <c r="X45" s="411">
        <v>322</v>
      </c>
      <c r="Y45" s="411">
        <v>322</v>
      </c>
      <c r="Z45" s="430">
        <v>298</v>
      </c>
      <c r="AA45" s="430">
        <v>298</v>
      </c>
    </row>
    <row r="46" spans="1:27" ht="14.25" customHeight="1">
      <c r="A46" s="411" t="s">
        <v>297</v>
      </c>
      <c r="B46" s="430" t="s">
        <v>318</v>
      </c>
      <c r="C46" s="411" t="s">
        <v>254</v>
      </c>
      <c r="D46" s="415" t="s">
        <v>308</v>
      </c>
      <c r="E46" s="416">
        <v>40.481270000000002</v>
      </c>
      <c r="F46" s="416">
        <v>-74.320730999999995</v>
      </c>
      <c r="G46" s="411">
        <v>0</v>
      </c>
      <c r="H46" s="411">
        <v>726</v>
      </c>
      <c r="I46" s="411">
        <v>726</v>
      </c>
      <c r="J46" s="411">
        <v>726</v>
      </c>
      <c r="K46" s="411">
        <v>726</v>
      </c>
      <c r="L46" s="411">
        <v>730</v>
      </c>
      <c r="M46" s="411">
        <v>730</v>
      </c>
      <c r="N46" s="411">
        <v>730</v>
      </c>
      <c r="O46" s="411">
        <v>730</v>
      </c>
      <c r="P46" s="411">
        <v>730</v>
      </c>
      <c r="Q46" s="411">
        <v>730</v>
      </c>
      <c r="R46" s="411">
        <v>730</v>
      </c>
      <c r="S46" s="411">
        <v>730</v>
      </c>
      <c r="T46" s="411">
        <v>730</v>
      </c>
      <c r="U46" s="411">
        <v>730</v>
      </c>
      <c r="V46" s="411">
        <v>730</v>
      </c>
      <c r="W46" s="411">
        <v>760</v>
      </c>
      <c r="X46" s="411">
        <v>0</v>
      </c>
      <c r="Y46" s="411">
        <v>0</v>
      </c>
      <c r="Z46" s="430">
        <v>0</v>
      </c>
      <c r="AA46" s="430">
        <v>0</v>
      </c>
    </row>
    <row r="47" spans="1:27">
      <c r="A47" s="411" t="s">
        <v>298</v>
      </c>
      <c r="B47" s="430" t="s">
        <v>318</v>
      </c>
      <c r="C47" s="411" t="s">
        <v>254</v>
      </c>
      <c r="D47" s="415" t="s">
        <v>308</v>
      </c>
      <c r="E47" s="421">
        <v>36.129846000000001</v>
      </c>
      <c r="F47" s="421">
        <v>-96.112184999999997</v>
      </c>
      <c r="G47" s="411">
        <v>0</v>
      </c>
      <c r="H47" s="411">
        <v>0</v>
      </c>
      <c r="I47" s="411">
        <v>0</v>
      </c>
      <c r="J47" s="411">
        <v>0</v>
      </c>
      <c r="K47" s="411">
        <v>0</v>
      </c>
      <c r="L47" s="411">
        <v>540</v>
      </c>
      <c r="M47" s="411">
        <v>625</v>
      </c>
      <c r="N47" s="411">
        <v>630</v>
      </c>
      <c r="O47" s="411">
        <v>630</v>
      </c>
      <c r="P47" s="411">
        <v>0</v>
      </c>
      <c r="Q47" s="411">
        <v>0</v>
      </c>
      <c r="R47" s="411">
        <v>0</v>
      </c>
      <c r="S47" s="411">
        <v>0</v>
      </c>
      <c r="T47" s="411">
        <v>0</v>
      </c>
      <c r="U47" s="411">
        <v>0</v>
      </c>
      <c r="V47" s="411">
        <v>0</v>
      </c>
      <c r="W47" s="411">
        <v>0</v>
      </c>
      <c r="X47" s="411">
        <v>0</v>
      </c>
      <c r="Y47" s="411">
        <v>0</v>
      </c>
      <c r="Z47" s="430">
        <v>0</v>
      </c>
      <c r="AA47" s="430">
        <v>0</v>
      </c>
    </row>
    <row r="48" spans="1:27">
      <c r="A48" s="411" t="s">
        <v>299</v>
      </c>
      <c r="B48" s="430" t="s">
        <v>318</v>
      </c>
      <c r="C48" s="411" t="s">
        <v>254</v>
      </c>
      <c r="D48" s="415" t="s">
        <v>308</v>
      </c>
      <c r="E48" s="416">
        <v>40.481659999999998</v>
      </c>
      <c r="F48" s="416">
        <v>-74.320538999999997</v>
      </c>
      <c r="G48" s="411">
        <v>0</v>
      </c>
      <c r="H48" s="411">
        <v>817</v>
      </c>
      <c r="I48" s="411">
        <v>817</v>
      </c>
      <c r="J48" s="411">
        <v>816</v>
      </c>
      <c r="K48" s="411">
        <v>816</v>
      </c>
      <c r="L48" s="411">
        <v>0</v>
      </c>
      <c r="M48" s="411">
        <v>0</v>
      </c>
      <c r="N48" s="411">
        <v>0</v>
      </c>
      <c r="O48" s="411">
        <v>0</v>
      </c>
      <c r="P48" s="411">
        <v>0</v>
      </c>
      <c r="Q48" s="411">
        <v>0</v>
      </c>
      <c r="R48" s="411">
        <v>0</v>
      </c>
      <c r="S48" s="411">
        <v>0</v>
      </c>
      <c r="T48" s="411">
        <v>0</v>
      </c>
      <c r="U48" s="411">
        <v>0</v>
      </c>
      <c r="V48" s="411">
        <v>0</v>
      </c>
      <c r="W48" s="411">
        <v>0</v>
      </c>
      <c r="X48" s="411">
        <v>0</v>
      </c>
      <c r="Y48" s="411">
        <v>0</v>
      </c>
      <c r="Z48" s="430">
        <v>0</v>
      </c>
      <c r="AA48" s="430">
        <v>0</v>
      </c>
    </row>
    <row r="49" spans="1:27">
      <c r="A49" s="411" t="s">
        <v>300</v>
      </c>
      <c r="B49" s="430" t="s">
        <v>318</v>
      </c>
      <c r="C49" s="411" t="s">
        <v>254</v>
      </c>
      <c r="D49" s="415" t="s">
        <v>308</v>
      </c>
      <c r="E49" s="422">
        <v>35.979564000000003</v>
      </c>
      <c r="F49" s="422">
        <v>-83.959891999999996</v>
      </c>
      <c r="G49" s="411">
        <v>408</v>
      </c>
      <c r="H49" s="411">
        <v>413</v>
      </c>
      <c r="I49" s="411">
        <v>413</v>
      </c>
      <c r="J49" s="411">
        <v>499</v>
      </c>
      <c r="K49" s="411">
        <v>499</v>
      </c>
      <c r="L49" s="411">
        <v>500</v>
      </c>
      <c r="M49" s="411">
        <v>520</v>
      </c>
      <c r="N49" s="411">
        <v>520</v>
      </c>
      <c r="O49" s="411">
        <v>520</v>
      </c>
      <c r="P49" s="411">
        <v>520</v>
      </c>
      <c r="Q49" s="411">
        <v>520</v>
      </c>
      <c r="R49" s="411">
        <v>520</v>
      </c>
      <c r="S49" s="411">
        <v>520</v>
      </c>
      <c r="T49" s="411">
        <v>520</v>
      </c>
      <c r="U49" s="411">
        <v>520</v>
      </c>
      <c r="V49" s="411">
        <v>520</v>
      </c>
      <c r="W49" s="411">
        <v>594</v>
      </c>
      <c r="X49" s="411">
        <v>0</v>
      </c>
      <c r="Y49" s="411">
        <v>0</v>
      </c>
      <c r="Z49" s="430">
        <v>0</v>
      </c>
      <c r="AA49" s="430">
        <v>0</v>
      </c>
    </row>
    <row r="50" spans="1:27">
      <c r="A50" s="412" t="s">
        <v>301</v>
      </c>
      <c r="B50" s="430" t="s">
        <v>318</v>
      </c>
      <c r="C50" s="411" t="s">
        <v>254</v>
      </c>
      <c r="D50" s="415" t="s">
        <v>308</v>
      </c>
      <c r="E50" s="418">
        <v>30.195855999999999</v>
      </c>
      <c r="F50" s="422">
        <v>-81.565618999999998</v>
      </c>
      <c r="G50" s="411">
        <v>562</v>
      </c>
      <c r="H50" s="411">
        <v>580</v>
      </c>
      <c r="I50" s="411">
        <v>581</v>
      </c>
      <c r="J50" s="411">
        <v>581</v>
      </c>
      <c r="K50" s="411">
        <v>581</v>
      </c>
      <c r="L50" s="411">
        <v>580</v>
      </c>
      <c r="M50" s="411">
        <v>730</v>
      </c>
      <c r="N50" s="411">
        <v>730</v>
      </c>
      <c r="O50" s="411">
        <v>730</v>
      </c>
      <c r="P50" s="411">
        <v>730</v>
      </c>
      <c r="Q50" s="411">
        <v>730</v>
      </c>
      <c r="R50" s="411">
        <v>730</v>
      </c>
      <c r="S50" s="411">
        <v>730</v>
      </c>
      <c r="T50" s="411">
        <v>730</v>
      </c>
      <c r="U50" s="411">
        <v>730</v>
      </c>
      <c r="V50" s="411">
        <v>763</v>
      </c>
      <c r="W50" s="411">
        <v>756</v>
      </c>
      <c r="X50" s="411">
        <v>0</v>
      </c>
      <c r="Y50" s="411">
        <v>0</v>
      </c>
      <c r="Z50" s="430">
        <v>0</v>
      </c>
      <c r="AA50" s="430">
        <v>0</v>
      </c>
    </row>
    <row r="51" spans="1:27">
      <c r="A51" s="412" t="s">
        <v>302</v>
      </c>
      <c r="B51" s="430" t="s">
        <v>318</v>
      </c>
      <c r="C51" s="411" t="s">
        <v>254</v>
      </c>
      <c r="D51" s="415" t="s">
        <v>308</v>
      </c>
      <c r="E51" s="416">
        <v>34.094273999999999</v>
      </c>
      <c r="F51" s="416">
        <v>-117.532212</v>
      </c>
      <c r="G51" s="411">
        <v>0</v>
      </c>
      <c r="H51" s="411">
        <v>0</v>
      </c>
      <c r="I51" s="411">
        <v>0</v>
      </c>
      <c r="J51" s="411">
        <v>0</v>
      </c>
      <c r="K51" s="411">
        <v>0</v>
      </c>
      <c r="L51" s="411">
        <v>0</v>
      </c>
      <c r="M51" s="411">
        <v>0</v>
      </c>
      <c r="N51" s="411">
        <v>0</v>
      </c>
      <c r="O51" s="411">
        <v>0</v>
      </c>
      <c r="P51" s="411">
        <v>470</v>
      </c>
      <c r="Q51" s="411">
        <v>470</v>
      </c>
      <c r="R51" s="411">
        <v>470</v>
      </c>
      <c r="S51" s="411">
        <v>472</v>
      </c>
      <c r="T51" s="411">
        <v>472</v>
      </c>
      <c r="U51" s="411">
        <v>472</v>
      </c>
      <c r="V51" s="411">
        <v>524</v>
      </c>
      <c r="W51" s="411">
        <v>830</v>
      </c>
      <c r="X51" s="411">
        <v>0</v>
      </c>
      <c r="Y51" s="411">
        <v>0</v>
      </c>
      <c r="Z51" s="430">
        <v>0</v>
      </c>
      <c r="AA51" s="430">
        <v>0</v>
      </c>
    </row>
    <row r="52" spans="1:27">
      <c r="A52" s="412" t="s">
        <v>303</v>
      </c>
      <c r="B52" s="411" t="s">
        <v>290</v>
      </c>
      <c r="C52" s="411" t="s">
        <v>254</v>
      </c>
      <c r="D52" s="415" t="s">
        <v>308</v>
      </c>
      <c r="E52" s="418">
        <v>43.371059000000002</v>
      </c>
      <c r="F52" s="422">
        <v>-80.280720000000002</v>
      </c>
      <c r="G52" s="411">
        <v>305</v>
      </c>
      <c r="H52" s="411">
        <v>326</v>
      </c>
      <c r="I52" s="411">
        <v>327</v>
      </c>
      <c r="J52" s="411">
        <v>327</v>
      </c>
      <c r="K52" s="411">
        <v>327</v>
      </c>
      <c r="L52" s="411">
        <v>330</v>
      </c>
      <c r="M52" s="411">
        <v>330</v>
      </c>
      <c r="N52" s="411">
        <v>330</v>
      </c>
      <c r="O52" s="411">
        <v>330</v>
      </c>
      <c r="P52" s="411">
        <v>330</v>
      </c>
      <c r="Q52" s="411">
        <v>330</v>
      </c>
      <c r="R52" s="411">
        <v>330</v>
      </c>
      <c r="S52" s="411">
        <v>330</v>
      </c>
      <c r="T52" s="411">
        <v>330</v>
      </c>
      <c r="U52" s="411">
        <v>0</v>
      </c>
      <c r="V52" s="411">
        <v>0</v>
      </c>
      <c r="W52" s="411">
        <v>0</v>
      </c>
      <c r="X52" s="411">
        <v>0</v>
      </c>
      <c r="Y52" s="411">
        <v>0</v>
      </c>
      <c r="Z52" s="430">
        <v>0</v>
      </c>
      <c r="AA52" s="430">
        <v>0</v>
      </c>
    </row>
    <row r="53" spans="1:27">
      <c r="A53" s="428" t="s">
        <v>304</v>
      </c>
      <c r="B53" s="433" t="s">
        <v>318</v>
      </c>
      <c r="C53" s="414" t="s">
        <v>254</v>
      </c>
      <c r="D53" s="414" t="s">
        <v>308</v>
      </c>
      <c r="E53" s="424">
        <v>30.083807</v>
      </c>
      <c r="F53" s="424">
        <v>-94.073594</v>
      </c>
      <c r="G53" s="414">
        <v>0</v>
      </c>
      <c r="H53" s="414">
        <v>0</v>
      </c>
      <c r="I53" s="414">
        <v>0</v>
      </c>
      <c r="J53" s="414">
        <v>771</v>
      </c>
      <c r="K53" s="414">
        <v>771</v>
      </c>
      <c r="L53" s="414">
        <v>590</v>
      </c>
      <c r="M53" s="414">
        <v>590</v>
      </c>
      <c r="N53" s="414">
        <v>590</v>
      </c>
      <c r="O53" s="414">
        <v>590</v>
      </c>
      <c r="P53" s="414">
        <v>590</v>
      </c>
      <c r="Q53" s="414">
        <v>590</v>
      </c>
      <c r="R53" s="414">
        <v>600</v>
      </c>
      <c r="S53" s="414">
        <v>600</v>
      </c>
      <c r="T53" s="414">
        <v>600</v>
      </c>
      <c r="U53" s="414">
        <v>600</v>
      </c>
      <c r="V53" s="414">
        <v>600</v>
      </c>
      <c r="W53" s="414">
        <v>698</v>
      </c>
      <c r="X53" s="414">
        <v>0</v>
      </c>
      <c r="Y53" s="414">
        <v>0</v>
      </c>
      <c r="Z53" s="433">
        <v>0</v>
      </c>
      <c r="AA53" s="433">
        <v>0</v>
      </c>
    </row>
    <row r="55" spans="1:27" ht="14.25" customHeight="1">
      <c r="A55" s="425" t="s">
        <v>309</v>
      </c>
    </row>
    <row r="56" spans="1:27" ht="14.25" customHeight="1" thickBot="1">
      <c r="A56" s="266" t="s">
        <v>244</v>
      </c>
      <c r="B56" s="429" t="s">
        <v>245</v>
      </c>
      <c r="C56" s="267" t="s">
        <v>246</v>
      </c>
      <c r="D56" s="267" t="s">
        <v>247</v>
      </c>
      <c r="E56" s="267" t="s">
        <v>248</v>
      </c>
      <c r="F56" s="267" t="s">
        <v>249</v>
      </c>
      <c r="G56" s="267">
        <v>2001</v>
      </c>
      <c r="H56" s="267">
        <v>2002</v>
      </c>
      <c r="I56" s="267">
        <v>2003</v>
      </c>
      <c r="J56" s="267">
        <v>2004</v>
      </c>
      <c r="K56" s="267">
        <v>2005</v>
      </c>
      <c r="L56" s="267">
        <v>2006</v>
      </c>
      <c r="M56" s="267">
        <v>2007</v>
      </c>
      <c r="N56" s="267">
        <v>2008</v>
      </c>
      <c r="O56" s="267">
        <v>2009</v>
      </c>
      <c r="P56" s="267">
        <v>2010</v>
      </c>
      <c r="Q56" s="267">
        <v>2011</v>
      </c>
      <c r="R56" s="267">
        <v>2012</v>
      </c>
      <c r="S56" s="267">
        <v>2013</v>
      </c>
      <c r="T56" s="267">
        <v>2014</v>
      </c>
      <c r="U56" s="267">
        <v>2015</v>
      </c>
      <c r="V56" s="267">
        <v>2016</v>
      </c>
      <c r="W56" s="267">
        <v>2017</v>
      </c>
      <c r="X56" s="267">
        <v>2018</v>
      </c>
      <c r="Y56" s="267">
        <v>2019</v>
      </c>
      <c r="Z56" s="267">
        <v>2020</v>
      </c>
      <c r="AA56" s="267">
        <v>2021</v>
      </c>
    </row>
    <row r="57" spans="1:27" ht="16.5" thickTop="1">
      <c r="A57" s="431" t="s">
        <v>250</v>
      </c>
      <c r="B57" s="430" t="s">
        <v>317</v>
      </c>
      <c r="C57" s="430" t="s">
        <v>252</v>
      </c>
      <c r="D57" s="430" t="s">
        <v>305</v>
      </c>
      <c r="E57" s="435">
        <v>-20.541945999999999</v>
      </c>
      <c r="F57" s="435">
        <v>-43.742612999999999</v>
      </c>
      <c r="G57" s="431">
        <v>0</v>
      </c>
      <c r="H57" s="431">
        <v>740</v>
      </c>
      <c r="I57" s="431">
        <v>655</v>
      </c>
      <c r="J57" s="431">
        <v>655</v>
      </c>
      <c r="K57" s="431">
        <v>965</v>
      </c>
      <c r="L57" s="431">
        <v>970</v>
      </c>
      <c r="M57" s="431">
        <v>970</v>
      </c>
      <c r="N57" s="431">
        <v>960</v>
      </c>
      <c r="O57" s="431">
        <v>1070</v>
      </c>
      <c r="P57" s="431">
        <v>1070</v>
      </c>
      <c r="Q57" s="431">
        <v>1070</v>
      </c>
      <c r="R57" s="431">
        <v>1070</v>
      </c>
      <c r="S57" s="431">
        <v>2050</v>
      </c>
      <c r="T57" s="431">
        <v>2026</v>
      </c>
      <c r="U57" s="431">
        <v>2026</v>
      </c>
      <c r="V57" s="431">
        <v>3126</v>
      </c>
      <c r="W57" s="431">
        <v>3126</v>
      </c>
      <c r="X57" s="431">
        <v>3126</v>
      </c>
      <c r="Y57" s="431">
        <v>3126</v>
      </c>
      <c r="Z57" s="431">
        <v>3030</v>
      </c>
      <c r="AA57" s="431">
        <v>3030</v>
      </c>
    </row>
    <row r="58" spans="1:27" ht="14.25" customHeight="1">
      <c r="A58" s="430" t="s">
        <v>253</v>
      </c>
      <c r="B58" s="430" t="s">
        <v>317</v>
      </c>
      <c r="C58" s="430" t="s">
        <v>254</v>
      </c>
      <c r="D58" s="430" t="s">
        <v>305</v>
      </c>
      <c r="E58" s="436">
        <v>-23.438216000000001</v>
      </c>
      <c r="F58" s="435">
        <v>-47.088388999999999</v>
      </c>
      <c r="G58" s="430">
        <v>0</v>
      </c>
      <c r="H58" s="430">
        <v>0</v>
      </c>
      <c r="I58" s="430">
        <v>0</v>
      </c>
      <c r="J58" s="430">
        <v>0</v>
      </c>
      <c r="K58" s="430">
        <v>0</v>
      </c>
      <c r="L58" s="430">
        <v>600</v>
      </c>
      <c r="M58" s="430">
        <v>600</v>
      </c>
      <c r="N58" s="430">
        <v>600</v>
      </c>
      <c r="O58" s="430">
        <v>600</v>
      </c>
      <c r="P58" s="430">
        <v>610</v>
      </c>
      <c r="Q58" s="430">
        <v>610</v>
      </c>
      <c r="R58" s="430">
        <v>610</v>
      </c>
      <c r="S58" s="430">
        <v>600</v>
      </c>
      <c r="T58" s="430">
        <v>600</v>
      </c>
      <c r="U58" s="430">
        <v>600</v>
      </c>
      <c r="V58" s="430">
        <v>600</v>
      </c>
      <c r="W58" s="430">
        <v>600</v>
      </c>
      <c r="X58" s="430">
        <v>600</v>
      </c>
      <c r="Y58" s="430">
        <v>600</v>
      </c>
      <c r="Z58" s="430">
        <v>600</v>
      </c>
      <c r="AA58" s="430">
        <v>600</v>
      </c>
    </row>
    <row r="59" spans="1:27">
      <c r="A59" s="430" t="s">
        <v>255</v>
      </c>
      <c r="B59" s="430" t="s">
        <v>317</v>
      </c>
      <c r="C59" s="430" t="s">
        <v>254</v>
      </c>
      <c r="D59" s="430" t="s">
        <v>305</v>
      </c>
      <c r="E59" s="437">
        <v>-22.886655000000001</v>
      </c>
      <c r="F59" s="441">
        <v>-43.751722000000001</v>
      </c>
      <c r="G59" s="430">
        <v>1510</v>
      </c>
      <c r="H59" s="430">
        <v>1510</v>
      </c>
      <c r="I59" s="430">
        <v>1320</v>
      </c>
      <c r="J59" s="430">
        <v>1320</v>
      </c>
      <c r="K59" s="430">
        <v>1320</v>
      </c>
      <c r="L59" s="430">
        <v>1400</v>
      </c>
      <c r="M59" s="430">
        <v>1400</v>
      </c>
      <c r="N59" s="430">
        <v>1400</v>
      </c>
      <c r="O59" s="430">
        <v>1400</v>
      </c>
      <c r="P59" s="430">
        <v>1350</v>
      </c>
      <c r="Q59" s="430">
        <v>1350</v>
      </c>
      <c r="R59" s="430">
        <v>1350</v>
      </c>
      <c r="S59" s="430">
        <v>1414</v>
      </c>
      <c r="T59" s="430">
        <v>1414</v>
      </c>
      <c r="U59" s="430">
        <v>1414</v>
      </c>
      <c r="V59" s="430">
        <v>1414</v>
      </c>
      <c r="W59" s="430">
        <v>1414</v>
      </c>
      <c r="X59" s="430">
        <v>1414</v>
      </c>
      <c r="Y59" s="430">
        <v>1414</v>
      </c>
      <c r="Z59" s="430">
        <v>1520</v>
      </c>
      <c r="AA59" s="430">
        <v>1520</v>
      </c>
    </row>
    <row r="60" spans="1:27">
      <c r="A60" s="430" t="s">
        <v>256</v>
      </c>
      <c r="B60" s="430" t="s">
        <v>317</v>
      </c>
      <c r="C60" s="430" t="s">
        <v>252</v>
      </c>
      <c r="D60" s="430" t="s">
        <v>305</v>
      </c>
      <c r="E60" s="437">
        <v>-20.153541000000001</v>
      </c>
      <c r="F60" s="441">
        <v>-44.875486000000002</v>
      </c>
      <c r="G60" s="430">
        <v>456</v>
      </c>
      <c r="H60" s="430">
        <v>456</v>
      </c>
      <c r="I60" s="430">
        <v>550</v>
      </c>
      <c r="J60" s="430">
        <v>550</v>
      </c>
      <c r="K60" s="430">
        <v>550</v>
      </c>
      <c r="L60" s="430">
        <v>530</v>
      </c>
      <c r="M60" s="430">
        <v>530</v>
      </c>
      <c r="N60" s="430">
        <v>530</v>
      </c>
      <c r="O60" s="430">
        <v>530</v>
      </c>
      <c r="P60" s="430">
        <v>520</v>
      </c>
      <c r="Q60" s="430">
        <v>520</v>
      </c>
      <c r="R60" s="430">
        <v>520</v>
      </c>
      <c r="S60" s="430">
        <v>518</v>
      </c>
      <c r="T60" s="430">
        <v>460</v>
      </c>
      <c r="U60" s="430">
        <v>460</v>
      </c>
      <c r="V60" s="430">
        <v>460</v>
      </c>
      <c r="W60" s="430">
        <v>460</v>
      </c>
      <c r="X60" s="430">
        <v>460</v>
      </c>
      <c r="Y60" s="430">
        <v>460</v>
      </c>
      <c r="Z60" s="430">
        <v>460</v>
      </c>
      <c r="AA60" s="430">
        <v>460</v>
      </c>
    </row>
    <row r="61" spans="1:27">
      <c r="A61" s="430" t="s">
        <v>257</v>
      </c>
      <c r="B61" s="430" t="s">
        <v>317</v>
      </c>
      <c r="C61" s="430" t="s">
        <v>254</v>
      </c>
      <c r="D61" s="430" t="s">
        <v>305</v>
      </c>
      <c r="E61" s="437">
        <v>-29.808160999999998</v>
      </c>
      <c r="F61" s="441">
        <v>-51.174163999999998</v>
      </c>
      <c r="G61" s="430">
        <v>470</v>
      </c>
      <c r="H61" s="430">
        <v>470</v>
      </c>
      <c r="I61" s="430">
        <v>400</v>
      </c>
      <c r="J61" s="430">
        <v>400</v>
      </c>
      <c r="K61" s="430">
        <v>490</v>
      </c>
      <c r="L61" s="430">
        <v>520</v>
      </c>
      <c r="M61" s="430">
        <v>520</v>
      </c>
      <c r="N61" s="430">
        <v>490</v>
      </c>
      <c r="O61" s="430">
        <v>490</v>
      </c>
      <c r="P61" s="430">
        <v>500</v>
      </c>
      <c r="Q61" s="430">
        <v>500</v>
      </c>
      <c r="R61" s="430">
        <v>500</v>
      </c>
      <c r="S61" s="430">
        <v>495</v>
      </c>
      <c r="T61" s="430">
        <v>495</v>
      </c>
      <c r="U61" s="430">
        <v>495</v>
      </c>
      <c r="V61" s="430">
        <v>495</v>
      </c>
      <c r="W61" s="430">
        <v>495</v>
      </c>
      <c r="X61" s="430">
        <v>495</v>
      </c>
      <c r="Y61" s="430">
        <v>495</v>
      </c>
      <c r="Z61" s="430">
        <v>495</v>
      </c>
      <c r="AA61" s="430">
        <v>495</v>
      </c>
    </row>
    <row r="62" spans="1:27">
      <c r="A62" s="430" t="s">
        <v>258</v>
      </c>
      <c r="B62" s="430" t="s">
        <v>317</v>
      </c>
      <c r="C62" s="430" t="s">
        <v>252</v>
      </c>
      <c r="D62" s="430" t="s">
        <v>305</v>
      </c>
      <c r="E62" s="437">
        <v>-19.936737000000001</v>
      </c>
      <c r="F62" s="441">
        <v>-43.477446</v>
      </c>
      <c r="G62" s="430">
        <v>198</v>
      </c>
      <c r="H62" s="430">
        <v>198</v>
      </c>
      <c r="I62" s="430">
        <v>200</v>
      </c>
      <c r="J62" s="430">
        <v>200</v>
      </c>
      <c r="K62" s="430">
        <v>200</v>
      </c>
      <c r="L62" s="430">
        <v>200</v>
      </c>
      <c r="M62" s="430">
        <v>200</v>
      </c>
      <c r="N62" s="430">
        <v>200</v>
      </c>
      <c r="O62" s="430">
        <v>200</v>
      </c>
      <c r="P62" s="430">
        <v>200</v>
      </c>
      <c r="Q62" s="430">
        <v>200</v>
      </c>
      <c r="R62" s="430">
        <v>200</v>
      </c>
      <c r="S62" s="430">
        <v>196</v>
      </c>
      <c r="T62" s="430">
        <v>196</v>
      </c>
      <c r="U62" s="430">
        <v>196</v>
      </c>
      <c r="V62" s="430">
        <v>196</v>
      </c>
      <c r="W62" s="430">
        <v>196</v>
      </c>
      <c r="X62" s="430">
        <v>196</v>
      </c>
      <c r="Y62" s="430">
        <v>196</v>
      </c>
      <c r="Z62" s="430">
        <v>180</v>
      </c>
      <c r="AA62" s="430">
        <v>180</v>
      </c>
    </row>
    <row r="63" spans="1:27">
      <c r="A63" s="430" t="s">
        <v>259</v>
      </c>
      <c r="B63" s="430" t="s">
        <v>317</v>
      </c>
      <c r="C63" s="430" t="s">
        <v>254</v>
      </c>
      <c r="D63" s="430" t="s">
        <v>305</v>
      </c>
      <c r="E63" s="437">
        <v>-8.0745260000000005</v>
      </c>
      <c r="F63" s="441">
        <v>-34.975701000000001</v>
      </c>
      <c r="G63" s="430">
        <v>270</v>
      </c>
      <c r="H63" s="430">
        <v>270</v>
      </c>
      <c r="I63" s="430">
        <v>240</v>
      </c>
      <c r="J63" s="430">
        <v>240</v>
      </c>
      <c r="K63" s="430">
        <v>250</v>
      </c>
      <c r="L63" s="430">
        <v>250</v>
      </c>
      <c r="M63" s="430">
        <v>250</v>
      </c>
      <c r="N63" s="430">
        <v>160</v>
      </c>
      <c r="O63" s="430">
        <v>160</v>
      </c>
      <c r="P63" s="430">
        <v>160</v>
      </c>
      <c r="Q63" s="430">
        <v>160</v>
      </c>
      <c r="R63" s="430">
        <v>160</v>
      </c>
      <c r="S63" s="430">
        <v>242</v>
      </c>
      <c r="T63" s="430">
        <v>242</v>
      </c>
      <c r="U63" s="430">
        <v>242</v>
      </c>
      <c r="V63" s="430">
        <v>242</v>
      </c>
      <c r="W63" s="430">
        <v>242</v>
      </c>
      <c r="X63" s="430">
        <v>242</v>
      </c>
      <c r="Y63" s="430">
        <v>242</v>
      </c>
      <c r="Z63" s="430">
        <v>242</v>
      </c>
      <c r="AA63" s="430">
        <v>242</v>
      </c>
    </row>
    <row r="64" spans="1:27">
      <c r="A64" s="430" t="s">
        <v>260</v>
      </c>
      <c r="B64" s="430" t="s">
        <v>317</v>
      </c>
      <c r="C64" s="430" t="s">
        <v>254</v>
      </c>
      <c r="D64" s="430" t="s">
        <v>305</v>
      </c>
      <c r="E64" s="437">
        <v>-3.8548979999999999</v>
      </c>
      <c r="F64" s="441">
        <v>-38.605668999999999</v>
      </c>
      <c r="G64" s="430">
        <v>120</v>
      </c>
      <c r="H64" s="430">
        <v>120</v>
      </c>
      <c r="I64" s="430">
        <v>110</v>
      </c>
      <c r="J64" s="430">
        <v>110</v>
      </c>
      <c r="K64" s="430">
        <v>120</v>
      </c>
      <c r="L64" s="430">
        <v>160</v>
      </c>
      <c r="M64" s="430">
        <v>160</v>
      </c>
      <c r="N64" s="430">
        <v>250</v>
      </c>
      <c r="O64" s="430">
        <v>250</v>
      </c>
      <c r="P64" s="430">
        <v>240</v>
      </c>
      <c r="Q64" s="430">
        <v>240</v>
      </c>
      <c r="R64" s="430">
        <v>240</v>
      </c>
      <c r="S64" s="430">
        <v>161</v>
      </c>
      <c r="T64" s="430">
        <v>161</v>
      </c>
      <c r="U64" s="430">
        <v>161</v>
      </c>
      <c r="V64" s="430">
        <v>161</v>
      </c>
      <c r="W64" s="430">
        <v>161</v>
      </c>
      <c r="X64" s="430">
        <v>161</v>
      </c>
      <c r="Y64" s="430">
        <v>161</v>
      </c>
      <c r="Z64" s="430">
        <v>140</v>
      </c>
      <c r="AA64" s="430">
        <v>140</v>
      </c>
    </row>
    <row r="65" spans="1:27">
      <c r="A65" s="430" t="s">
        <v>333</v>
      </c>
      <c r="B65" s="430" t="s">
        <v>317</v>
      </c>
      <c r="C65" s="430" t="s">
        <v>254</v>
      </c>
      <c r="D65" s="430" t="s">
        <v>305</v>
      </c>
      <c r="E65" s="457">
        <v>-2.85</v>
      </c>
      <c r="F65" s="458">
        <v>-39.15</v>
      </c>
      <c r="G65" s="430"/>
      <c r="H65" s="430"/>
      <c r="I65" s="430"/>
      <c r="J65" s="430"/>
      <c r="K65" s="430"/>
      <c r="L65" s="430"/>
      <c r="M65" s="430"/>
      <c r="N65" s="430"/>
      <c r="O65" s="430"/>
      <c r="P65" s="430">
        <v>0</v>
      </c>
      <c r="Q65" s="430">
        <v>0</v>
      </c>
      <c r="R65" s="430">
        <v>0</v>
      </c>
      <c r="S65" s="430">
        <v>0</v>
      </c>
      <c r="T65" s="430">
        <v>0</v>
      </c>
      <c r="U65" s="430">
        <v>0</v>
      </c>
      <c r="V65" s="430">
        <v>0</v>
      </c>
      <c r="W65" s="430">
        <v>0</v>
      </c>
      <c r="X65" s="430">
        <v>0</v>
      </c>
      <c r="Y65" s="430">
        <v>0</v>
      </c>
      <c r="Z65" s="430">
        <v>600</v>
      </c>
      <c r="AA65" s="430">
        <v>600</v>
      </c>
    </row>
    <row r="66" spans="1:27">
      <c r="A66" s="430" t="s">
        <v>310</v>
      </c>
      <c r="B66" s="430" t="s">
        <v>317</v>
      </c>
      <c r="C66" s="430" t="s">
        <v>254</v>
      </c>
      <c r="D66" s="430" t="s">
        <v>305</v>
      </c>
      <c r="E66" s="436">
        <v>-23.634902</v>
      </c>
      <c r="F66" s="435">
        <v>-46.622323000000002</v>
      </c>
      <c r="G66" s="430">
        <v>0</v>
      </c>
      <c r="H66" s="430">
        <v>0</v>
      </c>
      <c r="I66" s="430">
        <v>215</v>
      </c>
      <c r="J66" s="430">
        <v>305</v>
      </c>
      <c r="K66" s="430">
        <v>305</v>
      </c>
      <c r="L66" s="430">
        <v>300</v>
      </c>
      <c r="M66" s="430">
        <v>100</v>
      </c>
      <c r="N66" s="430">
        <v>250</v>
      </c>
      <c r="O66" s="430">
        <v>100</v>
      </c>
      <c r="P66" s="430">
        <v>100</v>
      </c>
      <c r="Q66" s="430">
        <v>100</v>
      </c>
      <c r="R66" s="430">
        <v>100</v>
      </c>
      <c r="S66" s="430">
        <v>104</v>
      </c>
      <c r="T66" s="430">
        <v>0</v>
      </c>
      <c r="U66" s="430">
        <v>0</v>
      </c>
      <c r="V66" s="430">
        <v>0</v>
      </c>
      <c r="W66" s="430">
        <v>0</v>
      </c>
      <c r="X66" s="430">
        <v>0</v>
      </c>
      <c r="Y66" s="430">
        <v>0</v>
      </c>
      <c r="Z66" s="430">
        <v>0</v>
      </c>
      <c r="AA66" s="430">
        <v>0</v>
      </c>
    </row>
    <row r="67" spans="1:27">
      <c r="A67" s="430" t="s">
        <v>261</v>
      </c>
      <c r="B67" s="430" t="s">
        <v>317</v>
      </c>
      <c r="C67" s="430" t="s">
        <v>254</v>
      </c>
      <c r="D67" s="430" t="s">
        <v>305</v>
      </c>
      <c r="E67" s="437">
        <v>-25.563196000000001</v>
      </c>
      <c r="F67" s="441">
        <v>-49.421805999999997</v>
      </c>
      <c r="G67" s="430">
        <v>167</v>
      </c>
      <c r="H67" s="430">
        <v>167</v>
      </c>
      <c r="I67" s="430">
        <v>130</v>
      </c>
      <c r="J67" s="430">
        <v>130</v>
      </c>
      <c r="K67" s="430">
        <v>130</v>
      </c>
      <c r="L67" s="430">
        <v>180</v>
      </c>
      <c r="M67" s="430">
        <v>180</v>
      </c>
      <c r="N67" s="430">
        <v>180</v>
      </c>
      <c r="O67" s="430">
        <v>180</v>
      </c>
      <c r="P67" s="430">
        <v>170</v>
      </c>
      <c r="Q67" s="430">
        <v>170</v>
      </c>
      <c r="R67" s="430">
        <v>170</v>
      </c>
      <c r="S67" s="430">
        <v>166</v>
      </c>
      <c r="T67" s="430">
        <v>0</v>
      </c>
      <c r="U67" s="430">
        <v>0</v>
      </c>
      <c r="V67" s="430">
        <v>0</v>
      </c>
      <c r="W67" s="430">
        <v>0</v>
      </c>
      <c r="X67" s="430">
        <v>0</v>
      </c>
      <c r="Y67" s="430">
        <v>0</v>
      </c>
      <c r="Z67" s="430">
        <v>0</v>
      </c>
      <c r="AA67" s="430">
        <v>0</v>
      </c>
    </row>
    <row r="68" spans="1:27" s="371" customFormat="1">
      <c r="A68" s="433" t="s">
        <v>262</v>
      </c>
      <c r="B68" s="433" t="s">
        <v>317</v>
      </c>
      <c r="C68" s="433" t="s">
        <v>254</v>
      </c>
      <c r="D68" s="433" t="s">
        <v>305</v>
      </c>
      <c r="E68" s="438">
        <v>-12.85547</v>
      </c>
      <c r="F68" s="442">
        <v>-38.421968</v>
      </c>
      <c r="G68" s="433">
        <v>400</v>
      </c>
      <c r="H68" s="433">
        <v>500</v>
      </c>
      <c r="I68" s="433">
        <v>430</v>
      </c>
      <c r="J68" s="433">
        <v>430</v>
      </c>
      <c r="K68" s="433">
        <v>430</v>
      </c>
      <c r="L68" s="433">
        <v>430</v>
      </c>
      <c r="M68" s="433">
        <v>430</v>
      </c>
      <c r="N68" s="433">
        <v>430</v>
      </c>
      <c r="O68" s="433">
        <v>430</v>
      </c>
      <c r="P68" s="433">
        <v>400</v>
      </c>
      <c r="Q68" s="433">
        <v>400</v>
      </c>
      <c r="R68" s="433">
        <v>400</v>
      </c>
      <c r="S68" s="433">
        <v>397</v>
      </c>
      <c r="T68" s="433">
        <v>0</v>
      </c>
      <c r="U68" s="433">
        <v>0</v>
      </c>
      <c r="V68" s="433">
        <v>0</v>
      </c>
      <c r="W68" s="433">
        <v>0</v>
      </c>
      <c r="X68" s="433">
        <v>0</v>
      </c>
      <c r="Y68" s="433">
        <v>0</v>
      </c>
      <c r="Z68" s="433">
        <v>0</v>
      </c>
      <c r="AA68" s="433">
        <v>0</v>
      </c>
    </row>
    <row r="69" spans="1:27" s="371" customFormat="1">
      <c r="A69" s="430" t="s">
        <v>263</v>
      </c>
      <c r="B69" s="430" t="s">
        <v>317</v>
      </c>
      <c r="C69" s="430" t="s">
        <v>254</v>
      </c>
      <c r="D69" s="430" t="s">
        <v>306</v>
      </c>
      <c r="E69" s="436">
        <v>-22.902715000000001</v>
      </c>
      <c r="F69" s="435">
        <v>-45.354213999999999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970</v>
      </c>
      <c r="O69" s="444">
        <v>950</v>
      </c>
      <c r="P69" s="444">
        <v>910</v>
      </c>
      <c r="Q69" s="444">
        <v>910</v>
      </c>
      <c r="R69" s="444">
        <v>690</v>
      </c>
      <c r="S69" s="444">
        <v>1188</v>
      </c>
      <c r="T69" s="444">
        <v>1188</v>
      </c>
      <c r="U69" s="444">
        <v>1188</v>
      </c>
      <c r="V69" s="444">
        <v>1188</v>
      </c>
      <c r="W69" s="444">
        <v>1188</v>
      </c>
      <c r="X69" s="444">
        <v>1188</v>
      </c>
      <c r="Y69" s="444">
        <v>1188</v>
      </c>
      <c r="Z69" s="444">
        <v>1188</v>
      </c>
      <c r="AA69" s="444">
        <v>1188</v>
      </c>
    </row>
    <row r="70" spans="1:27">
      <c r="A70" s="430" t="s">
        <v>264</v>
      </c>
      <c r="B70" s="430" t="s">
        <v>317</v>
      </c>
      <c r="C70" s="430" t="s">
        <v>254</v>
      </c>
      <c r="D70" s="430" t="s">
        <v>306</v>
      </c>
      <c r="E70" s="437">
        <v>-29.959537999999998</v>
      </c>
      <c r="F70" s="441">
        <v>-51.615285999999998</v>
      </c>
      <c r="G70" s="430">
        <v>380</v>
      </c>
      <c r="H70" s="430">
        <v>380</v>
      </c>
      <c r="I70" s="444">
        <v>390</v>
      </c>
      <c r="J70" s="444">
        <v>390</v>
      </c>
      <c r="K70" s="444">
        <v>500</v>
      </c>
      <c r="L70" s="444">
        <v>500</v>
      </c>
      <c r="M70" s="444">
        <v>490</v>
      </c>
      <c r="N70" s="444">
        <v>490</v>
      </c>
      <c r="O70" s="444">
        <v>490</v>
      </c>
      <c r="P70" s="444">
        <v>470</v>
      </c>
      <c r="Q70" s="444">
        <v>470</v>
      </c>
      <c r="R70" s="444">
        <v>465</v>
      </c>
      <c r="S70" s="444">
        <v>465</v>
      </c>
      <c r="T70" s="444">
        <v>465</v>
      </c>
      <c r="U70" s="444">
        <v>465</v>
      </c>
      <c r="V70" s="444">
        <v>465</v>
      </c>
      <c r="W70" s="444">
        <v>465</v>
      </c>
      <c r="X70" s="444">
        <v>615</v>
      </c>
      <c r="Y70" s="444">
        <v>615</v>
      </c>
      <c r="Z70" s="444">
        <v>615</v>
      </c>
      <c r="AA70" s="444">
        <v>615</v>
      </c>
    </row>
    <row r="71" spans="1:27" ht="14.25" customHeight="1">
      <c r="A71" s="430" t="s">
        <v>265</v>
      </c>
      <c r="B71" s="430" t="s">
        <v>318</v>
      </c>
      <c r="C71" s="430" t="s">
        <v>254</v>
      </c>
      <c r="D71" s="430" t="s">
        <v>306</v>
      </c>
      <c r="E71" s="436">
        <v>41.894281999999997</v>
      </c>
      <c r="F71" s="435">
        <v>-83.359920000000002</v>
      </c>
      <c r="G71" s="430">
        <v>0</v>
      </c>
      <c r="H71" s="430">
        <v>0</v>
      </c>
      <c r="I71" s="444">
        <v>0</v>
      </c>
      <c r="J71" s="444">
        <v>0</v>
      </c>
      <c r="K71" s="444">
        <v>0</v>
      </c>
      <c r="L71" s="444">
        <v>0</v>
      </c>
      <c r="M71" s="444">
        <v>0</v>
      </c>
      <c r="N71" s="444">
        <v>490</v>
      </c>
      <c r="O71" s="444">
        <v>490</v>
      </c>
      <c r="P71" s="444">
        <v>490</v>
      </c>
      <c r="Q71" s="444">
        <v>490</v>
      </c>
      <c r="R71" s="444">
        <v>490</v>
      </c>
      <c r="S71" s="444">
        <v>490</v>
      </c>
      <c r="T71" s="444">
        <v>490</v>
      </c>
      <c r="U71" s="444">
        <v>490</v>
      </c>
      <c r="V71" s="444">
        <v>490</v>
      </c>
      <c r="W71" s="444">
        <v>490</v>
      </c>
      <c r="X71" s="444">
        <v>690</v>
      </c>
      <c r="Y71" s="444">
        <v>690</v>
      </c>
      <c r="Z71" s="444">
        <v>625</v>
      </c>
      <c r="AA71" s="444">
        <v>625</v>
      </c>
    </row>
    <row r="72" spans="1:27">
      <c r="A72" s="430" t="s">
        <v>266</v>
      </c>
      <c r="B72" s="430" t="s">
        <v>318</v>
      </c>
      <c r="C72" s="430" t="s">
        <v>254</v>
      </c>
      <c r="D72" s="430" t="s">
        <v>306</v>
      </c>
      <c r="E72" s="435">
        <v>35.307222000000003</v>
      </c>
      <c r="F72" s="435">
        <v>-94.374323000000004</v>
      </c>
      <c r="G72" s="430">
        <v>0</v>
      </c>
      <c r="H72" s="430">
        <v>0</v>
      </c>
      <c r="I72" s="444">
        <v>0</v>
      </c>
      <c r="J72" s="444">
        <v>0</v>
      </c>
      <c r="K72" s="444">
        <v>0</v>
      </c>
      <c r="L72" s="444">
        <v>0</v>
      </c>
      <c r="M72" s="444">
        <v>0</v>
      </c>
      <c r="N72" s="444">
        <v>495</v>
      </c>
      <c r="O72" s="444">
        <v>495</v>
      </c>
      <c r="P72" s="444">
        <v>495</v>
      </c>
      <c r="Q72" s="444">
        <v>495</v>
      </c>
      <c r="R72" s="444">
        <v>495</v>
      </c>
      <c r="S72" s="444">
        <v>463</v>
      </c>
      <c r="T72" s="444">
        <v>463</v>
      </c>
      <c r="U72" s="444">
        <v>550</v>
      </c>
      <c r="V72" s="444">
        <v>550</v>
      </c>
      <c r="W72" s="444">
        <v>550</v>
      </c>
      <c r="X72" s="444">
        <v>550</v>
      </c>
      <c r="Y72" s="444">
        <v>550</v>
      </c>
      <c r="Z72" s="444">
        <v>500</v>
      </c>
      <c r="AA72" s="444">
        <v>500</v>
      </c>
    </row>
    <row r="73" spans="1:27">
      <c r="A73" s="430" t="s">
        <v>267</v>
      </c>
      <c r="B73" s="430" t="s">
        <v>251</v>
      </c>
      <c r="C73" s="430" t="s">
        <v>254</v>
      </c>
      <c r="D73" s="430" t="s">
        <v>306</v>
      </c>
      <c r="E73" s="436">
        <v>-23.524728</v>
      </c>
      <c r="F73" s="435">
        <v>-46.157938000000001</v>
      </c>
      <c r="G73" s="432">
        <v>0</v>
      </c>
      <c r="H73" s="432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0</v>
      </c>
      <c r="Q73" s="444">
        <v>0</v>
      </c>
      <c r="R73" s="444">
        <v>200</v>
      </c>
      <c r="S73" s="444">
        <v>200</v>
      </c>
      <c r="T73" s="444">
        <v>264</v>
      </c>
      <c r="U73" s="444">
        <v>264</v>
      </c>
      <c r="V73" s="444">
        <v>264</v>
      </c>
      <c r="W73" s="444">
        <v>264</v>
      </c>
      <c r="X73" s="444">
        <v>264</v>
      </c>
      <c r="Y73" s="444">
        <v>264</v>
      </c>
      <c r="Z73" s="444">
        <v>0</v>
      </c>
      <c r="AA73" s="444">
        <v>0</v>
      </c>
    </row>
    <row r="74" spans="1:27">
      <c r="A74" s="430" t="s">
        <v>311</v>
      </c>
      <c r="B74" s="430" t="s">
        <v>251</v>
      </c>
      <c r="C74" s="430" t="s">
        <v>254</v>
      </c>
      <c r="D74" s="430" t="s">
        <v>306</v>
      </c>
      <c r="E74" s="436">
        <v>-23.493226</v>
      </c>
      <c r="F74" s="435">
        <v>-47.442335999999997</v>
      </c>
      <c r="G74" s="432">
        <v>0</v>
      </c>
      <c r="H74" s="432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0</v>
      </c>
      <c r="Q74" s="444">
        <v>0</v>
      </c>
      <c r="R74" s="444">
        <v>20</v>
      </c>
      <c r="S74" s="444">
        <v>23</v>
      </c>
      <c r="T74" s="444">
        <v>23</v>
      </c>
      <c r="U74" s="444">
        <v>0</v>
      </c>
      <c r="V74" s="444">
        <v>0</v>
      </c>
      <c r="W74" s="444">
        <v>0</v>
      </c>
      <c r="X74" s="444">
        <v>0</v>
      </c>
      <c r="Y74" s="444">
        <v>0</v>
      </c>
      <c r="Z74" s="444">
        <v>0</v>
      </c>
      <c r="AA74" s="444">
        <v>0</v>
      </c>
    </row>
    <row r="75" spans="1:27">
      <c r="A75" s="430" t="s">
        <v>268</v>
      </c>
      <c r="B75" s="430" t="s">
        <v>318</v>
      </c>
      <c r="C75" s="430" t="s">
        <v>254</v>
      </c>
      <c r="D75" s="430" t="s">
        <v>306</v>
      </c>
      <c r="E75" s="435">
        <v>42.313298000000003</v>
      </c>
      <c r="F75" s="435">
        <v>-84.430014</v>
      </c>
      <c r="G75" s="432">
        <v>0</v>
      </c>
      <c r="H75" s="432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140</v>
      </c>
      <c r="O75" s="444">
        <v>140</v>
      </c>
      <c r="P75" s="444">
        <v>255</v>
      </c>
      <c r="Q75" s="444">
        <v>255</v>
      </c>
      <c r="R75" s="444">
        <v>280</v>
      </c>
      <c r="S75" s="444">
        <v>276</v>
      </c>
      <c r="T75" s="444">
        <v>276</v>
      </c>
      <c r="U75" s="444">
        <v>276</v>
      </c>
      <c r="V75" s="444">
        <v>276</v>
      </c>
      <c r="W75" s="444">
        <v>276</v>
      </c>
      <c r="X75" s="444">
        <v>276</v>
      </c>
      <c r="Y75" s="444">
        <v>276</v>
      </c>
      <c r="Z75" s="444">
        <v>0</v>
      </c>
      <c r="AA75" s="444">
        <v>0</v>
      </c>
    </row>
    <row r="76" spans="1:27">
      <c r="A76" s="430" t="s">
        <v>269</v>
      </c>
      <c r="B76" s="430" t="s">
        <v>320</v>
      </c>
      <c r="C76" s="430" t="s">
        <v>254</v>
      </c>
      <c r="D76" s="430" t="s">
        <v>306</v>
      </c>
      <c r="E76" s="435">
        <v>43.229018000000003</v>
      </c>
      <c r="F76" s="435">
        <v>-2.8857249999999999</v>
      </c>
      <c r="G76" s="432">
        <v>0</v>
      </c>
      <c r="H76" s="432">
        <v>0</v>
      </c>
      <c r="I76" s="432">
        <v>0</v>
      </c>
      <c r="J76" s="432">
        <v>0</v>
      </c>
      <c r="K76" s="432">
        <v>0</v>
      </c>
      <c r="L76" s="432">
        <v>850</v>
      </c>
      <c r="M76" s="432">
        <v>825</v>
      </c>
      <c r="N76" s="432">
        <v>825</v>
      </c>
      <c r="O76" s="432">
        <v>825</v>
      </c>
      <c r="P76" s="432">
        <v>825</v>
      </c>
      <c r="Q76" s="432">
        <v>825</v>
      </c>
      <c r="R76" s="444">
        <v>370</v>
      </c>
      <c r="S76" s="444">
        <v>372</v>
      </c>
      <c r="T76" s="444">
        <v>372</v>
      </c>
      <c r="U76" s="444">
        <v>372</v>
      </c>
      <c r="V76" s="444">
        <v>0</v>
      </c>
      <c r="W76" s="444">
        <v>0</v>
      </c>
      <c r="X76" s="444">
        <v>0</v>
      </c>
      <c r="Y76" s="444">
        <v>0</v>
      </c>
      <c r="Z76" s="444">
        <v>0</v>
      </c>
      <c r="AA76" s="444">
        <v>0</v>
      </c>
    </row>
    <row r="77" spans="1:27">
      <c r="A77" s="430" t="s">
        <v>270</v>
      </c>
      <c r="B77" s="430" t="s">
        <v>320</v>
      </c>
      <c r="C77" s="430" t="s">
        <v>254</v>
      </c>
      <c r="D77" s="430" t="s">
        <v>306</v>
      </c>
      <c r="E77" s="435">
        <v>43.011865</v>
      </c>
      <c r="F77" s="435">
        <v>-4.1367969999999996</v>
      </c>
      <c r="G77" s="432">
        <v>0</v>
      </c>
      <c r="H77" s="432">
        <v>0</v>
      </c>
      <c r="I77" s="432">
        <v>0</v>
      </c>
      <c r="J77" s="432">
        <v>0</v>
      </c>
      <c r="K77" s="432">
        <v>0</v>
      </c>
      <c r="L77" s="432">
        <v>0</v>
      </c>
      <c r="M77" s="432">
        <v>0</v>
      </c>
      <c r="N77" s="432">
        <v>0</v>
      </c>
      <c r="O77" s="432">
        <v>0</v>
      </c>
      <c r="P77" s="432">
        <v>0</v>
      </c>
      <c r="Q77" s="432">
        <v>0</v>
      </c>
      <c r="R77" s="444">
        <v>160</v>
      </c>
      <c r="S77" s="444">
        <v>161</v>
      </c>
      <c r="T77" s="444">
        <v>161</v>
      </c>
      <c r="U77" s="444">
        <v>161</v>
      </c>
      <c r="V77" s="444">
        <v>0</v>
      </c>
      <c r="W77" s="444">
        <v>0</v>
      </c>
      <c r="X77" s="444">
        <v>0</v>
      </c>
      <c r="Y77" s="444">
        <v>0</v>
      </c>
      <c r="Z77" s="444">
        <v>0</v>
      </c>
      <c r="AA77" s="444">
        <v>0</v>
      </c>
    </row>
    <row r="78" spans="1:27">
      <c r="A78" s="430" t="s">
        <v>312</v>
      </c>
      <c r="B78" s="430" t="s">
        <v>320</v>
      </c>
      <c r="C78" s="430" t="s">
        <v>254</v>
      </c>
      <c r="D78" s="430" t="s">
        <v>306</v>
      </c>
      <c r="E78" s="435">
        <v>43.171785999999997</v>
      </c>
      <c r="F78" s="435">
        <v>-2.3224369999999999</v>
      </c>
      <c r="G78" s="432">
        <v>0</v>
      </c>
      <c r="H78" s="432">
        <v>0</v>
      </c>
      <c r="I78" s="432">
        <v>0</v>
      </c>
      <c r="J78" s="432">
        <v>0</v>
      </c>
      <c r="K78" s="432">
        <v>0</v>
      </c>
      <c r="L78" s="432">
        <v>0</v>
      </c>
      <c r="M78" s="432">
        <v>0</v>
      </c>
      <c r="N78" s="432">
        <v>0</v>
      </c>
      <c r="O78" s="432">
        <v>0</v>
      </c>
      <c r="P78" s="432">
        <v>0</v>
      </c>
      <c r="Q78" s="432">
        <v>0</v>
      </c>
      <c r="R78" s="444">
        <v>330</v>
      </c>
      <c r="S78" s="444">
        <v>377</v>
      </c>
      <c r="T78" s="444">
        <v>377</v>
      </c>
      <c r="U78" s="444">
        <v>397</v>
      </c>
      <c r="V78" s="444">
        <v>0</v>
      </c>
      <c r="W78" s="444">
        <v>0</v>
      </c>
      <c r="X78" s="444">
        <v>0</v>
      </c>
      <c r="Y78" s="444">
        <v>0</v>
      </c>
      <c r="Z78" s="444">
        <v>0</v>
      </c>
      <c r="AA78" s="444">
        <v>0</v>
      </c>
    </row>
    <row r="79" spans="1:27">
      <c r="A79" s="430" t="s">
        <v>313</v>
      </c>
      <c r="B79" s="430" t="s">
        <v>320</v>
      </c>
      <c r="C79" s="430" t="s">
        <v>254</v>
      </c>
      <c r="D79" s="430" t="s">
        <v>306</v>
      </c>
      <c r="E79" s="435">
        <v>37.118794000000001</v>
      </c>
      <c r="F79" s="435">
        <v>-88.370418000000001</v>
      </c>
      <c r="G79" s="432">
        <v>0</v>
      </c>
      <c r="H79" s="432">
        <v>0</v>
      </c>
      <c r="I79" s="432">
        <v>0</v>
      </c>
      <c r="J79" s="432">
        <v>0</v>
      </c>
      <c r="K79" s="432">
        <v>0</v>
      </c>
      <c r="L79" s="432">
        <v>0</v>
      </c>
      <c r="M79" s="432">
        <v>0</v>
      </c>
      <c r="N79" s="432">
        <v>0</v>
      </c>
      <c r="O79" s="432">
        <v>0</v>
      </c>
      <c r="P79" s="432">
        <v>0</v>
      </c>
      <c r="Q79" s="432">
        <v>0</v>
      </c>
      <c r="R79" s="444">
        <v>200</v>
      </c>
      <c r="S79" s="444">
        <v>200</v>
      </c>
      <c r="T79" s="444">
        <v>200</v>
      </c>
      <c r="U79" s="444">
        <v>200</v>
      </c>
      <c r="V79" s="444">
        <v>0</v>
      </c>
      <c r="W79" s="444">
        <v>0</v>
      </c>
      <c r="X79" s="444">
        <v>0</v>
      </c>
      <c r="Y79" s="444">
        <v>0</v>
      </c>
      <c r="Z79" s="444">
        <v>0</v>
      </c>
      <c r="AA79" s="444">
        <v>0</v>
      </c>
    </row>
    <row r="80" spans="1:27">
      <c r="A80" s="430" t="s">
        <v>271</v>
      </c>
      <c r="B80" s="430" t="s">
        <v>320</v>
      </c>
      <c r="C80" s="430" t="s">
        <v>254</v>
      </c>
      <c r="D80" s="430" t="s">
        <v>306</v>
      </c>
      <c r="E80" s="435">
        <v>43.195217</v>
      </c>
      <c r="F80" s="435">
        <v>-2.3100360000000002</v>
      </c>
      <c r="G80" s="432">
        <v>0</v>
      </c>
      <c r="H80" s="432">
        <v>0</v>
      </c>
      <c r="I80" s="432">
        <v>0</v>
      </c>
      <c r="J80" s="432">
        <v>0</v>
      </c>
      <c r="K80" s="432">
        <v>0</v>
      </c>
      <c r="L80" s="432">
        <v>0</v>
      </c>
      <c r="M80" s="430">
        <v>395</v>
      </c>
      <c r="N80" s="430">
        <v>395</v>
      </c>
      <c r="O80" s="430">
        <v>355</v>
      </c>
      <c r="P80" s="430">
        <v>245</v>
      </c>
      <c r="Q80" s="430">
        <v>245</v>
      </c>
      <c r="R80" s="444">
        <v>0</v>
      </c>
      <c r="S80" s="444">
        <v>0</v>
      </c>
      <c r="T80" s="444">
        <v>0</v>
      </c>
      <c r="U80" s="444">
        <v>0</v>
      </c>
      <c r="V80" s="444">
        <v>0</v>
      </c>
      <c r="W80" s="444">
        <v>0</v>
      </c>
      <c r="X80" s="444">
        <v>0</v>
      </c>
      <c r="Y80" s="444">
        <v>0</v>
      </c>
      <c r="Z80" s="444">
        <v>0</v>
      </c>
      <c r="AA80" s="444">
        <v>0</v>
      </c>
    </row>
    <row r="81" spans="1:27">
      <c r="A81" s="433" t="s">
        <v>272</v>
      </c>
      <c r="B81" s="433" t="s">
        <v>273</v>
      </c>
      <c r="C81" s="433" t="s">
        <v>252</v>
      </c>
      <c r="D81" s="433" t="s">
        <v>306</v>
      </c>
      <c r="E81" s="439">
        <v>15.159207</v>
      </c>
      <c r="F81" s="443">
        <v>78.005082000000002</v>
      </c>
      <c r="G81" s="433">
        <v>0</v>
      </c>
      <c r="H81" s="433">
        <v>0</v>
      </c>
      <c r="I81" s="433">
        <v>0</v>
      </c>
      <c r="J81" s="433">
        <v>0</v>
      </c>
      <c r="K81" s="433">
        <v>0</v>
      </c>
      <c r="L81" s="433">
        <v>0</v>
      </c>
      <c r="M81" s="433">
        <v>0</v>
      </c>
      <c r="N81" s="433">
        <v>0</v>
      </c>
      <c r="O81" s="433">
        <v>0</v>
      </c>
      <c r="P81" s="433">
        <v>0</v>
      </c>
      <c r="Q81" s="433">
        <v>0</v>
      </c>
      <c r="R81" s="433">
        <v>0</v>
      </c>
      <c r="S81" s="433">
        <v>300</v>
      </c>
      <c r="T81" s="433">
        <v>300</v>
      </c>
      <c r="U81" s="433">
        <v>300</v>
      </c>
      <c r="V81" s="433">
        <v>300</v>
      </c>
      <c r="W81" s="433">
        <v>300</v>
      </c>
      <c r="X81" s="433">
        <v>0</v>
      </c>
      <c r="Y81" s="433">
        <v>0</v>
      </c>
      <c r="Z81" s="433">
        <v>0</v>
      </c>
      <c r="AA81" s="433">
        <v>0</v>
      </c>
    </row>
    <row r="82" spans="1:27">
      <c r="A82" s="430" t="s">
        <v>274</v>
      </c>
      <c r="B82" s="430" t="s">
        <v>275</v>
      </c>
      <c r="C82" s="430" t="s">
        <v>254</v>
      </c>
      <c r="D82" s="430" t="s">
        <v>307</v>
      </c>
      <c r="E82" s="436">
        <v>-9.058961</v>
      </c>
      <c r="F82" s="435">
        <v>-78.600645</v>
      </c>
      <c r="G82" s="444">
        <v>0</v>
      </c>
      <c r="H82" s="444">
        <v>0</v>
      </c>
      <c r="I82" s="444">
        <v>0</v>
      </c>
      <c r="J82" s="444">
        <v>0</v>
      </c>
      <c r="K82" s="444">
        <v>0</v>
      </c>
      <c r="L82" s="444">
        <v>640</v>
      </c>
      <c r="M82" s="444">
        <v>640</v>
      </c>
      <c r="N82" s="444">
        <v>900</v>
      </c>
      <c r="O82" s="444">
        <v>960</v>
      </c>
      <c r="P82" s="444">
        <v>960</v>
      </c>
      <c r="Q82" s="444">
        <v>960</v>
      </c>
      <c r="R82" s="444">
        <v>960</v>
      </c>
      <c r="S82" s="444">
        <v>1020</v>
      </c>
      <c r="T82" s="444">
        <v>520</v>
      </c>
      <c r="U82" s="444">
        <v>520</v>
      </c>
      <c r="V82" s="444">
        <v>573</v>
      </c>
      <c r="W82" s="444">
        <v>573</v>
      </c>
      <c r="X82" s="444">
        <v>573</v>
      </c>
      <c r="Y82" s="444">
        <v>573</v>
      </c>
      <c r="Z82" s="444">
        <v>573</v>
      </c>
      <c r="AA82" s="444">
        <v>573</v>
      </c>
    </row>
    <row r="83" spans="1:27">
      <c r="A83" s="430" t="s">
        <v>276</v>
      </c>
      <c r="B83" s="430" t="s">
        <v>277</v>
      </c>
      <c r="C83" s="430" t="s">
        <v>254</v>
      </c>
      <c r="D83" s="430" t="s">
        <v>307</v>
      </c>
      <c r="E83" s="436">
        <v>-32.988267999999998</v>
      </c>
      <c r="F83" s="435">
        <v>-60.754866</v>
      </c>
      <c r="G83" s="430">
        <v>75</v>
      </c>
      <c r="H83" s="430">
        <v>0</v>
      </c>
      <c r="I83" s="430">
        <v>0</v>
      </c>
      <c r="J83" s="430">
        <v>0</v>
      </c>
      <c r="K83" s="430">
        <v>240</v>
      </c>
      <c r="L83" s="430">
        <v>240</v>
      </c>
      <c r="M83" s="444">
        <v>260</v>
      </c>
      <c r="N83" s="444">
        <v>260</v>
      </c>
      <c r="O83" s="444">
        <v>260</v>
      </c>
      <c r="P83" s="444">
        <v>240</v>
      </c>
      <c r="Q83" s="444">
        <v>240</v>
      </c>
      <c r="R83" s="444">
        <v>250</v>
      </c>
      <c r="S83" s="444">
        <v>255</v>
      </c>
      <c r="T83" s="444">
        <v>263</v>
      </c>
      <c r="U83" s="444">
        <v>263</v>
      </c>
      <c r="V83" s="444">
        <v>263</v>
      </c>
      <c r="W83" s="444">
        <v>263</v>
      </c>
      <c r="X83" s="444">
        <v>263</v>
      </c>
      <c r="Y83" s="444">
        <v>263</v>
      </c>
      <c r="Z83" s="444">
        <v>240</v>
      </c>
      <c r="AA83" s="444">
        <v>240</v>
      </c>
    </row>
    <row r="84" spans="1:27">
      <c r="A84" s="430" t="s">
        <v>278</v>
      </c>
      <c r="B84" s="430" t="s">
        <v>279</v>
      </c>
      <c r="C84" s="430" t="s">
        <v>254</v>
      </c>
      <c r="D84" s="430" t="s">
        <v>307</v>
      </c>
      <c r="E84" s="436">
        <v>10.202360000000001</v>
      </c>
      <c r="F84" s="435">
        <v>-71.278664000000006</v>
      </c>
      <c r="G84" s="430">
        <v>0</v>
      </c>
      <c r="H84" s="430">
        <v>0</v>
      </c>
      <c r="I84" s="430">
        <v>0</v>
      </c>
      <c r="J84" s="430">
        <v>0</v>
      </c>
      <c r="K84" s="430">
        <v>0</v>
      </c>
      <c r="L84" s="430">
        <v>0</v>
      </c>
      <c r="M84" s="444">
        <v>200</v>
      </c>
      <c r="N84" s="444">
        <v>200</v>
      </c>
      <c r="O84" s="444">
        <v>200</v>
      </c>
      <c r="P84" s="444">
        <v>200</v>
      </c>
      <c r="Q84" s="444">
        <v>200</v>
      </c>
      <c r="R84" s="444">
        <v>200</v>
      </c>
      <c r="S84" s="444">
        <v>170</v>
      </c>
      <c r="T84" s="444">
        <v>170</v>
      </c>
      <c r="U84" s="444">
        <v>170</v>
      </c>
      <c r="V84" s="444">
        <v>170</v>
      </c>
      <c r="W84" s="444">
        <v>173</v>
      </c>
      <c r="X84" s="444">
        <v>173</v>
      </c>
      <c r="Y84" s="444">
        <v>0</v>
      </c>
      <c r="Z84" s="444">
        <v>170</v>
      </c>
      <c r="AA84" s="444">
        <v>170</v>
      </c>
    </row>
    <row r="85" spans="1:27">
      <c r="A85" s="430" t="s">
        <v>280</v>
      </c>
      <c r="B85" s="430" t="s">
        <v>319</v>
      </c>
      <c r="C85" s="430" t="s">
        <v>254</v>
      </c>
      <c r="D85" s="430" t="s">
        <v>307</v>
      </c>
      <c r="E85" s="437">
        <v>-34.811472000000002</v>
      </c>
      <c r="F85" s="441">
        <v>-56.100338000000001</v>
      </c>
      <c r="G85" s="430">
        <v>72</v>
      </c>
      <c r="H85" s="430">
        <v>72</v>
      </c>
      <c r="I85" s="430">
        <v>72</v>
      </c>
      <c r="J85" s="430">
        <v>72</v>
      </c>
      <c r="K85" s="430">
        <v>72</v>
      </c>
      <c r="L85" s="430">
        <v>80</v>
      </c>
      <c r="M85" s="430">
        <v>80</v>
      </c>
      <c r="N85" s="430">
        <v>80</v>
      </c>
      <c r="O85" s="430">
        <v>80</v>
      </c>
      <c r="P85" s="430">
        <v>80</v>
      </c>
      <c r="Q85" s="430">
        <v>80</v>
      </c>
      <c r="R85" s="444">
        <v>90</v>
      </c>
      <c r="S85" s="444">
        <v>90</v>
      </c>
      <c r="T85" s="444">
        <v>90</v>
      </c>
      <c r="U85" s="444">
        <v>90</v>
      </c>
      <c r="V85" s="444">
        <v>90</v>
      </c>
      <c r="W85" s="444">
        <v>90</v>
      </c>
      <c r="X85" s="444">
        <v>90</v>
      </c>
      <c r="Y85" s="444">
        <v>90</v>
      </c>
      <c r="Z85" s="444">
        <v>90</v>
      </c>
      <c r="AA85" s="444">
        <v>90</v>
      </c>
    </row>
    <row r="86" spans="1:27">
      <c r="A86" s="430" t="s">
        <v>281</v>
      </c>
      <c r="B86" s="430" t="s">
        <v>282</v>
      </c>
      <c r="C86" s="430" t="s">
        <v>254</v>
      </c>
      <c r="D86" s="430" t="s">
        <v>307</v>
      </c>
      <c r="E86" s="437">
        <v>-33.401152000000003</v>
      </c>
      <c r="F86" s="441">
        <v>-70.682151000000005</v>
      </c>
      <c r="G86" s="430">
        <v>440</v>
      </c>
      <c r="H86" s="430">
        <v>440</v>
      </c>
      <c r="I86" s="430">
        <v>465</v>
      </c>
      <c r="J86" s="430">
        <v>465</v>
      </c>
      <c r="K86" s="430">
        <v>465</v>
      </c>
      <c r="L86" s="430">
        <v>490</v>
      </c>
      <c r="M86" s="430">
        <v>450</v>
      </c>
      <c r="N86" s="430">
        <v>460</v>
      </c>
      <c r="O86" s="430">
        <v>470</v>
      </c>
      <c r="P86" s="430">
        <v>470</v>
      </c>
      <c r="Q86" s="430">
        <v>470</v>
      </c>
      <c r="R86" s="444">
        <v>470</v>
      </c>
      <c r="S86" s="444">
        <v>530</v>
      </c>
      <c r="T86" s="444">
        <v>530</v>
      </c>
      <c r="U86" s="444">
        <v>530</v>
      </c>
      <c r="V86" s="444">
        <v>530</v>
      </c>
      <c r="W86" s="444">
        <v>530</v>
      </c>
      <c r="X86" s="444">
        <v>0</v>
      </c>
      <c r="Y86" s="444">
        <v>0</v>
      </c>
      <c r="Z86" s="444">
        <v>0</v>
      </c>
      <c r="AA86" s="444">
        <v>0</v>
      </c>
    </row>
    <row r="87" spans="1:27">
      <c r="A87" s="433" t="s">
        <v>283</v>
      </c>
      <c r="B87" s="433" t="s">
        <v>284</v>
      </c>
      <c r="C87" s="433" t="s">
        <v>254</v>
      </c>
      <c r="D87" s="433" t="s">
        <v>307</v>
      </c>
      <c r="E87" s="439">
        <v>5.7279109999999998</v>
      </c>
      <c r="F87" s="443">
        <v>-73.222161</v>
      </c>
      <c r="G87" s="433">
        <v>0</v>
      </c>
      <c r="H87" s="433">
        <v>0</v>
      </c>
      <c r="I87" s="433">
        <v>0</v>
      </c>
      <c r="J87" s="433">
        <v>0</v>
      </c>
      <c r="K87" s="433">
        <v>586</v>
      </c>
      <c r="L87" s="433">
        <v>620</v>
      </c>
      <c r="M87" s="433">
        <v>650</v>
      </c>
      <c r="N87" s="433">
        <v>690</v>
      </c>
      <c r="O87" s="433">
        <v>640</v>
      </c>
      <c r="P87" s="433">
        <v>650</v>
      </c>
      <c r="Q87" s="433">
        <v>650</v>
      </c>
      <c r="R87" s="445">
        <v>865</v>
      </c>
      <c r="S87" s="445">
        <v>707</v>
      </c>
      <c r="T87" s="445">
        <v>764</v>
      </c>
      <c r="U87" s="445">
        <v>764</v>
      </c>
      <c r="V87" s="445">
        <v>545</v>
      </c>
      <c r="W87" s="445">
        <v>545</v>
      </c>
      <c r="X87" s="445">
        <v>0</v>
      </c>
      <c r="Y87" s="445">
        <v>0</v>
      </c>
      <c r="Z87" s="445">
        <v>0</v>
      </c>
      <c r="AA87" s="445">
        <v>0</v>
      </c>
    </row>
    <row r="88" spans="1:27">
      <c r="A88" s="434" t="s">
        <v>285</v>
      </c>
      <c r="B88" s="434" t="s">
        <v>286</v>
      </c>
      <c r="C88" s="434" t="s">
        <v>254</v>
      </c>
      <c r="D88" s="434" t="s">
        <v>308</v>
      </c>
      <c r="E88" s="446">
        <v>19.632771000000002</v>
      </c>
      <c r="F88" s="447">
        <v>-99.179068000000001</v>
      </c>
      <c r="G88" s="434">
        <v>0</v>
      </c>
      <c r="H88" s="434">
        <v>0</v>
      </c>
      <c r="I88" s="434">
        <v>0</v>
      </c>
      <c r="J88" s="434">
        <v>0</v>
      </c>
      <c r="K88" s="434">
        <v>0</v>
      </c>
      <c r="L88" s="434">
        <v>0</v>
      </c>
      <c r="M88" s="434">
        <v>330</v>
      </c>
      <c r="N88" s="434">
        <v>340</v>
      </c>
      <c r="O88" s="434">
        <v>340</v>
      </c>
      <c r="P88" s="434">
        <v>430</v>
      </c>
      <c r="Q88" s="434">
        <v>430</v>
      </c>
      <c r="R88" s="434">
        <v>450</v>
      </c>
      <c r="S88" s="434">
        <v>400</v>
      </c>
      <c r="T88" s="434">
        <v>400</v>
      </c>
      <c r="U88" s="434">
        <v>400</v>
      </c>
      <c r="V88" s="434">
        <v>400</v>
      </c>
      <c r="W88" s="434">
        <v>400</v>
      </c>
      <c r="X88" s="434">
        <v>400</v>
      </c>
      <c r="Y88" s="434">
        <v>400</v>
      </c>
      <c r="Z88" s="434">
        <v>400</v>
      </c>
      <c r="AA88" s="434">
        <v>400</v>
      </c>
    </row>
    <row r="89" spans="1:27">
      <c r="A89" s="430" t="s">
        <v>287</v>
      </c>
      <c r="B89" s="430" t="s">
        <v>318</v>
      </c>
      <c r="C89" s="430" t="s">
        <v>254</v>
      </c>
      <c r="D89" s="434" t="s">
        <v>308</v>
      </c>
      <c r="E89" s="435">
        <v>32.462156999999998</v>
      </c>
      <c r="F89" s="435">
        <v>-97.028647000000007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1400</v>
      </c>
      <c r="N89" s="444">
        <v>1400</v>
      </c>
      <c r="O89" s="444">
        <v>1400</v>
      </c>
      <c r="P89" s="444">
        <v>1400</v>
      </c>
      <c r="Q89" s="444">
        <v>1400</v>
      </c>
      <c r="R89" s="444">
        <v>1400</v>
      </c>
      <c r="S89" s="444">
        <v>1449</v>
      </c>
      <c r="T89" s="444">
        <v>1449</v>
      </c>
      <c r="U89" s="444">
        <v>1449</v>
      </c>
      <c r="V89" s="444">
        <v>1408</v>
      </c>
      <c r="W89" s="444">
        <v>1411</v>
      </c>
      <c r="X89" s="444">
        <v>1411</v>
      </c>
      <c r="Y89" s="444">
        <v>1411</v>
      </c>
      <c r="Z89" s="444">
        <v>1338</v>
      </c>
      <c r="AA89" s="444">
        <v>1338</v>
      </c>
    </row>
    <row r="90" spans="1:27">
      <c r="A90" s="430" t="s">
        <v>288</v>
      </c>
      <c r="B90" s="430" t="s">
        <v>318</v>
      </c>
      <c r="C90" s="430" t="s">
        <v>254</v>
      </c>
      <c r="D90" s="434" t="s">
        <v>308</v>
      </c>
      <c r="E90" s="435">
        <v>37.186810000000001</v>
      </c>
      <c r="F90" s="435">
        <v>-77.450515999999993</v>
      </c>
      <c r="G90" s="444">
        <v>0</v>
      </c>
      <c r="H90" s="444">
        <v>0</v>
      </c>
      <c r="I90" s="444">
        <v>0</v>
      </c>
      <c r="J90" s="444">
        <v>0</v>
      </c>
      <c r="K90" s="444">
        <v>0</v>
      </c>
      <c r="L90" s="444">
        <v>0</v>
      </c>
      <c r="M90" s="444">
        <v>1000</v>
      </c>
      <c r="N90" s="444">
        <v>1000</v>
      </c>
      <c r="O90" s="444">
        <v>1000</v>
      </c>
      <c r="P90" s="444">
        <v>1000</v>
      </c>
      <c r="Q90" s="444">
        <v>1000</v>
      </c>
      <c r="R90" s="444">
        <v>1000</v>
      </c>
      <c r="S90" s="444">
        <v>1000</v>
      </c>
      <c r="T90" s="444">
        <v>700</v>
      </c>
      <c r="U90" s="444">
        <v>700</v>
      </c>
      <c r="V90" s="444">
        <v>562</v>
      </c>
      <c r="W90" s="444">
        <v>476</v>
      </c>
      <c r="X90" s="444">
        <v>476</v>
      </c>
      <c r="Y90" s="444">
        <v>476</v>
      </c>
      <c r="Z90" s="444">
        <v>496</v>
      </c>
      <c r="AA90" s="444">
        <v>496</v>
      </c>
    </row>
    <row r="91" spans="1:27">
      <c r="A91" s="430" t="s">
        <v>289</v>
      </c>
      <c r="B91" s="430" t="s">
        <v>290</v>
      </c>
      <c r="C91" s="430" t="s">
        <v>254</v>
      </c>
      <c r="D91" s="434" t="s">
        <v>308</v>
      </c>
      <c r="E91" s="435">
        <v>43.857089999999999</v>
      </c>
      <c r="F91" s="435">
        <v>-78.910328000000007</v>
      </c>
      <c r="G91" s="444">
        <v>0</v>
      </c>
      <c r="H91" s="444">
        <v>998</v>
      </c>
      <c r="I91" s="444">
        <v>998</v>
      </c>
      <c r="J91" s="444">
        <v>726</v>
      </c>
      <c r="K91" s="444">
        <v>726</v>
      </c>
      <c r="L91" s="444">
        <v>730</v>
      </c>
      <c r="M91" s="444">
        <v>730</v>
      </c>
      <c r="N91" s="444">
        <v>730</v>
      </c>
      <c r="O91" s="444">
        <v>730</v>
      </c>
      <c r="P91" s="444">
        <v>730</v>
      </c>
      <c r="Q91" s="444">
        <v>730</v>
      </c>
      <c r="R91" s="444">
        <v>730</v>
      </c>
      <c r="S91" s="444">
        <v>840</v>
      </c>
      <c r="T91" s="444">
        <v>840</v>
      </c>
      <c r="U91" s="444">
        <v>840</v>
      </c>
      <c r="V91" s="444">
        <v>788</v>
      </c>
      <c r="W91" s="444">
        <v>775</v>
      </c>
      <c r="X91" s="444">
        <v>775</v>
      </c>
      <c r="Y91" s="444">
        <v>775</v>
      </c>
      <c r="Z91" s="444">
        <v>724</v>
      </c>
      <c r="AA91" s="444">
        <v>724</v>
      </c>
    </row>
    <row r="92" spans="1:27">
      <c r="A92" s="430" t="s">
        <v>291</v>
      </c>
      <c r="B92" s="430" t="s">
        <v>318</v>
      </c>
      <c r="C92" s="430" t="s">
        <v>254</v>
      </c>
      <c r="D92" s="434" t="s">
        <v>308</v>
      </c>
      <c r="E92" s="435">
        <v>34.244720000000001</v>
      </c>
      <c r="F92" s="435">
        <v>-84.797549000000004</v>
      </c>
      <c r="G92" s="444">
        <v>0</v>
      </c>
      <c r="H92" s="444">
        <v>544</v>
      </c>
      <c r="I92" s="444">
        <v>544</v>
      </c>
      <c r="J92" s="444">
        <v>581</v>
      </c>
      <c r="K92" s="444">
        <v>581</v>
      </c>
      <c r="L92" s="444">
        <v>580</v>
      </c>
      <c r="M92" s="444">
        <v>580</v>
      </c>
      <c r="N92" s="444">
        <v>580</v>
      </c>
      <c r="O92" s="444">
        <v>580</v>
      </c>
      <c r="P92" s="444">
        <v>580</v>
      </c>
      <c r="Q92" s="444">
        <v>580</v>
      </c>
      <c r="R92" s="444">
        <v>580</v>
      </c>
      <c r="S92" s="444">
        <v>580</v>
      </c>
      <c r="T92" s="444">
        <v>580</v>
      </c>
      <c r="U92" s="444">
        <v>580</v>
      </c>
      <c r="V92" s="444">
        <v>580</v>
      </c>
      <c r="W92" s="444">
        <v>610</v>
      </c>
      <c r="X92" s="444">
        <v>610</v>
      </c>
      <c r="Y92" s="444">
        <v>610</v>
      </c>
      <c r="Z92" s="444">
        <v>562</v>
      </c>
      <c r="AA92" s="444">
        <v>562</v>
      </c>
    </row>
    <row r="93" spans="1:27">
      <c r="A93" s="430" t="s">
        <v>292</v>
      </c>
      <c r="B93" s="430" t="s">
        <v>318</v>
      </c>
      <c r="C93" s="430" t="s">
        <v>254</v>
      </c>
      <c r="D93" s="434" t="s">
        <v>308</v>
      </c>
      <c r="E93" s="437">
        <v>42.2042</v>
      </c>
      <c r="F93" s="441">
        <v>-84.364417000000003</v>
      </c>
      <c r="G93" s="430">
        <v>499</v>
      </c>
      <c r="H93" s="430">
        <v>544</v>
      </c>
      <c r="I93" s="430">
        <v>544</v>
      </c>
      <c r="J93" s="430">
        <v>544</v>
      </c>
      <c r="K93" s="444">
        <v>544</v>
      </c>
      <c r="L93" s="444">
        <v>540</v>
      </c>
      <c r="M93" s="444">
        <v>540</v>
      </c>
      <c r="N93" s="444">
        <v>540</v>
      </c>
      <c r="O93" s="444">
        <v>540</v>
      </c>
      <c r="P93" s="444">
        <v>540</v>
      </c>
      <c r="Q93" s="444">
        <v>540</v>
      </c>
      <c r="R93" s="444">
        <v>540</v>
      </c>
      <c r="S93" s="444">
        <v>540</v>
      </c>
      <c r="T93" s="444">
        <v>540</v>
      </c>
      <c r="U93" s="444">
        <v>540</v>
      </c>
      <c r="V93" s="444">
        <v>467</v>
      </c>
      <c r="W93" s="444">
        <v>494</v>
      </c>
      <c r="X93" s="444">
        <v>494</v>
      </c>
      <c r="Y93" s="444">
        <v>494</v>
      </c>
      <c r="Z93" s="444">
        <v>522</v>
      </c>
      <c r="AA93" s="444">
        <v>522</v>
      </c>
    </row>
    <row r="94" spans="1:27">
      <c r="A94" s="430" t="s">
        <v>294</v>
      </c>
      <c r="B94" s="430" t="s">
        <v>318</v>
      </c>
      <c r="C94" s="430" t="s">
        <v>254</v>
      </c>
      <c r="D94" s="434" t="s">
        <v>308</v>
      </c>
      <c r="E94" s="437">
        <v>35.340643</v>
      </c>
      <c r="F94" s="441">
        <v>-80.827214999999995</v>
      </c>
      <c r="G94" s="430">
        <v>363</v>
      </c>
      <c r="H94" s="430">
        <v>363</v>
      </c>
      <c r="I94" s="430">
        <v>363</v>
      </c>
      <c r="J94" s="430">
        <v>318</v>
      </c>
      <c r="K94" s="430">
        <v>318</v>
      </c>
      <c r="L94" s="430">
        <v>320</v>
      </c>
      <c r="M94" s="444">
        <v>325</v>
      </c>
      <c r="N94" s="444">
        <v>330</v>
      </c>
      <c r="O94" s="444">
        <v>330</v>
      </c>
      <c r="P94" s="444">
        <v>330</v>
      </c>
      <c r="Q94" s="444">
        <v>330</v>
      </c>
      <c r="R94" s="444">
        <v>330</v>
      </c>
      <c r="S94" s="444">
        <v>325</v>
      </c>
      <c r="T94" s="444">
        <v>325</v>
      </c>
      <c r="U94" s="444">
        <v>325</v>
      </c>
      <c r="V94" s="444">
        <v>281</v>
      </c>
      <c r="W94" s="444">
        <v>316</v>
      </c>
      <c r="X94" s="444">
        <v>316</v>
      </c>
      <c r="Y94" s="444">
        <v>316</v>
      </c>
      <c r="Z94" s="444">
        <v>296</v>
      </c>
      <c r="AA94" s="444">
        <v>296</v>
      </c>
    </row>
    <row r="95" spans="1:27">
      <c r="A95" s="430" t="s">
        <v>295</v>
      </c>
      <c r="B95" s="430" t="s">
        <v>290</v>
      </c>
      <c r="C95" s="430" t="s">
        <v>254</v>
      </c>
      <c r="D95" s="434" t="s">
        <v>308</v>
      </c>
      <c r="E95" s="437">
        <v>50.133490999999999</v>
      </c>
      <c r="F95" s="441">
        <v>-96.905995300000001</v>
      </c>
      <c r="G95" s="430">
        <v>300</v>
      </c>
      <c r="H95" s="430">
        <v>299</v>
      </c>
      <c r="I95" s="430">
        <v>299</v>
      </c>
      <c r="J95" s="430">
        <v>327</v>
      </c>
      <c r="K95" s="430">
        <v>327</v>
      </c>
      <c r="L95" s="430">
        <v>330</v>
      </c>
      <c r="M95" s="444">
        <v>360</v>
      </c>
      <c r="N95" s="444">
        <v>360</v>
      </c>
      <c r="O95" s="444">
        <v>360</v>
      </c>
      <c r="P95" s="444">
        <v>360</v>
      </c>
      <c r="Q95" s="444">
        <v>360</v>
      </c>
      <c r="R95" s="444">
        <v>360</v>
      </c>
      <c r="S95" s="444">
        <v>360</v>
      </c>
      <c r="T95" s="444">
        <v>360</v>
      </c>
      <c r="U95" s="444">
        <v>360</v>
      </c>
      <c r="V95" s="444">
        <v>282</v>
      </c>
      <c r="W95" s="444">
        <v>271</v>
      </c>
      <c r="X95" s="444">
        <v>271</v>
      </c>
      <c r="Y95" s="444">
        <v>271</v>
      </c>
      <c r="Z95" s="444">
        <v>274</v>
      </c>
      <c r="AA95" s="444">
        <v>274</v>
      </c>
    </row>
    <row r="96" spans="1:27">
      <c r="A96" s="430" t="s">
        <v>296</v>
      </c>
      <c r="B96" s="430" t="s">
        <v>318</v>
      </c>
      <c r="C96" s="430" t="s">
        <v>254</v>
      </c>
      <c r="D96" s="434" t="s">
        <v>308</v>
      </c>
      <c r="E96" s="435">
        <v>41.584448000000002</v>
      </c>
      <c r="F96" s="435">
        <v>-91.045434999999998</v>
      </c>
      <c r="G96" s="430">
        <v>0</v>
      </c>
      <c r="H96" s="430">
        <v>0</v>
      </c>
      <c r="I96" s="430">
        <v>0</v>
      </c>
      <c r="J96" s="430">
        <v>295</v>
      </c>
      <c r="K96" s="430">
        <v>295</v>
      </c>
      <c r="L96" s="430">
        <v>300</v>
      </c>
      <c r="M96" s="444">
        <v>300</v>
      </c>
      <c r="N96" s="444">
        <v>320</v>
      </c>
      <c r="O96" s="444">
        <v>320</v>
      </c>
      <c r="P96" s="444">
        <v>320</v>
      </c>
      <c r="Q96" s="444">
        <v>320</v>
      </c>
      <c r="R96" s="444">
        <v>320</v>
      </c>
      <c r="S96" s="444">
        <v>320</v>
      </c>
      <c r="T96" s="444">
        <v>320</v>
      </c>
      <c r="U96" s="444">
        <v>320</v>
      </c>
      <c r="V96" s="444">
        <v>320</v>
      </c>
      <c r="W96" s="444">
        <v>345</v>
      </c>
      <c r="X96" s="444">
        <v>245</v>
      </c>
      <c r="Y96" s="444">
        <v>245</v>
      </c>
      <c r="Z96" s="444">
        <v>255</v>
      </c>
      <c r="AA96" s="444">
        <v>255</v>
      </c>
    </row>
    <row r="97" spans="1:27">
      <c r="A97" s="431" t="s">
        <v>303</v>
      </c>
      <c r="B97" s="430" t="s">
        <v>290</v>
      </c>
      <c r="C97" s="430" t="s">
        <v>254</v>
      </c>
      <c r="D97" s="434" t="s">
        <v>308</v>
      </c>
      <c r="E97" s="437">
        <v>43.371059000000002</v>
      </c>
      <c r="F97" s="441">
        <v>-80.280720000000002</v>
      </c>
      <c r="G97" s="430">
        <v>280</v>
      </c>
      <c r="H97" s="430">
        <v>295</v>
      </c>
      <c r="I97" s="430">
        <v>295</v>
      </c>
      <c r="J97" s="430">
        <v>290</v>
      </c>
      <c r="K97" s="430">
        <v>290</v>
      </c>
      <c r="L97" s="430">
        <v>290</v>
      </c>
      <c r="M97" s="430">
        <v>290</v>
      </c>
      <c r="N97" s="444">
        <v>290</v>
      </c>
      <c r="O97" s="444">
        <v>290</v>
      </c>
      <c r="P97" s="444">
        <v>290</v>
      </c>
      <c r="Q97" s="444">
        <v>290</v>
      </c>
      <c r="R97" s="444">
        <v>290</v>
      </c>
      <c r="S97" s="444">
        <v>290</v>
      </c>
      <c r="T97" s="444">
        <v>290</v>
      </c>
      <c r="U97" s="444">
        <v>0</v>
      </c>
      <c r="V97" s="444">
        <v>0</v>
      </c>
      <c r="W97" s="444">
        <v>0</v>
      </c>
      <c r="X97" s="444">
        <v>0</v>
      </c>
      <c r="Y97" s="444">
        <v>0</v>
      </c>
      <c r="Z97" s="444">
        <v>246</v>
      </c>
      <c r="AA97" s="444">
        <v>246</v>
      </c>
    </row>
    <row r="98" spans="1:27">
      <c r="A98" s="430" t="s">
        <v>293</v>
      </c>
      <c r="B98" s="430" t="s">
        <v>318</v>
      </c>
      <c r="C98" s="430" t="s">
        <v>254</v>
      </c>
      <c r="D98" s="434" t="s">
        <v>308</v>
      </c>
      <c r="E98" s="435">
        <v>44.894903999999997</v>
      </c>
      <c r="F98" s="435">
        <v>-93.011009000000001</v>
      </c>
      <c r="G98" s="430">
        <v>0</v>
      </c>
      <c r="H98" s="430">
        <v>0</v>
      </c>
      <c r="I98" s="430">
        <v>0</v>
      </c>
      <c r="J98" s="430">
        <v>499</v>
      </c>
      <c r="K98" s="444">
        <v>499</v>
      </c>
      <c r="L98" s="444">
        <v>500</v>
      </c>
      <c r="M98" s="444">
        <v>420</v>
      </c>
      <c r="N98" s="444">
        <v>420</v>
      </c>
      <c r="O98" s="444">
        <v>420</v>
      </c>
      <c r="P98" s="444">
        <v>420</v>
      </c>
      <c r="Q98" s="444">
        <v>420</v>
      </c>
      <c r="R98" s="444">
        <v>420</v>
      </c>
      <c r="S98" s="444">
        <v>420</v>
      </c>
      <c r="T98" s="444">
        <v>420</v>
      </c>
      <c r="U98" s="444">
        <v>420</v>
      </c>
      <c r="V98" s="444">
        <v>420</v>
      </c>
      <c r="W98" s="444">
        <v>455</v>
      </c>
      <c r="X98" s="444">
        <v>455</v>
      </c>
      <c r="Y98" s="444">
        <v>455</v>
      </c>
      <c r="Z98" s="444">
        <v>0</v>
      </c>
      <c r="AA98" s="444">
        <v>0</v>
      </c>
    </row>
    <row r="99" spans="1:27">
      <c r="A99" s="430" t="s">
        <v>297</v>
      </c>
      <c r="B99" s="430" t="s">
        <v>318</v>
      </c>
      <c r="C99" s="430" t="s">
        <v>254</v>
      </c>
      <c r="D99" s="434" t="s">
        <v>308</v>
      </c>
      <c r="E99" s="435">
        <v>40.481270000000002</v>
      </c>
      <c r="F99" s="435">
        <v>-74.320730999999995</v>
      </c>
      <c r="G99" s="430">
        <v>0</v>
      </c>
      <c r="H99" s="430">
        <v>544</v>
      </c>
      <c r="I99" s="430">
        <v>544</v>
      </c>
      <c r="J99" s="430">
        <v>544</v>
      </c>
      <c r="K99" s="430">
        <v>544</v>
      </c>
      <c r="L99" s="430">
        <v>540</v>
      </c>
      <c r="M99" s="444">
        <v>600</v>
      </c>
      <c r="N99" s="444">
        <v>600</v>
      </c>
      <c r="O99" s="444">
        <v>600</v>
      </c>
      <c r="P99" s="444">
        <v>600</v>
      </c>
      <c r="Q99" s="444">
        <v>600</v>
      </c>
      <c r="R99" s="444">
        <v>600</v>
      </c>
      <c r="S99" s="444">
        <v>600</v>
      </c>
      <c r="T99" s="444">
        <v>600</v>
      </c>
      <c r="U99" s="444">
        <v>600</v>
      </c>
      <c r="V99" s="444">
        <v>600</v>
      </c>
      <c r="W99" s="444">
        <v>623</v>
      </c>
      <c r="X99" s="444">
        <v>0</v>
      </c>
      <c r="Y99" s="444">
        <v>0</v>
      </c>
      <c r="Z99" s="444">
        <v>0</v>
      </c>
      <c r="AA99" s="444">
        <v>0</v>
      </c>
    </row>
    <row r="100" spans="1:27">
      <c r="A100" s="430" t="s">
        <v>298</v>
      </c>
      <c r="B100" s="430" t="s">
        <v>318</v>
      </c>
      <c r="C100" s="430" t="s">
        <v>254</v>
      </c>
      <c r="D100" s="434" t="s">
        <v>308</v>
      </c>
      <c r="E100" s="440">
        <v>36.129846000000001</v>
      </c>
      <c r="F100" s="440">
        <v>-96.112184999999997</v>
      </c>
      <c r="G100" s="430">
        <v>0</v>
      </c>
      <c r="H100" s="430">
        <v>0</v>
      </c>
      <c r="I100" s="430">
        <v>0</v>
      </c>
      <c r="J100" s="430">
        <v>0</v>
      </c>
      <c r="K100" s="430">
        <v>0</v>
      </c>
      <c r="L100" s="430">
        <v>470</v>
      </c>
      <c r="M100" s="444">
        <v>525</v>
      </c>
      <c r="N100" s="444">
        <v>520</v>
      </c>
      <c r="O100" s="444">
        <v>520</v>
      </c>
      <c r="P100" s="444">
        <v>0</v>
      </c>
      <c r="Q100" s="444">
        <v>0</v>
      </c>
      <c r="R100" s="444">
        <v>0</v>
      </c>
      <c r="S100" s="444">
        <v>0</v>
      </c>
      <c r="T100" s="444">
        <v>0</v>
      </c>
      <c r="U100" s="444">
        <v>0</v>
      </c>
      <c r="V100" s="444">
        <v>0</v>
      </c>
      <c r="W100" s="444">
        <v>0</v>
      </c>
      <c r="X100" s="444">
        <v>0</v>
      </c>
      <c r="Y100" s="444">
        <v>0</v>
      </c>
      <c r="Z100" s="444">
        <v>0</v>
      </c>
      <c r="AA100" s="444">
        <v>0</v>
      </c>
    </row>
    <row r="101" spans="1:27">
      <c r="A101" s="430" t="s">
        <v>299</v>
      </c>
      <c r="B101" s="430" t="s">
        <v>318</v>
      </c>
      <c r="C101" s="430" t="s">
        <v>254</v>
      </c>
      <c r="D101" s="434" t="s">
        <v>308</v>
      </c>
      <c r="E101" s="435">
        <v>40.481659999999998</v>
      </c>
      <c r="F101" s="435">
        <v>-74.320538999999997</v>
      </c>
      <c r="G101" s="430">
        <v>0</v>
      </c>
      <c r="H101" s="430">
        <v>907</v>
      </c>
      <c r="I101" s="430">
        <v>907</v>
      </c>
      <c r="J101" s="430">
        <v>726</v>
      </c>
      <c r="K101" s="430">
        <v>726</v>
      </c>
      <c r="L101" s="430">
        <v>730</v>
      </c>
      <c r="M101" s="444">
        <v>1000</v>
      </c>
      <c r="N101" s="444">
        <v>1000</v>
      </c>
      <c r="O101" s="444">
        <v>1000</v>
      </c>
      <c r="P101" s="444">
        <v>0</v>
      </c>
      <c r="Q101" s="444">
        <v>0</v>
      </c>
      <c r="R101" s="444">
        <v>0</v>
      </c>
      <c r="S101" s="444">
        <v>0</v>
      </c>
      <c r="T101" s="444">
        <v>0</v>
      </c>
      <c r="U101" s="444">
        <v>0</v>
      </c>
      <c r="V101" s="444">
        <v>0</v>
      </c>
      <c r="W101" s="444">
        <v>0</v>
      </c>
      <c r="X101" s="444">
        <v>0</v>
      </c>
      <c r="Y101" s="444">
        <v>0</v>
      </c>
      <c r="Z101" s="444">
        <v>0</v>
      </c>
      <c r="AA101" s="444">
        <v>0</v>
      </c>
    </row>
    <row r="102" spans="1:27">
      <c r="A102" s="430" t="s">
        <v>300</v>
      </c>
      <c r="B102" s="430" t="s">
        <v>318</v>
      </c>
      <c r="C102" s="430" t="s">
        <v>254</v>
      </c>
      <c r="D102" s="434" t="s">
        <v>308</v>
      </c>
      <c r="E102" s="441">
        <v>35.979564000000003</v>
      </c>
      <c r="F102" s="441">
        <v>-83.959891999999996</v>
      </c>
      <c r="G102" s="430">
        <v>435</v>
      </c>
      <c r="H102" s="430">
        <v>454</v>
      </c>
      <c r="I102" s="430">
        <v>454</v>
      </c>
      <c r="J102" s="430">
        <v>472</v>
      </c>
      <c r="K102" s="430">
        <v>472</v>
      </c>
      <c r="L102" s="430">
        <v>470</v>
      </c>
      <c r="M102" s="444">
        <v>470</v>
      </c>
      <c r="N102" s="444">
        <v>470</v>
      </c>
      <c r="O102" s="444">
        <v>470</v>
      </c>
      <c r="P102" s="444">
        <v>470</v>
      </c>
      <c r="Q102" s="444">
        <v>470</v>
      </c>
      <c r="R102" s="444">
        <v>470</v>
      </c>
      <c r="S102" s="444">
        <v>550</v>
      </c>
      <c r="T102" s="444">
        <v>550</v>
      </c>
      <c r="U102" s="444">
        <v>550</v>
      </c>
      <c r="V102" s="444">
        <v>550</v>
      </c>
      <c r="W102" s="444">
        <v>597</v>
      </c>
      <c r="X102" s="444">
        <v>0</v>
      </c>
      <c r="Y102" s="444">
        <v>0</v>
      </c>
      <c r="Z102" s="444">
        <v>0</v>
      </c>
      <c r="AA102" s="444">
        <v>0</v>
      </c>
    </row>
    <row r="103" spans="1:27">
      <c r="A103" s="431" t="s">
        <v>301</v>
      </c>
      <c r="B103" s="430" t="s">
        <v>318</v>
      </c>
      <c r="C103" s="430" t="s">
        <v>254</v>
      </c>
      <c r="D103" s="434" t="s">
        <v>308</v>
      </c>
      <c r="E103" s="437">
        <v>30.195855999999999</v>
      </c>
      <c r="F103" s="441">
        <v>-81.565618999999998</v>
      </c>
      <c r="G103" s="430">
        <v>544</v>
      </c>
      <c r="H103" s="430">
        <v>558</v>
      </c>
      <c r="I103" s="430">
        <v>558</v>
      </c>
      <c r="J103" s="430">
        <v>581</v>
      </c>
      <c r="K103" s="430">
        <v>581</v>
      </c>
      <c r="L103" s="430">
        <v>580</v>
      </c>
      <c r="M103" s="444">
        <v>710</v>
      </c>
      <c r="N103" s="444">
        <v>620</v>
      </c>
      <c r="O103" s="444">
        <v>620</v>
      </c>
      <c r="P103" s="444">
        <v>620</v>
      </c>
      <c r="Q103" s="444">
        <v>620</v>
      </c>
      <c r="R103" s="444">
        <v>620</v>
      </c>
      <c r="S103" s="444">
        <v>620</v>
      </c>
      <c r="T103" s="444">
        <v>620</v>
      </c>
      <c r="U103" s="444">
        <v>620</v>
      </c>
      <c r="V103" s="444">
        <v>620</v>
      </c>
      <c r="W103" s="444">
        <v>549</v>
      </c>
      <c r="X103" s="444">
        <v>0</v>
      </c>
      <c r="Y103" s="444">
        <v>0</v>
      </c>
      <c r="Z103" s="444">
        <v>0</v>
      </c>
      <c r="AA103" s="444">
        <v>0</v>
      </c>
    </row>
    <row r="104" spans="1:27">
      <c r="A104" s="431" t="s">
        <v>302</v>
      </c>
      <c r="B104" s="430" t="s">
        <v>318</v>
      </c>
      <c r="C104" s="430" t="s">
        <v>254</v>
      </c>
      <c r="D104" s="434" t="s">
        <v>308</v>
      </c>
      <c r="E104" s="435">
        <v>34.094273999999999</v>
      </c>
      <c r="F104" s="435">
        <v>-117.532212</v>
      </c>
      <c r="G104" s="430">
        <v>0</v>
      </c>
      <c r="H104" s="430">
        <v>0</v>
      </c>
      <c r="I104" s="430">
        <v>0</v>
      </c>
      <c r="J104" s="430">
        <v>0</v>
      </c>
      <c r="K104" s="430">
        <v>0</v>
      </c>
      <c r="L104" s="430">
        <v>0</v>
      </c>
      <c r="M104" s="444">
        <v>0</v>
      </c>
      <c r="N104" s="444">
        <v>0</v>
      </c>
      <c r="O104" s="444">
        <v>0</v>
      </c>
      <c r="P104" s="444">
        <v>460</v>
      </c>
      <c r="Q104" s="444">
        <v>460</v>
      </c>
      <c r="R104" s="444">
        <v>460</v>
      </c>
      <c r="S104" s="444">
        <v>463</v>
      </c>
      <c r="T104" s="444">
        <v>463</v>
      </c>
      <c r="U104" s="444">
        <v>463</v>
      </c>
      <c r="V104" s="444">
        <v>463</v>
      </c>
      <c r="W104" s="444">
        <v>469</v>
      </c>
      <c r="X104" s="444">
        <v>0</v>
      </c>
      <c r="Y104" s="444">
        <v>0</v>
      </c>
      <c r="Z104" s="444">
        <v>0</v>
      </c>
      <c r="AA104" s="444">
        <v>0</v>
      </c>
    </row>
    <row r="105" spans="1:27">
      <c r="A105" s="431" t="s">
        <v>304</v>
      </c>
      <c r="B105" s="430" t="s">
        <v>318</v>
      </c>
      <c r="C105" s="430" t="s">
        <v>254</v>
      </c>
      <c r="D105" s="434" t="s">
        <v>308</v>
      </c>
      <c r="E105" s="435">
        <v>30.083807</v>
      </c>
      <c r="F105" s="435">
        <v>-94.073594</v>
      </c>
      <c r="G105" s="430">
        <v>0</v>
      </c>
      <c r="H105" s="430">
        <v>0</v>
      </c>
      <c r="I105" s="430">
        <v>0</v>
      </c>
      <c r="J105" s="430">
        <v>726</v>
      </c>
      <c r="K105" s="430">
        <v>726</v>
      </c>
      <c r="L105" s="430">
        <v>730</v>
      </c>
      <c r="M105" s="430">
        <v>730</v>
      </c>
      <c r="N105" s="444">
        <v>730</v>
      </c>
      <c r="O105" s="444">
        <v>730</v>
      </c>
      <c r="P105" s="444">
        <v>730</v>
      </c>
      <c r="Q105" s="444">
        <v>730</v>
      </c>
      <c r="R105" s="444">
        <v>730</v>
      </c>
      <c r="S105" s="444">
        <v>730</v>
      </c>
      <c r="T105" s="444">
        <v>730</v>
      </c>
      <c r="U105" s="444">
        <v>730</v>
      </c>
      <c r="V105" s="444">
        <v>602</v>
      </c>
      <c r="W105" s="444">
        <v>655</v>
      </c>
      <c r="X105" s="444">
        <v>0</v>
      </c>
      <c r="Y105" s="444">
        <v>0</v>
      </c>
      <c r="Z105" s="444">
        <v>0</v>
      </c>
      <c r="AA105" s="444">
        <v>0</v>
      </c>
    </row>
    <row r="106" spans="1:27">
      <c r="A106" s="431" t="s">
        <v>314</v>
      </c>
      <c r="B106" s="430" t="s">
        <v>318</v>
      </c>
      <c r="C106" s="430" t="s">
        <v>254</v>
      </c>
      <c r="D106" s="434" t="s">
        <v>308</v>
      </c>
      <c r="E106" s="435">
        <v>37.052267000000001</v>
      </c>
      <c r="F106" s="435">
        <v>-88.393547999999996</v>
      </c>
      <c r="G106" s="430">
        <v>0</v>
      </c>
      <c r="H106" s="430">
        <v>0</v>
      </c>
      <c r="I106" s="430">
        <v>0</v>
      </c>
      <c r="J106" s="430">
        <v>295</v>
      </c>
      <c r="K106" s="430">
        <v>295</v>
      </c>
      <c r="L106" s="430">
        <v>300</v>
      </c>
      <c r="M106" s="430">
        <v>300</v>
      </c>
      <c r="N106" s="444">
        <v>300</v>
      </c>
      <c r="O106" s="444">
        <v>300</v>
      </c>
      <c r="P106" s="444">
        <v>300</v>
      </c>
      <c r="Q106" s="444">
        <v>300</v>
      </c>
      <c r="R106" s="444">
        <v>300</v>
      </c>
      <c r="S106" s="444">
        <v>300</v>
      </c>
      <c r="T106" s="444">
        <v>300</v>
      </c>
      <c r="U106" s="444">
        <v>300</v>
      </c>
      <c r="V106" s="444">
        <v>362</v>
      </c>
      <c r="W106" s="444">
        <v>0</v>
      </c>
      <c r="X106" s="444">
        <v>0</v>
      </c>
      <c r="Y106" s="444">
        <v>0</v>
      </c>
      <c r="Z106" s="444">
        <v>0</v>
      </c>
      <c r="AA106" s="444">
        <v>0</v>
      </c>
    </row>
    <row r="107" spans="1:27">
      <c r="A107" s="428" t="s">
        <v>315</v>
      </c>
      <c r="B107" s="433" t="s">
        <v>318</v>
      </c>
      <c r="C107" s="433" t="s">
        <v>254</v>
      </c>
      <c r="D107" s="433" t="s">
        <v>308</v>
      </c>
      <c r="E107" s="443">
        <v>41.550677999999998</v>
      </c>
      <c r="F107" s="443">
        <v>-88.084109999999995</v>
      </c>
      <c r="G107" s="433">
        <v>0</v>
      </c>
      <c r="H107" s="433">
        <v>0</v>
      </c>
      <c r="I107" s="433">
        <v>0</v>
      </c>
      <c r="J107" s="433">
        <v>0</v>
      </c>
      <c r="K107" s="433">
        <v>0</v>
      </c>
      <c r="L107" s="433">
        <v>70</v>
      </c>
      <c r="M107" s="433">
        <v>70</v>
      </c>
      <c r="N107" s="445">
        <v>70</v>
      </c>
      <c r="O107" s="445">
        <v>70</v>
      </c>
      <c r="P107" s="445">
        <v>70</v>
      </c>
      <c r="Q107" s="445">
        <v>70</v>
      </c>
      <c r="R107" s="445">
        <v>70</v>
      </c>
      <c r="S107" s="445">
        <v>0</v>
      </c>
      <c r="T107" s="445">
        <v>0</v>
      </c>
      <c r="U107" s="445">
        <v>0</v>
      </c>
      <c r="V107" s="445">
        <v>0</v>
      </c>
      <c r="W107" s="445">
        <v>0</v>
      </c>
      <c r="X107" s="445">
        <v>0</v>
      </c>
      <c r="Y107" s="445">
        <v>0</v>
      </c>
      <c r="Z107" s="445">
        <v>0</v>
      </c>
      <c r="AA107" s="445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31"/>
  <sheetViews>
    <sheetView showGridLines="0" zoomScale="80" zoomScaleNormal="80" workbookViewId="0">
      <selection activeCell="B7" sqref="B7"/>
    </sheetView>
  </sheetViews>
  <sheetFormatPr defaultColWidth="9.1796875" defaultRowHeight="15"/>
  <cols>
    <col min="1" max="1" width="4.453125" style="96" customWidth="1"/>
    <col min="2" max="2" width="23" style="96" customWidth="1"/>
    <col min="3" max="3" width="11.453125" style="96" customWidth="1"/>
    <col min="4" max="11" width="9.1796875" style="96"/>
    <col min="12" max="12" width="12.54296875" style="96" bestFit="1" customWidth="1"/>
    <col min="13" max="16384" width="9.1796875" style="96"/>
  </cols>
  <sheetData>
    <row r="4" spans="2:13" ht="26.25" customHeight="1"/>
    <row r="5" spans="2:13" ht="26.25" customHeight="1"/>
    <row r="6" spans="2:13" ht="19.5" customHeight="1">
      <c r="B6" s="110" t="s">
        <v>200</v>
      </c>
      <c r="C6" s="103"/>
      <c r="D6" s="103"/>
      <c r="E6" s="103"/>
      <c r="F6" s="103"/>
      <c r="G6" s="103"/>
      <c r="H6" s="103"/>
      <c r="I6" s="103"/>
      <c r="J6" s="104"/>
      <c r="K6" s="104"/>
      <c r="L6" s="104"/>
      <c r="M6" s="104"/>
    </row>
    <row r="7" spans="2:13" ht="16.5" customHeight="1">
      <c r="B7" s="105" t="s">
        <v>184</v>
      </c>
      <c r="C7" s="105"/>
      <c r="D7" s="105"/>
      <c r="E7" s="105"/>
      <c r="F7" s="105"/>
      <c r="G7" s="105"/>
      <c r="H7" s="105"/>
      <c r="I7" s="105"/>
      <c r="J7" s="104"/>
      <c r="K7" s="104"/>
      <c r="L7" s="104"/>
      <c r="M7" s="104"/>
    </row>
    <row r="8" spans="2:13" ht="18.75" customHeight="1">
      <c r="B8" s="102" t="s">
        <v>185</v>
      </c>
      <c r="C8" s="105"/>
      <c r="D8" s="105"/>
      <c r="E8" s="105"/>
      <c r="F8" s="105"/>
      <c r="G8" s="105"/>
      <c r="H8" s="105"/>
      <c r="I8" s="105"/>
      <c r="J8" s="104"/>
      <c r="K8" s="104"/>
      <c r="L8" s="104"/>
      <c r="M8" s="104"/>
    </row>
    <row r="9" spans="2:13" ht="19.5" customHeight="1">
      <c r="B9" s="102" t="s">
        <v>186</v>
      </c>
      <c r="C9" s="105"/>
      <c r="D9" s="105"/>
      <c r="E9" s="105"/>
      <c r="F9" s="105"/>
      <c r="G9" s="105"/>
      <c r="H9" s="105"/>
      <c r="I9" s="105"/>
      <c r="J9" s="104"/>
      <c r="K9" s="104"/>
      <c r="L9" s="104"/>
      <c r="M9" s="104"/>
    </row>
    <row r="10" spans="2:13" ht="18" customHeight="1">
      <c r="B10" s="102" t="s">
        <v>187</v>
      </c>
      <c r="C10" s="105"/>
      <c r="D10" s="105"/>
      <c r="E10" s="105"/>
      <c r="F10" s="105"/>
      <c r="G10" s="105"/>
      <c r="H10" s="105"/>
      <c r="I10" s="105"/>
      <c r="J10" s="104"/>
      <c r="K10" s="104"/>
      <c r="L10" s="104"/>
      <c r="M10" s="104"/>
    </row>
    <row r="11" spans="2:13" ht="18.75" customHeight="1">
      <c r="B11" s="102" t="s">
        <v>188</v>
      </c>
      <c r="C11" s="105"/>
      <c r="D11" s="105"/>
      <c r="E11" s="105"/>
      <c r="F11" s="105"/>
      <c r="G11" s="105"/>
      <c r="H11" s="105"/>
      <c r="I11" s="105"/>
      <c r="J11" s="104"/>
      <c r="K11" s="104"/>
      <c r="L11" s="104"/>
      <c r="M11" s="104"/>
    </row>
    <row r="12" spans="2:13" ht="19.5" customHeight="1">
      <c r="B12" s="102" t="s">
        <v>189</v>
      </c>
      <c r="C12" s="105"/>
      <c r="D12" s="105"/>
      <c r="E12" s="105"/>
      <c r="F12" s="105"/>
      <c r="G12" s="105"/>
      <c r="H12" s="105"/>
      <c r="I12" s="105"/>
      <c r="J12" s="104"/>
      <c r="K12" s="104"/>
      <c r="L12" s="106"/>
      <c r="M12" s="104"/>
    </row>
    <row r="13" spans="2:13" ht="19.5" customHeight="1">
      <c r="B13" s="102" t="s">
        <v>199</v>
      </c>
      <c r="C13" s="105"/>
      <c r="D13" s="105"/>
      <c r="E13" s="105"/>
      <c r="F13" s="105"/>
      <c r="G13" s="105"/>
      <c r="H13" s="105"/>
      <c r="I13" s="105"/>
      <c r="J13" s="104"/>
      <c r="K13" s="104"/>
      <c r="L13" s="106"/>
      <c r="M13" s="104"/>
    </row>
    <row r="14" spans="2:13" ht="16.5" customHeight="1">
      <c r="B14" s="107"/>
      <c r="C14" s="108"/>
      <c r="D14" s="108"/>
      <c r="E14" s="108"/>
      <c r="F14" s="108"/>
      <c r="G14" s="108"/>
      <c r="H14" s="108"/>
      <c r="I14" s="108"/>
      <c r="J14" s="109"/>
      <c r="K14" s="109"/>
      <c r="L14" s="109"/>
      <c r="M14" s="109"/>
    </row>
    <row r="15" spans="2:13" ht="21" customHeight="1">
      <c r="B15" s="110" t="s">
        <v>164</v>
      </c>
      <c r="C15" s="111"/>
      <c r="D15" s="112"/>
      <c r="E15" s="112"/>
      <c r="F15" s="112"/>
      <c r="G15" s="112"/>
      <c r="H15" s="112"/>
      <c r="I15" s="112"/>
    </row>
    <row r="16" spans="2:13" ht="15.75" customHeight="1">
      <c r="B16" s="113"/>
      <c r="C16" s="111"/>
      <c r="D16" s="112"/>
      <c r="E16" s="112"/>
      <c r="F16" s="112"/>
      <c r="G16" s="112"/>
      <c r="H16" s="112"/>
      <c r="I16" s="112"/>
    </row>
    <row r="17" spans="2:13">
      <c r="B17" s="113"/>
      <c r="C17" s="111"/>
      <c r="D17" s="112"/>
      <c r="E17" s="112"/>
      <c r="F17" s="114"/>
      <c r="G17" s="112"/>
      <c r="H17" s="112"/>
      <c r="I17" s="112"/>
    </row>
    <row r="18" spans="2:13" ht="18" customHeight="1">
      <c r="B18" s="113"/>
      <c r="C18" s="115" t="s">
        <v>163</v>
      </c>
      <c r="D18" s="111"/>
      <c r="E18" s="112"/>
      <c r="F18" s="112"/>
      <c r="G18" s="112"/>
      <c r="H18" s="112"/>
      <c r="I18" s="112"/>
      <c r="J18" s="112"/>
    </row>
    <row r="19" spans="2:13" ht="8.5" customHeight="1">
      <c r="B19" s="112"/>
      <c r="C19" s="116"/>
      <c r="D19" s="112"/>
      <c r="E19" s="112"/>
      <c r="F19" s="112"/>
      <c r="G19" s="112"/>
      <c r="H19" s="112"/>
      <c r="I19" s="112"/>
    </row>
    <row r="20" spans="2:13">
      <c r="B20" s="81"/>
      <c r="C20" s="116"/>
      <c r="D20" s="112"/>
      <c r="E20" s="112"/>
      <c r="F20" s="112"/>
      <c r="G20" s="112"/>
      <c r="H20" s="112"/>
      <c r="I20" s="112"/>
    </row>
    <row r="21" spans="2:13" ht="13.5" customHeight="1">
      <c r="B21" s="93"/>
      <c r="C21" s="93"/>
      <c r="D21" s="93"/>
      <c r="E21" s="93"/>
      <c r="F21" s="93"/>
      <c r="G21" s="93"/>
      <c r="H21" s="93"/>
      <c r="I21" s="93"/>
    </row>
    <row r="22" spans="2:13" ht="14.25" customHeight="1">
      <c r="B22" s="93"/>
      <c r="C22" s="93"/>
      <c r="D22" s="93"/>
      <c r="E22" s="93"/>
      <c r="F22" s="93"/>
      <c r="G22" s="93"/>
      <c r="H22" s="93"/>
      <c r="I22" s="93"/>
    </row>
    <row r="23" spans="2:13">
      <c r="B23" s="93"/>
      <c r="C23" s="93"/>
      <c r="D23" s="93"/>
      <c r="E23" s="93"/>
      <c r="F23" s="93"/>
      <c r="G23" s="93"/>
      <c r="H23" s="93"/>
      <c r="I23" s="93"/>
    </row>
    <row r="24" spans="2:13" ht="12" customHeight="1">
      <c r="B24" s="93"/>
      <c r="C24" s="93"/>
      <c r="D24" s="93"/>
      <c r="E24" s="93"/>
      <c r="F24" s="93"/>
      <c r="G24" s="93"/>
      <c r="H24" s="93"/>
      <c r="I24" s="93"/>
    </row>
    <row r="25" spans="2:13" ht="19.399999999999999" customHeight="1">
      <c r="B25" s="112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</row>
    <row r="26" spans="2:1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</row>
    <row r="27" spans="2:13"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</row>
    <row r="28" spans="2:13"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</row>
    <row r="29" spans="2:13" ht="20.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</row>
    <row r="30" spans="2:13">
      <c r="D30" s="96" t="s">
        <v>241</v>
      </c>
    </row>
    <row r="31" spans="2:13">
      <c r="D31" s="96" t="s">
        <v>88</v>
      </c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zoomScale="80" zoomScaleNormal="80" workbookViewId="0">
      <selection activeCell="M12" sqref="M12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81" t="s">
        <v>56</v>
      </c>
    </row>
    <row r="5" spans="2:12" ht="15">
      <c r="B5" s="112" t="s">
        <v>190</v>
      </c>
    </row>
    <row r="7" spans="2:12" ht="15">
      <c r="B7" s="112" t="s">
        <v>191</v>
      </c>
    </row>
    <row r="10" spans="2:12" ht="18.75" customHeight="1"/>
    <row r="11" spans="2:12">
      <c r="L11" s="23"/>
    </row>
    <row r="20" ht="6" customHeight="1"/>
    <row r="40" spans="1:13" ht="26.25" customHeight="1">
      <c r="B40" s="132" t="s">
        <v>167</v>
      </c>
      <c r="C40" s="96"/>
      <c r="D40" s="96"/>
      <c r="E40" s="96"/>
      <c r="F40" s="96"/>
      <c r="G40" s="133"/>
      <c r="H40" s="133"/>
      <c r="I40" s="133" t="s">
        <v>166</v>
      </c>
      <c r="J40" s="96"/>
    </row>
    <row r="41" spans="1:13" ht="24.75" customHeight="1"/>
    <row r="42" spans="1:13" ht="11.25" hidden="1" customHeight="1"/>
    <row r="43" spans="1:13" ht="54" hidden="1" customHeight="1">
      <c r="A43" s="16"/>
      <c r="B43" s="30"/>
    </row>
    <row r="44" spans="1:13" ht="18" hidden="1" customHeight="1">
      <c r="B44" s="11"/>
    </row>
    <row r="45" spans="1:13" ht="18.75" customHeight="1">
      <c r="B45" s="132" t="s">
        <v>165</v>
      </c>
      <c r="C45" s="132"/>
      <c r="D45" s="132"/>
      <c r="E45" s="132"/>
      <c r="F45" s="132"/>
      <c r="G45" s="132"/>
      <c r="H45" s="132"/>
      <c r="I45" s="25"/>
      <c r="J45" s="25"/>
      <c r="K45" s="25"/>
      <c r="L45" s="25"/>
      <c r="M45" s="25"/>
    </row>
    <row r="46" spans="1:13" ht="33.75" customHeight="1" thickBot="1">
      <c r="B46" s="482" t="s">
        <v>76</v>
      </c>
      <c r="C46" s="482"/>
      <c r="D46" s="482"/>
      <c r="E46" s="482"/>
      <c r="F46" s="483"/>
      <c r="G46" s="483"/>
      <c r="H46" s="483"/>
      <c r="I46" s="483"/>
      <c r="J46" s="483"/>
      <c r="K46" s="483"/>
      <c r="L46" s="483"/>
      <c r="M46" s="483"/>
    </row>
    <row r="47" spans="1:13" ht="29.25" customHeight="1">
      <c r="B47" s="272"/>
      <c r="C47" s="273" t="s">
        <v>49</v>
      </c>
      <c r="D47" s="274"/>
      <c r="E47" s="275" t="s">
        <v>50</v>
      </c>
      <c r="F47" s="27"/>
      <c r="G47" s="28"/>
      <c r="H47" s="29"/>
    </row>
    <row r="48" spans="1:13" ht="20">
      <c r="B48" s="276" t="s">
        <v>192</v>
      </c>
      <c r="C48" s="277" t="s">
        <v>87</v>
      </c>
      <c r="D48" s="278"/>
      <c r="E48" s="279">
        <v>0</v>
      </c>
      <c r="F48" s="27"/>
      <c r="G48" s="28"/>
      <c r="H48" s="29"/>
    </row>
    <row r="49" spans="2:9" ht="20">
      <c r="B49" s="280" t="s">
        <v>193</v>
      </c>
      <c r="C49" s="281" t="s">
        <v>108</v>
      </c>
      <c r="D49" s="282"/>
      <c r="E49" s="283">
        <v>0</v>
      </c>
      <c r="F49" s="29"/>
      <c r="G49" s="28"/>
      <c r="H49" s="27"/>
    </row>
    <row r="50" spans="2:9" ht="18.5">
      <c r="B50" s="276" t="s">
        <v>30</v>
      </c>
      <c r="C50" s="279">
        <v>0</v>
      </c>
      <c r="D50" s="278"/>
      <c r="E50" s="277" t="s">
        <v>90</v>
      </c>
      <c r="F50" s="29"/>
      <c r="G50" s="28"/>
      <c r="H50" s="27"/>
    </row>
    <row r="51" spans="2:9" ht="20">
      <c r="B51" s="280" t="s">
        <v>194</v>
      </c>
      <c r="C51" s="283">
        <v>0</v>
      </c>
      <c r="D51" s="282"/>
      <c r="E51" s="281" t="s">
        <v>94</v>
      </c>
      <c r="F51" s="29"/>
      <c r="G51" s="28"/>
      <c r="H51" s="27"/>
    </row>
    <row r="52" spans="2:9" ht="18.5">
      <c r="B52" s="276" t="s">
        <v>74</v>
      </c>
      <c r="C52" s="279">
        <v>0</v>
      </c>
      <c r="D52" s="278"/>
      <c r="E52" s="277" t="s">
        <v>89</v>
      </c>
      <c r="F52" s="29"/>
      <c r="G52" s="28"/>
      <c r="H52" s="27"/>
    </row>
    <row r="53" spans="2:9" ht="18.5">
      <c r="B53" s="280" t="s">
        <v>31</v>
      </c>
      <c r="C53" s="283" t="s">
        <v>62</v>
      </c>
      <c r="D53" s="282"/>
      <c r="E53" s="281" t="s">
        <v>88</v>
      </c>
      <c r="F53" s="29"/>
      <c r="G53" s="28"/>
      <c r="H53" s="27"/>
    </row>
    <row r="54" spans="2:9" ht="18.5">
      <c r="B54" s="276" t="s">
        <v>109</v>
      </c>
      <c r="C54" s="279" t="s">
        <v>110</v>
      </c>
      <c r="D54" s="278"/>
      <c r="E54" s="277" t="s">
        <v>113</v>
      </c>
      <c r="F54" s="29"/>
      <c r="G54" s="28"/>
      <c r="H54" s="27"/>
    </row>
    <row r="55" spans="2:9" ht="17.25" customHeight="1">
      <c r="B55" s="280" t="s">
        <v>111</v>
      </c>
      <c r="C55" s="283" t="s">
        <v>112</v>
      </c>
      <c r="D55" s="282"/>
      <c r="E55" s="281" t="s">
        <v>88</v>
      </c>
      <c r="F55" s="26"/>
      <c r="H55" s="26"/>
    </row>
    <row r="56" spans="2:9" ht="30" customHeight="1">
      <c r="B56" s="484" t="s">
        <v>238</v>
      </c>
      <c r="C56" s="484"/>
      <c r="D56" s="484"/>
      <c r="E56" s="484"/>
      <c r="F56" s="485"/>
      <c r="G56" s="485"/>
      <c r="H56" s="485"/>
      <c r="I56" s="485"/>
    </row>
    <row r="57" spans="2:9" ht="12.75" customHeight="1">
      <c r="B57" s="484"/>
      <c r="C57" s="484"/>
      <c r="D57" s="484"/>
      <c r="E57" s="484"/>
      <c r="F57" s="485"/>
      <c r="G57" s="485"/>
      <c r="H57" s="485"/>
      <c r="I57" s="485"/>
    </row>
    <row r="58" spans="2:9" ht="13.5" customHeight="1">
      <c r="B58" s="484" t="s">
        <v>239</v>
      </c>
      <c r="C58" s="484"/>
      <c r="D58" s="484"/>
      <c r="E58" s="484"/>
      <c r="F58" s="485"/>
      <c r="G58" s="485"/>
      <c r="H58" s="485"/>
      <c r="I58" s="485"/>
    </row>
    <row r="59" spans="2:9">
      <c r="B59" s="484"/>
      <c r="C59" s="484"/>
      <c r="D59" s="484"/>
      <c r="E59" s="484"/>
      <c r="F59" s="485"/>
      <c r="G59" s="485"/>
      <c r="H59" s="485"/>
      <c r="I59" s="485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Z69"/>
  <sheetViews>
    <sheetView showGridLines="0" zoomScale="110" zoomScaleNormal="110" zoomScaleSheetLayoutView="90" workbookViewId="0">
      <selection activeCell="W14" sqref="W14"/>
    </sheetView>
  </sheetViews>
  <sheetFormatPr defaultColWidth="9.1796875" defaultRowHeight="15"/>
  <cols>
    <col min="1" max="1" width="2.1796875" style="78" customWidth="1"/>
    <col min="2" max="2" width="20.54296875" style="78" bestFit="1" customWidth="1"/>
    <col min="3" max="3" width="9.54296875" style="78" customWidth="1"/>
    <col min="4" max="9" width="9.54296875" style="78" hidden="1" customWidth="1"/>
    <col min="10" max="10" width="10.54296875" style="78" hidden="1" customWidth="1"/>
    <col min="11" max="11" width="9.54296875" style="78" hidden="1" customWidth="1"/>
    <col min="12" max="14" width="0" style="78" hidden="1" customWidth="1"/>
    <col min="15" max="17" width="8.54296875" style="78" hidden="1" customWidth="1"/>
    <col min="18" max="16384" width="9.1796875" style="78"/>
  </cols>
  <sheetData>
    <row r="3" spans="2:26" ht="45" customHeight="1">
      <c r="B3" s="80"/>
    </row>
    <row r="4" spans="2:26" s="117" customFormat="1" ht="19.5" customHeight="1">
      <c r="B4" s="247" t="s">
        <v>237</v>
      </c>
    </row>
    <row r="5" spans="2:26">
      <c r="B5" s="118"/>
    </row>
    <row r="6" spans="2:26" s="93" customFormat="1" ht="23.25" customHeight="1" thickBot="1">
      <c r="B6" s="486" t="s">
        <v>8</v>
      </c>
      <c r="C6" s="486"/>
      <c r="D6" s="131">
        <v>43160</v>
      </c>
      <c r="E6" s="131">
        <v>43252</v>
      </c>
      <c r="F6" s="131">
        <v>43344</v>
      </c>
      <c r="G6" s="131">
        <v>43435</v>
      </c>
      <c r="H6" s="131">
        <v>43525</v>
      </c>
      <c r="I6" s="405">
        <v>43617</v>
      </c>
      <c r="J6" s="131">
        <v>43709</v>
      </c>
      <c r="K6" s="131">
        <v>43800</v>
      </c>
      <c r="L6" s="131">
        <v>43891</v>
      </c>
      <c r="M6" s="131">
        <v>43983</v>
      </c>
      <c r="N6" s="131">
        <v>44075</v>
      </c>
      <c r="O6" s="131">
        <v>44166</v>
      </c>
      <c r="P6" s="131">
        <v>44256</v>
      </c>
      <c r="Q6" s="131">
        <v>44348</v>
      </c>
      <c r="R6" s="131">
        <v>44440</v>
      </c>
      <c r="S6" s="131">
        <v>44531</v>
      </c>
      <c r="T6" s="131">
        <v>44621</v>
      </c>
      <c r="U6" s="131">
        <v>44713</v>
      </c>
      <c r="V6" s="131">
        <v>44805</v>
      </c>
    </row>
    <row r="7" spans="2:26" ht="17.25" customHeight="1">
      <c r="B7" s="134" t="s">
        <v>7</v>
      </c>
      <c r="C7" s="135"/>
      <c r="D7" s="136">
        <v>26104</v>
      </c>
      <c r="E7" s="136">
        <v>24886</v>
      </c>
      <c r="F7" s="136">
        <v>24886</v>
      </c>
      <c r="G7" s="136">
        <v>20331</v>
      </c>
      <c r="H7" s="136">
        <f>H8+H11+H12+H13</f>
        <v>20331</v>
      </c>
      <c r="I7" s="136">
        <f>I8+I11+I12+I13</f>
        <v>20081</v>
      </c>
      <c r="J7" s="136">
        <v>20081</v>
      </c>
      <c r="K7" s="136">
        <v>20081</v>
      </c>
      <c r="L7" s="136">
        <v>20081</v>
      </c>
      <c r="M7" s="136">
        <f t="shared" ref="M7:Q7" si="0">SUM(M8,M11,M12,M13)</f>
        <v>19198</v>
      </c>
      <c r="N7" s="136">
        <f t="shared" si="0"/>
        <v>19198</v>
      </c>
      <c r="O7" s="136">
        <f t="shared" si="0"/>
        <v>18490</v>
      </c>
      <c r="P7" s="136">
        <f t="shared" si="0"/>
        <v>16852.5</v>
      </c>
      <c r="Q7" s="136">
        <f t="shared" si="0"/>
        <v>16852.5</v>
      </c>
      <c r="R7" s="136">
        <f t="shared" ref="R7" si="1">SUM(R8,R11,R12,R13)</f>
        <v>16852.5</v>
      </c>
      <c r="S7" s="136">
        <f t="shared" ref="S7" si="2">SUM(S8,S11,S12,S13)</f>
        <v>17767.5</v>
      </c>
      <c r="T7" s="136">
        <f>[1]R01_Cap_Aco!$P$9</f>
        <v>17267.5</v>
      </c>
      <c r="U7" s="136">
        <f>[2]R01_Cap_Aco!$F$9</f>
        <v>16497.599999999999</v>
      </c>
      <c r="V7" s="136">
        <f ca="1">[3]R01_Cap_Aco!$L$9</f>
        <v>16747.599999999999</v>
      </c>
    </row>
    <row r="8" spans="2:26" s="122" customFormat="1" ht="14.25" customHeight="1">
      <c r="B8" s="137" t="s">
        <v>322</v>
      </c>
      <c r="C8" s="138"/>
      <c r="D8" s="138">
        <v>9229</v>
      </c>
      <c r="E8" s="138">
        <v>9229</v>
      </c>
      <c r="F8" s="138">
        <v>9229</v>
      </c>
      <c r="G8" s="138">
        <v>8194</v>
      </c>
      <c r="H8" s="138">
        <v>8194</v>
      </c>
      <c r="I8" s="138">
        <f>SUM(I9:I10)</f>
        <v>8194</v>
      </c>
      <c r="J8" s="138">
        <v>8194</v>
      </c>
      <c r="K8" s="138">
        <v>8194</v>
      </c>
      <c r="L8" s="138">
        <v>8194</v>
      </c>
      <c r="M8" s="138">
        <v>8194</v>
      </c>
      <c r="N8" s="138">
        <v>8194</v>
      </c>
      <c r="O8" s="138">
        <v>8194</v>
      </c>
      <c r="P8" s="138">
        <v>7540.5</v>
      </c>
      <c r="Q8" s="138">
        <v>7540.5</v>
      </c>
      <c r="R8" s="138">
        <v>7540.5</v>
      </c>
      <c r="S8" s="138">
        <f>[4]R01_Cap_Aco!$L$11</f>
        <v>8080.5</v>
      </c>
      <c r="T8" s="138">
        <f>SUM(T9:T10)</f>
        <v>8081</v>
      </c>
      <c r="U8" s="138">
        <f>SUM(U9:U10)</f>
        <v>7711</v>
      </c>
      <c r="V8" s="138">
        <f ca="1">SUM(V9:V10)</f>
        <v>7961</v>
      </c>
    </row>
    <row r="9" spans="2:26" s="122" customFormat="1" ht="15" customHeight="1">
      <c r="B9" s="139" t="s">
        <v>96</v>
      </c>
      <c r="C9" s="135"/>
      <c r="D9" s="140">
        <v>4730</v>
      </c>
      <c r="E9" s="140">
        <v>4730</v>
      </c>
      <c r="F9" s="140">
        <v>4730</v>
      </c>
      <c r="G9" s="140">
        <v>3694</v>
      </c>
      <c r="H9" s="140">
        <v>3694</v>
      </c>
      <c r="I9" s="140">
        <v>3694</v>
      </c>
      <c r="J9" s="140">
        <v>3694</v>
      </c>
      <c r="K9" s="140">
        <v>3694</v>
      </c>
      <c r="L9" s="140">
        <v>3694</v>
      </c>
      <c r="M9" s="140">
        <v>3694</v>
      </c>
      <c r="N9" s="140">
        <v>3694</v>
      </c>
      <c r="O9" s="140">
        <v>3694</v>
      </c>
      <c r="P9" s="140">
        <v>3691</v>
      </c>
      <c r="Q9" s="140">
        <v>3690.5</v>
      </c>
      <c r="R9" s="140">
        <v>3690.5</v>
      </c>
      <c r="S9" s="140">
        <f>[4]R01_Cap_Aco!$L$18+[4]R01_Cap_Aco!$L$19+[4]R01_Cap_Aco!$L$20+[4]R01_Cap_Aco!$L$21+[4]R01_Cap_Aco!$L$22+[4]R01_Cap_Aco!$L$23+[4]R01_Cap_Aco!$L$28+[4]R01_Cap_Aco!$L$29</f>
        <v>4230.5</v>
      </c>
      <c r="T9" s="140">
        <v>3501</v>
      </c>
      <c r="U9" s="140">
        <v>3381</v>
      </c>
      <c r="V9" s="140">
        <f ca="1">SUM([3]R01_Cap_Aco!$L$18,[3]R01_Cap_Aco!$L$19,[3]R01_Cap_Aco!$L$20,[3]R01_Cap_Aco!$L$23,[3]R01_Cap_Aco!$L$28,[3]R01_Cap_Aco!$L$29)</f>
        <v>3181</v>
      </c>
      <c r="W9" s="477"/>
      <c r="X9" s="477"/>
    </row>
    <row r="10" spans="2:26" s="122" customFormat="1" ht="15" customHeight="1">
      <c r="B10" s="141" t="s">
        <v>344</v>
      </c>
      <c r="C10" s="138"/>
      <c r="D10" s="142">
        <v>4500</v>
      </c>
      <c r="E10" s="142">
        <v>4500</v>
      </c>
      <c r="F10" s="142">
        <v>4500</v>
      </c>
      <c r="G10" s="142">
        <v>4500</v>
      </c>
      <c r="H10" s="142">
        <v>4500</v>
      </c>
      <c r="I10" s="142">
        <v>4500</v>
      </c>
      <c r="J10" s="142">
        <v>4500</v>
      </c>
      <c r="K10" s="142">
        <v>4500</v>
      </c>
      <c r="L10" s="142">
        <v>4500</v>
      </c>
      <c r="M10" s="142">
        <v>4500</v>
      </c>
      <c r="N10" s="142">
        <v>4500</v>
      </c>
      <c r="O10" s="142">
        <v>4500</v>
      </c>
      <c r="P10" s="142">
        <v>3850</v>
      </c>
      <c r="Q10" s="142">
        <v>3850</v>
      </c>
      <c r="R10" s="142">
        <v>3850</v>
      </c>
      <c r="S10" s="142">
        <f>[4]R01_Cap_Aco!$L$15</f>
        <v>3850</v>
      </c>
      <c r="T10" s="142">
        <v>4580</v>
      </c>
      <c r="U10" s="142">
        <v>4330</v>
      </c>
      <c r="V10" s="142">
        <f ca="1">SUM([3]R01_Cap_Aco!$L$15,[3]R01_Cap_Aco!$L$21,[3]R01_Cap_Aco!$L$22)</f>
        <v>4780</v>
      </c>
      <c r="W10" s="477"/>
      <c r="X10" s="123"/>
      <c r="Y10" s="124"/>
    </row>
    <row r="11" spans="2:26" ht="15.75" customHeight="1">
      <c r="B11" s="134" t="s">
        <v>321</v>
      </c>
      <c r="C11" s="135"/>
      <c r="D11" s="135">
        <v>11510</v>
      </c>
      <c r="E11" s="135">
        <v>10812</v>
      </c>
      <c r="F11" s="135">
        <v>10812</v>
      </c>
      <c r="G11" s="135">
        <v>7542</v>
      </c>
      <c r="H11" s="135">
        <v>7542</v>
      </c>
      <c r="I11" s="135">
        <v>7542</v>
      </c>
      <c r="J11" s="135">
        <v>7542</v>
      </c>
      <c r="K11" s="135">
        <v>7542</v>
      </c>
      <c r="L11" s="135">
        <v>7542</v>
      </c>
      <c r="M11" s="135">
        <v>6659</v>
      </c>
      <c r="N11" s="135">
        <v>6659</v>
      </c>
      <c r="O11" s="135">
        <v>6251</v>
      </c>
      <c r="P11" s="135">
        <v>6272</v>
      </c>
      <c r="Q11" s="135">
        <v>6272</v>
      </c>
      <c r="R11" s="135">
        <v>6272</v>
      </c>
      <c r="S11" s="135">
        <f>[4]R01_Cap_Aco!$L$41</f>
        <v>6272</v>
      </c>
      <c r="T11" s="135">
        <v>5772</v>
      </c>
      <c r="U11" s="135">
        <f>[2]R01_Cap_Aco!$F$41</f>
        <v>5406.6</v>
      </c>
      <c r="V11" s="135">
        <f ca="1">[3]R01_Cap_Aco!$L$41</f>
        <v>5406.6</v>
      </c>
    </row>
    <row r="12" spans="2:26" s="122" customFormat="1" ht="15.75" customHeight="1">
      <c r="B12" s="137" t="s">
        <v>148</v>
      </c>
      <c r="C12" s="138"/>
      <c r="D12" s="138">
        <v>2240</v>
      </c>
      <c r="E12" s="138">
        <v>1720</v>
      </c>
      <c r="F12" s="138">
        <v>1720</v>
      </c>
      <c r="G12" s="138">
        <v>1720</v>
      </c>
      <c r="H12" s="138">
        <v>1720</v>
      </c>
      <c r="I12" s="138">
        <v>1470</v>
      </c>
      <c r="J12" s="138">
        <v>1470</v>
      </c>
      <c r="K12" s="138">
        <v>1470</v>
      </c>
      <c r="L12" s="138">
        <v>1470</v>
      </c>
      <c r="M12" s="138">
        <v>1470</v>
      </c>
      <c r="N12" s="138">
        <v>1470</v>
      </c>
      <c r="O12" s="138">
        <v>1470</v>
      </c>
      <c r="P12" s="138">
        <v>890</v>
      </c>
      <c r="Q12" s="138">
        <v>890</v>
      </c>
      <c r="R12" s="138">
        <v>890</v>
      </c>
      <c r="S12" s="138">
        <f>[4]R01_Cap_Aco!$L$54</f>
        <v>890</v>
      </c>
      <c r="T12" s="138">
        <f>[4]R01_Cap_Aco!$L$54</f>
        <v>890</v>
      </c>
      <c r="U12" s="138">
        <f>[2]R01_Cap_Aco!$F$54</f>
        <v>890</v>
      </c>
      <c r="V12" s="138">
        <f>[2]R01_Cap_Aco!$F$54</f>
        <v>890</v>
      </c>
      <c r="W12" s="477"/>
    </row>
    <row r="13" spans="2:26" ht="16.5" customHeight="1">
      <c r="B13" s="134" t="s">
        <v>86</v>
      </c>
      <c r="C13" s="135"/>
      <c r="D13" s="135">
        <v>3125</v>
      </c>
      <c r="E13" s="135">
        <v>3125</v>
      </c>
      <c r="F13" s="135">
        <v>3125</v>
      </c>
      <c r="G13" s="135">
        <f>SUM(G14:G15)</f>
        <v>2875</v>
      </c>
      <c r="H13" s="135">
        <f>SUM(H14:H15)</f>
        <v>2875</v>
      </c>
      <c r="I13" s="135">
        <f>SUM(I14:I15)</f>
        <v>2875</v>
      </c>
      <c r="J13" s="135">
        <v>2875</v>
      </c>
      <c r="K13" s="135">
        <v>2875</v>
      </c>
      <c r="L13" s="135">
        <v>2875</v>
      </c>
      <c r="M13" s="135">
        <v>2875</v>
      </c>
      <c r="N13" s="135">
        <v>2875</v>
      </c>
      <c r="O13" s="135">
        <v>2575</v>
      </c>
      <c r="P13" s="135">
        <v>2150</v>
      </c>
      <c r="Q13" s="135">
        <v>2150</v>
      </c>
      <c r="R13" s="135">
        <f>[5]R01_Cap_Aco!$L$31</f>
        <v>2150</v>
      </c>
      <c r="S13" s="135">
        <f>S14+S15</f>
        <v>2525</v>
      </c>
      <c r="T13" s="135">
        <f>T14+T15</f>
        <v>2525</v>
      </c>
      <c r="U13" s="135">
        <f>U14+U15</f>
        <v>2490</v>
      </c>
      <c r="V13" s="135">
        <f ca="1">[3]R01_Cap_Aco!$L$31</f>
        <v>2490</v>
      </c>
      <c r="Z13" s="120"/>
    </row>
    <row r="14" spans="2:26" ht="15" customHeight="1">
      <c r="B14" s="141" t="s">
        <v>97</v>
      </c>
      <c r="C14" s="138"/>
      <c r="D14" s="142">
        <v>1425</v>
      </c>
      <c r="E14" s="142">
        <v>1425</v>
      </c>
      <c r="F14" s="142">
        <v>1425</v>
      </c>
      <c r="G14" s="142">
        <v>1425</v>
      </c>
      <c r="H14" s="142">
        <v>1425</v>
      </c>
      <c r="I14" s="142">
        <v>1425</v>
      </c>
      <c r="J14" s="142">
        <v>1425</v>
      </c>
      <c r="K14" s="142">
        <v>1425</v>
      </c>
      <c r="L14" s="142">
        <v>1425</v>
      </c>
      <c r="M14" s="142">
        <v>1425</v>
      </c>
      <c r="N14" s="142">
        <v>1425</v>
      </c>
      <c r="O14" s="142">
        <v>1425</v>
      </c>
      <c r="P14" s="142">
        <v>1050</v>
      </c>
      <c r="Q14" s="142">
        <v>1050</v>
      </c>
      <c r="R14" s="142">
        <v>1050</v>
      </c>
      <c r="S14" s="142">
        <f>[4]R01_Cap_Aco!$L$32</f>
        <v>1425</v>
      </c>
      <c r="T14" s="142">
        <f>[1]R01_Cap_Aco!$P$32</f>
        <v>1425</v>
      </c>
      <c r="U14" s="142">
        <f>[2]R01_Cap_Aco!$F$32</f>
        <v>1390</v>
      </c>
      <c r="V14" s="142">
        <f ca="1">[3]R01_Cap_Aco!$L$32</f>
        <v>1390</v>
      </c>
      <c r="Y14" s="120"/>
    </row>
    <row r="15" spans="2:26" ht="15.75" customHeight="1">
      <c r="B15" s="139" t="s">
        <v>98</v>
      </c>
      <c r="C15" s="135"/>
      <c r="D15" s="140">
        <v>1450</v>
      </c>
      <c r="E15" s="140">
        <v>1450</v>
      </c>
      <c r="F15" s="140">
        <v>1450</v>
      </c>
      <c r="G15" s="140">
        <v>1450</v>
      </c>
      <c r="H15" s="140">
        <v>1450</v>
      </c>
      <c r="I15" s="140">
        <v>1450</v>
      </c>
      <c r="J15" s="140">
        <v>1450</v>
      </c>
      <c r="K15" s="140">
        <v>1450</v>
      </c>
      <c r="L15" s="140">
        <v>1450</v>
      </c>
      <c r="M15" s="140">
        <v>1450</v>
      </c>
      <c r="N15" s="140">
        <f t="shared" ref="N15:Q15" si="3">N13-N14</f>
        <v>1450</v>
      </c>
      <c r="O15" s="140">
        <f t="shared" si="3"/>
        <v>1150</v>
      </c>
      <c r="P15" s="140">
        <f t="shared" si="3"/>
        <v>1100</v>
      </c>
      <c r="Q15" s="140">
        <f t="shared" si="3"/>
        <v>1100</v>
      </c>
      <c r="R15" s="140">
        <v>1100</v>
      </c>
      <c r="S15" s="140">
        <f>[4]R01_Cap_Aco!$L$39</f>
        <v>1100</v>
      </c>
      <c r="T15" s="140">
        <f>[1]R01_Cap_Aco!$P$39</f>
        <v>1100</v>
      </c>
      <c r="U15" s="140">
        <f>[2]R01_Cap_Aco!$F$39</f>
        <v>1100</v>
      </c>
      <c r="V15" s="140">
        <f ca="1">[3]R01_Cap_Aco!$L$39</f>
        <v>1100</v>
      </c>
    </row>
    <row r="16" spans="2:26" ht="15" hidden="1" customHeight="1">
      <c r="B16" s="141" t="s">
        <v>236</v>
      </c>
      <c r="C16" s="138"/>
      <c r="D16" s="142">
        <v>250</v>
      </c>
      <c r="E16" s="142">
        <v>250</v>
      </c>
      <c r="F16" s="142">
        <v>250</v>
      </c>
      <c r="G16" s="142">
        <v>0</v>
      </c>
      <c r="H16" s="142">
        <v>0</v>
      </c>
      <c r="I16" s="138">
        <v>0</v>
      </c>
      <c r="J16" s="142">
        <v>0</v>
      </c>
      <c r="K16" s="406" t="s">
        <v>88</v>
      </c>
      <c r="L16" s="406" t="s">
        <v>88</v>
      </c>
      <c r="M16" s="406" t="s">
        <v>88</v>
      </c>
      <c r="N16" s="406" t="s">
        <v>88</v>
      </c>
      <c r="O16" s="406"/>
      <c r="P16" s="406"/>
      <c r="Q16" s="120"/>
      <c r="R16" s="120"/>
      <c r="S16" s="120"/>
      <c r="T16" s="120"/>
      <c r="U16" s="120"/>
      <c r="V16" s="120"/>
    </row>
    <row r="17" spans="2:22" s="96" customFormat="1" ht="15.75" customHeight="1">
      <c r="B17" s="324"/>
      <c r="C17" s="321"/>
      <c r="D17" s="322"/>
      <c r="E17" s="321"/>
      <c r="F17" s="321"/>
      <c r="G17" s="321"/>
      <c r="H17" s="321"/>
      <c r="I17" s="321"/>
      <c r="J17" s="322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</row>
    <row r="18" spans="2:22" s="122" customFormat="1" ht="14.25" customHeight="1">
      <c r="B18" s="325" t="s">
        <v>346</v>
      </c>
      <c r="C18" s="126"/>
      <c r="D18" s="321"/>
      <c r="E18" s="321"/>
      <c r="F18" s="126"/>
      <c r="G18" s="126"/>
      <c r="H18" s="126"/>
      <c r="I18" s="126"/>
      <c r="J18" s="121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</row>
    <row r="19" spans="2:22" ht="14.25" customHeight="1">
      <c r="B19" s="127"/>
      <c r="C19" s="128"/>
      <c r="D19" s="128"/>
      <c r="E19" s="128"/>
      <c r="F19" s="128"/>
      <c r="G19" s="128"/>
      <c r="H19" s="128"/>
      <c r="I19" s="128"/>
      <c r="J19" s="119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</row>
    <row r="20" spans="2:22" s="93" customFormat="1" ht="18.75" customHeight="1" thickBot="1">
      <c r="B20" s="487" t="s">
        <v>9</v>
      </c>
      <c r="C20" s="487"/>
      <c r="D20" s="129">
        <v>43160</v>
      </c>
      <c r="E20" s="129">
        <v>43252</v>
      </c>
      <c r="F20" s="129">
        <v>43344</v>
      </c>
      <c r="G20" s="129">
        <v>43435</v>
      </c>
      <c r="H20" s="404">
        <v>43525</v>
      </c>
      <c r="I20" s="404">
        <v>43617</v>
      </c>
      <c r="J20" s="129">
        <v>43709</v>
      </c>
      <c r="K20" s="129">
        <v>43800</v>
      </c>
      <c r="L20" s="129">
        <v>43891</v>
      </c>
      <c r="M20" s="129">
        <v>43983</v>
      </c>
      <c r="N20" s="129">
        <v>44075</v>
      </c>
      <c r="O20" s="129">
        <v>44166</v>
      </c>
      <c r="P20" s="129">
        <v>44256</v>
      </c>
      <c r="Q20" s="129">
        <v>44348</v>
      </c>
      <c r="R20" s="129">
        <v>44440</v>
      </c>
      <c r="S20" s="129">
        <v>44531</v>
      </c>
      <c r="T20" s="129">
        <v>44621</v>
      </c>
      <c r="U20" s="129">
        <v>44713</v>
      </c>
      <c r="V20" s="129">
        <v>44805</v>
      </c>
    </row>
    <row r="21" spans="2:22" ht="14.25" customHeight="1">
      <c r="B21" s="137" t="s">
        <v>7</v>
      </c>
      <c r="C21" s="137"/>
      <c r="D21" s="138">
        <v>21074</v>
      </c>
      <c r="E21" s="138">
        <v>19889</v>
      </c>
      <c r="F21" s="138">
        <v>20039</v>
      </c>
      <c r="G21" s="401">
        <v>16827</v>
      </c>
      <c r="H21" s="401">
        <f>SUM(H22:H25)</f>
        <v>16827</v>
      </c>
      <c r="I21" s="138">
        <f>SUM(I22:I25)</f>
        <v>16656.599999999999</v>
      </c>
      <c r="J21" s="138">
        <v>16656.599999999999</v>
      </c>
      <c r="K21" s="138">
        <v>16656.599999999999</v>
      </c>
      <c r="L21" s="138">
        <v>16656.599999999999</v>
      </c>
      <c r="M21" s="138">
        <f t="shared" ref="M21:Q21" si="4">SUM(M22:M25)</f>
        <v>16440.599999999999</v>
      </c>
      <c r="N21" s="138">
        <f t="shared" si="4"/>
        <v>16440.599999999999</v>
      </c>
      <c r="O21" s="138">
        <f t="shared" si="4"/>
        <v>15767.6</v>
      </c>
      <c r="P21" s="138">
        <f t="shared" si="4"/>
        <v>15964</v>
      </c>
      <c r="Q21" s="138">
        <f t="shared" si="4"/>
        <v>15964</v>
      </c>
      <c r="R21" s="138">
        <f t="shared" ref="R21:T21" si="5">SUM(R22:R25)</f>
        <v>15964</v>
      </c>
      <c r="S21" s="138">
        <f t="shared" si="5"/>
        <v>15964</v>
      </c>
      <c r="T21" s="138">
        <f t="shared" si="5"/>
        <v>15964</v>
      </c>
      <c r="U21" s="138">
        <f>SUM(U22:U25)</f>
        <v>15591</v>
      </c>
      <c r="V21" s="138">
        <f ca="1">SUM(V22:V25)</f>
        <v>15591</v>
      </c>
    </row>
    <row r="22" spans="2:22" s="122" customFormat="1" ht="14.25" customHeight="1">
      <c r="B22" s="143" t="s">
        <v>205</v>
      </c>
      <c r="C22" s="143"/>
      <c r="D22" s="386">
        <v>7089</v>
      </c>
      <c r="E22" s="386">
        <v>7089</v>
      </c>
      <c r="F22" s="386">
        <v>7089</v>
      </c>
      <c r="G22" s="402">
        <v>6693</v>
      </c>
      <c r="H22" s="402">
        <v>6693</v>
      </c>
      <c r="I22" s="386">
        <v>6692.6</v>
      </c>
      <c r="J22" s="386">
        <v>6692.6</v>
      </c>
      <c r="K22" s="386">
        <v>6692.6</v>
      </c>
      <c r="L22" s="386">
        <v>6692.6</v>
      </c>
      <c r="M22" s="386">
        <v>6692.6</v>
      </c>
      <c r="N22" s="386">
        <v>6692.6</v>
      </c>
      <c r="O22" s="386">
        <v>6692.6</v>
      </c>
      <c r="P22" s="386">
        <v>7266</v>
      </c>
      <c r="Q22" s="386">
        <v>7266</v>
      </c>
      <c r="R22" s="386">
        <v>7266</v>
      </c>
      <c r="S22" s="386">
        <f>[4]R02_Cap_Lam!$L$11</f>
        <v>7266</v>
      </c>
      <c r="T22" s="386">
        <f>[1]R02_Cap_Lam!$P$12</f>
        <v>7266</v>
      </c>
      <c r="U22" s="386">
        <f>[2]R02_Cap_Lam!$F$11</f>
        <v>7266</v>
      </c>
      <c r="V22" s="386">
        <f ca="1">[3]R02_Cap_Lam!$L$11</f>
        <v>7266</v>
      </c>
    </row>
    <row r="23" spans="2:22" ht="14.25" customHeight="1">
      <c r="B23" s="141" t="s">
        <v>206</v>
      </c>
      <c r="C23" s="141"/>
      <c r="D23" s="385">
        <v>8626</v>
      </c>
      <c r="E23" s="385">
        <v>7971</v>
      </c>
      <c r="F23" s="385">
        <v>7971</v>
      </c>
      <c r="G23" s="403">
        <v>5455</v>
      </c>
      <c r="H23" s="403">
        <v>5455</v>
      </c>
      <c r="I23" s="385">
        <v>5455</v>
      </c>
      <c r="J23" s="385">
        <v>5455</v>
      </c>
      <c r="K23" s="385">
        <v>5455</v>
      </c>
      <c r="L23" s="385">
        <v>5455</v>
      </c>
      <c r="M23" s="385">
        <v>5239</v>
      </c>
      <c r="N23" s="385">
        <v>5239</v>
      </c>
      <c r="O23" s="385">
        <v>4842</v>
      </c>
      <c r="P23" s="385">
        <v>4867</v>
      </c>
      <c r="Q23" s="385">
        <v>4867</v>
      </c>
      <c r="R23" s="385">
        <v>4867</v>
      </c>
      <c r="S23" s="385">
        <f>[4]R02_Cap_Lam!$L$41</f>
        <v>4867</v>
      </c>
      <c r="T23" s="385">
        <f>[1]R02_Cap_Lam!$L$41</f>
        <v>4867</v>
      </c>
      <c r="U23" s="385">
        <f>[2]R02_Cap_Lam!$F$41</f>
        <v>4494</v>
      </c>
      <c r="V23" s="385">
        <f ca="1">[3]R02_Cap_Lam!$K$41</f>
        <v>4494</v>
      </c>
    </row>
    <row r="24" spans="2:22" s="122" customFormat="1" ht="14.25" customHeight="1">
      <c r="B24" s="143" t="s">
        <v>148</v>
      </c>
      <c r="C24" s="143"/>
      <c r="D24" s="386">
        <v>1626</v>
      </c>
      <c r="E24" s="386">
        <v>1096</v>
      </c>
      <c r="F24" s="386">
        <v>1096</v>
      </c>
      <c r="G24" s="402">
        <v>1096</v>
      </c>
      <c r="H24" s="402">
        <v>1096</v>
      </c>
      <c r="I24" s="386">
        <v>926</v>
      </c>
      <c r="J24" s="386">
        <v>926</v>
      </c>
      <c r="K24" s="386">
        <v>926</v>
      </c>
      <c r="L24" s="386">
        <v>926</v>
      </c>
      <c r="M24" s="386">
        <v>926</v>
      </c>
      <c r="N24" s="386">
        <v>926</v>
      </c>
      <c r="O24" s="386">
        <v>926</v>
      </c>
      <c r="P24" s="386">
        <v>903</v>
      </c>
      <c r="Q24" s="386">
        <v>903</v>
      </c>
      <c r="R24" s="386">
        <v>903</v>
      </c>
      <c r="S24" s="386">
        <f>[4]R02_Cap_Lam!$L$54</f>
        <v>903</v>
      </c>
      <c r="T24" s="386">
        <f>[1]R02_Cap_Lam!$P$54</f>
        <v>903</v>
      </c>
      <c r="U24" s="386">
        <f>[2]R02_Cap_Lam!$F$54</f>
        <v>903</v>
      </c>
      <c r="V24" s="386">
        <f ca="1">[3]R02_Cap_Lam!$K$54</f>
        <v>903</v>
      </c>
    </row>
    <row r="25" spans="2:22" ht="14.25" customHeight="1">
      <c r="B25" s="141" t="s">
        <v>86</v>
      </c>
      <c r="C25" s="141"/>
      <c r="D25" s="385">
        <v>3733</v>
      </c>
      <c r="E25" s="385">
        <v>3733</v>
      </c>
      <c r="F25" s="385">
        <v>3883</v>
      </c>
      <c r="G25" s="403">
        <v>3583</v>
      </c>
      <c r="H25" s="403">
        <v>3583</v>
      </c>
      <c r="I25" s="385">
        <v>3583</v>
      </c>
      <c r="J25" s="385">
        <v>3583</v>
      </c>
      <c r="K25" s="385">
        <v>3583</v>
      </c>
      <c r="L25" s="385">
        <v>3583</v>
      </c>
      <c r="M25" s="385">
        <v>3583</v>
      </c>
      <c r="N25" s="385">
        <v>3583</v>
      </c>
      <c r="O25" s="385">
        <v>3307</v>
      </c>
      <c r="P25" s="385">
        <v>2928</v>
      </c>
      <c r="Q25" s="385">
        <v>2928</v>
      </c>
      <c r="R25" s="385">
        <v>2928</v>
      </c>
      <c r="S25" s="385">
        <f>[4]R02_Cap_Lam!$L$31</f>
        <v>2928</v>
      </c>
      <c r="T25" s="385">
        <f>[1]R02_Cap_Lam!$P$31</f>
        <v>2928</v>
      </c>
      <c r="U25" s="385">
        <f>[2]R02_Cap_Lam!$F$31</f>
        <v>2928</v>
      </c>
      <c r="V25" s="385">
        <f ca="1">[3]R02_Cap_Lam!$K$31</f>
        <v>2928</v>
      </c>
    </row>
    <row r="26" spans="2:22" ht="14.25" customHeight="1">
      <c r="B26" s="324"/>
      <c r="C26" s="120"/>
      <c r="D26" s="120"/>
      <c r="E26" s="120"/>
      <c r="F26" s="120"/>
      <c r="G26" s="120"/>
      <c r="H26" s="120"/>
      <c r="I26" s="120"/>
    </row>
    <row r="27" spans="2:22">
      <c r="B27" s="452" t="s">
        <v>327</v>
      </c>
      <c r="C27" s="120"/>
      <c r="D27" s="120"/>
      <c r="E27" s="120"/>
      <c r="F27" s="120"/>
      <c r="G27" s="120"/>
      <c r="H27" s="120"/>
      <c r="I27" s="120"/>
    </row>
    <row r="28" spans="2:22">
      <c r="B28" s="130"/>
      <c r="C28" s="120"/>
      <c r="D28" s="120"/>
      <c r="E28" s="120"/>
      <c r="F28" s="120"/>
      <c r="G28" s="120"/>
      <c r="H28" s="120"/>
      <c r="I28" s="120"/>
    </row>
    <row r="29" spans="2:22">
      <c r="B29" s="119"/>
      <c r="C29" s="120"/>
      <c r="D29" s="120"/>
      <c r="E29" s="120"/>
      <c r="F29" s="120"/>
      <c r="G29" s="120"/>
      <c r="H29" s="120"/>
      <c r="I29" s="120"/>
    </row>
    <row r="31" spans="2:22"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</row>
    <row r="32" spans="2:22"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</row>
    <row r="33" spans="4:16"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</row>
    <row r="34" spans="4:16"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</row>
    <row r="35" spans="4:16"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</row>
    <row r="36" spans="4:16"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</row>
    <row r="37" spans="4:16"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</row>
    <row r="38" spans="4:16"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</row>
    <row r="39" spans="4:16"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</row>
    <row r="40" spans="4:16"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</row>
    <row r="41" spans="4:16"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</row>
    <row r="42" spans="4:16"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</row>
    <row r="43" spans="4:16"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</row>
    <row r="44" spans="4:16"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</row>
    <row r="45" spans="4:16"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</row>
    <row r="46" spans="4:16"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</row>
    <row r="47" spans="4:16"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</row>
    <row r="48" spans="4:16"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</row>
    <row r="49" spans="4:16"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</row>
    <row r="50" spans="4:16"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</row>
    <row r="51" spans="4:16"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</row>
    <row r="52" spans="4:16"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</row>
    <row r="53" spans="4:16"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54" spans="4:16"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</row>
    <row r="55" spans="4:16"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</row>
    <row r="56" spans="4:16"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</row>
    <row r="57" spans="4:16"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</row>
    <row r="58" spans="4:16"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</row>
    <row r="59" spans="4:16"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</row>
    <row r="60" spans="4:16"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</row>
    <row r="61" spans="4:16"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</row>
    <row r="62" spans="4:16"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</row>
    <row r="63" spans="4:16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</row>
    <row r="64" spans="4:16"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</row>
    <row r="65" spans="4:16"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</row>
    <row r="66" spans="4:16"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</row>
    <row r="67" spans="4:16"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</row>
    <row r="68" spans="4:16"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</row>
    <row r="69" spans="4:16"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ignoredErrors>
    <ignoredError sqref="G13:I13 I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L31"/>
  <sheetViews>
    <sheetView zoomScaleNormal="100" zoomScaleSheetLayoutView="90" workbookViewId="0">
      <selection activeCell="BK7" sqref="BK7:BK21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23" width="2.54296875" style="18" hidden="1" customWidth="1"/>
    <col min="24" max="27" width="10.453125" style="1" hidden="1" customWidth="1"/>
    <col min="28" max="28" width="2.54296875" style="18" hidden="1" customWidth="1"/>
    <col min="29" max="35" width="10.453125" style="1" hidden="1" customWidth="1"/>
    <col min="36" max="57" width="0" style="1" hidden="1" customWidth="1"/>
    <col min="58" max="58" width="9.1796875" style="1" hidden="1" customWidth="1"/>
    <col min="59" max="63" width="9.1796875" style="1" customWidth="1"/>
    <col min="64" max="16384" width="9.1796875" style="1"/>
  </cols>
  <sheetData>
    <row r="1" spans="1:64">
      <c r="A1" s="2"/>
      <c r="B1" s="31"/>
    </row>
    <row r="2" spans="1:64">
      <c r="A2" s="2"/>
      <c r="B2" s="31"/>
    </row>
    <row r="3" spans="1:64">
      <c r="A3" s="2"/>
      <c r="B3" s="31"/>
    </row>
    <row r="4" spans="1:64" ht="21" customHeight="1">
      <c r="A4" s="2"/>
      <c r="B4" s="32"/>
    </row>
    <row r="5" spans="1:64" ht="15">
      <c r="B5" s="247" t="s">
        <v>237</v>
      </c>
    </row>
    <row r="6" spans="1:64" ht="12" customHeight="1">
      <c r="B6" s="8"/>
    </row>
    <row r="7" spans="1:64" s="4" customFormat="1" ht="14.25" customHeight="1" thickBot="1">
      <c r="B7" s="150" t="s">
        <v>8</v>
      </c>
      <c r="C7" s="151" t="s">
        <v>0</v>
      </c>
      <c r="D7" s="151" t="s">
        <v>3</v>
      </c>
      <c r="E7" s="151" t="s">
        <v>4</v>
      </c>
      <c r="F7" s="151" t="s">
        <v>5</v>
      </c>
      <c r="G7" s="151" t="s">
        <v>6</v>
      </c>
      <c r="H7" s="151" t="s">
        <v>11</v>
      </c>
      <c r="I7" s="151" t="s">
        <v>80</v>
      </c>
      <c r="J7" s="151" t="s">
        <v>91</v>
      </c>
      <c r="K7" s="151" t="s">
        <v>92</v>
      </c>
      <c r="L7" s="151" t="s">
        <v>93</v>
      </c>
      <c r="M7" s="151" t="s">
        <v>95</v>
      </c>
      <c r="N7" s="151" t="s">
        <v>100</v>
      </c>
      <c r="O7" s="151" t="s">
        <v>101</v>
      </c>
      <c r="P7" s="151" t="s">
        <v>102</v>
      </c>
      <c r="Q7" s="151" t="s">
        <v>103</v>
      </c>
      <c r="R7" s="151" t="s">
        <v>104</v>
      </c>
      <c r="S7" s="151" t="s">
        <v>105</v>
      </c>
      <c r="T7" s="151" t="s">
        <v>107</v>
      </c>
      <c r="U7" s="151" t="s">
        <v>114</v>
      </c>
      <c r="V7" s="151" t="s">
        <v>115</v>
      </c>
      <c r="W7" s="152"/>
      <c r="X7" s="151" t="s">
        <v>118</v>
      </c>
      <c r="Y7" s="151" t="s">
        <v>119</v>
      </c>
      <c r="Z7" s="151" t="s">
        <v>122</v>
      </c>
      <c r="AA7" s="151" t="s">
        <v>123</v>
      </c>
      <c r="AB7" s="152"/>
      <c r="AC7" s="151" t="s">
        <v>128</v>
      </c>
      <c r="AD7" s="151" t="s">
        <v>136</v>
      </c>
      <c r="AE7" s="151" t="s">
        <v>137</v>
      </c>
      <c r="AF7" s="151" t="s">
        <v>138</v>
      </c>
      <c r="AG7" s="151" t="s">
        <v>142</v>
      </c>
      <c r="AH7" s="151" t="s">
        <v>143</v>
      </c>
      <c r="AI7" s="151" t="s">
        <v>147</v>
      </c>
      <c r="AJ7" s="151" t="s">
        <v>153</v>
      </c>
      <c r="AK7" s="151" t="s">
        <v>155</v>
      </c>
      <c r="AL7" s="151" t="s">
        <v>156</v>
      </c>
      <c r="AM7" s="151" t="s">
        <v>168</v>
      </c>
      <c r="AN7" s="151" t="s">
        <v>169</v>
      </c>
      <c r="AO7" s="151" t="s">
        <v>172</v>
      </c>
      <c r="AP7" s="151" t="s">
        <v>175</v>
      </c>
      <c r="AQ7" s="151" t="s">
        <v>178</v>
      </c>
      <c r="AR7" s="151" t="s">
        <v>179</v>
      </c>
      <c r="AS7" s="151" t="s">
        <v>181</v>
      </c>
      <c r="AT7" s="151" t="s">
        <v>182</v>
      </c>
      <c r="AU7" s="151" t="s">
        <v>183</v>
      </c>
      <c r="AV7" s="151" t="s">
        <v>198</v>
      </c>
      <c r="AW7" s="151" t="s">
        <v>210</v>
      </c>
      <c r="AX7" s="151" t="s">
        <v>228</v>
      </c>
      <c r="AY7" s="151" t="s">
        <v>231</v>
      </c>
      <c r="AZ7" s="151" t="s">
        <v>234</v>
      </c>
      <c r="BA7" s="151" t="s">
        <v>240</v>
      </c>
      <c r="BB7" s="151" t="s">
        <v>242</v>
      </c>
      <c r="BC7" s="151" t="s">
        <v>323</v>
      </c>
      <c r="BD7" s="151" t="s">
        <v>326</v>
      </c>
      <c r="BE7" s="151" t="s">
        <v>332</v>
      </c>
      <c r="BF7" s="151" t="s">
        <v>334</v>
      </c>
      <c r="BG7" s="151" t="s">
        <v>335</v>
      </c>
      <c r="BH7" s="151" t="s">
        <v>336</v>
      </c>
      <c r="BI7" s="151" t="s">
        <v>342</v>
      </c>
      <c r="BJ7" s="151" t="s">
        <v>345</v>
      </c>
      <c r="BK7" s="151" t="s">
        <v>350</v>
      </c>
    </row>
    <row r="8" spans="1:64" ht="14.25" customHeight="1" thickTop="1">
      <c r="B8" s="145"/>
      <c r="C8" s="146"/>
      <c r="D8" s="147"/>
      <c r="E8" s="147"/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9"/>
      <c r="X8" s="148"/>
      <c r="Y8" s="148"/>
      <c r="Z8" s="148"/>
      <c r="AA8" s="148"/>
      <c r="AB8" s="149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</row>
    <row r="9" spans="1:64" ht="14.25" customHeight="1">
      <c r="B9" s="153" t="s">
        <v>7</v>
      </c>
      <c r="C9" s="154">
        <v>5119</v>
      </c>
      <c r="D9" s="154">
        <v>5636</v>
      </c>
      <c r="E9" s="154">
        <v>5580</v>
      </c>
      <c r="F9" s="154">
        <v>3264</v>
      </c>
      <c r="G9" s="154">
        <v>2549</v>
      </c>
      <c r="H9" s="154">
        <v>3100</v>
      </c>
      <c r="I9" s="154">
        <v>4024</v>
      </c>
      <c r="J9" s="154">
        <v>3836</v>
      </c>
      <c r="K9" s="154">
        <v>4359</v>
      </c>
      <c r="L9" s="154">
        <f>SUM(L10:L13)</f>
        <v>45518</v>
      </c>
      <c r="M9" s="154">
        <v>4403</v>
      </c>
      <c r="N9" s="154">
        <f t="shared" ref="N9:S9" si="0">SUM(N10:N13)</f>
        <v>4378</v>
      </c>
      <c r="O9" s="154">
        <f t="shared" si="0"/>
        <v>4749</v>
      </c>
      <c r="P9" s="154">
        <f t="shared" si="0"/>
        <v>5124</v>
      </c>
      <c r="Q9" s="154">
        <f t="shared" si="0"/>
        <v>5018</v>
      </c>
      <c r="R9" s="154">
        <f t="shared" si="0"/>
        <v>4732</v>
      </c>
      <c r="S9" s="154">
        <f t="shared" si="0"/>
        <v>4940</v>
      </c>
      <c r="T9" s="154">
        <v>5046</v>
      </c>
      <c r="U9" s="154">
        <v>4747</v>
      </c>
      <c r="V9" s="154">
        <v>4186</v>
      </c>
      <c r="W9" s="154"/>
      <c r="X9" s="154">
        <v>4410</v>
      </c>
      <c r="Y9" s="154">
        <v>4646</v>
      </c>
      <c r="Z9" s="154">
        <v>4507</v>
      </c>
      <c r="AA9" s="154">
        <v>4446</v>
      </c>
      <c r="AB9" s="154"/>
      <c r="AC9" s="154">
        <v>4562</v>
      </c>
      <c r="AD9" s="154">
        <v>4668</v>
      </c>
      <c r="AE9" s="154">
        <v>4475</v>
      </c>
      <c r="AF9" s="154">
        <v>4323</v>
      </c>
      <c r="AG9" s="154">
        <v>4341</v>
      </c>
      <c r="AH9" s="154">
        <v>4431</v>
      </c>
      <c r="AI9" s="154">
        <v>4200</v>
      </c>
      <c r="AJ9" s="154">
        <v>3889</v>
      </c>
      <c r="AK9" s="154">
        <v>4155</v>
      </c>
      <c r="AL9" s="154">
        <v>4304</v>
      </c>
      <c r="AM9" s="154">
        <v>3893</v>
      </c>
      <c r="AN9" s="154">
        <v>3326</v>
      </c>
      <c r="AO9" s="154">
        <v>4018</v>
      </c>
      <c r="AP9" s="154">
        <v>4090</v>
      </c>
      <c r="AQ9" s="154">
        <v>4062</v>
      </c>
      <c r="AR9" s="154">
        <v>3950</v>
      </c>
      <c r="AS9" s="154">
        <v>4165</v>
      </c>
      <c r="AT9" s="154">
        <v>3989</v>
      </c>
      <c r="AU9" s="154">
        <v>3969</v>
      </c>
      <c r="AV9" s="154">
        <f>SUM(AV10:AV13)</f>
        <v>3221</v>
      </c>
      <c r="AW9" s="154">
        <f>SUM(AW10:AW13)</f>
        <v>3343</v>
      </c>
      <c r="AX9" s="154">
        <f>SUM(AX10:AX13)</f>
        <v>3425.4207558006933</v>
      </c>
      <c r="AY9" s="154">
        <v>2733.2516062510822</v>
      </c>
      <c r="AZ9" s="154">
        <v>2952</v>
      </c>
      <c r="BA9" s="154">
        <f>SUM(BA10:BA13)</f>
        <v>3187.6644060236849</v>
      </c>
      <c r="BB9" s="154">
        <f>SUM(BB10:BB13)</f>
        <v>2433</v>
      </c>
      <c r="BC9" s="154">
        <f>SUM(BC10:BC13)</f>
        <v>3200</v>
      </c>
      <c r="BD9" s="154">
        <f>SUM(BD10:BD13)</f>
        <v>3373.8965836647667</v>
      </c>
      <c r="BE9" s="154">
        <f>SUM(BE10:BE13)</f>
        <v>3151.3334243189552</v>
      </c>
      <c r="BF9" s="154">
        <f t="shared" ref="BF9" si="1">SUM(BF10:BF13)</f>
        <v>3448.0995598675504</v>
      </c>
      <c r="BG9" s="154">
        <f>SUM(BG10:BG13)</f>
        <v>3415.7870499202941</v>
      </c>
      <c r="BH9" s="154">
        <f>SUM(BH10:BH13)</f>
        <v>3279.2367666641703</v>
      </c>
      <c r="BI9" s="154">
        <f>SUM(BI10:BI13)</f>
        <v>3405.9132210758844</v>
      </c>
      <c r="BJ9" s="154">
        <f>SUM(BJ10:BJ13)</f>
        <v>3428.7124796066655</v>
      </c>
      <c r="BK9" s="154">
        <f ca="1">SUM(BK10:BK13)</f>
        <v>2965.3137774961001</v>
      </c>
    </row>
    <row r="10" spans="1:64" s="7" customFormat="1" ht="14.25" customHeight="1">
      <c r="B10" s="157" t="s">
        <v>84</v>
      </c>
      <c r="C10" s="158">
        <v>1893</v>
      </c>
      <c r="D10" s="158">
        <v>2024</v>
      </c>
      <c r="E10" s="158">
        <v>2054</v>
      </c>
      <c r="F10" s="158">
        <v>1497</v>
      </c>
      <c r="G10" s="158">
        <v>879</v>
      </c>
      <c r="H10" s="158">
        <v>1168</v>
      </c>
      <c r="I10" s="158">
        <v>1626</v>
      </c>
      <c r="J10" s="158">
        <v>1660</v>
      </c>
      <c r="K10" s="158">
        <v>1680</v>
      </c>
      <c r="L10" s="158">
        <v>1784</v>
      </c>
      <c r="M10" s="158">
        <v>1771</v>
      </c>
      <c r="N10" s="158">
        <v>1718</v>
      </c>
      <c r="O10" s="158">
        <v>1722</v>
      </c>
      <c r="P10" s="158">
        <v>1970</v>
      </c>
      <c r="Q10" s="158">
        <v>2007</v>
      </c>
      <c r="R10" s="158">
        <v>1874</v>
      </c>
      <c r="S10" s="158">
        <v>1751</v>
      </c>
      <c r="T10" s="158">
        <v>1825</v>
      </c>
      <c r="U10" s="158">
        <v>1925</v>
      </c>
      <c r="V10" s="158">
        <v>1702</v>
      </c>
      <c r="W10" s="158"/>
      <c r="X10" s="158">
        <v>1708</v>
      </c>
      <c r="Y10" s="158">
        <v>1771</v>
      </c>
      <c r="Z10" s="158">
        <v>1794</v>
      </c>
      <c r="AA10" s="158">
        <v>1691</v>
      </c>
      <c r="AB10" s="158"/>
      <c r="AC10" s="158">
        <v>1614</v>
      </c>
      <c r="AD10" s="158">
        <v>1621</v>
      </c>
      <c r="AE10" s="158">
        <v>1603</v>
      </c>
      <c r="AF10" s="158">
        <v>1619</v>
      </c>
      <c r="AG10" s="158">
        <v>1528</v>
      </c>
      <c r="AH10" s="158">
        <v>1660</v>
      </c>
      <c r="AI10" s="158">
        <v>1578</v>
      </c>
      <c r="AJ10" s="158">
        <v>1481</v>
      </c>
      <c r="AK10" s="158">
        <v>1544</v>
      </c>
      <c r="AL10" s="158">
        <v>1655</v>
      </c>
      <c r="AM10" s="158">
        <v>1663</v>
      </c>
      <c r="AN10" s="158">
        <v>1273</v>
      </c>
      <c r="AO10" s="158">
        <v>1481</v>
      </c>
      <c r="AP10" s="158">
        <v>1545</v>
      </c>
      <c r="AQ10" s="158">
        <v>1565</v>
      </c>
      <c r="AR10" s="158">
        <v>1541</v>
      </c>
      <c r="AS10" s="158">
        <v>1532</v>
      </c>
      <c r="AT10" s="158">
        <v>1381</v>
      </c>
      <c r="AU10" s="158">
        <v>1479</v>
      </c>
      <c r="AV10" s="158">
        <v>1454</v>
      </c>
      <c r="AW10" s="158">
        <v>1419</v>
      </c>
      <c r="AX10" s="158">
        <v>1626.0732399999999</v>
      </c>
      <c r="AY10" s="158">
        <v>1078.6739660000001</v>
      </c>
      <c r="AZ10" s="158">
        <v>1439</v>
      </c>
      <c r="BA10" s="158">
        <v>1238.785482</v>
      </c>
      <c r="BB10" s="158">
        <v>1135</v>
      </c>
      <c r="BC10" s="158">
        <v>1553</v>
      </c>
      <c r="BD10" s="158">
        <v>1565.031097</v>
      </c>
      <c r="BE10" s="158">
        <v>1291.623141</v>
      </c>
      <c r="BF10" s="158">
        <v>1659.0624980000002</v>
      </c>
      <c r="BG10" s="158">
        <v>1641.9278089999998</v>
      </c>
      <c r="BH10" s="158">
        <f>[4]R03_Prod_Aco!$L$11</f>
        <v>1457.9895470000001</v>
      </c>
      <c r="BI10" s="158">
        <f>[1]R03_Prod_Aco!$P$11</f>
        <v>1526.723027</v>
      </c>
      <c r="BJ10" s="158">
        <f>[6]R03_Prod_Aco!$L$11</f>
        <v>1575.6532560000001</v>
      </c>
      <c r="BK10" s="158">
        <f ca="1">[3]R03_Prod_Aco!$F$11</f>
        <v>1281.013447</v>
      </c>
      <c r="BL10" s="461"/>
    </row>
    <row r="11" spans="1:64" ht="14.25" customHeight="1">
      <c r="B11" s="153" t="s">
        <v>85</v>
      </c>
      <c r="C11" s="155">
        <v>2202</v>
      </c>
      <c r="D11" s="155">
        <v>2272</v>
      </c>
      <c r="E11" s="155">
        <v>2174</v>
      </c>
      <c r="F11" s="155">
        <v>937</v>
      </c>
      <c r="G11" s="155">
        <v>1044</v>
      </c>
      <c r="H11" s="155">
        <v>1217</v>
      </c>
      <c r="I11" s="155">
        <v>1493</v>
      </c>
      <c r="J11" s="155">
        <v>1156</v>
      </c>
      <c r="K11" s="155">
        <v>1587</v>
      </c>
      <c r="L11" s="155">
        <v>42459</v>
      </c>
      <c r="M11" s="155">
        <v>1462</v>
      </c>
      <c r="N11" s="155">
        <v>1508</v>
      </c>
      <c r="O11" s="155">
        <v>1771</v>
      </c>
      <c r="P11" s="155">
        <v>1802</v>
      </c>
      <c r="Q11" s="155">
        <v>1726</v>
      </c>
      <c r="R11" s="155">
        <v>1670</v>
      </c>
      <c r="S11" s="155">
        <v>1899</v>
      </c>
      <c r="T11" s="155">
        <v>1841</v>
      </c>
      <c r="U11" s="155">
        <v>1734</v>
      </c>
      <c r="V11" s="155">
        <v>1425</v>
      </c>
      <c r="W11" s="155"/>
      <c r="X11" s="155">
        <v>1474</v>
      </c>
      <c r="Y11" s="155">
        <v>1640</v>
      </c>
      <c r="Z11" s="155">
        <v>1457</v>
      </c>
      <c r="AA11" s="155">
        <v>1549</v>
      </c>
      <c r="AB11" s="155"/>
      <c r="AC11" s="155">
        <v>1755</v>
      </c>
      <c r="AD11" s="155">
        <v>1875</v>
      </c>
      <c r="AE11" s="155">
        <v>1793</v>
      </c>
      <c r="AF11" s="155">
        <v>1586</v>
      </c>
      <c r="AG11" s="155">
        <v>1650</v>
      </c>
      <c r="AH11" s="155">
        <v>1693</v>
      </c>
      <c r="AI11" s="155">
        <v>1675</v>
      </c>
      <c r="AJ11" s="155">
        <v>1450</v>
      </c>
      <c r="AK11" s="155">
        <v>1555</v>
      </c>
      <c r="AL11" s="155">
        <v>1690</v>
      </c>
      <c r="AM11" s="155">
        <v>1468</v>
      </c>
      <c r="AN11" s="155">
        <v>1274</v>
      </c>
      <c r="AO11" s="155">
        <v>1711</v>
      </c>
      <c r="AP11" s="155">
        <v>1700</v>
      </c>
      <c r="AQ11" s="155">
        <v>1709</v>
      </c>
      <c r="AR11" s="155">
        <v>1643</v>
      </c>
      <c r="AS11" s="155">
        <v>1799</v>
      </c>
      <c r="AT11" s="155">
        <v>1755</v>
      </c>
      <c r="AU11" s="155">
        <v>1699</v>
      </c>
      <c r="AV11" s="155">
        <v>1179</v>
      </c>
      <c r="AW11" s="155">
        <v>1267</v>
      </c>
      <c r="AX11" s="155">
        <v>1194.7442329999999</v>
      </c>
      <c r="AY11" s="155">
        <v>1086.3279786000001</v>
      </c>
      <c r="AZ11" s="155">
        <v>1053</v>
      </c>
      <c r="BA11" s="155">
        <v>1345.021054</v>
      </c>
      <c r="BB11" s="155">
        <v>1031</v>
      </c>
      <c r="BC11" s="155">
        <v>1154</v>
      </c>
      <c r="BD11" s="155">
        <v>1176.657731</v>
      </c>
      <c r="BE11" s="155">
        <v>1251.2432880000001</v>
      </c>
      <c r="BF11" s="155">
        <v>1268.9004180000002</v>
      </c>
      <c r="BG11" s="155">
        <v>1228.6459235</v>
      </c>
      <c r="BH11" s="155">
        <f>[4]R03_Prod_Aco!$L$41</f>
        <v>1249.460339</v>
      </c>
      <c r="BI11" s="155">
        <f>[1]R03_Prod_Aco!$P$41</f>
        <v>1213.601905</v>
      </c>
      <c r="BJ11" s="155">
        <f>[6]R03_Prod_Aco!$L$41</f>
        <v>1144.989249</v>
      </c>
      <c r="BK11" s="155">
        <f ca="1">[3]R03_Prod_Aco!$F$41</f>
        <v>1126.7301479999999</v>
      </c>
    </row>
    <row r="12" spans="1:64" s="7" customFormat="1" ht="14.25" customHeight="1">
      <c r="B12" s="157" t="s">
        <v>148</v>
      </c>
      <c r="C12" s="158">
        <v>445</v>
      </c>
      <c r="D12" s="158">
        <v>510</v>
      </c>
      <c r="E12" s="158">
        <v>501</v>
      </c>
      <c r="F12" s="158">
        <v>224</v>
      </c>
      <c r="G12" s="158">
        <v>315</v>
      </c>
      <c r="H12" s="158">
        <v>317</v>
      </c>
      <c r="I12" s="158">
        <v>360</v>
      </c>
      <c r="J12" s="158">
        <v>355</v>
      </c>
      <c r="K12" s="158">
        <v>321</v>
      </c>
      <c r="L12" s="158">
        <v>386</v>
      </c>
      <c r="M12" s="158">
        <v>349</v>
      </c>
      <c r="N12" s="158">
        <v>431</v>
      </c>
      <c r="O12" s="158">
        <v>430</v>
      </c>
      <c r="P12" s="158">
        <v>446</v>
      </c>
      <c r="Q12" s="158">
        <v>428</v>
      </c>
      <c r="R12" s="158">
        <v>414</v>
      </c>
      <c r="S12" s="158">
        <v>470</v>
      </c>
      <c r="T12" s="158">
        <v>518</v>
      </c>
      <c r="U12" s="158">
        <v>444</v>
      </c>
      <c r="V12" s="158">
        <v>408</v>
      </c>
      <c r="W12" s="158"/>
      <c r="X12" s="158">
        <v>426</v>
      </c>
      <c r="Y12" s="158">
        <v>429</v>
      </c>
      <c r="Z12" s="158">
        <v>444</v>
      </c>
      <c r="AA12" s="158">
        <v>426</v>
      </c>
      <c r="AB12" s="158"/>
      <c r="AC12" s="158">
        <v>335</v>
      </c>
      <c r="AD12" s="158">
        <v>310</v>
      </c>
      <c r="AE12" s="158">
        <v>301</v>
      </c>
      <c r="AF12" s="158">
        <v>307</v>
      </c>
      <c r="AG12" s="158">
        <v>303</v>
      </c>
      <c r="AH12" s="158">
        <v>310</v>
      </c>
      <c r="AI12" s="158">
        <v>297</v>
      </c>
      <c r="AJ12" s="158">
        <v>333</v>
      </c>
      <c r="AK12" s="158">
        <v>320</v>
      </c>
      <c r="AL12" s="158">
        <v>297</v>
      </c>
      <c r="AM12" s="158">
        <v>301</v>
      </c>
      <c r="AN12" s="158">
        <v>314</v>
      </c>
      <c r="AO12" s="158">
        <v>303</v>
      </c>
      <c r="AP12" s="158">
        <v>279</v>
      </c>
      <c r="AQ12" s="158">
        <v>208</v>
      </c>
      <c r="AR12" s="158">
        <v>253</v>
      </c>
      <c r="AS12" s="158">
        <v>243</v>
      </c>
      <c r="AT12" s="158">
        <v>216</v>
      </c>
      <c r="AU12" s="158">
        <v>142</v>
      </c>
      <c r="AV12" s="158">
        <v>144</v>
      </c>
      <c r="AW12" s="158">
        <v>139</v>
      </c>
      <c r="AX12" s="158">
        <v>156.10828136000001</v>
      </c>
      <c r="AY12" s="158">
        <v>153.4277745600001</v>
      </c>
      <c r="AZ12" s="158">
        <v>161</v>
      </c>
      <c r="BA12" s="158">
        <v>141.59878020000011</v>
      </c>
      <c r="BB12" s="158">
        <v>79</v>
      </c>
      <c r="BC12" s="158">
        <v>170</v>
      </c>
      <c r="BD12" s="158">
        <v>183.89092598506653</v>
      </c>
      <c r="BE12" s="158">
        <v>163.03251643115462</v>
      </c>
      <c r="BF12" s="158">
        <v>124.05261447605</v>
      </c>
      <c r="BG12" s="158">
        <v>159.53274236969392</v>
      </c>
      <c r="BH12" s="158">
        <f>[4]R03_Prod_Aco!$L$54</f>
        <v>144.67540474906983</v>
      </c>
      <c r="BI12" s="158">
        <f>[1]R03_Prod_Aco!$P$54</f>
        <v>171.62424912318428</v>
      </c>
      <c r="BJ12" s="158">
        <f>[6]R03_Prod_Aco!$L$54</f>
        <v>201.46900532186572</v>
      </c>
      <c r="BK12" s="158">
        <f ca="1">[3]R03_Prod_Aco!$F$54</f>
        <v>174.5554260000003</v>
      </c>
    </row>
    <row r="13" spans="1:64" ht="14.25" customHeight="1">
      <c r="B13" s="153" t="s">
        <v>86</v>
      </c>
      <c r="C13" s="156">
        <v>579</v>
      </c>
      <c r="D13" s="155">
        <v>830</v>
      </c>
      <c r="E13" s="155">
        <v>851</v>
      </c>
      <c r="F13" s="155">
        <v>606</v>
      </c>
      <c r="G13" s="155">
        <v>311</v>
      </c>
      <c r="H13" s="155">
        <v>398</v>
      </c>
      <c r="I13" s="155">
        <v>545</v>
      </c>
      <c r="J13" s="155">
        <v>665</v>
      </c>
      <c r="K13" s="155">
        <v>771</v>
      </c>
      <c r="L13" s="155">
        <v>889</v>
      </c>
      <c r="M13" s="155">
        <v>821</v>
      </c>
      <c r="N13" s="155">
        <v>721</v>
      </c>
      <c r="O13" s="155">
        <v>826</v>
      </c>
      <c r="P13" s="155">
        <v>906</v>
      </c>
      <c r="Q13" s="155">
        <v>857</v>
      </c>
      <c r="R13" s="155">
        <v>774</v>
      </c>
      <c r="S13" s="155">
        <v>820</v>
      </c>
      <c r="T13" s="155">
        <v>862</v>
      </c>
      <c r="U13" s="155">
        <v>644</v>
      </c>
      <c r="V13" s="155">
        <v>651</v>
      </c>
      <c r="W13" s="155"/>
      <c r="X13" s="155">
        <v>802</v>
      </c>
      <c r="Y13" s="155">
        <v>806</v>
      </c>
      <c r="Z13" s="155">
        <v>812</v>
      </c>
      <c r="AA13" s="155">
        <v>780</v>
      </c>
      <c r="AB13" s="155"/>
      <c r="AC13" s="155">
        <v>858</v>
      </c>
      <c r="AD13" s="155">
        <v>861</v>
      </c>
      <c r="AE13" s="155">
        <v>778</v>
      </c>
      <c r="AF13" s="155">
        <v>811</v>
      </c>
      <c r="AG13" s="155">
        <v>859</v>
      </c>
      <c r="AH13" s="155">
        <v>768</v>
      </c>
      <c r="AI13" s="155">
        <v>651</v>
      </c>
      <c r="AJ13" s="155">
        <v>625</v>
      </c>
      <c r="AK13" s="155">
        <v>736</v>
      </c>
      <c r="AL13" s="155">
        <v>662</v>
      </c>
      <c r="AM13" s="155">
        <v>461</v>
      </c>
      <c r="AN13" s="155">
        <v>465</v>
      </c>
      <c r="AO13" s="155">
        <v>523</v>
      </c>
      <c r="AP13" s="155">
        <v>566</v>
      </c>
      <c r="AQ13" s="155">
        <v>580</v>
      </c>
      <c r="AR13" s="155">
        <v>513</v>
      </c>
      <c r="AS13" s="155">
        <v>591</v>
      </c>
      <c r="AT13" s="155">
        <v>637</v>
      </c>
      <c r="AU13" s="155">
        <v>649</v>
      </c>
      <c r="AV13" s="155">
        <v>444</v>
      </c>
      <c r="AW13" s="155">
        <v>518</v>
      </c>
      <c r="AX13" s="155">
        <v>448.49500144069304</v>
      </c>
      <c r="AY13" s="155">
        <v>414.8218870910822</v>
      </c>
      <c r="AZ13" s="155">
        <v>299</v>
      </c>
      <c r="BA13" s="155">
        <v>462.25908982368503</v>
      </c>
      <c r="BB13" s="155">
        <v>188</v>
      </c>
      <c r="BC13" s="155">
        <v>323</v>
      </c>
      <c r="BD13" s="155">
        <v>448.31682967970005</v>
      </c>
      <c r="BE13" s="155">
        <v>445.43447888780003</v>
      </c>
      <c r="BF13" s="155">
        <v>396.0840293915</v>
      </c>
      <c r="BG13" s="155">
        <v>385.68057505059994</v>
      </c>
      <c r="BH13" s="155">
        <f>[4]R03_Prod_Aco!$L$31</f>
        <v>427.11147591510002</v>
      </c>
      <c r="BI13" s="155">
        <f>[1]R03_Prod_Aco!$P$31</f>
        <v>493.96403995270003</v>
      </c>
      <c r="BJ13" s="155">
        <f>[6]R03_Prod_Aco!$L$31</f>
        <v>506.60096928479999</v>
      </c>
      <c r="BK13" s="155">
        <f ca="1">[3]R03_Prod_Aco!$F$31</f>
        <v>383.01475649609995</v>
      </c>
    </row>
    <row r="14" spans="1:64" ht="14.25" customHeight="1">
      <c r="B14" s="37"/>
      <c r="C14" s="38"/>
      <c r="D14" s="38"/>
      <c r="E14" s="38"/>
      <c r="F14" s="38"/>
      <c r="G14" s="34"/>
      <c r="H14" s="34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9"/>
      <c r="X14" s="37"/>
      <c r="Y14" s="37"/>
      <c r="Z14" s="37"/>
      <c r="AA14" s="37"/>
      <c r="AB14" s="39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</row>
    <row r="15" spans="1:64" s="4" customFormat="1" ht="14.25" customHeight="1" thickBot="1">
      <c r="B15" s="150" t="s">
        <v>135</v>
      </c>
      <c r="C15" s="151" t="s">
        <v>0</v>
      </c>
      <c r="D15" s="151" t="s">
        <v>3</v>
      </c>
      <c r="E15" s="151" t="s">
        <v>4</v>
      </c>
      <c r="F15" s="151" t="s">
        <v>5</v>
      </c>
      <c r="G15" s="151" t="s">
        <v>6</v>
      </c>
      <c r="H15" s="151" t="s">
        <v>11</v>
      </c>
      <c r="I15" s="151" t="s">
        <v>80</v>
      </c>
      <c r="J15" s="151" t="s">
        <v>91</v>
      </c>
      <c r="K15" s="151" t="s">
        <v>92</v>
      </c>
      <c r="L15" s="151" t="s">
        <v>93</v>
      </c>
      <c r="M15" s="151" t="s">
        <v>95</v>
      </c>
      <c r="N15" s="151" t="s">
        <v>100</v>
      </c>
      <c r="O15" s="151" t="s">
        <v>101</v>
      </c>
      <c r="P15" s="151" t="s">
        <v>102</v>
      </c>
      <c r="Q15" s="151" t="s">
        <v>103</v>
      </c>
      <c r="R15" s="151" t="s">
        <v>104</v>
      </c>
      <c r="S15" s="151" t="s">
        <v>105</v>
      </c>
      <c r="T15" s="151" t="s">
        <v>107</v>
      </c>
      <c r="U15" s="151" t="s">
        <v>114</v>
      </c>
      <c r="V15" s="151" t="str">
        <f>V7</f>
        <v>4T12</v>
      </c>
      <c r="W15" s="152"/>
      <c r="X15" s="151" t="s">
        <v>118</v>
      </c>
      <c r="Y15" s="151" t="s">
        <v>119</v>
      </c>
      <c r="Z15" s="151" t="s">
        <v>122</v>
      </c>
      <c r="AA15" s="151" t="s">
        <v>123</v>
      </c>
      <c r="AB15" s="152"/>
      <c r="AC15" s="151" t="s">
        <v>128</v>
      </c>
      <c r="AD15" s="151" t="str">
        <f>AD7</f>
        <v>2T14</v>
      </c>
      <c r="AE15" s="151" t="s">
        <v>137</v>
      </c>
      <c r="AF15" s="151" t="s">
        <v>138</v>
      </c>
      <c r="AG15" s="151" t="s">
        <v>142</v>
      </c>
      <c r="AH15" s="151" t="s">
        <v>143</v>
      </c>
      <c r="AI15" s="151" t="s">
        <v>147</v>
      </c>
      <c r="AJ15" s="151" t="s">
        <v>153</v>
      </c>
      <c r="AK15" s="151" t="s">
        <v>155</v>
      </c>
      <c r="AL15" s="151" t="s">
        <v>156</v>
      </c>
      <c r="AM15" s="151" t="s">
        <v>168</v>
      </c>
      <c r="AN15" s="151" t="s">
        <v>169</v>
      </c>
      <c r="AO15" s="151" t="s">
        <v>172</v>
      </c>
      <c r="AP15" s="151" t="str">
        <f t="shared" ref="AP15:AU15" si="2">AP7</f>
        <v>2T17</v>
      </c>
      <c r="AQ15" s="151" t="str">
        <f t="shared" si="2"/>
        <v>3T17</v>
      </c>
      <c r="AR15" s="151" t="str">
        <f t="shared" si="2"/>
        <v>4T17</v>
      </c>
      <c r="AS15" s="151" t="str">
        <f t="shared" si="2"/>
        <v>1T18</v>
      </c>
      <c r="AT15" s="151" t="str">
        <f t="shared" si="2"/>
        <v>2T18</v>
      </c>
      <c r="AU15" s="151" t="str">
        <f t="shared" si="2"/>
        <v>3T18</v>
      </c>
      <c r="AV15" s="151" t="str">
        <f>AV7</f>
        <v>4T18</v>
      </c>
      <c r="AW15" s="151" t="s">
        <v>210</v>
      </c>
      <c r="AX15" s="151" t="s">
        <v>228</v>
      </c>
      <c r="AY15" s="151" t="s">
        <v>231</v>
      </c>
      <c r="AZ15" s="151" t="s">
        <v>234</v>
      </c>
      <c r="BA15" s="151" t="s">
        <v>240</v>
      </c>
      <c r="BB15" s="151" t="s">
        <v>242</v>
      </c>
      <c r="BC15" s="151" t="s">
        <v>323</v>
      </c>
      <c r="BD15" s="151" t="s">
        <v>326</v>
      </c>
      <c r="BE15" s="151" t="s">
        <v>332</v>
      </c>
      <c r="BF15" s="151" t="s">
        <v>334</v>
      </c>
      <c r="BG15" s="151" t="s">
        <v>335</v>
      </c>
      <c r="BH15" s="151" t="s">
        <v>336</v>
      </c>
      <c r="BI15" s="151" t="s">
        <v>342</v>
      </c>
      <c r="BJ15" s="151" t="s">
        <v>345</v>
      </c>
      <c r="BK15" s="151" t="s">
        <v>350</v>
      </c>
    </row>
    <row r="16" spans="1:64" ht="14.25" customHeight="1" thickTop="1">
      <c r="B16" s="145"/>
      <c r="C16" s="146"/>
      <c r="D16" s="147"/>
      <c r="E16" s="147"/>
      <c r="F16" s="147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9"/>
      <c r="X16" s="148"/>
      <c r="Y16" s="148"/>
      <c r="Z16" s="148"/>
      <c r="AA16" s="148"/>
      <c r="AB16" s="149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</row>
    <row r="17" spans="2:63" ht="14.25" customHeight="1">
      <c r="B17" s="153" t="s">
        <v>7</v>
      </c>
      <c r="C17" s="154">
        <v>4377</v>
      </c>
      <c r="D17" s="154">
        <v>4771</v>
      </c>
      <c r="E17" s="154">
        <v>4620</v>
      </c>
      <c r="F17" s="154">
        <v>2672</v>
      </c>
      <c r="G17" s="154">
        <v>2446</v>
      </c>
      <c r="H17" s="154">
        <v>2792</v>
      </c>
      <c r="I17" s="154">
        <v>3323</v>
      </c>
      <c r="J17" s="154">
        <v>3180</v>
      </c>
      <c r="K17" s="154">
        <v>3580</v>
      </c>
      <c r="L17" s="154">
        <v>3910</v>
      </c>
      <c r="M17" s="154">
        <f t="shared" ref="M17:R17" si="3">SUM(M18:M21)</f>
        <v>3628</v>
      </c>
      <c r="N17" s="154">
        <f t="shared" si="3"/>
        <v>3663</v>
      </c>
      <c r="O17" s="154">
        <f t="shared" si="3"/>
        <v>4049</v>
      </c>
      <c r="P17" s="154">
        <f t="shared" si="3"/>
        <v>4178</v>
      </c>
      <c r="Q17" s="154">
        <f t="shared" si="3"/>
        <v>4210</v>
      </c>
      <c r="R17" s="154">
        <f t="shared" si="3"/>
        <v>3982</v>
      </c>
      <c r="S17" s="154">
        <f>SUM(S18:S21)</f>
        <v>4217</v>
      </c>
      <c r="T17" s="154">
        <v>4201</v>
      </c>
      <c r="U17" s="154">
        <v>3959</v>
      </c>
      <c r="V17" s="154">
        <v>3447</v>
      </c>
      <c r="W17" s="154"/>
      <c r="X17" s="154">
        <v>3682</v>
      </c>
      <c r="Y17" s="154">
        <v>4078</v>
      </c>
      <c r="Z17" s="154">
        <v>3922</v>
      </c>
      <c r="AA17" s="154">
        <f>SUM(AA18:AA21)</f>
        <v>3848</v>
      </c>
      <c r="AB17" s="154"/>
      <c r="AC17" s="154">
        <v>4150</v>
      </c>
      <c r="AD17" s="154">
        <f>SUM(AD18:AD21)</f>
        <v>4115</v>
      </c>
      <c r="AE17" s="154">
        <v>3930</v>
      </c>
      <c r="AF17" s="154">
        <v>3832</v>
      </c>
      <c r="AG17" s="154">
        <v>3823</v>
      </c>
      <c r="AH17" s="154">
        <v>3784</v>
      </c>
      <c r="AI17" s="154">
        <v>3503</v>
      </c>
      <c r="AJ17" s="154">
        <v>3304</v>
      </c>
      <c r="AK17" s="154">
        <v>3545</v>
      </c>
      <c r="AL17" s="154">
        <v>3810</v>
      </c>
      <c r="AM17" s="154">
        <v>3328</v>
      </c>
      <c r="AN17" s="154">
        <v>2934</v>
      </c>
      <c r="AO17" s="154">
        <v>3523</v>
      </c>
      <c r="AP17" s="154">
        <v>3607</v>
      </c>
      <c r="AQ17" s="154">
        <v>3518</v>
      </c>
      <c r="AR17" s="154">
        <v>3399</v>
      </c>
      <c r="AS17" s="154">
        <v>3645</v>
      </c>
      <c r="AT17" s="154">
        <v>3680</v>
      </c>
      <c r="AU17" s="154">
        <v>3593</v>
      </c>
      <c r="AV17" s="154">
        <f>SUM(AV18:AV21)</f>
        <v>2831</v>
      </c>
      <c r="AW17" s="154">
        <f>SUM(AW18:AW21)</f>
        <v>2919</v>
      </c>
      <c r="AX17" s="154">
        <f>SUM(AX18:AX21)</f>
        <v>2865.443207512069</v>
      </c>
      <c r="AY17" s="154">
        <v>2720.0710666331779</v>
      </c>
      <c r="AZ17" s="154">
        <v>2467</v>
      </c>
      <c r="BA17" s="154">
        <f>SUM(BA18:BA21)</f>
        <v>2885.8690450803997</v>
      </c>
      <c r="BB17" s="154">
        <f>SUM(BB18:BB21)</f>
        <v>2169</v>
      </c>
      <c r="BC17" s="154">
        <f>SUM(BC18:BC21)</f>
        <v>2824</v>
      </c>
      <c r="BD17" s="154">
        <f>SUM(BD18:BD21)</f>
        <v>3052.5793383150658</v>
      </c>
      <c r="BE17" s="154">
        <f>SUM(BE18:BE21)</f>
        <v>2978.7699489140368</v>
      </c>
      <c r="BF17" s="154">
        <f>[5]R04_Prod_Lam!$L$9</f>
        <v>3246.4775337826377</v>
      </c>
      <c r="BG17" s="154">
        <f>[5]R04_Prod_Lam!$L$9</f>
        <v>3246.4775337826377</v>
      </c>
      <c r="BH17" s="154">
        <f>SUM(BH18:BH21)</f>
        <v>2929.3203140165306</v>
      </c>
      <c r="BI17" s="154">
        <f>SUM(BI18:BI21)</f>
        <v>2974.7719486457254</v>
      </c>
      <c r="BJ17" s="154">
        <f>SUM(BJ18:BJ21)</f>
        <v>2982.3198932724222</v>
      </c>
      <c r="BK17" s="154">
        <f ca="1">SUM(BK18:BK21)</f>
        <v>2888.4301419301219</v>
      </c>
    </row>
    <row r="18" spans="2:63" s="7" customFormat="1" ht="14.25" customHeight="1">
      <c r="B18" s="157" t="s">
        <v>84</v>
      </c>
      <c r="C18" s="158">
        <v>1185</v>
      </c>
      <c r="D18" s="158">
        <v>1241</v>
      </c>
      <c r="E18" s="158">
        <v>1305</v>
      </c>
      <c r="F18" s="158">
        <v>920</v>
      </c>
      <c r="G18" s="158">
        <v>678</v>
      </c>
      <c r="H18" s="158">
        <v>874</v>
      </c>
      <c r="I18" s="158">
        <v>956</v>
      </c>
      <c r="J18" s="158">
        <v>1063</v>
      </c>
      <c r="K18" s="158">
        <v>1034</v>
      </c>
      <c r="L18" s="158">
        <v>1106</v>
      </c>
      <c r="M18" s="158">
        <v>1030</v>
      </c>
      <c r="N18" s="158">
        <v>996</v>
      </c>
      <c r="O18" s="158">
        <v>1105</v>
      </c>
      <c r="P18" s="158">
        <v>1182</v>
      </c>
      <c r="Q18" s="158">
        <v>1248</v>
      </c>
      <c r="R18" s="158">
        <v>1164</v>
      </c>
      <c r="S18" s="158">
        <v>1140</v>
      </c>
      <c r="T18" s="158">
        <v>1143</v>
      </c>
      <c r="U18" s="158">
        <v>1213</v>
      </c>
      <c r="V18" s="158">
        <v>1019</v>
      </c>
      <c r="W18" s="158"/>
      <c r="X18" s="158">
        <v>1069</v>
      </c>
      <c r="Y18" s="158">
        <v>1219</v>
      </c>
      <c r="Z18" s="158">
        <v>1232</v>
      </c>
      <c r="AA18" s="158">
        <v>1122</v>
      </c>
      <c r="AB18" s="158"/>
      <c r="AC18" s="158">
        <v>1287</v>
      </c>
      <c r="AD18" s="158">
        <v>1116</v>
      </c>
      <c r="AE18" s="158">
        <v>1142</v>
      </c>
      <c r="AF18" s="158">
        <v>1130</v>
      </c>
      <c r="AG18" s="158">
        <v>1134</v>
      </c>
      <c r="AH18" s="158">
        <v>1039</v>
      </c>
      <c r="AI18" s="158">
        <v>902</v>
      </c>
      <c r="AJ18" s="158">
        <v>878</v>
      </c>
      <c r="AK18" s="158">
        <v>978</v>
      </c>
      <c r="AL18" s="158">
        <v>1136</v>
      </c>
      <c r="AM18" s="158">
        <v>1130</v>
      </c>
      <c r="AN18" s="158">
        <v>851</v>
      </c>
      <c r="AO18" s="158">
        <v>1077</v>
      </c>
      <c r="AP18" s="158">
        <v>1081</v>
      </c>
      <c r="AQ18" s="158">
        <v>1058</v>
      </c>
      <c r="AR18" s="158">
        <v>1040</v>
      </c>
      <c r="AS18" s="158">
        <v>1097</v>
      </c>
      <c r="AT18" s="158">
        <v>1116</v>
      </c>
      <c r="AU18" s="158">
        <v>1197</v>
      </c>
      <c r="AV18" s="158">
        <v>1109</v>
      </c>
      <c r="AW18" s="158">
        <v>1073</v>
      </c>
      <c r="AX18" s="158">
        <v>1148.5305109999999</v>
      </c>
      <c r="AY18" s="158">
        <v>1078.3507950000001</v>
      </c>
      <c r="AZ18" s="158">
        <v>1032</v>
      </c>
      <c r="BA18" s="158">
        <v>1078.203998</v>
      </c>
      <c r="BB18" s="158">
        <v>905</v>
      </c>
      <c r="BC18" s="158">
        <v>1247</v>
      </c>
      <c r="BD18" s="158">
        <v>1333.2559719999999</v>
      </c>
      <c r="BE18" s="158">
        <v>1216.602476</v>
      </c>
      <c r="BF18" s="158">
        <v>1454.5543859999998</v>
      </c>
      <c r="BG18" s="158">
        <f>[5]R04_Prod_Lam!$L$11</f>
        <v>1451.3732789999999</v>
      </c>
      <c r="BH18" s="158">
        <f>[4]R04_Prod_Lam!$L$11</f>
        <v>1127.8427409999999</v>
      </c>
      <c r="BI18" s="158">
        <f>[1]R04_Prod_Lam!$P$11</f>
        <v>1159.2489540000001</v>
      </c>
      <c r="BJ18" s="158">
        <f>[6]R04_Prod_Lam!$L$11</f>
        <v>1233.0461540000001</v>
      </c>
      <c r="BK18" s="158">
        <f ca="1">[3]R04_Prod_Lam!$F$11</f>
        <v>1242.82673</v>
      </c>
    </row>
    <row r="19" spans="2:63" ht="14.25" customHeight="1">
      <c r="B19" s="153" t="s">
        <v>85</v>
      </c>
      <c r="C19" s="155">
        <v>2089</v>
      </c>
      <c r="D19" s="155">
        <v>2183</v>
      </c>
      <c r="E19" s="155">
        <v>2058</v>
      </c>
      <c r="F19" s="155">
        <v>881</v>
      </c>
      <c r="G19" s="155">
        <v>1094</v>
      </c>
      <c r="H19" s="155">
        <v>1103</v>
      </c>
      <c r="I19" s="155">
        <v>1387</v>
      </c>
      <c r="J19" s="155">
        <v>1051</v>
      </c>
      <c r="K19" s="155">
        <v>1425</v>
      </c>
      <c r="L19" s="155">
        <v>1508</v>
      </c>
      <c r="M19" s="155">
        <v>1405</v>
      </c>
      <c r="N19" s="155">
        <v>1421</v>
      </c>
      <c r="O19" s="155">
        <v>1623</v>
      </c>
      <c r="P19" s="155">
        <v>1598</v>
      </c>
      <c r="Q19" s="155">
        <v>1630</v>
      </c>
      <c r="R19" s="155">
        <v>1574</v>
      </c>
      <c r="S19" s="155">
        <v>1744</v>
      </c>
      <c r="T19" s="155">
        <v>1714</v>
      </c>
      <c r="U19" s="155">
        <v>1637</v>
      </c>
      <c r="V19" s="155">
        <v>1329</v>
      </c>
      <c r="W19" s="155"/>
      <c r="X19" s="155">
        <v>1385</v>
      </c>
      <c r="Y19" s="155">
        <v>1541</v>
      </c>
      <c r="Z19" s="155">
        <v>1430</v>
      </c>
      <c r="AA19" s="155">
        <v>1501</v>
      </c>
      <c r="AB19" s="155"/>
      <c r="AC19" s="155">
        <v>1630</v>
      </c>
      <c r="AD19" s="155">
        <v>1771</v>
      </c>
      <c r="AE19" s="155">
        <v>1686</v>
      </c>
      <c r="AF19" s="155">
        <v>1518</v>
      </c>
      <c r="AG19" s="155">
        <v>1559</v>
      </c>
      <c r="AH19" s="155">
        <v>1614</v>
      </c>
      <c r="AI19" s="155">
        <v>1580</v>
      </c>
      <c r="AJ19" s="155">
        <v>1403</v>
      </c>
      <c r="AK19" s="155">
        <v>1468</v>
      </c>
      <c r="AL19" s="155">
        <v>1648</v>
      </c>
      <c r="AM19" s="155">
        <v>1392</v>
      </c>
      <c r="AN19" s="155">
        <v>1232</v>
      </c>
      <c r="AO19" s="155">
        <v>1600</v>
      </c>
      <c r="AP19" s="155">
        <v>1634</v>
      </c>
      <c r="AQ19" s="155">
        <v>1610</v>
      </c>
      <c r="AR19" s="155">
        <v>1551</v>
      </c>
      <c r="AS19" s="155">
        <v>1721</v>
      </c>
      <c r="AT19" s="155">
        <v>1669</v>
      </c>
      <c r="AU19" s="155">
        <v>1606</v>
      </c>
      <c r="AV19" s="155">
        <v>1101</v>
      </c>
      <c r="AW19" s="155">
        <v>1186</v>
      </c>
      <c r="AX19" s="155">
        <v>1077.154828</v>
      </c>
      <c r="AY19" s="155">
        <v>1053.3181589999999</v>
      </c>
      <c r="AZ19" s="155">
        <v>949</v>
      </c>
      <c r="BA19" s="155">
        <v>1221.1813929</v>
      </c>
      <c r="BB19" s="155">
        <v>968</v>
      </c>
      <c r="BC19" s="155">
        <v>1075</v>
      </c>
      <c r="BD19" s="155">
        <v>1079.848518</v>
      </c>
      <c r="BE19" s="155">
        <v>1122.8009200000001</v>
      </c>
      <c r="BF19" s="155">
        <v>1172.436702</v>
      </c>
      <c r="BG19" s="155">
        <f>[5]R04_Prod_Lam!$L$41</f>
        <v>1140.2034352399999</v>
      </c>
      <c r="BH19" s="155">
        <f>[4]R04_Prod_Lam!$L$41</f>
        <v>1149.431392</v>
      </c>
      <c r="BI19" s="155">
        <f>[1]R04_Prod_Lam!$P$41</f>
        <v>1108.156056</v>
      </c>
      <c r="BJ19" s="155">
        <f>[6]R04_Prod_Lam!$L$41</f>
        <v>1041.3280399999999</v>
      </c>
      <c r="BK19" s="155">
        <f ca="1">[3]R04_Prod_Lam!$F$41</f>
        <v>1020.1999820000001</v>
      </c>
    </row>
    <row r="20" spans="2:63" s="7" customFormat="1" ht="14.25" customHeight="1">
      <c r="B20" s="157" t="s">
        <v>148</v>
      </c>
      <c r="C20" s="158">
        <v>548</v>
      </c>
      <c r="D20" s="158">
        <v>560</v>
      </c>
      <c r="E20" s="158">
        <v>512</v>
      </c>
      <c r="F20" s="158">
        <v>312</v>
      </c>
      <c r="G20" s="158">
        <v>344</v>
      </c>
      <c r="H20" s="158">
        <v>416</v>
      </c>
      <c r="I20" s="158">
        <v>469</v>
      </c>
      <c r="J20" s="158">
        <v>438</v>
      </c>
      <c r="K20" s="158">
        <v>427</v>
      </c>
      <c r="L20" s="158">
        <v>487</v>
      </c>
      <c r="M20" s="158">
        <v>440</v>
      </c>
      <c r="N20" s="158">
        <v>525</v>
      </c>
      <c r="O20" s="158">
        <v>529</v>
      </c>
      <c r="P20" s="158">
        <v>549</v>
      </c>
      <c r="Q20" s="158">
        <v>537</v>
      </c>
      <c r="R20" s="158">
        <v>523</v>
      </c>
      <c r="S20" s="158">
        <v>596</v>
      </c>
      <c r="T20" s="158">
        <v>577</v>
      </c>
      <c r="U20" s="158">
        <v>496</v>
      </c>
      <c r="V20" s="158">
        <v>444</v>
      </c>
      <c r="W20" s="158"/>
      <c r="X20" s="158">
        <v>528</v>
      </c>
      <c r="Y20" s="158">
        <v>529</v>
      </c>
      <c r="Z20" s="158">
        <v>531</v>
      </c>
      <c r="AA20" s="158">
        <v>521</v>
      </c>
      <c r="AB20" s="158"/>
      <c r="AC20" s="158">
        <v>444</v>
      </c>
      <c r="AD20" s="158">
        <v>437</v>
      </c>
      <c r="AE20" s="158">
        <v>379</v>
      </c>
      <c r="AF20" s="158">
        <v>416</v>
      </c>
      <c r="AG20" s="158">
        <v>409</v>
      </c>
      <c r="AH20" s="158">
        <v>397</v>
      </c>
      <c r="AI20" s="158">
        <v>377</v>
      </c>
      <c r="AJ20" s="158">
        <v>421</v>
      </c>
      <c r="AK20" s="158">
        <v>417</v>
      </c>
      <c r="AL20" s="158">
        <v>387</v>
      </c>
      <c r="AM20" s="158">
        <v>357</v>
      </c>
      <c r="AN20" s="158">
        <v>384</v>
      </c>
      <c r="AO20" s="158">
        <v>373</v>
      </c>
      <c r="AP20" s="158">
        <v>357</v>
      </c>
      <c r="AQ20" s="158">
        <v>270</v>
      </c>
      <c r="AR20" s="158">
        <v>265</v>
      </c>
      <c r="AS20" s="158">
        <v>277</v>
      </c>
      <c r="AT20" s="158">
        <v>250</v>
      </c>
      <c r="AU20" s="158">
        <v>156</v>
      </c>
      <c r="AV20" s="158">
        <v>177</v>
      </c>
      <c r="AW20" s="158">
        <v>165</v>
      </c>
      <c r="AX20" s="158">
        <v>188.13290336200021</v>
      </c>
      <c r="AY20" s="158">
        <v>192.47387150100019</v>
      </c>
      <c r="AZ20" s="158">
        <v>171</v>
      </c>
      <c r="BA20" s="158">
        <v>148.15144809499998</v>
      </c>
      <c r="BB20" s="158">
        <v>90</v>
      </c>
      <c r="BC20" s="158">
        <v>190</v>
      </c>
      <c r="BD20" s="158">
        <v>191.17062193266622</v>
      </c>
      <c r="BE20" s="158">
        <v>170.4632537653369</v>
      </c>
      <c r="BF20" s="158">
        <v>175.49025962387452</v>
      </c>
      <c r="BG20" s="158">
        <f>[5]R04_Prod_Lam!$L$54</f>
        <v>215.70812328363803</v>
      </c>
      <c r="BH20" s="158">
        <f>[4]R04_Prod_Lam!$L$54</f>
        <v>204.96793799243071</v>
      </c>
      <c r="BI20" s="158">
        <f>[1]R04_Prod_Lam!$P$54</f>
        <v>193.2076705053251</v>
      </c>
      <c r="BJ20" s="158">
        <f>[6]R04_Prod_Lam!$L$54</f>
        <v>209.12628742012188</v>
      </c>
      <c r="BK20" s="158">
        <f ca="1">[3]R04_Prod_Lam!$F$54</f>
        <v>197.3624006184223</v>
      </c>
    </row>
    <row r="21" spans="2:63" ht="14.25" customHeight="1">
      <c r="B21" s="153" t="s">
        <v>86</v>
      </c>
      <c r="C21" s="156">
        <v>555</v>
      </c>
      <c r="D21" s="155">
        <v>787</v>
      </c>
      <c r="E21" s="155">
        <v>745</v>
      </c>
      <c r="F21" s="155">
        <v>559</v>
      </c>
      <c r="G21" s="155">
        <v>330</v>
      </c>
      <c r="H21" s="155">
        <v>399</v>
      </c>
      <c r="I21" s="155">
        <v>511</v>
      </c>
      <c r="J21" s="155">
        <v>628</v>
      </c>
      <c r="K21" s="155">
        <v>694</v>
      </c>
      <c r="L21" s="155">
        <v>809</v>
      </c>
      <c r="M21" s="155">
        <v>753</v>
      </c>
      <c r="N21" s="155">
        <v>721</v>
      </c>
      <c r="O21" s="155">
        <v>792</v>
      </c>
      <c r="P21" s="155">
        <v>849</v>
      </c>
      <c r="Q21" s="155">
        <v>795</v>
      </c>
      <c r="R21" s="155">
        <v>721</v>
      </c>
      <c r="S21" s="155">
        <v>737</v>
      </c>
      <c r="T21" s="155">
        <v>767</v>
      </c>
      <c r="U21" s="155">
        <v>614</v>
      </c>
      <c r="V21" s="155">
        <v>655</v>
      </c>
      <c r="W21" s="155"/>
      <c r="X21" s="155">
        <v>700</v>
      </c>
      <c r="Y21" s="155">
        <v>789</v>
      </c>
      <c r="Z21" s="155">
        <v>729</v>
      </c>
      <c r="AA21" s="155">
        <v>704</v>
      </c>
      <c r="AB21" s="155"/>
      <c r="AC21" s="155">
        <v>789</v>
      </c>
      <c r="AD21" s="155">
        <v>791</v>
      </c>
      <c r="AE21" s="155">
        <v>723</v>
      </c>
      <c r="AF21" s="155">
        <v>768</v>
      </c>
      <c r="AG21" s="155">
        <v>721</v>
      </c>
      <c r="AH21" s="155">
        <v>734</v>
      </c>
      <c r="AI21" s="155">
        <v>644</v>
      </c>
      <c r="AJ21" s="155">
        <v>602</v>
      </c>
      <c r="AK21" s="155">
        <v>682</v>
      </c>
      <c r="AL21" s="155">
        <v>639</v>
      </c>
      <c r="AM21" s="155">
        <v>449</v>
      </c>
      <c r="AN21" s="155">
        <v>467</v>
      </c>
      <c r="AO21" s="155">
        <v>473</v>
      </c>
      <c r="AP21" s="155">
        <v>535</v>
      </c>
      <c r="AQ21" s="155">
        <v>580</v>
      </c>
      <c r="AR21" s="155">
        <v>543</v>
      </c>
      <c r="AS21" s="155">
        <v>550</v>
      </c>
      <c r="AT21" s="155">
        <v>644</v>
      </c>
      <c r="AU21" s="155">
        <v>634</v>
      </c>
      <c r="AV21" s="155">
        <v>444</v>
      </c>
      <c r="AW21" s="155">
        <v>495</v>
      </c>
      <c r="AX21" s="155">
        <v>451.62496515006876</v>
      </c>
      <c r="AY21" s="155">
        <v>395.92824113217813</v>
      </c>
      <c r="AZ21" s="155">
        <v>316</v>
      </c>
      <c r="BA21" s="155">
        <v>438.3322060854</v>
      </c>
      <c r="BB21" s="155">
        <v>206</v>
      </c>
      <c r="BC21" s="155">
        <v>312</v>
      </c>
      <c r="BD21" s="155">
        <v>448.30422638240003</v>
      </c>
      <c r="BE21" s="155">
        <v>468.90329914869994</v>
      </c>
      <c r="BF21" s="155">
        <v>444.93086651339996</v>
      </c>
      <c r="BG21" s="155">
        <f>[5]R04_Prod_Lam!$L$31</f>
        <v>439.192696259</v>
      </c>
      <c r="BH21" s="155">
        <f>[4]R04_Prod_Lam!$L$31</f>
        <v>447.07824302410006</v>
      </c>
      <c r="BI21" s="155">
        <f>[1]R04_Prod_Lam!$P$31</f>
        <v>514.15926814039994</v>
      </c>
      <c r="BJ21" s="155">
        <f>[6]R04_Prod_Lam!$L$31</f>
        <v>498.81941185229999</v>
      </c>
      <c r="BK21" s="155">
        <f ca="1">[3]R04_Prod_Lam!$F$31</f>
        <v>428.04102931169996</v>
      </c>
    </row>
    <row r="22" spans="2:63" ht="14.25" customHeight="1">
      <c r="B22" s="5"/>
      <c r="C22" s="6"/>
      <c r="D22" s="6"/>
      <c r="E22" s="6"/>
      <c r="F22" s="6"/>
    </row>
    <row r="23" spans="2:63">
      <c r="B23" s="5"/>
      <c r="C23" s="6"/>
      <c r="D23" s="6"/>
      <c r="E23" s="6"/>
      <c r="F23" s="6"/>
    </row>
    <row r="24" spans="2:63">
      <c r="B24" s="5"/>
      <c r="C24" s="6"/>
      <c r="D24" s="6"/>
      <c r="E24" s="6"/>
      <c r="F24" s="6"/>
    </row>
    <row r="25" spans="2:63">
      <c r="B25" s="5"/>
      <c r="C25" s="6"/>
      <c r="D25" s="6"/>
      <c r="E25" s="6"/>
      <c r="F25" s="6"/>
    </row>
    <row r="26" spans="2:63">
      <c r="B26" s="5"/>
      <c r="C26" s="6"/>
      <c r="D26" s="6"/>
      <c r="E26" s="6"/>
      <c r="F26" s="6"/>
      <c r="G26" s="4"/>
      <c r="H26" s="4"/>
    </row>
    <row r="27" spans="2:63">
      <c r="B27" s="5"/>
      <c r="C27" s="6"/>
      <c r="D27" s="6"/>
      <c r="E27" s="6"/>
      <c r="F27" s="6"/>
    </row>
    <row r="28" spans="2:63">
      <c r="B28" s="5"/>
      <c r="C28" s="6"/>
      <c r="D28" s="6"/>
      <c r="E28" s="6"/>
      <c r="F28" s="6"/>
    </row>
    <row r="29" spans="2:63">
      <c r="B29" s="5"/>
      <c r="C29" s="6"/>
      <c r="D29" s="6"/>
      <c r="E29" s="6"/>
      <c r="F29" s="6"/>
    </row>
    <row r="30" spans="2:63" s="4" customFormat="1">
      <c r="B30" s="5"/>
      <c r="C30" s="6"/>
      <c r="D30" s="6"/>
      <c r="E30" s="6"/>
      <c r="F30" s="6"/>
      <c r="G30" s="1"/>
      <c r="H30" s="1"/>
      <c r="W30" s="22"/>
      <c r="AB30" s="22"/>
    </row>
    <row r="31" spans="2:63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J52"/>
  <sheetViews>
    <sheetView showGridLines="0" zoomScaleNormal="100" workbookViewId="0">
      <selection activeCell="BI9" sqref="BI9:BI16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3" width="11.1796875" style="1" hidden="1" customWidth="1"/>
    <col min="54" max="56" width="10.54296875" style="1" hidden="1" customWidth="1"/>
    <col min="57" max="61" width="10.54296875" style="1" customWidth="1"/>
    <col min="62" max="16384" width="12.81640625" style="1"/>
  </cols>
  <sheetData>
    <row r="5" spans="1:62" s="4" customFormat="1" ht="7.5" customHeight="1">
      <c r="A5" s="1"/>
      <c r="C5" s="1"/>
      <c r="D5" s="1"/>
      <c r="E5" s="1"/>
      <c r="F5" s="1"/>
      <c r="G5" s="1"/>
      <c r="H5" s="1"/>
    </row>
    <row r="6" spans="1:62" s="4" customFormat="1" ht="14.5">
      <c r="A6" s="1"/>
      <c r="B6" s="43"/>
      <c r="C6" s="34"/>
      <c r="D6" s="34"/>
      <c r="E6" s="34"/>
      <c r="F6" s="34"/>
      <c r="G6" s="34"/>
      <c r="H6" s="34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</row>
    <row r="7" spans="1:62" s="4" customFormat="1" ht="14.25" customHeight="1" thickBot="1">
      <c r="B7" s="150" t="s">
        <v>10</v>
      </c>
      <c r="C7" s="151" t="s">
        <v>0</v>
      </c>
      <c r="D7" s="151" t="s">
        <v>3</v>
      </c>
      <c r="E7" s="151" t="s">
        <v>4</v>
      </c>
      <c r="F7" s="151" t="s">
        <v>5</v>
      </c>
      <c r="G7" s="151" t="s">
        <v>6</v>
      </c>
      <c r="H7" s="151" t="s">
        <v>11</v>
      </c>
      <c r="I7" s="151" t="s">
        <v>80</v>
      </c>
      <c r="J7" s="151" t="s">
        <v>91</v>
      </c>
      <c r="K7" s="151" t="s">
        <v>92</v>
      </c>
      <c r="L7" s="151" t="s">
        <v>93</v>
      </c>
      <c r="M7" s="151" t="s">
        <v>95</v>
      </c>
      <c r="N7" s="151" t="s">
        <v>100</v>
      </c>
      <c r="O7" s="151" t="s">
        <v>101</v>
      </c>
      <c r="P7" s="151" t="s">
        <v>102</v>
      </c>
      <c r="Q7" s="151" t="s">
        <v>103</v>
      </c>
      <c r="R7" s="151" t="s">
        <v>104</v>
      </c>
      <c r="S7" s="151" t="s">
        <v>105</v>
      </c>
      <c r="T7" s="151" t="s">
        <v>107</v>
      </c>
      <c r="U7" s="151" t="s">
        <v>114</v>
      </c>
      <c r="V7" s="151" t="s">
        <v>115</v>
      </c>
      <c r="W7" s="151" t="s">
        <v>118</v>
      </c>
      <c r="X7" s="151" t="s">
        <v>119</v>
      </c>
      <c r="Y7" s="151" t="s">
        <v>122</v>
      </c>
      <c r="Z7" s="151" t="s">
        <v>123</v>
      </c>
      <c r="AA7" s="151" t="s">
        <v>128</v>
      </c>
      <c r="AB7" s="151" t="s">
        <v>136</v>
      </c>
      <c r="AC7" s="151" t="s">
        <v>137</v>
      </c>
      <c r="AD7" s="151" t="s">
        <v>138</v>
      </c>
      <c r="AE7" s="151" t="s">
        <v>142</v>
      </c>
      <c r="AF7" s="151" t="s">
        <v>143</v>
      </c>
      <c r="AG7" s="151" t="s">
        <v>147</v>
      </c>
      <c r="AH7" s="151" t="s">
        <v>153</v>
      </c>
      <c r="AI7" s="151" t="s">
        <v>155</v>
      </c>
      <c r="AJ7" s="151" t="s">
        <v>156</v>
      </c>
      <c r="AK7" s="151" t="s">
        <v>168</v>
      </c>
      <c r="AL7" s="151" t="s">
        <v>169</v>
      </c>
      <c r="AM7" s="151" t="s">
        <v>172</v>
      </c>
      <c r="AN7" s="151" t="s">
        <v>175</v>
      </c>
      <c r="AO7" s="151" t="s">
        <v>178</v>
      </c>
      <c r="AP7" s="151" t="s">
        <v>179</v>
      </c>
      <c r="AQ7" s="151" t="s">
        <v>181</v>
      </c>
      <c r="AR7" s="151" t="s">
        <v>182</v>
      </c>
      <c r="AS7" s="151" t="s">
        <v>183</v>
      </c>
      <c r="AT7" s="151" t="s">
        <v>198</v>
      </c>
      <c r="AU7" s="151" t="s">
        <v>210</v>
      </c>
      <c r="AV7" s="151" t="s">
        <v>228</v>
      </c>
      <c r="AW7" s="151" t="s">
        <v>231</v>
      </c>
      <c r="AX7" s="151" t="s">
        <v>234</v>
      </c>
      <c r="AY7" s="151" t="s">
        <v>240</v>
      </c>
      <c r="AZ7" s="151" t="s">
        <v>242</v>
      </c>
      <c r="BA7" s="151" t="s">
        <v>323</v>
      </c>
      <c r="BB7" s="151" t="s">
        <v>326</v>
      </c>
      <c r="BC7" s="151" t="s">
        <v>332</v>
      </c>
      <c r="BD7" s="151" t="s">
        <v>334</v>
      </c>
      <c r="BE7" s="151" t="s">
        <v>335</v>
      </c>
      <c r="BF7" s="151" t="s">
        <v>336</v>
      </c>
      <c r="BG7" s="151" t="s">
        <v>342</v>
      </c>
      <c r="BH7" s="151" t="s">
        <v>345</v>
      </c>
      <c r="BI7" s="151" t="s">
        <v>350</v>
      </c>
    </row>
    <row r="8" spans="1:62" ht="14.25" customHeight="1" thickTop="1">
      <c r="B8" s="145"/>
      <c r="C8" s="146"/>
      <c r="D8" s="147"/>
      <c r="E8" s="147"/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9"/>
      <c r="W8" s="148"/>
      <c r="X8" s="148"/>
      <c r="Y8" s="148"/>
      <c r="Z8" s="149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78"/>
      <c r="AQ8" s="78"/>
      <c r="AR8" s="383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</row>
    <row r="9" spans="1:62" ht="14.25" customHeight="1">
      <c r="B9" s="153" t="s">
        <v>129</v>
      </c>
      <c r="C9" s="154">
        <v>4988</v>
      </c>
      <c r="D9" s="154">
        <v>5524</v>
      </c>
      <c r="E9" s="154">
        <v>5100</v>
      </c>
      <c r="F9" s="154">
        <v>3506</v>
      </c>
      <c r="G9" s="154">
        <v>3062</v>
      </c>
      <c r="H9" s="154">
        <v>3378</v>
      </c>
      <c r="I9" s="154">
        <v>3876</v>
      </c>
      <c r="J9" s="154">
        <v>3670</v>
      </c>
      <c r="K9" s="154">
        <v>4053</v>
      </c>
      <c r="L9" s="154">
        <v>4383</v>
      </c>
      <c r="M9" s="154">
        <f>M10+M13+M14+M15</f>
        <v>4415</v>
      </c>
      <c r="N9" s="154">
        <f>N10+N13+N14+N15</f>
        <v>4513</v>
      </c>
      <c r="O9" s="154">
        <v>4710</v>
      </c>
      <c r="P9" s="154">
        <v>4897</v>
      </c>
      <c r="Q9" s="154">
        <v>4849</v>
      </c>
      <c r="R9" s="154">
        <v>4709</v>
      </c>
      <c r="S9" s="154">
        <v>4725</v>
      </c>
      <c r="T9" s="154">
        <v>4778</v>
      </c>
      <c r="U9" s="154">
        <v>4774</v>
      </c>
      <c r="V9" s="154">
        <v>4317</v>
      </c>
      <c r="W9" s="154">
        <v>4555</v>
      </c>
      <c r="X9" s="154">
        <v>4633</v>
      </c>
      <c r="Y9" s="154">
        <v>4775</v>
      </c>
      <c r="Z9" s="154">
        <v>4556</v>
      </c>
      <c r="AA9" s="154">
        <v>4387</v>
      </c>
      <c r="AB9" s="154">
        <f>SUM(AB10,AB13,AB14,AB15,AB16)</f>
        <v>4524</v>
      </c>
      <c r="AC9" s="154">
        <v>4558</v>
      </c>
      <c r="AD9" s="154">
        <v>4399</v>
      </c>
      <c r="AE9" s="154">
        <v>4143</v>
      </c>
      <c r="AF9" s="154">
        <v>4271</v>
      </c>
      <c r="AG9" s="154">
        <v>4669</v>
      </c>
      <c r="AH9" s="154">
        <v>3887</v>
      </c>
      <c r="AI9" s="154">
        <v>3851</v>
      </c>
      <c r="AJ9" s="154">
        <v>4240</v>
      </c>
      <c r="AK9" s="154">
        <v>3668</v>
      </c>
      <c r="AL9" s="154">
        <v>3799</v>
      </c>
      <c r="AM9" s="154">
        <v>3591</v>
      </c>
      <c r="AN9" s="154">
        <v>3707</v>
      </c>
      <c r="AO9" s="154">
        <v>3865</v>
      </c>
      <c r="AP9" s="154">
        <v>3774</v>
      </c>
      <c r="AQ9" s="154">
        <v>3871</v>
      </c>
      <c r="AR9" s="380">
        <v>3834</v>
      </c>
      <c r="AS9" s="384">
        <v>3688</v>
      </c>
      <c r="AT9" s="154">
        <v>3167.2268199838913</v>
      </c>
      <c r="AU9" s="154">
        <v>2985</v>
      </c>
      <c r="AV9" s="154">
        <v>2972</v>
      </c>
      <c r="AW9" s="154">
        <v>3055.6126938803891</v>
      </c>
      <c r="AX9" s="154">
        <v>3078</v>
      </c>
      <c r="AY9" s="154">
        <f>SUM(AY10,AY13:AY16)</f>
        <v>2690.6301645328003</v>
      </c>
      <c r="AZ9" s="154">
        <f>SUM(AZ10,AZ13:AZ16)</f>
        <v>2365</v>
      </c>
      <c r="BA9" s="478">
        <f>SUM(BA10,BA13:BA16)</f>
        <v>3189</v>
      </c>
      <c r="BB9" s="154">
        <f>SUM(BB10,BB13:BB16)</f>
        <v>3217</v>
      </c>
      <c r="BC9" s="154">
        <f>SUM(BC10,BC13:BC16)</f>
        <v>3087.4467115860516</v>
      </c>
      <c r="BD9" s="154">
        <f t="shared" ref="BD9:BE9" si="0">SUM(BD10,BD13:BD16)</f>
        <v>3216.9054470047517</v>
      </c>
      <c r="BE9" s="154">
        <f t="shared" si="0"/>
        <v>3252.9222444134984</v>
      </c>
      <c r="BF9" s="154">
        <f>[4]R09_Entregas!$L$9</f>
        <v>3165.4415921517821</v>
      </c>
      <c r="BG9" s="154">
        <f>[1]R09_Entregas!$P$9</f>
        <v>3055.1579636465481</v>
      </c>
      <c r="BH9" s="154">
        <f>[7]CONSOLIDADO_TABELA!$L$82</f>
        <v>3245.2527647940506</v>
      </c>
      <c r="BI9" s="154">
        <f>[8]CONSOLIDADO_TABELA!$L$82</f>
        <v>2929.5189636377586</v>
      </c>
      <c r="BJ9" s="462"/>
    </row>
    <row r="10" spans="1:62" s="7" customFormat="1" ht="14.25" customHeight="1">
      <c r="B10" s="157" t="s">
        <v>84</v>
      </c>
      <c r="C10" s="158">
        <v>1621</v>
      </c>
      <c r="D10" s="158">
        <v>1818</v>
      </c>
      <c r="E10" s="158">
        <v>1883</v>
      </c>
      <c r="F10" s="158">
        <v>1256</v>
      </c>
      <c r="G10" s="158">
        <v>1096</v>
      </c>
      <c r="H10" s="158">
        <v>1212</v>
      </c>
      <c r="I10" s="158">
        <v>1454</v>
      </c>
      <c r="J10" s="158">
        <v>1413</v>
      </c>
      <c r="K10" s="158">
        <v>1528</v>
      </c>
      <c r="L10" s="158">
        <v>1672</v>
      </c>
      <c r="M10" s="158">
        <f>SUM(M11:M12)</f>
        <v>1635</v>
      </c>
      <c r="N10" s="158">
        <f>SUM(N11:N12)</f>
        <v>1811</v>
      </c>
      <c r="O10" s="158">
        <v>1819</v>
      </c>
      <c r="P10" s="158">
        <f>SUM(P11:P12)</f>
        <v>1958</v>
      </c>
      <c r="Q10" s="158">
        <v>1932</v>
      </c>
      <c r="R10" s="158">
        <v>1940</v>
      </c>
      <c r="S10" s="158">
        <v>1778</v>
      </c>
      <c r="T10" s="158">
        <v>1916</v>
      </c>
      <c r="U10" s="158">
        <v>1791</v>
      </c>
      <c r="V10" s="158">
        <v>1814</v>
      </c>
      <c r="W10" s="158">
        <v>1808</v>
      </c>
      <c r="X10" s="158">
        <v>1768</v>
      </c>
      <c r="Y10" s="158">
        <v>1913</v>
      </c>
      <c r="Z10" s="158">
        <v>1792</v>
      </c>
      <c r="AA10" s="158">
        <v>1597</v>
      </c>
      <c r="AB10" s="158">
        <v>1588</v>
      </c>
      <c r="AC10" s="158">
        <v>1660</v>
      </c>
      <c r="AD10" s="158">
        <v>1738</v>
      </c>
      <c r="AE10" s="158">
        <v>1557</v>
      </c>
      <c r="AF10" s="158">
        <v>1568</v>
      </c>
      <c r="AG10" s="158">
        <v>1938</v>
      </c>
      <c r="AH10" s="158">
        <v>1394</v>
      </c>
      <c r="AI10" s="158">
        <v>1422</v>
      </c>
      <c r="AJ10" s="158">
        <v>1629</v>
      </c>
      <c r="AK10" s="158">
        <v>1482</v>
      </c>
      <c r="AL10" s="158">
        <v>1536</v>
      </c>
      <c r="AM10" s="158">
        <v>1275</v>
      </c>
      <c r="AN10" s="158">
        <v>1382</v>
      </c>
      <c r="AO10" s="158">
        <v>1488</v>
      </c>
      <c r="AP10" s="158">
        <v>1462</v>
      </c>
      <c r="AQ10" s="158">
        <v>1438</v>
      </c>
      <c r="AR10" s="381">
        <v>1364</v>
      </c>
      <c r="AS10" s="158">
        <v>1422</v>
      </c>
      <c r="AT10" s="158">
        <v>1311.1079999999999</v>
      </c>
      <c r="AU10" s="158">
        <v>1357</v>
      </c>
      <c r="AV10" s="158">
        <v>1343.492</v>
      </c>
      <c r="AW10" s="158">
        <v>1414.845</v>
      </c>
      <c r="AX10" s="158">
        <v>1493</v>
      </c>
      <c r="AY10" s="158">
        <v>1117</v>
      </c>
      <c r="AZ10" s="158">
        <v>1169</v>
      </c>
      <c r="BA10" s="479">
        <v>1514</v>
      </c>
      <c r="BB10" s="158">
        <f>SUM(BB11:BB12)</f>
        <v>1419</v>
      </c>
      <c r="BC10" s="158">
        <f>SUM(BC11:BC12)</f>
        <v>1284.5630000000001</v>
      </c>
      <c r="BD10" s="158">
        <f t="shared" ref="BD10" si="1">SUM(BD11:BD12)</f>
        <v>1475.5720000000001</v>
      </c>
      <c r="BE10" s="158">
        <f t="shared" ref="BE10:BF10" si="2">SUM(BE11:BE12)</f>
        <v>1547.1679999999999</v>
      </c>
      <c r="BF10" s="158">
        <f t="shared" si="2"/>
        <v>1448.1119999999999</v>
      </c>
      <c r="BG10" s="158">
        <f>SUM(BG11:BG12)</f>
        <v>1384.029</v>
      </c>
      <c r="BH10" s="158">
        <f>SUM(BH11:BH12)</f>
        <v>1528.73</v>
      </c>
      <c r="BI10" s="158">
        <f>SUM(BI11:BI12)</f>
        <v>1330.9270000000001</v>
      </c>
      <c r="BJ10" s="463"/>
    </row>
    <row r="11" spans="1:62" ht="14.25" customHeight="1">
      <c r="B11" s="161" t="s">
        <v>131</v>
      </c>
      <c r="C11" s="155">
        <v>1175</v>
      </c>
      <c r="D11" s="155">
        <v>1284</v>
      </c>
      <c r="E11" s="155">
        <v>1396</v>
      </c>
      <c r="F11" s="155">
        <v>985</v>
      </c>
      <c r="G11" s="155">
        <v>721</v>
      </c>
      <c r="H11" s="155">
        <v>812</v>
      </c>
      <c r="I11" s="155">
        <v>1026</v>
      </c>
      <c r="J11" s="155">
        <v>1091</v>
      </c>
      <c r="K11" s="155">
        <v>1150</v>
      </c>
      <c r="L11" s="155">
        <v>1278</v>
      </c>
      <c r="M11" s="155">
        <v>1211</v>
      </c>
      <c r="N11" s="155">
        <v>1077</v>
      </c>
      <c r="O11" s="155">
        <v>1172</v>
      </c>
      <c r="P11" s="155">
        <v>1288</v>
      </c>
      <c r="Q11" s="155">
        <v>1380</v>
      </c>
      <c r="R11" s="155">
        <v>1242</v>
      </c>
      <c r="S11" s="155">
        <v>1269</v>
      </c>
      <c r="T11" s="155">
        <v>1418</v>
      </c>
      <c r="U11" s="155">
        <v>1339</v>
      </c>
      <c r="V11" s="155">
        <v>1294</v>
      </c>
      <c r="W11" s="155">
        <v>1417</v>
      </c>
      <c r="X11" s="155">
        <v>1506</v>
      </c>
      <c r="Y11" s="155">
        <v>1544</v>
      </c>
      <c r="Z11" s="155">
        <v>1417</v>
      </c>
      <c r="AA11" s="155">
        <v>1442</v>
      </c>
      <c r="AB11" s="155">
        <v>1371</v>
      </c>
      <c r="AC11" s="155">
        <v>1369</v>
      </c>
      <c r="AD11" s="155">
        <v>1357</v>
      </c>
      <c r="AE11" s="155">
        <v>1252</v>
      </c>
      <c r="AF11" s="155">
        <v>1090</v>
      </c>
      <c r="AG11" s="155">
        <v>1127</v>
      </c>
      <c r="AH11" s="155">
        <v>815</v>
      </c>
      <c r="AI11" s="155">
        <v>896</v>
      </c>
      <c r="AJ11" s="155">
        <v>1007</v>
      </c>
      <c r="AK11" s="155">
        <v>928</v>
      </c>
      <c r="AL11" s="155">
        <v>877</v>
      </c>
      <c r="AM11" s="155">
        <v>863</v>
      </c>
      <c r="AN11" s="155">
        <v>871</v>
      </c>
      <c r="AO11" s="155">
        <v>974</v>
      </c>
      <c r="AP11" s="155">
        <v>908</v>
      </c>
      <c r="AQ11" s="155">
        <v>996</v>
      </c>
      <c r="AR11" s="382">
        <v>982</v>
      </c>
      <c r="AS11" s="155">
        <v>1085</v>
      </c>
      <c r="AT11" s="155">
        <v>887.202</v>
      </c>
      <c r="AU11" s="155">
        <v>939</v>
      </c>
      <c r="AV11" s="155">
        <v>984.66099999999994</v>
      </c>
      <c r="AW11" s="155">
        <v>1031.25</v>
      </c>
      <c r="AX11" s="155">
        <v>1004</v>
      </c>
      <c r="AY11" s="155">
        <v>940</v>
      </c>
      <c r="AZ11" s="155">
        <v>930</v>
      </c>
      <c r="BA11" s="480">
        <v>1298</v>
      </c>
      <c r="BB11" s="155">
        <v>1226</v>
      </c>
      <c r="BC11" s="155">
        <v>1235.6460000000002</v>
      </c>
      <c r="BD11" s="155">
        <v>1362.8700000000001</v>
      </c>
      <c r="BE11" s="155">
        <v>1358.9549999999999</v>
      </c>
      <c r="BF11" s="155">
        <f>[4]R09_Entregas!$L$13</f>
        <v>1084.1409999999998</v>
      </c>
      <c r="BG11" s="155">
        <f>[1]R09_Entregas!$P$13</f>
        <v>1084.8579999999999</v>
      </c>
      <c r="BH11" s="155">
        <f>[7]BRASIL_TABELA!$L$14</f>
        <v>1186.143</v>
      </c>
      <c r="BI11" s="155">
        <f>[8]BRASIL_TABELA!$L$14</f>
        <v>1204.663</v>
      </c>
      <c r="BJ11" s="462"/>
    </row>
    <row r="12" spans="1:62" s="7" customFormat="1" ht="14.25" customHeight="1">
      <c r="B12" s="162" t="s">
        <v>130</v>
      </c>
      <c r="C12" s="158">
        <v>446</v>
      </c>
      <c r="D12" s="158">
        <v>534</v>
      </c>
      <c r="E12" s="158">
        <v>487</v>
      </c>
      <c r="F12" s="158">
        <v>271</v>
      </c>
      <c r="G12" s="158">
        <v>375</v>
      </c>
      <c r="H12" s="158">
        <v>400</v>
      </c>
      <c r="I12" s="158">
        <v>428</v>
      </c>
      <c r="J12" s="158">
        <v>322</v>
      </c>
      <c r="K12" s="158">
        <v>378</v>
      </c>
      <c r="L12" s="158">
        <v>394</v>
      </c>
      <c r="M12" s="158">
        <v>424</v>
      </c>
      <c r="N12" s="158">
        <v>734</v>
      </c>
      <c r="O12" s="158">
        <v>647</v>
      </c>
      <c r="P12" s="158">
        <v>670</v>
      </c>
      <c r="Q12" s="158">
        <v>552</v>
      </c>
      <c r="R12" s="158">
        <v>698</v>
      </c>
      <c r="S12" s="158">
        <v>509</v>
      </c>
      <c r="T12" s="158">
        <v>498</v>
      </c>
      <c r="U12" s="158">
        <v>452</v>
      </c>
      <c r="V12" s="158">
        <v>520</v>
      </c>
      <c r="W12" s="158">
        <v>391</v>
      </c>
      <c r="X12" s="158">
        <v>262</v>
      </c>
      <c r="Y12" s="158">
        <v>369</v>
      </c>
      <c r="Z12" s="158">
        <v>375</v>
      </c>
      <c r="AA12" s="158">
        <v>155</v>
      </c>
      <c r="AB12" s="158">
        <v>216</v>
      </c>
      <c r="AC12" s="158">
        <v>291</v>
      </c>
      <c r="AD12" s="158">
        <v>381</v>
      </c>
      <c r="AE12" s="158">
        <v>305</v>
      </c>
      <c r="AF12" s="158">
        <v>477</v>
      </c>
      <c r="AG12" s="158">
        <v>811</v>
      </c>
      <c r="AH12" s="158">
        <v>579</v>
      </c>
      <c r="AI12" s="158">
        <v>526</v>
      </c>
      <c r="AJ12" s="158">
        <v>622</v>
      </c>
      <c r="AK12" s="158">
        <v>554</v>
      </c>
      <c r="AL12" s="158">
        <v>659</v>
      </c>
      <c r="AM12" s="158">
        <v>412</v>
      </c>
      <c r="AN12" s="158">
        <v>511</v>
      </c>
      <c r="AO12" s="158">
        <v>514</v>
      </c>
      <c r="AP12" s="158">
        <v>554</v>
      </c>
      <c r="AQ12" s="158">
        <v>442</v>
      </c>
      <c r="AR12" s="381">
        <v>382</v>
      </c>
      <c r="AS12" s="158">
        <v>337</v>
      </c>
      <c r="AT12" s="158">
        <v>423.90600000000001</v>
      </c>
      <c r="AU12" s="158">
        <v>418</v>
      </c>
      <c r="AV12" s="158">
        <v>358.83100000000002</v>
      </c>
      <c r="AW12" s="158">
        <v>383.59500000000003</v>
      </c>
      <c r="AX12" s="158">
        <v>490</v>
      </c>
      <c r="AY12" s="158">
        <v>178</v>
      </c>
      <c r="AZ12" s="158">
        <v>239</v>
      </c>
      <c r="BA12" s="479">
        <v>216</v>
      </c>
      <c r="BB12" s="158">
        <v>193</v>
      </c>
      <c r="BC12" s="158">
        <v>48.917000000000002</v>
      </c>
      <c r="BD12" s="158">
        <v>112.702</v>
      </c>
      <c r="BE12" s="158">
        <v>188.21299999999999</v>
      </c>
      <c r="BF12" s="158">
        <f>[4]R09_Entregas!$L$14</f>
        <v>363.971</v>
      </c>
      <c r="BG12" s="158">
        <f>[1]R09_Entregas!$P$14</f>
        <v>299.17100000000005</v>
      </c>
      <c r="BH12" s="158">
        <f>[7]BRASIL_TABELA!$L$15</f>
        <v>342.58699999999999</v>
      </c>
      <c r="BI12" s="158">
        <f>[8]BRASIL_TABELA!$L$15</f>
        <v>126.26400000000001</v>
      </c>
      <c r="BJ12" s="463"/>
    </row>
    <row r="13" spans="1:62" ht="14.25" customHeight="1">
      <c r="B13" s="153" t="s">
        <v>85</v>
      </c>
      <c r="C13" s="156">
        <v>2210</v>
      </c>
      <c r="D13" s="155">
        <v>2298</v>
      </c>
      <c r="E13" s="155">
        <v>1912</v>
      </c>
      <c r="F13" s="155">
        <v>1221</v>
      </c>
      <c r="G13" s="155">
        <v>1080</v>
      </c>
      <c r="H13" s="155">
        <v>1239</v>
      </c>
      <c r="I13" s="155">
        <v>1410</v>
      </c>
      <c r="J13" s="155">
        <v>1206</v>
      </c>
      <c r="K13" s="155">
        <v>1345</v>
      </c>
      <c r="L13" s="155">
        <v>1449</v>
      </c>
      <c r="M13" s="155">
        <v>1506</v>
      </c>
      <c r="N13" s="155">
        <v>1442</v>
      </c>
      <c r="O13" s="155">
        <v>1644</v>
      </c>
      <c r="P13" s="155">
        <v>1681</v>
      </c>
      <c r="Q13" s="155">
        <v>1631</v>
      </c>
      <c r="R13" s="155">
        <v>1607</v>
      </c>
      <c r="S13" s="155">
        <v>1752</v>
      </c>
      <c r="T13" s="155">
        <v>1593</v>
      </c>
      <c r="U13" s="155">
        <v>1768</v>
      </c>
      <c r="V13" s="155">
        <v>1359</v>
      </c>
      <c r="W13" s="155">
        <v>1516</v>
      </c>
      <c r="X13" s="155">
        <v>1545</v>
      </c>
      <c r="Y13" s="155">
        <v>1608</v>
      </c>
      <c r="Z13" s="155">
        <v>1476</v>
      </c>
      <c r="AA13" s="155">
        <v>1556</v>
      </c>
      <c r="AB13" s="155">
        <v>1735</v>
      </c>
      <c r="AC13" s="155">
        <v>1725</v>
      </c>
      <c r="AD13" s="155">
        <v>1483</v>
      </c>
      <c r="AE13" s="155">
        <v>1487</v>
      </c>
      <c r="AF13" s="155">
        <v>1649</v>
      </c>
      <c r="AG13" s="155">
        <v>1664</v>
      </c>
      <c r="AH13" s="155">
        <v>1433</v>
      </c>
      <c r="AI13" s="155">
        <v>1522</v>
      </c>
      <c r="AJ13" s="155">
        <v>1644</v>
      </c>
      <c r="AK13" s="155">
        <v>1372</v>
      </c>
      <c r="AL13" s="155">
        <v>1428</v>
      </c>
      <c r="AM13" s="155">
        <v>1560</v>
      </c>
      <c r="AN13" s="155">
        <v>1563</v>
      </c>
      <c r="AO13" s="155">
        <v>1624</v>
      </c>
      <c r="AP13" s="155">
        <v>1566</v>
      </c>
      <c r="AQ13" s="155">
        <v>1689</v>
      </c>
      <c r="AR13" s="382">
        <v>1665</v>
      </c>
      <c r="AS13" s="155">
        <v>1532</v>
      </c>
      <c r="AT13" s="155">
        <v>1198.2963905391998</v>
      </c>
      <c r="AU13" s="155">
        <v>1076</v>
      </c>
      <c r="AV13" s="155">
        <v>1066.0017784688</v>
      </c>
      <c r="AW13" s="155">
        <v>1082.9514013152</v>
      </c>
      <c r="AX13" s="155">
        <v>1050</v>
      </c>
      <c r="AY13" s="155">
        <v>1121.6301645328001</v>
      </c>
      <c r="AZ13" s="155">
        <v>960</v>
      </c>
      <c r="BA13" s="480">
        <v>1087</v>
      </c>
      <c r="BB13" s="155">
        <v>1166</v>
      </c>
      <c r="BC13" s="155">
        <v>1123.3298585296</v>
      </c>
      <c r="BD13" s="155">
        <v>1142.8324810592001</v>
      </c>
      <c r="BE13" s="155">
        <v>1130.6821933776</v>
      </c>
      <c r="BF13" s="155">
        <f>[4]R09_Entregas!$L$41</f>
        <v>1053.7271975439999</v>
      </c>
      <c r="BG13" s="155">
        <f>[1]R09_Entregas!$P$41</f>
        <v>1094.4005621472002</v>
      </c>
      <c r="BH13" s="155">
        <f>[7]CONSOLIDADO_TABELA!$L$64</f>
        <v>1120.9107850415999</v>
      </c>
      <c r="BI13" s="155">
        <f>[8]CONSOLIDADO_TABELA!$L$64</f>
        <v>988.20072096479998</v>
      </c>
      <c r="BJ13" s="462"/>
    </row>
    <row r="14" spans="1:62" s="7" customFormat="1" ht="14.25" customHeight="1">
      <c r="B14" s="157" t="s">
        <v>148</v>
      </c>
      <c r="C14" s="158">
        <v>617</v>
      </c>
      <c r="D14" s="158">
        <v>623</v>
      </c>
      <c r="E14" s="158">
        <v>548</v>
      </c>
      <c r="F14" s="158">
        <v>444</v>
      </c>
      <c r="G14" s="158">
        <v>487</v>
      </c>
      <c r="H14" s="158">
        <v>507</v>
      </c>
      <c r="I14" s="158">
        <v>537</v>
      </c>
      <c r="J14" s="158">
        <v>483</v>
      </c>
      <c r="K14" s="158">
        <v>546</v>
      </c>
      <c r="L14" s="158">
        <v>535</v>
      </c>
      <c r="M14" s="158">
        <v>565</v>
      </c>
      <c r="N14" s="158">
        <v>565</v>
      </c>
      <c r="O14" s="158">
        <v>638</v>
      </c>
      <c r="P14" s="158">
        <v>644</v>
      </c>
      <c r="Q14" s="158">
        <v>711</v>
      </c>
      <c r="R14" s="158">
        <v>649</v>
      </c>
      <c r="S14" s="158">
        <v>671</v>
      </c>
      <c r="T14" s="158">
        <v>685</v>
      </c>
      <c r="U14" s="158">
        <v>705</v>
      </c>
      <c r="V14" s="158">
        <v>647</v>
      </c>
      <c r="W14" s="158">
        <v>646</v>
      </c>
      <c r="X14" s="158">
        <v>726</v>
      </c>
      <c r="Y14" s="158">
        <v>720</v>
      </c>
      <c r="Z14" s="158">
        <v>716</v>
      </c>
      <c r="AA14" s="158">
        <v>577</v>
      </c>
      <c r="AB14" s="158">
        <v>547</v>
      </c>
      <c r="AC14" s="158">
        <v>569</v>
      </c>
      <c r="AD14" s="158">
        <v>584</v>
      </c>
      <c r="AE14" s="158">
        <v>540</v>
      </c>
      <c r="AF14" s="158">
        <v>549</v>
      </c>
      <c r="AG14" s="158">
        <v>583</v>
      </c>
      <c r="AH14" s="158">
        <v>550</v>
      </c>
      <c r="AI14" s="158">
        <v>505</v>
      </c>
      <c r="AJ14" s="158">
        <v>532</v>
      </c>
      <c r="AK14" s="158">
        <v>516</v>
      </c>
      <c r="AL14" s="158">
        <v>535</v>
      </c>
      <c r="AM14" s="158">
        <v>489</v>
      </c>
      <c r="AN14" s="158">
        <v>441</v>
      </c>
      <c r="AO14" s="158">
        <v>409</v>
      </c>
      <c r="AP14" s="158">
        <v>383</v>
      </c>
      <c r="AQ14" s="158">
        <v>376</v>
      </c>
      <c r="AR14" s="381">
        <v>386</v>
      </c>
      <c r="AS14" s="158">
        <v>283</v>
      </c>
      <c r="AT14" s="158">
        <v>262.36187999000003</v>
      </c>
      <c r="AU14" s="158">
        <v>244</v>
      </c>
      <c r="AV14" s="158">
        <v>262.08096974199998</v>
      </c>
      <c r="AW14" s="158">
        <v>278.73856406200002</v>
      </c>
      <c r="AX14" s="158">
        <v>274</v>
      </c>
      <c r="AY14" s="158">
        <v>202</v>
      </c>
      <c r="AZ14" s="158">
        <v>128</v>
      </c>
      <c r="BA14" s="479">
        <v>300</v>
      </c>
      <c r="BB14" s="158">
        <v>331</v>
      </c>
      <c r="BC14" s="158">
        <v>296.38235331499999</v>
      </c>
      <c r="BD14" s="158">
        <v>268.14329291799999</v>
      </c>
      <c r="BE14" s="158">
        <v>317.78912209500004</v>
      </c>
      <c r="BF14" s="158">
        <f>[4]R09_Entregas!$L$54</f>
        <v>372.42230057900002</v>
      </c>
      <c r="BG14" s="158">
        <f>[1]R09_Entregas!$P$54</f>
        <v>332.43974353099998</v>
      </c>
      <c r="BH14" s="158">
        <f>[7]CONSOLIDADO_TABELA!$L$74</f>
        <v>292.46030145200001</v>
      </c>
      <c r="BI14" s="158">
        <f>[8]CONSOLIDADO_TABELA!$L$74</f>
        <v>297.302341216</v>
      </c>
      <c r="BJ14" s="463"/>
    </row>
    <row r="15" spans="1:62" ht="14.25" customHeight="1">
      <c r="B15" s="153" t="s">
        <v>86</v>
      </c>
      <c r="C15" s="156">
        <v>540</v>
      </c>
      <c r="D15" s="155">
        <v>785</v>
      </c>
      <c r="E15" s="155">
        <v>757</v>
      </c>
      <c r="F15" s="155">
        <v>585</v>
      </c>
      <c r="G15" s="155">
        <v>399</v>
      </c>
      <c r="H15" s="155">
        <v>420</v>
      </c>
      <c r="I15" s="155">
        <v>475</v>
      </c>
      <c r="J15" s="155">
        <v>568</v>
      </c>
      <c r="K15" s="155">
        <v>634</v>
      </c>
      <c r="L15" s="155">
        <v>727</v>
      </c>
      <c r="M15" s="155">
        <v>709</v>
      </c>
      <c r="N15" s="155">
        <v>695</v>
      </c>
      <c r="O15" s="155">
        <v>740</v>
      </c>
      <c r="P15" s="155">
        <v>798</v>
      </c>
      <c r="Q15" s="155">
        <v>734</v>
      </c>
      <c r="R15" s="155">
        <v>692</v>
      </c>
      <c r="S15" s="155">
        <v>698</v>
      </c>
      <c r="T15" s="155">
        <v>731</v>
      </c>
      <c r="U15" s="155">
        <v>625</v>
      </c>
      <c r="V15" s="155">
        <v>603</v>
      </c>
      <c r="W15" s="155">
        <v>667</v>
      </c>
      <c r="X15" s="155">
        <v>766</v>
      </c>
      <c r="Y15" s="155">
        <v>713</v>
      </c>
      <c r="Z15" s="155">
        <v>711</v>
      </c>
      <c r="AA15" s="155">
        <v>758</v>
      </c>
      <c r="AB15" s="155">
        <v>749</v>
      </c>
      <c r="AC15" s="155">
        <v>710</v>
      </c>
      <c r="AD15" s="155">
        <v>677</v>
      </c>
      <c r="AE15" s="155">
        <v>696</v>
      </c>
      <c r="AF15" s="155">
        <v>700</v>
      </c>
      <c r="AG15" s="155">
        <v>617</v>
      </c>
      <c r="AH15" s="155">
        <v>608</v>
      </c>
      <c r="AI15" s="155">
        <v>632</v>
      </c>
      <c r="AJ15" s="155">
        <v>595</v>
      </c>
      <c r="AK15" s="155">
        <v>437</v>
      </c>
      <c r="AL15" s="155">
        <v>439</v>
      </c>
      <c r="AM15" s="155">
        <v>441</v>
      </c>
      <c r="AN15" s="155">
        <v>512</v>
      </c>
      <c r="AO15" s="155">
        <v>525</v>
      </c>
      <c r="AP15" s="155">
        <v>498</v>
      </c>
      <c r="AQ15" s="155">
        <v>514</v>
      </c>
      <c r="AR15" s="382">
        <v>569</v>
      </c>
      <c r="AS15" s="155">
        <v>554</v>
      </c>
      <c r="AT15" s="155">
        <v>474.0456628866915</v>
      </c>
      <c r="AU15" s="155">
        <v>430</v>
      </c>
      <c r="AV15" s="155">
        <v>426.48216021046898</v>
      </c>
      <c r="AW15" s="155">
        <v>386.28148943118936</v>
      </c>
      <c r="AX15" s="155">
        <v>343</v>
      </c>
      <c r="AY15" s="155">
        <v>329</v>
      </c>
      <c r="AZ15" s="155">
        <v>176</v>
      </c>
      <c r="BA15" s="480">
        <v>338</v>
      </c>
      <c r="BB15" s="155">
        <v>407</v>
      </c>
      <c r="BC15" s="155">
        <v>425.17149974145207</v>
      </c>
      <c r="BD15" s="155">
        <v>417.35767302755136</v>
      </c>
      <c r="BE15" s="155">
        <v>408.31365853289913</v>
      </c>
      <c r="BF15" s="155">
        <f>[4]R09_Entregas!$L$31</f>
        <v>403.55635564478229</v>
      </c>
      <c r="BG15" s="155">
        <f>[1]R09_Entregas!$P$31</f>
        <v>418.01790396834826</v>
      </c>
      <c r="BH15" s="155">
        <f>[7]CONSOLIDADO_TABELA!$L$68</f>
        <v>434.92525830045082</v>
      </c>
      <c r="BI15" s="155">
        <f>[8]CONSOLIDADO_TABELA!$L$68</f>
        <v>402.73731545695853</v>
      </c>
      <c r="BJ15" s="462"/>
    </row>
    <row r="16" spans="1:62" s="7" customFormat="1" ht="14.25" customHeight="1">
      <c r="B16" s="157" t="s">
        <v>106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>
        <v>-131</v>
      </c>
      <c r="P16" s="158">
        <v>-184</v>
      </c>
      <c r="Q16" s="158">
        <v>-159</v>
      </c>
      <c r="R16" s="158">
        <v>-179</v>
      </c>
      <c r="S16" s="158">
        <v>-174</v>
      </c>
      <c r="T16" s="158">
        <v>-147</v>
      </c>
      <c r="U16" s="158">
        <v>-115</v>
      </c>
      <c r="V16" s="158">
        <v>-106</v>
      </c>
      <c r="W16" s="158">
        <v>-82</v>
      </c>
      <c r="X16" s="158">
        <v>-171</v>
      </c>
      <c r="Y16" s="158">
        <v>-179</v>
      </c>
      <c r="Z16" s="158">
        <v>-138</v>
      </c>
      <c r="AA16" s="158">
        <v>-101</v>
      </c>
      <c r="AB16" s="158">
        <v>-95</v>
      </c>
      <c r="AC16" s="158">
        <v>-106</v>
      </c>
      <c r="AD16" s="158">
        <v>-83</v>
      </c>
      <c r="AE16" s="158">
        <v>-137</v>
      </c>
      <c r="AF16" s="158">
        <v>-195</v>
      </c>
      <c r="AG16" s="158">
        <v>-133</v>
      </c>
      <c r="AH16" s="158">
        <v>-98</v>
      </c>
      <c r="AI16" s="158">
        <v>-230</v>
      </c>
      <c r="AJ16" s="158">
        <v>-160</v>
      </c>
      <c r="AK16" s="158">
        <v>-139</v>
      </c>
      <c r="AL16" s="158">
        <v>-139</v>
      </c>
      <c r="AM16" s="158">
        <v>-174</v>
      </c>
      <c r="AN16" s="158">
        <v>-191</v>
      </c>
      <c r="AO16" s="158">
        <v>-181</v>
      </c>
      <c r="AP16" s="158">
        <v>-135</v>
      </c>
      <c r="AQ16" s="158">
        <v>-146</v>
      </c>
      <c r="AR16" s="381">
        <v>-151</v>
      </c>
      <c r="AS16" s="158">
        <v>-103</v>
      </c>
      <c r="AT16" s="158">
        <f>AT9-AT10-AT13-AT14-AT15</f>
        <v>-78.585113431999957</v>
      </c>
      <c r="AU16" s="158">
        <v>-122</v>
      </c>
      <c r="AV16" s="158">
        <v>-126.056908421269</v>
      </c>
      <c r="AW16" s="158">
        <v>-107</v>
      </c>
      <c r="AX16" s="158">
        <v>-82</v>
      </c>
      <c r="AY16" s="158">
        <v>-79</v>
      </c>
      <c r="AZ16" s="158">
        <v>-68</v>
      </c>
      <c r="BA16" s="479">
        <v>-50</v>
      </c>
      <c r="BB16" s="158">
        <v>-106</v>
      </c>
      <c r="BC16" s="158">
        <v>-42</v>
      </c>
      <c r="BD16" s="158">
        <v>-87</v>
      </c>
      <c r="BE16" s="158">
        <v>-151.03072959200017</v>
      </c>
      <c r="BF16" s="158">
        <f>BF9-BF10-BF13-BF14-BF15</f>
        <v>-112.37626161599997</v>
      </c>
      <c r="BG16" s="158">
        <f>BG9-BG10-BG13-BG14-BG15</f>
        <v>-173.72924600000033</v>
      </c>
      <c r="BH16" s="158">
        <f>BH9-BH10-BH13-BH14-BH15</f>
        <v>-131.77358000000015</v>
      </c>
      <c r="BI16" s="158">
        <f>BI9-BI10-BI13-BI14-BI15</f>
        <v>-89.648414000000059</v>
      </c>
      <c r="BJ16" s="463"/>
    </row>
    <row r="17" spans="1:51" ht="14.5">
      <c r="B17" s="36"/>
      <c r="C17" s="47"/>
      <c r="D17" s="47"/>
      <c r="E17" s="47"/>
      <c r="F17" s="47"/>
      <c r="G17" s="47"/>
      <c r="H17" s="50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17"/>
      <c r="AM17" s="17"/>
      <c r="AO17" s="6"/>
    </row>
    <row r="18" spans="1:51" ht="14.5">
      <c r="A18" s="6"/>
      <c r="B18" s="53"/>
      <c r="C18" s="53"/>
      <c r="D18" s="53"/>
      <c r="E18" s="53"/>
      <c r="F18" s="53"/>
      <c r="G18" s="53"/>
      <c r="H18" s="53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52"/>
      <c r="AL18" s="75"/>
    </row>
    <row r="19" spans="1:51" ht="16.5" thickBot="1">
      <c r="A19" s="6"/>
      <c r="B19" s="163" t="s">
        <v>71</v>
      </c>
      <c r="C19" s="335" t="s">
        <v>32</v>
      </c>
      <c r="D19" s="54"/>
      <c r="E19" s="330"/>
      <c r="F19" s="331"/>
      <c r="G19" s="331"/>
      <c r="H19" s="328"/>
      <c r="I19" s="331"/>
      <c r="J19" s="330"/>
      <c r="K19" s="331"/>
      <c r="L19" s="331"/>
      <c r="M19" s="328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</row>
    <row r="20" spans="1:51" ht="16">
      <c r="A20" s="6"/>
      <c r="B20" s="160" t="s">
        <v>328</v>
      </c>
      <c r="C20" s="334">
        <v>35</v>
      </c>
      <c r="D20" s="54"/>
      <c r="E20" s="330"/>
      <c r="F20" s="330"/>
      <c r="G20" s="331"/>
      <c r="H20" s="332"/>
      <c r="I20" s="331"/>
      <c r="J20" s="330"/>
      <c r="K20" s="330"/>
      <c r="L20" s="331"/>
      <c r="M20" s="332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55"/>
      <c r="AJ20" s="34"/>
      <c r="AK20" s="34"/>
    </row>
    <row r="21" spans="1:51" ht="16" customHeight="1">
      <c r="A21" s="6"/>
      <c r="B21" s="159" t="s">
        <v>329</v>
      </c>
      <c r="C21" s="333">
        <v>25</v>
      </c>
      <c r="D21" s="54"/>
      <c r="E21" s="330"/>
      <c r="F21" s="331"/>
      <c r="G21" s="331"/>
      <c r="H21" s="332"/>
      <c r="I21" s="331"/>
      <c r="J21" s="330"/>
      <c r="K21" s="331"/>
      <c r="L21" s="331"/>
      <c r="M21" s="332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</row>
    <row r="22" spans="1:51" ht="16">
      <c r="A22" s="6"/>
      <c r="B22" s="160" t="s">
        <v>330</v>
      </c>
      <c r="C22" s="334">
        <v>40</v>
      </c>
      <c r="D22" s="54"/>
      <c r="E22" s="330"/>
      <c r="F22" s="331"/>
      <c r="G22" s="331"/>
      <c r="H22" s="332"/>
      <c r="I22" s="331"/>
      <c r="J22" s="330"/>
      <c r="K22" s="331"/>
      <c r="L22" s="331"/>
      <c r="M22" s="332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O22" s="2"/>
    </row>
    <row r="23" spans="1:51" s="2" customFormat="1" ht="16">
      <c r="A23" s="326"/>
      <c r="B23" s="327"/>
      <c r="D23" s="329"/>
      <c r="E23" s="330"/>
      <c r="F23" s="331"/>
      <c r="G23" s="331"/>
      <c r="H23" s="332"/>
      <c r="I23" s="331"/>
      <c r="J23" s="330"/>
      <c r="K23" s="331"/>
      <c r="L23" s="331"/>
      <c r="M23" s="332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O23" s="1"/>
      <c r="AQ23" s="1"/>
      <c r="AR23" s="1"/>
      <c r="AS23" s="1"/>
      <c r="AT23" s="1"/>
      <c r="AU23" s="1"/>
      <c r="AY23" s="1"/>
    </row>
    <row r="24" spans="1:51" s="2" customFormat="1" ht="16.5" thickBot="1">
      <c r="A24" s="326"/>
      <c r="B24" s="163" t="s">
        <v>72</v>
      </c>
      <c r="C24" s="335" t="s">
        <v>32</v>
      </c>
      <c r="D24" s="54"/>
      <c r="E24" s="330"/>
      <c r="F24" s="331"/>
      <c r="G24" s="331"/>
      <c r="H24" s="328"/>
      <c r="I24" s="331"/>
      <c r="J24" s="330"/>
      <c r="K24" s="331"/>
      <c r="L24" s="331"/>
      <c r="M24" s="328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1"/>
      <c r="AM24" s="1"/>
      <c r="AN24" s="1"/>
      <c r="AO24" s="1"/>
      <c r="AQ24" s="1"/>
      <c r="AR24" s="1"/>
      <c r="AS24" s="1"/>
      <c r="AT24" s="1"/>
      <c r="AU24" s="1"/>
      <c r="AY24" s="1"/>
    </row>
    <row r="25" spans="1:51" s="2" customFormat="1" ht="16">
      <c r="A25" s="326"/>
      <c r="B25" s="160" t="s">
        <v>208</v>
      </c>
      <c r="C25" s="334">
        <v>30</v>
      </c>
      <c r="D25" s="54"/>
      <c r="E25" s="330"/>
      <c r="F25" s="330"/>
      <c r="G25" s="331"/>
      <c r="H25" s="332"/>
      <c r="I25" s="331"/>
      <c r="J25" s="330"/>
      <c r="K25" s="330"/>
      <c r="L25" s="331"/>
      <c r="M25" s="332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5"/>
      <c r="AJ25" s="59"/>
      <c r="AK25" s="59"/>
      <c r="AL25" s="1"/>
      <c r="AM25" s="1"/>
      <c r="AN25" s="1"/>
      <c r="AO25" s="1"/>
      <c r="AQ25" s="1"/>
      <c r="AR25" s="1"/>
      <c r="AS25" s="1"/>
      <c r="AT25" s="1"/>
      <c r="AU25" s="1"/>
      <c r="AY25" s="1"/>
    </row>
    <row r="26" spans="1:51" s="2" customFormat="1" ht="16">
      <c r="A26" s="326"/>
      <c r="B26" s="159" t="s">
        <v>33</v>
      </c>
      <c r="C26" s="333">
        <v>30</v>
      </c>
      <c r="D26" s="54"/>
      <c r="E26" s="330"/>
      <c r="F26" s="331"/>
      <c r="G26" s="331"/>
      <c r="H26" s="332"/>
      <c r="I26" s="331"/>
      <c r="J26" s="330"/>
      <c r="K26" s="331"/>
      <c r="L26" s="331"/>
      <c r="M26" s="332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1"/>
      <c r="AM26" s="1"/>
      <c r="AN26" s="1"/>
      <c r="AO26" s="1"/>
      <c r="AQ26" s="1"/>
      <c r="AR26" s="1"/>
      <c r="AS26" s="1"/>
      <c r="AT26" s="1"/>
      <c r="AU26" s="1"/>
      <c r="AY26" s="1"/>
    </row>
    <row r="27" spans="1:51" s="2" customFormat="1" ht="16">
      <c r="A27" s="326"/>
      <c r="B27" s="327"/>
      <c r="D27" s="329"/>
      <c r="E27" s="330"/>
      <c r="F27" s="331"/>
      <c r="G27" s="331"/>
      <c r="H27" s="332"/>
      <c r="I27" s="331"/>
      <c r="J27" s="330"/>
      <c r="K27" s="331"/>
      <c r="L27" s="331"/>
      <c r="M27" s="332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O27" s="1"/>
      <c r="AQ27" s="1"/>
      <c r="AR27" s="1"/>
      <c r="AS27" s="1"/>
      <c r="AT27" s="1"/>
      <c r="AU27" s="1"/>
      <c r="AY27" s="1"/>
    </row>
    <row r="28" spans="1:51" ht="16.5" thickBot="1">
      <c r="A28" s="6"/>
      <c r="B28" s="163" t="s">
        <v>124</v>
      </c>
      <c r="C28" s="335" t="s">
        <v>32</v>
      </c>
      <c r="D28" s="54"/>
      <c r="E28" s="330"/>
      <c r="F28" s="331"/>
      <c r="G28" s="331"/>
      <c r="H28" s="328"/>
      <c r="I28" s="331"/>
      <c r="J28" s="330"/>
      <c r="K28" s="331"/>
      <c r="L28" s="331"/>
      <c r="M28" s="328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</row>
    <row r="29" spans="1:51" ht="16">
      <c r="A29" s="6"/>
      <c r="B29" s="160" t="s">
        <v>125</v>
      </c>
      <c r="C29" s="334">
        <v>40</v>
      </c>
      <c r="D29" s="54"/>
      <c r="E29" s="330"/>
      <c r="F29" s="330"/>
      <c r="G29" s="331"/>
      <c r="H29" s="332"/>
      <c r="I29" s="331"/>
      <c r="J29" s="330"/>
      <c r="K29" s="330"/>
      <c r="L29" s="331"/>
      <c r="M29" s="332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5"/>
      <c r="AJ29" s="59"/>
      <c r="AK29" s="59"/>
    </row>
    <row r="30" spans="1:51" ht="16">
      <c r="A30" s="6"/>
      <c r="B30" s="159" t="s">
        <v>126</v>
      </c>
      <c r="C30" s="333">
        <v>40</v>
      </c>
      <c r="D30" s="54"/>
      <c r="E30" s="330"/>
      <c r="F30" s="331"/>
      <c r="G30" s="331"/>
      <c r="H30" s="332"/>
      <c r="I30" s="331"/>
      <c r="J30" s="330"/>
      <c r="K30" s="331"/>
      <c r="L30" s="331"/>
      <c r="M30" s="332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</row>
    <row r="31" spans="1:51" ht="16">
      <c r="A31" s="6"/>
      <c r="B31" s="160" t="s">
        <v>127</v>
      </c>
      <c r="C31" s="334">
        <v>20</v>
      </c>
      <c r="D31" s="54"/>
      <c r="E31" s="330"/>
      <c r="F31" s="331"/>
      <c r="G31" s="331"/>
      <c r="H31" s="328"/>
      <c r="I31" s="331"/>
      <c r="J31" s="330"/>
      <c r="K31" s="331"/>
      <c r="L31" s="331"/>
      <c r="M31" s="328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</row>
    <row r="32" spans="1:51" ht="14.5">
      <c r="A32" s="6"/>
      <c r="B32" s="57"/>
      <c r="C32" s="58"/>
      <c r="D32" s="54"/>
      <c r="E32" s="36"/>
      <c r="F32" s="59"/>
      <c r="G32" s="59"/>
      <c r="H32" s="56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</row>
    <row r="33" spans="1:60" ht="14.5">
      <c r="A33" s="6"/>
      <c r="B33" s="338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28"/>
      <c r="Q33" s="328"/>
      <c r="R33" s="328"/>
      <c r="S33" s="328"/>
      <c r="T33" s="328"/>
      <c r="U33" s="328"/>
      <c r="V33" s="328"/>
    </row>
    <row r="34" spans="1:60" ht="16.5" thickBot="1">
      <c r="A34" s="6"/>
      <c r="B34" s="339" t="s">
        <v>99</v>
      </c>
      <c r="C34" s="340"/>
      <c r="D34" s="340"/>
      <c r="E34" s="340"/>
      <c r="F34" s="340"/>
      <c r="G34" s="340"/>
      <c r="H34" s="340"/>
      <c r="I34" s="340"/>
      <c r="J34" s="340"/>
      <c r="K34" s="340"/>
      <c r="L34" s="460"/>
      <c r="M34" s="460"/>
      <c r="N34" s="460"/>
      <c r="O34" s="460"/>
      <c r="P34" s="328"/>
      <c r="Q34" s="328"/>
      <c r="R34" s="328"/>
      <c r="S34" s="328"/>
      <c r="T34" s="328"/>
      <c r="U34" s="328"/>
      <c r="V34" s="328"/>
    </row>
    <row r="35" spans="1:60" ht="16">
      <c r="A35" s="6"/>
      <c r="B35" s="157" t="s">
        <v>195</v>
      </c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28"/>
      <c r="Q35" s="328"/>
      <c r="R35" s="328"/>
      <c r="S35" s="328"/>
      <c r="T35" s="328"/>
      <c r="U35" s="328"/>
      <c r="V35" s="328"/>
      <c r="BE35" s="157"/>
      <c r="BF35" s="157"/>
      <c r="BG35" s="157"/>
      <c r="BH35" s="157"/>
    </row>
    <row r="36" spans="1:60" ht="15.75" customHeight="1">
      <c r="A36" s="6"/>
      <c r="B36" s="159" t="s">
        <v>209</v>
      </c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28"/>
      <c r="Q36" s="328"/>
      <c r="R36" s="328"/>
      <c r="S36" s="328"/>
      <c r="T36" s="328"/>
      <c r="U36" s="328"/>
      <c r="V36" s="328"/>
      <c r="BE36" s="159"/>
      <c r="BF36" s="159"/>
      <c r="BG36" s="159"/>
      <c r="BH36" s="159"/>
    </row>
    <row r="37" spans="1:60" ht="15.75" customHeight="1">
      <c r="A37" s="6"/>
      <c r="B37" s="157" t="s">
        <v>196</v>
      </c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28"/>
      <c r="Q37" s="328"/>
      <c r="R37" s="328"/>
      <c r="S37" s="328"/>
      <c r="T37" s="328"/>
      <c r="U37" s="328"/>
      <c r="V37" s="328"/>
      <c r="BE37" s="157"/>
      <c r="BF37" s="157"/>
      <c r="BG37" s="157"/>
      <c r="BH37" s="157"/>
    </row>
    <row r="38" spans="1:60" ht="14.5" customHeight="1">
      <c r="A38" s="6"/>
      <c r="B38" s="159" t="s">
        <v>197</v>
      </c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28"/>
      <c r="Q38" s="328"/>
      <c r="R38" s="328"/>
      <c r="S38" s="328"/>
      <c r="T38" s="328"/>
      <c r="U38" s="328"/>
      <c r="V38" s="328"/>
      <c r="BE38" s="159"/>
      <c r="BF38" s="159"/>
      <c r="BG38" s="159"/>
      <c r="BH38" s="159"/>
    </row>
    <row r="39" spans="1:60" ht="14.5">
      <c r="A39" s="6"/>
      <c r="B39" s="54"/>
      <c r="C39" s="54"/>
      <c r="D39" s="5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</row>
    <row r="40" spans="1:60" ht="14.5">
      <c r="A40" s="6"/>
      <c r="B40" s="54"/>
      <c r="C40" s="54"/>
      <c r="D40" s="5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60" ht="14.5">
      <c r="A41" s="6"/>
      <c r="B41" s="54"/>
      <c r="C41" s="54"/>
      <c r="D41" s="5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</row>
    <row r="42" spans="1:60">
      <c r="A42" s="6"/>
      <c r="B42" s="6"/>
      <c r="C42" s="6"/>
      <c r="D42" s="6"/>
    </row>
    <row r="43" spans="1:60">
      <c r="A43" s="6"/>
      <c r="B43" s="6"/>
      <c r="C43" s="6"/>
      <c r="D43" s="6"/>
    </row>
    <row r="44" spans="1:60">
      <c r="A44" s="6"/>
      <c r="B44" s="6"/>
      <c r="C44" s="6"/>
      <c r="D44" s="6"/>
    </row>
    <row r="45" spans="1:60">
      <c r="A45" s="6"/>
      <c r="B45" s="6"/>
      <c r="C45" s="6"/>
      <c r="D45" s="6"/>
    </row>
    <row r="46" spans="1:60">
      <c r="A46" s="6"/>
      <c r="B46" s="6"/>
      <c r="C46" s="6"/>
      <c r="D46" s="6"/>
    </row>
    <row r="47" spans="1:60">
      <c r="A47" s="6"/>
      <c r="B47" s="6"/>
      <c r="C47" s="6"/>
      <c r="D47" s="6"/>
    </row>
    <row r="48" spans="1:60">
      <c r="A48" s="6"/>
      <c r="B48" s="6"/>
      <c r="C48" s="6"/>
      <c r="D48" s="6"/>
    </row>
    <row r="49" spans="1:4" ht="12.75" customHeight="1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ignoredErrors>
    <ignoredError sqref="M10:N10 P10 BB10:BC10 BB9 BC9:BE9 BD10:BE10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N24"/>
  <sheetViews>
    <sheetView showGridLines="0" zoomScaleNormal="100" workbookViewId="0">
      <selection activeCell="BN8" sqref="BN8:BN13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8" hidden="1" customWidth="1"/>
    <col min="39" max="42" width="9.1796875" style="1" hidden="1" customWidth="1"/>
    <col min="43" max="43" width="3.81640625" style="18" hidden="1" customWidth="1"/>
    <col min="44" max="59" width="9.1796875" style="1" hidden="1" customWidth="1"/>
    <col min="60" max="60" width="0" style="1" hidden="1" customWidth="1"/>
    <col min="61" max="61" width="9.81640625" style="1" hidden="1" customWidth="1"/>
    <col min="62" max="66" width="9.81640625" style="1" customWidth="1"/>
    <col min="67" max="16384" width="9.1796875" style="1"/>
  </cols>
  <sheetData>
    <row r="4" spans="2:66" ht="29.25" customHeight="1"/>
    <row r="5" spans="2:66" ht="14.25" customHeight="1">
      <c r="B5" s="61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51"/>
      <c r="AM5" s="34"/>
      <c r="AN5" s="34"/>
      <c r="AO5" s="34"/>
      <c r="AP5" s="34"/>
      <c r="AQ5" s="51"/>
      <c r="AR5" s="34"/>
      <c r="AS5" s="34"/>
      <c r="AT5" s="34"/>
      <c r="AU5" s="34"/>
    </row>
    <row r="6" spans="2:66" ht="14.25" customHeight="1" thickBot="1">
      <c r="B6" s="488" t="s">
        <v>12</v>
      </c>
      <c r="C6" s="488"/>
      <c r="D6" s="164" t="s">
        <v>0</v>
      </c>
      <c r="E6" s="164" t="s">
        <v>3</v>
      </c>
      <c r="F6" s="164" t="s">
        <v>4</v>
      </c>
      <c r="G6" s="164" t="s">
        <v>5</v>
      </c>
      <c r="H6" s="164" t="s">
        <v>6</v>
      </c>
      <c r="I6" s="164" t="s">
        <v>11</v>
      </c>
      <c r="J6" s="164" t="s">
        <v>80</v>
      </c>
      <c r="K6" s="164" t="s">
        <v>91</v>
      </c>
      <c r="L6" s="164" t="s">
        <v>92</v>
      </c>
      <c r="M6" s="164" t="s">
        <v>93</v>
      </c>
      <c r="N6" s="164" t="s">
        <v>95</v>
      </c>
      <c r="O6" s="164" t="s">
        <v>100</v>
      </c>
      <c r="P6" s="164" t="s">
        <v>101</v>
      </c>
      <c r="Q6" s="164" t="s">
        <v>102</v>
      </c>
      <c r="R6" s="164" t="s">
        <v>103</v>
      </c>
      <c r="S6" s="164" t="s">
        <v>104</v>
      </c>
      <c r="T6" s="164" t="s">
        <v>105</v>
      </c>
      <c r="U6" s="164" t="s">
        <v>107</v>
      </c>
      <c r="V6" s="164" t="s">
        <v>114</v>
      </c>
      <c r="W6" s="164" t="str">
        <f>W16</f>
        <v>4T12</v>
      </c>
      <c r="X6" s="165"/>
      <c r="Y6" s="164" t="str">
        <f>Y16</f>
        <v>1T13</v>
      </c>
      <c r="Z6" s="164" t="s">
        <v>119</v>
      </c>
      <c r="AA6" s="164" t="s">
        <v>122</v>
      </c>
      <c r="AB6" s="164" t="s">
        <v>123</v>
      </c>
      <c r="AC6" s="164" t="s">
        <v>128</v>
      </c>
      <c r="AD6" s="164" t="str">
        <f>AD16</f>
        <v>2T14</v>
      </c>
      <c r="AE6" s="166" t="s">
        <v>137</v>
      </c>
      <c r="AF6" s="166" t="s">
        <v>138</v>
      </c>
      <c r="AG6" s="166"/>
      <c r="AH6" s="166" t="s">
        <v>142</v>
      </c>
      <c r="AI6" s="166" t="s">
        <v>143</v>
      </c>
      <c r="AJ6" s="166" t="s">
        <v>147</v>
      </c>
      <c r="AK6" s="166" t="s">
        <v>153</v>
      </c>
      <c r="AL6" s="166"/>
      <c r="AM6" s="166" t="s">
        <v>155</v>
      </c>
      <c r="AN6" s="166" t="s">
        <v>156</v>
      </c>
      <c r="AO6" s="166" t="s">
        <v>168</v>
      </c>
      <c r="AP6" s="166" t="s">
        <v>169</v>
      </c>
      <c r="AQ6" s="166"/>
      <c r="AR6" s="166" t="s">
        <v>172</v>
      </c>
      <c r="AS6" s="166" t="str">
        <f>AS16</f>
        <v>2T17</v>
      </c>
      <c r="AT6" s="166" t="str">
        <f>AT16</f>
        <v>3T17</v>
      </c>
      <c r="AU6" s="166" t="str">
        <f>AU16</f>
        <v>4T17</v>
      </c>
      <c r="AV6" s="166" t="s">
        <v>181</v>
      </c>
      <c r="AW6" s="166" t="s">
        <v>182</v>
      </c>
      <c r="AX6" s="166" t="s">
        <v>183</v>
      </c>
      <c r="AY6" s="166" t="str">
        <f>AY16</f>
        <v>4T18</v>
      </c>
      <c r="AZ6" s="166" t="s">
        <v>210</v>
      </c>
      <c r="BA6" s="166" t="s">
        <v>228</v>
      </c>
      <c r="BB6" s="166" t="s">
        <v>231</v>
      </c>
      <c r="BC6" s="166" t="s">
        <v>234</v>
      </c>
      <c r="BD6" s="166" t="s">
        <v>240</v>
      </c>
      <c r="BE6" s="166" t="s">
        <v>242</v>
      </c>
      <c r="BF6" s="166" t="s">
        <v>323</v>
      </c>
      <c r="BG6" s="166" t="s">
        <v>326</v>
      </c>
      <c r="BH6" s="166" t="s">
        <v>332</v>
      </c>
      <c r="BI6" s="166" t="s">
        <v>334</v>
      </c>
      <c r="BJ6" s="166" t="s">
        <v>335</v>
      </c>
      <c r="BK6" s="166" t="s">
        <v>336</v>
      </c>
      <c r="BL6" s="166" t="s">
        <v>342</v>
      </c>
      <c r="BM6" s="166" t="s">
        <v>345</v>
      </c>
      <c r="BN6" s="166" t="s">
        <v>350</v>
      </c>
    </row>
    <row r="7" spans="2:66" ht="14.25" customHeight="1" thickTop="1">
      <c r="B7" s="175" t="s">
        <v>81</v>
      </c>
      <c r="C7" s="71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59"/>
      <c r="Y7" s="42"/>
      <c r="Z7" s="42"/>
      <c r="AA7" s="42"/>
      <c r="AB7" s="42"/>
      <c r="AC7" s="42"/>
      <c r="AD7" s="42"/>
      <c r="AE7" s="42"/>
      <c r="AF7" s="42"/>
      <c r="AG7" s="59"/>
      <c r="AH7" s="42"/>
      <c r="AI7" s="42"/>
      <c r="AJ7" s="42"/>
      <c r="AK7" s="42"/>
      <c r="AL7" s="33"/>
      <c r="AM7" s="42"/>
      <c r="AN7" s="42"/>
      <c r="AO7" s="42"/>
      <c r="AP7" s="42"/>
      <c r="AQ7" s="33"/>
      <c r="AR7" s="42"/>
      <c r="AS7" s="42"/>
      <c r="AT7" s="42"/>
      <c r="AU7" s="42"/>
      <c r="AV7" s="42"/>
      <c r="AW7" s="42"/>
      <c r="AX7" s="42"/>
      <c r="AY7" s="42"/>
      <c r="AZ7" s="42"/>
      <c r="BA7" s="42"/>
    </row>
    <row r="8" spans="2:66" ht="14.25" customHeight="1">
      <c r="B8" s="157" t="s">
        <v>7</v>
      </c>
      <c r="C8" s="167"/>
      <c r="D8" s="167">
        <v>482.9</v>
      </c>
      <c r="E8" s="167">
        <v>627.9</v>
      </c>
      <c r="F8" s="167">
        <v>623.6</v>
      </c>
      <c r="G8" s="167">
        <v>845</v>
      </c>
      <c r="H8" s="167">
        <v>558.70000000000005</v>
      </c>
      <c r="I8" s="167">
        <v>313</v>
      </c>
      <c r="J8" s="167">
        <v>231.7</v>
      </c>
      <c r="K8" s="167">
        <v>276</v>
      </c>
      <c r="L8" s="168">
        <v>233.3</v>
      </c>
      <c r="M8" s="167">
        <v>220</v>
      </c>
      <c r="N8" s="167">
        <v>298</v>
      </c>
      <c r="O8" s="167">
        <v>537</v>
      </c>
      <c r="P8" s="167">
        <v>333</v>
      </c>
      <c r="Q8" s="167">
        <v>340</v>
      </c>
      <c r="R8" s="167">
        <v>614</v>
      </c>
      <c r="S8" s="167">
        <v>674</v>
      </c>
      <c r="T8" s="167">
        <f>SUM(T9:T12)</f>
        <v>691</v>
      </c>
      <c r="U8" s="167">
        <v>850</v>
      </c>
      <c r="V8" s="167">
        <v>904</v>
      </c>
      <c r="W8" s="167">
        <v>683</v>
      </c>
      <c r="X8" s="169"/>
      <c r="Y8" s="168">
        <v>571</v>
      </c>
      <c r="Z8" s="168">
        <v>678</v>
      </c>
      <c r="AA8" s="168">
        <v>676</v>
      </c>
      <c r="AB8" s="168">
        <v>677</v>
      </c>
      <c r="AC8" s="168">
        <v>677</v>
      </c>
      <c r="AD8" s="168">
        <v>479</v>
      </c>
      <c r="AE8" s="168">
        <v>438</v>
      </c>
      <c r="AF8" s="168">
        <v>673</v>
      </c>
      <c r="AG8" s="169"/>
      <c r="AH8" s="168">
        <v>613</v>
      </c>
      <c r="AI8" s="168">
        <v>648</v>
      </c>
      <c r="AJ8" s="168">
        <v>509</v>
      </c>
      <c r="AK8" s="168">
        <v>555</v>
      </c>
      <c r="AL8" s="168"/>
      <c r="AM8" s="168">
        <v>485</v>
      </c>
      <c r="AN8" s="168">
        <v>326</v>
      </c>
      <c r="AO8" s="168">
        <v>286</v>
      </c>
      <c r="AP8" s="168">
        <v>226</v>
      </c>
      <c r="AQ8" s="168"/>
      <c r="AR8" s="168">
        <v>237</v>
      </c>
      <c r="AS8" s="168">
        <v>195</v>
      </c>
      <c r="AT8" s="168">
        <v>170</v>
      </c>
      <c r="AU8" s="168">
        <v>271</v>
      </c>
      <c r="AV8" s="168">
        <v>216</v>
      </c>
      <c r="AW8" s="168">
        <v>299</v>
      </c>
      <c r="AX8" s="168">
        <v>319</v>
      </c>
      <c r="AY8" s="168">
        <f>SUM(AY9:AY12)</f>
        <v>360.27699999999999</v>
      </c>
      <c r="AZ8" s="168">
        <v>305</v>
      </c>
      <c r="BA8" s="168">
        <v>424</v>
      </c>
      <c r="BB8" s="168">
        <v>532</v>
      </c>
      <c r="BC8" s="168">
        <f>SUM(BC9:BC12)</f>
        <v>485.93799999999999</v>
      </c>
      <c r="BD8" s="168">
        <f>SUM(BD9:BD12)</f>
        <v>470.76600000000002</v>
      </c>
      <c r="BE8" s="168">
        <f>SUM(BE9:BE12)</f>
        <v>270.334</v>
      </c>
      <c r="BF8" s="168">
        <f>SUM(BF9:BF12)</f>
        <v>358.85</v>
      </c>
      <c r="BG8" s="168">
        <f>SUM(BG9:BG12)</f>
        <v>548.90899999999999</v>
      </c>
      <c r="BH8" s="168">
        <f t="shared" ref="BH8:BN8" si="0">SUM(BH9:BH13)</f>
        <v>435.44200000000006</v>
      </c>
      <c r="BI8" s="168">
        <f t="shared" si="0"/>
        <v>565.59260394</v>
      </c>
      <c r="BJ8" s="168">
        <f t="shared" si="0"/>
        <v>810.35457336000002</v>
      </c>
      <c r="BK8" s="168">
        <f t="shared" si="0"/>
        <v>1214.9455200100001</v>
      </c>
      <c r="BL8" s="168">
        <f t="shared" si="0"/>
        <v>592.85655670999995</v>
      </c>
      <c r="BM8" s="168">
        <f t="shared" ref="BM8" si="1">SUM(BM9:BM13)</f>
        <v>958.98215220999964</v>
      </c>
      <c r="BN8" s="168">
        <f t="shared" si="0"/>
        <v>1055.914194509</v>
      </c>
    </row>
    <row r="9" spans="2:66" ht="14.25" customHeight="1">
      <c r="B9" s="153" t="s">
        <v>84</v>
      </c>
      <c r="C9" s="172"/>
      <c r="D9" s="173">
        <v>270.39999999999998</v>
      </c>
      <c r="E9" s="174">
        <v>384.3</v>
      </c>
      <c r="F9" s="173">
        <v>355.2</v>
      </c>
      <c r="G9" s="173">
        <v>451.9</v>
      </c>
      <c r="H9" s="173">
        <v>323.7</v>
      </c>
      <c r="I9" s="173">
        <v>152</v>
      </c>
      <c r="J9" s="173">
        <v>153.69999999999999</v>
      </c>
      <c r="K9" s="173">
        <v>159</v>
      </c>
      <c r="L9" s="174">
        <v>136</v>
      </c>
      <c r="M9" s="173">
        <v>135</v>
      </c>
      <c r="N9" s="173">
        <v>197</v>
      </c>
      <c r="O9" s="173">
        <v>426</v>
      </c>
      <c r="P9" s="173">
        <v>231</v>
      </c>
      <c r="Q9" s="173">
        <v>237</v>
      </c>
      <c r="R9" s="173">
        <v>465</v>
      </c>
      <c r="S9" s="173">
        <v>473</v>
      </c>
      <c r="T9" s="173">
        <f>SUM(432)</f>
        <v>432</v>
      </c>
      <c r="U9" s="173">
        <v>555</v>
      </c>
      <c r="V9" s="173">
        <v>594</v>
      </c>
      <c r="W9" s="173">
        <v>337</v>
      </c>
      <c r="X9" s="48"/>
      <c r="Y9" s="174">
        <v>332</v>
      </c>
      <c r="Z9" s="174">
        <v>410</v>
      </c>
      <c r="AA9" s="174">
        <v>396</v>
      </c>
      <c r="AB9" s="174">
        <v>391</v>
      </c>
      <c r="AC9" s="174">
        <v>383</v>
      </c>
      <c r="AD9" s="174">
        <v>235</v>
      </c>
      <c r="AE9" s="174">
        <v>130</v>
      </c>
      <c r="AF9" s="174">
        <v>322</v>
      </c>
      <c r="AG9" s="48"/>
      <c r="AH9" s="174">
        <v>282</v>
      </c>
      <c r="AI9" s="174">
        <v>288</v>
      </c>
      <c r="AJ9" s="174">
        <v>278</v>
      </c>
      <c r="AK9" s="174">
        <v>243</v>
      </c>
      <c r="AL9" s="174"/>
      <c r="AM9" s="174">
        <v>196</v>
      </c>
      <c r="AN9" s="174">
        <v>175</v>
      </c>
      <c r="AO9" s="174">
        <v>143</v>
      </c>
      <c r="AP9" s="174">
        <v>94</v>
      </c>
      <c r="AQ9" s="174"/>
      <c r="AR9" s="174">
        <v>108</v>
      </c>
      <c r="AS9" s="174">
        <v>65</v>
      </c>
      <c r="AT9" s="174">
        <v>57</v>
      </c>
      <c r="AU9" s="174">
        <v>119</v>
      </c>
      <c r="AV9" s="174">
        <v>94</v>
      </c>
      <c r="AW9" s="174">
        <v>147</v>
      </c>
      <c r="AX9" s="174">
        <v>136.851</v>
      </c>
      <c r="AY9" s="174">
        <v>181.559</v>
      </c>
      <c r="AZ9" s="174">
        <v>125.05</v>
      </c>
      <c r="BA9" s="174">
        <v>209</v>
      </c>
      <c r="BB9" s="174">
        <v>298</v>
      </c>
      <c r="BC9" s="174">
        <f>224.852</f>
        <v>224.852</v>
      </c>
      <c r="BD9" s="174">
        <v>201.63900000000001</v>
      </c>
      <c r="BE9" s="174">
        <v>122.732</v>
      </c>
      <c r="BF9" s="174">
        <v>160.143</v>
      </c>
      <c r="BG9" s="174">
        <v>292.48599999999999</v>
      </c>
      <c r="BH9" s="174">
        <v>203.84200000000001</v>
      </c>
      <c r="BI9" s="174">
        <v>296.41751929000003</v>
      </c>
      <c r="BJ9" s="174">
        <f>'[9]2021'!$AL$37/1000</f>
        <v>430.94857772000006</v>
      </c>
      <c r="BK9" s="174">
        <f>'[10]2021'!$AY$38/1000</f>
        <v>676.75078914000017</v>
      </c>
      <c r="BL9" s="174">
        <f>'[11]2022'!$L$37/1000</f>
        <v>314.40762955999992</v>
      </c>
      <c r="BM9" s="174">
        <f>'[12]2022'!$Y$37/1000</f>
        <v>569.75628667999968</v>
      </c>
      <c r="BN9" s="174">
        <f>'[13]2022'!$AL$41/1000</f>
        <v>617.20245474900003</v>
      </c>
    </row>
    <row r="10" spans="2:66" ht="14.25" customHeight="1">
      <c r="B10" s="157" t="s">
        <v>85</v>
      </c>
      <c r="C10" s="167"/>
      <c r="D10" s="170">
        <v>48.7</v>
      </c>
      <c r="E10" s="170">
        <v>54.6</v>
      </c>
      <c r="F10" s="170">
        <v>90.1</v>
      </c>
      <c r="G10" s="170">
        <v>125.4</v>
      </c>
      <c r="H10" s="170">
        <v>70.8</v>
      </c>
      <c r="I10" s="170">
        <v>42</v>
      </c>
      <c r="J10" s="170">
        <v>19.100000000000001</v>
      </c>
      <c r="K10" s="170">
        <v>31</v>
      </c>
      <c r="L10" s="171">
        <v>18.3</v>
      </c>
      <c r="M10" s="170">
        <v>12</v>
      </c>
      <c r="N10" s="170">
        <v>33</v>
      </c>
      <c r="O10" s="170">
        <v>24</v>
      </c>
      <c r="P10" s="170">
        <v>33</v>
      </c>
      <c r="Q10" s="170">
        <v>30</v>
      </c>
      <c r="R10" s="170">
        <v>50</v>
      </c>
      <c r="S10" s="170">
        <v>59</v>
      </c>
      <c r="T10" s="170">
        <v>82</v>
      </c>
      <c r="U10" s="170">
        <v>71</v>
      </c>
      <c r="V10" s="170">
        <v>90</v>
      </c>
      <c r="W10" s="170">
        <v>113</v>
      </c>
      <c r="X10" s="169"/>
      <c r="Y10" s="171">
        <v>101</v>
      </c>
      <c r="Z10" s="171">
        <v>93</v>
      </c>
      <c r="AA10" s="171">
        <v>84</v>
      </c>
      <c r="AB10" s="171">
        <v>107</v>
      </c>
      <c r="AC10" s="171">
        <v>79</v>
      </c>
      <c r="AD10" s="171">
        <v>63</v>
      </c>
      <c r="AE10" s="171">
        <v>70</v>
      </c>
      <c r="AF10" s="171">
        <v>97</v>
      </c>
      <c r="AG10" s="169"/>
      <c r="AH10" s="171">
        <v>78</v>
      </c>
      <c r="AI10" s="171">
        <v>89</v>
      </c>
      <c r="AJ10" s="171">
        <v>72</v>
      </c>
      <c r="AK10" s="171">
        <v>108</v>
      </c>
      <c r="AL10" s="171"/>
      <c r="AM10" s="171">
        <v>62</v>
      </c>
      <c r="AN10" s="171">
        <v>44</v>
      </c>
      <c r="AO10" s="171">
        <v>56</v>
      </c>
      <c r="AP10" s="171">
        <v>46</v>
      </c>
      <c r="AQ10" s="171"/>
      <c r="AR10" s="171">
        <v>70</v>
      </c>
      <c r="AS10" s="171">
        <v>67</v>
      </c>
      <c r="AT10" s="171">
        <v>70</v>
      </c>
      <c r="AU10" s="171">
        <v>84</v>
      </c>
      <c r="AV10" s="171">
        <v>79</v>
      </c>
      <c r="AW10" s="171">
        <v>107</v>
      </c>
      <c r="AX10" s="171">
        <v>103.35600000000001</v>
      </c>
      <c r="AY10" s="171">
        <v>98</v>
      </c>
      <c r="AZ10" s="171">
        <v>94.55</v>
      </c>
      <c r="BA10" s="171">
        <v>114.48</v>
      </c>
      <c r="BB10" s="171">
        <v>101</v>
      </c>
      <c r="BC10" s="171">
        <f>98.511</f>
        <v>98.510999999999996</v>
      </c>
      <c r="BD10" s="171">
        <v>156.47200000000001</v>
      </c>
      <c r="BE10" s="171">
        <f>84.227</f>
        <v>84.227000000000004</v>
      </c>
      <c r="BF10" s="171">
        <v>75.072999999999993</v>
      </c>
      <c r="BG10" s="171">
        <f>161.141</f>
        <v>161.14099999999999</v>
      </c>
      <c r="BH10" s="171">
        <v>122.361</v>
      </c>
      <c r="BI10" s="171">
        <v>118.18600000000001</v>
      </c>
      <c r="BJ10" s="171">
        <f>'[9]2021'!$AL$46/1000</f>
        <v>194.667</v>
      </c>
      <c r="BK10" s="171">
        <f>'[10]2021'!$AY$46/1000</f>
        <v>279.38099999999997</v>
      </c>
      <c r="BL10" s="171">
        <f>'[11]2022'!$L$45/1000</f>
        <v>142.673</v>
      </c>
      <c r="BM10" s="171">
        <f>'[12]2022'!$Y$46/1000</f>
        <v>189.41200000000001</v>
      </c>
      <c r="BN10" s="171">
        <f>'[13]2022'!$AL$49/1000</f>
        <v>240.917</v>
      </c>
    </row>
    <row r="11" spans="2:66" ht="14.25" customHeight="1">
      <c r="B11" s="153" t="s">
        <v>148</v>
      </c>
      <c r="C11" s="172"/>
      <c r="D11" s="173">
        <v>108</v>
      </c>
      <c r="E11" s="173">
        <v>87</v>
      </c>
      <c r="F11" s="173">
        <v>75</v>
      </c>
      <c r="G11" s="173">
        <v>92</v>
      </c>
      <c r="H11" s="173">
        <v>114.3</v>
      </c>
      <c r="I11" s="173">
        <v>108</v>
      </c>
      <c r="J11" s="173">
        <v>52.2</v>
      </c>
      <c r="K11" s="173">
        <v>77</v>
      </c>
      <c r="L11" s="174">
        <v>54</v>
      </c>
      <c r="M11" s="173">
        <v>61</v>
      </c>
      <c r="N11" s="173">
        <v>44</v>
      </c>
      <c r="O11" s="173">
        <v>50</v>
      </c>
      <c r="P11" s="173">
        <v>34</v>
      </c>
      <c r="Q11" s="173">
        <v>50</v>
      </c>
      <c r="R11" s="173">
        <v>37</v>
      </c>
      <c r="S11" s="173">
        <v>51</v>
      </c>
      <c r="T11" s="173">
        <v>39</v>
      </c>
      <c r="U11" s="173">
        <v>43</v>
      </c>
      <c r="V11" s="173">
        <v>58</v>
      </c>
      <c r="W11" s="173">
        <v>58</v>
      </c>
      <c r="X11" s="48"/>
      <c r="Y11" s="174">
        <v>39</v>
      </c>
      <c r="Z11" s="174">
        <v>49</v>
      </c>
      <c r="AA11" s="174">
        <v>50</v>
      </c>
      <c r="AB11" s="174">
        <v>36</v>
      </c>
      <c r="AC11" s="174">
        <v>78</v>
      </c>
      <c r="AD11" s="174">
        <v>57</v>
      </c>
      <c r="AE11" s="174">
        <v>72</v>
      </c>
      <c r="AF11" s="174">
        <v>113</v>
      </c>
      <c r="AG11" s="48"/>
      <c r="AH11" s="174">
        <v>108</v>
      </c>
      <c r="AI11" s="174">
        <v>173</v>
      </c>
      <c r="AJ11" s="174">
        <v>56</v>
      </c>
      <c r="AK11" s="174">
        <v>106</v>
      </c>
      <c r="AL11" s="174"/>
      <c r="AM11" s="174">
        <v>146</v>
      </c>
      <c r="AN11" s="174">
        <v>72</v>
      </c>
      <c r="AO11" s="174">
        <v>68</v>
      </c>
      <c r="AP11" s="174">
        <v>61</v>
      </c>
      <c r="AQ11" s="174"/>
      <c r="AR11" s="174">
        <v>38</v>
      </c>
      <c r="AS11" s="174">
        <v>36</v>
      </c>
      <c r="AT11" s="174">
        <v>21</v>
      </c>
      <c r="AU11" s="174">
        <v>28</v>
      </c>
      <c r="AV11" s="174">
        <v>10</v>
      </c>
      <c r="AW11" s="174">
        <v>11</v>
      </c>
      <c r="AX11" s="174">
        <v>15.312000000000001</v>
      </c>
      <c r="AY11" s="174">
        <v>17.718</v>
      </c>
      <c r="AZ11" s="174">
        <v>12</v>
      </c>
      <c r="BA11" s="174">
        <v>14</v>
      </c>
      <c r="BB11" s="174">
        <v>16</v>
      </c>
      <c r="BC11" s="174">
        <v>20.704999999999998</v>
      </c>
      <c r="BD11" s="174">
        <v>18.297000000000001</v>
      </c>
      <c r="BE11" s="174">
        <f>14.282</f>
        <v>14.282</v>
      </c>
      <c r="BF11" s="174">
        <v>14.519</v>
      </c>
      <c r="BG11" s="174">
        <v>23.135000000000002</v>
      </c>
      <c r="BH11" s="174">
        <v>18.672000000000001</v>
      </c>
      <c r="BI11" s="174">
        <v>24.672000000000001</v>
      </c>
      <c r="BJ11" s="174">
        <f>'[9]2021'!$AL$42/1000</f>
        <v>32.665999999999997</v>
      </c>
      <c r="BK11" s="174">
        <f>'[10]2021'!$AY$42/1000</f>
        <v>36.314999999999998</v>
      </c>
      <c r="BL11" s="174">
        <f>'[11]2022'!$L$41/1000</f>
        <v>33.353999999999999</v>
      </c>
      <c r="BM11" s="174">
        <f>'[12]2022'!$Y$42/1000</f>
        <v>26.805</v>
      </c>
      <c r="BN11" s="174">
        <f>'[13]2022'!$AL$45/1000</f>
        <v>39.533999999999999</v>
      </c>
    </row>
    <row r="12" spans="2:66" ht="14.25" customHeight="1">
      <c r="B12" s="157" t="s">
        <v>86</v>
      </c>
      <c r="C12" s="167"/>
      <c r="D12" s="170">
        <v>55.8</v>
      </c>
      <c r="E12" s="170">
        <v>101.9</v>
      </c>
      <c r="F12" s="170">
        <v>104</v>
      </c>
      <c r="G12" s="170">
        <v>175.8</v>
      </c>
      <c r="H12" s="170">
        <v>49.8</v>
      </c>
      <c r="I12" s="170">
        <v>11</v>
      </c>
      <c r="J12" s="170">
        <v>6.7</v>
      </c>
      <c r="K12" s="170">
        <v>9</v>
      </c>
      <c r="L12" s="171">
        <v>24.5</v>
      </c>
      <c r="M12" s="170">
        <v>12</v>
      </c>
      <c r="N12" s="170">
        <v>24</v>
      </c>
      <c r="O12" s="170">
        <v>37</v>
      </c>
      <c r="P12" s="170">
        <v>36</v>
      </c>
      <c r="Q12" s="170">
        <v>23</v>
      </c>
      <c r="R12" s="170">
        <v>62</v>
      </c>
      <c r="S12" s="170">
        <v>91</v>
      </c>
      <c r="T12" s="170">
        <v>138</v>
      </c>
      <c r="U12" s="170">
        <v>181</v>
      </c>
      <c r="V12" s="170">
        <v>162</v>
      </c>
      <c r="W12" s="170">
        <v>175</v>
      </c>
      <c r="X12" s="169"/>
      <c r="Y12" s="171">
        <v>99</v>
      </c>
      <c r="Z12" s="171">
        <v>126</v>
      </c>
      <c r="AA12" s="171">
        <v>146</v>
      </c>
      <c r="AB12" s="171">
        <v>143</v>
      </c>
      <c r="AC12" s="171">
        <v>137</v>
      </c>
      <c r="AD12" s="171">
        <v>124</v>
      </c>
      <c r="AE12" s="171">
        <v>166</v>
      </c>
      <c r="AF12" s="171">
        <v>141</v>
      </c>
      <c r="AG12" s="169"/>
      <c r="AH12" s="171">
        <v>144</v>
      </c>
      <c r="AI12" s="171">
        <v>98</v>
      </c>
      <c r="AJ12" s="171">
        <v>103</v>
      </c>
      <c r="AK12" s="171">
        <v>98</v>
      </c>
      <c r="AL12" s="171"/>
      <c r="AM12" s="171">
        <v>81</v>
      </c>
      <c r="AN12" s="171">
        <v>35</v>
      </c>
      <c r="AO12" s="171">
        <v>19</v>
      </c>
      <c r="AP12" s="171">
        <v>25</v>
      </c>
      <c r="AQ12" s="171"/>
      <c r="AR12" s="171">
        <v>21</v>
      </c>
      <c r="AS12" s="171">
        <v>27</v>
      </c>
      <c r="AT12" s="171">
        <v>22</v>
      </c>
      <c r="AU12" s="171">
        <v>40</v>
      </c>
      <c r="AV12" s="171">
        <v>33</v>
      </c>
      <c r="AW12" s="171">
        <v>34</v>
      </c>
      <c r="AX12" s="171">
        <v>63.480999999999995</v>
      </c>
      <c r="AY12" s="171">
        <v>63</v>
      </c>
      <c r="AZ12" s="171">
        <v>73</v>
      </c>
      <c r="BA12" s="171">
        <v>87</v>
      </c>
      <c r="BB12" s="171">
        <v>117</v>
      </c>
      <c r="BC12" s="171">
        <v>141.87</v>
      </c>
      <c r="BD12" s="171">
        <v>94.358000000000004</v>
      </c>
      <c r="BE12" s="171">
        <f>49.093</f>
        <v>49.093000000000004</v>
      </c>
      <c r="BF12" s="171">
        <v>109.11499999999999</v>
      </c>
      <c r="BG12" s="171">
        <v>72.147000000000006</v>
      </c>
      <c r="BH12" s="171">
        <v>73.566999999999993</v>
      </c>
      <c r="BI12" s="171">
        <v>120.96194550999999</v>
      </c>
      <c r="BJ12" s="171">
        <f>'[9]2021'!$AL$39/1000</f>
        <v>143.32344752</v>
      </c>
      <c r="BK12" s="171">
        <f>'[10]2021'!$AY$39/1000</f>
        <v>202.08369974000001</v>
      </c>
      <c r="BL12" s="171">
        <f>'[11]2022'!$L$38/1000</f>
        <v>82.798611030000004</v>
      </c>
      <c r="BM12" s="171">
        <f>'[12]2022'!$Y$39/1000</f>
        <v>135.00500352999998</v>
      </c>
      <c r="BN12" s="171">
        <f>'[13]2022'!$AL$42/1000</f>
        <v>160.87635477999999</v>
      </c>
    </row>
    <row r="13" spans="2:66" ht="14.25" customHeight="1">
      <c r="B13" s="153" t="s">
        <v>348</v>
      </c>
      <c r="C13" s="172"/>
      <c r="D13" s="173"/>
      <c r="E13" s="173"/>
      <c r="F13" s="173"/>
      <c r="G13" s="173"/>
      <c r="H13" s="173"/>
      <c r="I13" s="173"/>
      <c r="J13" s="173"/>
      <c r="K13" s="173"/>
      <c r="L13" s="174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48"/>
      <c r="Y13" s="174"/>
      <c r="Z13" s="174"/>
      <c r="AA13" s="174"/>
      <c r="AB13" s="174"/>
      <c r="AC13" s="174"/>
      <c r="AD13" s="174"/>
      <c r="AE13" s="174"/>
      <c r="AF13" s="174"/>
      <c r="AG13" s="48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>
        <v>17</v>
      </c>
      <c r="BI13" s="174">
        <v>5.3551391399999995</v>
      </c>
      <c r="BJ13" s="174">
        <f>('[9]2021'!$AL$49+'[9]2021'!$AL$52)/1000</f>
        <v>8.7495481200000018</v>
      </c>
      <c r="BK13" s="174">
        <f>'[10]2021'!$AY$49/1000</f>
        <v>20.415031129999999</v>
      </c>
      <c r="BL13" s="174">
        <f>'[11]2022'!$L$47/1000</f>
        <v>19.623316119999995</v>
      </c>
      <c r="BM13" s="174">
        <f>'[12]2022'!$Y$48/1000</f>
        <v>38.003861999999998</v>
      </c>
      <c r="BN13" s="174">
        <f>'[13]2022'!$AL$51/1000</f>
        <v>-2.6156150199999999</v>
      </c>
    </row>
    <row r="14" spans="2:66" ht="17.5">
      <c r="B14" s="108" t="s">
        <v>349</v>
      </c>
      <c r="C14" s="14"/>
      <c r="D14" s="13"/>
      <c r="E14" s="13"/>
      <c r="F14" s="13"/>
      <c r="G14" s="9"/>
      <c r="T14" s="19"/>
      <c r="U14" s="19"/>
      <c r="X14" s="21"/>
      <c r="Y14" s="2"/>
      <c r="Z14" s="2"/>
      <c r="AA14" s="2"/>
      <c r="AB14" s="2"/>
      <c r="AC14" s="2"/>
      <c r="AD14" s="2"/>
      <c r="AE14" s="2"/>
      <c r="AF14" s="2"/>
      <c r="AG14" s="21"/>
      <c r="AH14" s="2"/>
      <c r="AI14" s="2"/>
      <c r="AJ14" s="2"/>
    </row>
    <row r="15" spans="2:66" ht="17.5">
      <c r="B15" s="15"/>
      <c r="C15" s="14"/>
      <c r="D15" s="13"/>
      <c r="E15" s="13"/>
      <c r="F15" s="13"/>
      <c r="G15" s="9"/>
      <c r="T15" s="19"/>
      <c r="U15" s="19"/>
      <c r="X15" s="21"/>
      <c r="Y15" s="2"/>
      <c r="Z15" s="2"/>
      <c r="AA15" s="2"/>
      <c r="AB15" s="2"/>
      <c r="AC15" s="2"/>
      <c r="AD15" s="2"/>
      <c r="AE15" s="2"/>
      <c r="AF15" s="2"/>
      <c r="AG15" s="21"/>
      <c r="AH15" s="2"/>
      <c r="AI15" s="2"/>
      <c r="AJ15" s="2"/>
    </row>
    <row r="16" spans="2:66" ht="14.25" customHeight="1" thickBot="1">
      <c r="B16" s="488" t="s">
        <v>82</v>
      </c>
      <c r="C16" s="488"/>
      <c r="D16" s="164" t="s">
        <v>0</v>
      </c>
      <c r="E16" s="164" t="s">
        <v>3</v>
      </c>
      <c r="F16" s="164" t="s">
        <v>4</v>
      </c>
      <c r="G16" s="164" t="s">
        <v>5</v>
      </c>
      <c r="H16" s="164" t="s">
        <v>6</v>
      </c>
      <c r="I16" s="164" t="s">
        <v>11</v>
      </c>
      <c r="J16" s="164" t="s">
        <v>80</v>
      </c>
      <c r="K16" s="164" t="s">
        <v>91</v>
      </c>
      <c r="L16" s="164" t="s">
        <v>92</v>
      </c>
      <c r="M16" s="164" t="s">
        <v>93</v>
      </c>
      <c r="N16" s="164" t="s">
        <v>95</v>
      </c>
      <c r="O16" s="164" t="s">
        <v>100</v>
      </c>
      <c r="P16" s="164" t="s">
        <v>101</v>
      </c>
      <c r="Q16" s="164" t="s">
        <v>102</v>
      </c>
      <c r="R16" s="164" t="s">
        <v>103</v>
      </c>
      <c r="S16" s="164" t="s">
        <v>104</v>
      </c>
      <c r="T16" s="164" t="s">
        <v>105</v>
      </c>
      <c r="U16" s="164" t="s">
        <v>107</v>
      </c>
      <c r="V16" s="164" t="s">
        <v>114</v>
      </c>
      <c r="W16" s="164" t="s">
        <v>115</v>
      </c>
      <c r="X16" s="165"/>
      <c r="Y16" s="164" t="s">
        <v>118</v>
      </c>
      <c r="Z16" s="164" t="s">
        <v>119</v>
      </c>
      <c r="AA16" s="164" t="s">
        <v>122</v>
      </c>
      <c r="AB16" s="164" t="s">
        <v>123</v>
      </c>
      <c r="AC16" s="164" t="s">
        <v>128</v>
      </c>
      <c r="AD16" s="164" t="s">
        <v>136</v>
      </c>
      <c r="AE16" s="166" t="s">
        <v>137</v>
      </c>
      <c r="AF16" s="166" t="s">
        <v>138</v>
      </c>
      <c r="AG16" s="166"/>
      <c r="AH16" s="166" t="s">
        <v>142</v>
      </c>
      <c r="AI16" s="166" t="s">
        <v>143</v>
      </c>
      <c r="AJ16" s="166" t="s">
        <v>147</v>
      </c>
      <c r="AK16" s="166" t="s">
        <v>153</v>
      </c>
      <c r="AL16" s="166"/>
      <c r="AM16" s="166" t="s">
        <v>155</v>
      </c>
      <c r="AN16" s="166" t="s">
        <v>156</v>
      </c>
      <c r="AO16" s="166" t="s">
        <v>168</v>
      </c>
      <c r="AP16" s="166" t="s">
        <v>169</v>
      </c>
      <c r="AQ16" s="166"/>
      <c r="AR16" s="166" t="s">
        <v>172</v>
      </c>
      <c r="AS16" s="166" t="s">
        <v>175</v>
      </c>
      <c r="AT16" s="166" t="s">
        <v>178</v>
      </c>
      <c r="AU16" s="166" t="s">
        <v>179</v>
      </c>
      <c r="AV16" s="166" t="s">
        <v>181</v>
      </c>
      <c r="AW16" s="166" t="s">
        <v>182</v>
      </c>
      <c r="AX16" s="166" t="s">
        <v>183</v>
      </c>
      <c r="AY16" s="166" t="s">
        <v>198</v>
      </c>
      <c r="AZ16" s="166" t="s">
        <v>210</v>
      </c>
      <c r="BA16" s="166" t="s">
        <v>228</v>
      </c>
      <c r="BB16" s="166" t="s">
        <v>231</v>
      </c>
      <c r="BC16" s="166" t="s">
        <v>234</v>
      </c>
      <c r="BD16" s="166" t="s">
        <v>240</v>
      </c>
      <c r="BE16" s="166" t="s">
        <v>242</v>
      </c>
      <c r="BF16" s="166" t="s">
        <v>323</v>
      </c>
      <c r="BG16" s="166" t="s">
        <v>326</v>
      </c>
      <c r="BH16" s="166" t="s">
        <v>332</v>
      </c>
      <c r="BI16" s="166" t="s">
        <v>334</v>
      </c>
      <c r="BJ16" s="166" t="s">
        <v>335</v>
      </c>
      <c r="BK16" s="166" t="s">
        <v>336</v>
      </c>
      <c r="BL16" s="166" t="s">
        <v>342</v>
      </c>
      <c r="BM16" s="166" t="s">
        <v>345</v>
      </c>
      <c r="BN16" s="166" t="s">
        <v>350</v>
      </c>
    </row>
    <row r="17" spans="2:66" ht="14.25" customHeight="1" thickTop="1">
      <c r="B17" s="175" t="s">
        <v>83</v>
      </c>
      <c r="C17" s="40"/>
      <c r="D17" s="41"/>
      <c r="E17" s="41"/>
      <c r="F17" s="41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34"/>
      <c r="Y17" s="42"/>
      <c r="Z17" s="42"/>
      <c r="AA17" s="42"/>
      <c r="AB17" s="42"/>
      <c r="AC17" s="42"/>
      <c r="AD17" s="42"/>
      <c r="AE17" s="42"/>
      <c r="AF17" s="42"/>
      <c r="AG17" s="34"/>
      <c r="AH17" s="42"/>
      <c r="AI17" s="42"/>
      <c r="AJ17" s="42"/>
      <c r="AK17" s="42"/>
      <c r="AL17" s="33"/>
      <c r="AM17" s="42"/>
      <c r="AN17" s="42"/>
      <c r="AO17" s="42"/>
      <c r="AP17" s="42"/>
      <c r="AQ17" s="33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</row>
    <row r="18" spans="2:66" ht="14.25" customHeight="1">
      <c r="B18" s="157" t="s">
        <v>7</v>
      </c>
      <c r="C18" s="167"/>
      <c r="D18" s="167">
        <v>225</v>
      </c>
      <c r="E18" s="167">
        <v>3012</v>
      </c>
      <c r="F18" s="167">
        <v>74</v>
      </c>
      <c r="G18" s="167">
        <v>399.9</v>
      </c>
      <c r="H18" s="167">
        <v>0</v>
      </c>
      <c r="I18" s="167">
        <v>0</v>
      </c>
      <c r="J18" s="167">
        <v>0</v>
      </c>
      <c r="K18" s="167">
        <v>0</v>
      </c>
      <c r="L18" s="168">
        <v>0</v>
      </c>
      <c r="M18" s="167">
        <v>0</v>
      </c>
      <c r="N18" s="167">
        <v>1656</v>
      </c>
      <c r="O18" s="167">
        <v>166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0</v>
      </c>
      <c r="X18" s="169"/>
      <c r="Y18" s="168">
        <v>0</v>
      </c>
      <c r="Z18" s="168">
        <v>0</v>
      </c>
      <c r="AA18" s="168" t="s">
        <v>88</v>
      </c>
      <c r="AB18" s="168" t="s">
        <v>88</v>
      </c>
      <c r="AC18" s="168" t="s">
        <v>88</v>
      </c>
      <c r="AD18" s="168" t="s">
        <v>88</v>
      </c>
      <c r="AE18" s="168" t="s">
        <v>88</v>
      </c>
      <c r="AF18" s="168" t="s">
        <v>88</v>
      </c>
      <c r="AG18" s="169"/>
      <c r="AH18" s="168">
        <v>0</v>
      </c>
      <c r="AI18" s="168" t="s">
        <v>88</v>
      </c>
      <c r="AJ18" s="168" t="s">
        <v>88</v>
      </c>
      <c r="AK18" s="168" t="s">
        <v>88</v>
      </c>
      <c r="AL18" s="168"/>
      <c r="AM18" s="168" t="s">
        <v>88</v>
      </c>
      <c r="AN18" s="168" t="s">
        <v>88</v>
      </c>
      <c r="AO18" s="168" t="s">
        <v>88</v>
      </c>
      <c r="AP18" s="168" t="s">
        <v>88</v>
      </c>
      <c r="AQ18" s="168"/>
      <c r="AR18" s="168" t="s">
        <v>88</v>
      </c>
      <c r="AS18" s="168" t="s">
        <v>88</v>
      </c>
      <c r="AT18" s="168" t="s">
        <v>88</v>
      </c>
      <c r="AU18" s="168" t="s">
        <v>88</v>
      </c>
      <c r="AV18" s="168" t="s">
        <v>88</v>
      </c>
      <c r="AW18" s="168" t="s">
        <v>88</v>
      </c>
      <c r="AX18" s="168" t="s">
        <v>88</v>
      </c>
      <c r="AY18" s="168" t="s">
        <v>88</v>
      </c>
      <c r="AZ18" s="168" t="s">
        <v>88</v>
      </c>
      <c r="BA18" s="168" t="s">
        <v>88</v>
      </c>
      <c r="BB18" s="168" t="s">
        <v>88</v>
      </c>
      <c r="BC18" s="168" t="s">
        <v>88</v>
      </c>
      <c r="BD18" s="168" t="s">
        <v>88</v>
      </c>
      <c r="BE18" s="168" t="s">
        <v>88</v>
      </c>
      <c r="BF18" s="168" t="s">
        <v>88</v>
      </c>
      <c r="BG18" s="456">
        <v>89</v>
      </c>
      <c r="BH18" s="168" t="s">
        <v>88</v>
      </c>
      <c r="BI18" s="168" t="s">
        <v>88</v>
      </c>
      <c r="BJ18" s="168" t="s">
        <v>88</v>
      </c>
      <c r="BK18" s="168" t="s">
        <v>88</v>
      </c>
      <c r="BL18" s="168" t="s">
        <v>88</v>
      </c>
      <c r="BM18" s="168" t="s">
        <v>353</v>
      </c>
      <c r="BN18" s="168" t="s">
        <v>88</v>
      </c>
    </row>
    <row r="19" spans="2:66" ht="14.25" customHeight="1">
      <c r="B19" s="153" t="s">
        <v>84</v>
      </c>
      <c r="C19" s="172"/>
      <c r="D19" s="173">
        <v>0</v>
      </c>
      <c r="E19" s="174">
        <v>0</v>
      </c>
      <c r="F19" s="173">
        <v>0</v>
      </c>
      <c r="G19" s="173">
        <v>47</v>
      </c>
      <c r="H19" s="173">
        <v>0</v>
      </c>
      <c r="I19" s="173">
        <v>2</v>
      </c>
      <c r="J19" s="173">
        <v>0</v>
      </c>
      <c r="K19" s="173">
        <v>0</v>
      </c>
      <c r="L19" s="174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0</v>
      </c>
      <c r="T19" s="173">
        <v>0</v>
      </c>
      <c r="U19" s="173">
        <v>0</v>
      </c>
      <c r="V19" s="173">
        <v>0</v>
      </c>
      <c r="W19" s="173">
        <v>0</v>
      </c>
      <c r="X19" s="48"/>
      <c r="Y19" s="174">
        <v>0</v>
      </c>
      <c r="Z19" s="174">
        <v>0</v>
      </c>
      <c r="AA19" s="174" t="s">
        <v>88</v>
      </c>
      <c r="AB19" s="174" t="s">
        <v>88</v>
      </c>
      <c r="AC19" s="174" t="s">
        <v>88</v>
      </c>
      <c r="AD19" s="174" t="s">
        <v>88</v>
      </c>
      <c r="AE19" s="174" t="s">
        <v>88</v>
      </c>
      <c r="AF19" s="174" t="s">
        <v>88</v>
      </c>
      <c r="AG19" s="48"/>
      <c r="AH19" s="174">
        <v>0</v>
      </c>
      <c r="AI19" s="174" t="s">
        <v>88</v>
      </c>
      <c r="AJ19" s="174" t="s">
        <v>88</v>
      </c>
      <c r="AK19" s="174" t="s">
        <v>88</v>
      </c>
      <c r="AL19" s="174"/>
      <c r="AM19" s="174" t="s">
        <v>88</v>
      </c>
      <c r="AN19" s="174"/>
      <c r="AO19" s="174"/>
      <c r="AP19" s="174"/>
      <c r="AQ19" s="174"/>
      <c r="AR19" s="174"/>
      <c r="AS19" s="174"/>
      <c r="AT19" s="174"/>
      <c r="AU19" s="174"/>
      <c r="AV19" s="174"/>
      <c r="AW19" s="395" t="s">
        <v>88</v>
      </c>
      <c r="AX19" s="395" t="s">
        <v>88</v>
      </c>
      <c r="AY19" s="395" t="s">
        <v>88</v>
      </c>
      <c r="AZ19" s="395" t="s">
        <v>88</v>
      </c>
      <c r="BA19" s="395" t="s">
        <v>88</v>
      </c>
      <c r="BB19" s="395" t="s">
        <v>88</v>
      </c>
      <c r="BC19" s="395" t="s">
        <v>88</v>
      </c>
      <c r="BD19" s="395" t="s">
        <v>88</v>
      </c>
      <c r="BE19" s="395" t="s">
        <v>88</v>
      </c>
      <c r="BF19" s="395" t="s">
        <v>88</v>
      </c>
      <c r="BG19" s="395">
        <v>89</v>
      </c>
      <c r="BH19" s="395" t="s">
        <v>88</v>
      </c>
      <c r="BI19" s="395" t="s">
        <v>88</v>
      </c>
      <c r="BJ19" s="395" t="s">
        <v>88</v>
      </c>
      <c r="BK19" s="395" t="s">
        <v>88</v>
      </c>
      <c r="BL19" s="395" t="s">
        <v>88</v>
      </c>
      <c r="BM19" s="395" t="s">
        <v>88</v>
      </c>
      <c r="BN19" s="395" t="s">
        <v>88</v>
      </c>
    </row>
    <row r="20" spans="2:66" ht="14.25" customHeight="1">
      <c r="B20" s="157" t="s">
        <v>85</v>
      </c>
      <c r="C20" s="167"/>
      <c r="D20" s="170">
        <v>0</v>
      </c>
      <c r="E20" s="170">
        <v>230.5</v>
      </c>
      <c r="F20" s="170">
        <v>15</v>
      </c>
      <c r="G20" s="170">
        <v>58</v>
      </c>
      <c r="H20" s="170">
        <v>0</v>
      </c>
      <c r="I20" s="170">
        <v>0</v>
      </c>
      <c r="J20" s="170">
        <v>0</v>
      </c>
      <c r="K20" s="170">
        <v>0</v>
      </c>
      <c r="L20" s="171">
        <v>0</v>
      </c>
      <c r="M20" s="170">
        <v>0</v>
      </c>
      <c r="N20" s="170">
        <v>1599</v>
      </c>
      <c r="O20" s="170">
        <v>166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69"/>
      <c r="Y20" s="171">
        <v>26</v>
      </c>
      <c r="Z20" s="171">
        <v>0</v>
      </c>
      <c r="AA20" s="171" t="s">
        <v>88</v>
      </c>
      <c r="AB20" s="171" t="s">
        <v>88</v>
      </c>
      <c r="AC20" s="171" t="s">
        <v>88</v>
      </c>
      <c r="AD20" s="171" t="s">
        <v>88</v>
      </c>
      <c r="AE20" s="171" t="s">
        <v>88</v>
      </c>
      <c r="AF20" s="171" t="s">
        <v>88</v>
      </c>
      <c r="AG20" s="169"/>
      <c r="AH20" s="171">
        <v>0</v>
      </c>
      <c r="AI20" s="171" t="s">
        <v>88</v>
      </c>
      <c r="AJ20" s="171" t="s">
        <v>88</v>
      </c>
      <c r="AK20" s="171" t="s">
        <v>88</v>
      </c>
      <c r="AL20" s="171"/>
      <c r="AM20" s="171" t="s">
        <v>88</v>
      </c>
      <c r="AN20" s="171" t="s">
        <v>88</v>
      </c>
      <c r="AO20" s="171" t="s">
        <v>88</v>
      </c>
      <c r="AP20" s="171" t="s">
        <v>88</v>
      </c>
      <c r="AQ20" s="171"/>
      <c r="AR20" s="171" t="s">
        <v>88</v>
      </c>
      <c r="AS20" s="171" t="s">
        <v>88</v>
      </c>
      <c r="AT20" s="171" t="s">
        <v>88</v>
      </c>
      <c r="AU20" s="171" t="s">
        <v>88</v>
      </c>
      <c r="AV20" s="171" t="s">
        <v>88</v>
      </c>
      <c r="AW20" s="171" t="s">
        <v>88</v>
      </c>
      <c r="AX20" s="171" t="s">
        <v>88</v>
      </c>
      <c r="AY20" s="171" t="s">
        <v>88</v>
      </c>
      <c r="AZ20" s="171" t="s">
        <v>88</v>
      </c>
      <c r="BA20" s="171" t="s">
        <v>88</v>
      </c>
      <c r="BB20" s="171" t="s">
        <v>88</v>
      </c>
      <c r="BC20" s="171" t="s">
        <v>88</v>
      </c>
      <c r="BD20" s="171" t="s">
        <v>88</v>
      </c>
      <c r="BE20" s="171" t="s">
        <v>88</v>
      </c>
      <c r="BF20" s="171" t="s">
        <v>88</v>
      </c>
      <c r="BG20" s="171" t="s">
        <v>88</v>
      </c>
      <c r="BH20" s="171" t="s">
        <v>88</v>
      </c>
      <c r="BI20" s="171" t="s">
        <v>88</v>
      </c>
      <c r="BJ20" s="171" t="s">
        <v>88</v>
      </c>
      <c r="BK20" s="171" t="s">
        <v>88</v>
      </c>
      <c r="BL20" s="171" t="s">
        <v>88</v>
      </c>
      <c r="BM20" s="171" t="s">
        <v>88</v>
      </c>
      <c r="BN20" s="171" t="s">
        <v>88</v>
      </c>
    </row>
    <row r="21" spans="2:66" ht="14.25" customHeight="1">
      <c r="B21" s="153" t="s">
        <v>148</v>
      </c>
      <c r="C21" s="172"/>
      <c r="D21" s="173">
        <v>225</v>
      </c>
      <c r="E21" s="173">
        <v>186</v>
      </c>
      <c r="F21" s="173">
        <v>59</v>
      </c>
      <c r="G21" s="173">
        <v>6.9</v>
      </c>
      <c r="H21" s="173">
        <v>0</v>
      </c>
      <c r="I21" s="173">
        <v>0</v>
      </c>
      <c r="J21" s="173">
        <v>0</v>
      </c>
      <c r="K21" s="173">
        <v>0</v>
      </c>
      <c r="L21" s="174">
        <v>0</v>
      </c>
      <c r="M21" s="173">
        <v>0</v>
      </c>
      <c r="N21" s="173">
        <v>57</v>
      </c>
      <c r="O21" s="173">
        <v>0</v>
      </c>
      <c r="P21" s="173">
        <v>0</v>
      </c>
      <c r="Q21" s="173">
        <v>0</v>
      </c>
      <c r="R21" s="173">
        <v>0</v>
      </c>
      <c r="S21" s="173">
        <v>0</v>
      </c>
      <c r="T21" s="173">
        <v>0</v>
      </c>
      <c r="U21" s="173">
        <v>0</v>
      </c>
      <c r="V21" s="173">
        <v>0</v>
      </c>
      <c r="W21" s="173">
        <v>0</v>
      </c>
      <c r="X21" s="48"/>
      <c r="Y21" s="174">
        <v>0</v>
      </c>
      <c r="Z21" s="174">
        <v>0</v>
      </c>
      <c r="AA21" s="174">
        <v>29</v>
      </c>
      <c r="AB21" s="174" t="s">
        <v>88</v>
      </c>
      <c r="AC21" s="174" t="s">
        <v>88</v>
      </c>
      <c r="AD21" s="174" t="s">
        <v>88</v>
      </c>
      <c r="AE21" s="174" t="s">
        <v>88</v>
      </c>
      <c r="AF21" s="174" t="s">
        <v>88</v>
      </c>
      <c r="AG21" s="48"/>
      <c r="AH21" s="174">
        <v>0</v>
      </c>
      <c r="AI21" s="174" t="s">
        <v>88</v>
      </c>
      <c r="AJ21" s="174" t="s">
        <v>88</v>
      </c>
      <c r="AK21" s="174" t="s">
        <v>88</v>
      </c>
      <c r="AL21" s="174"/>
      <c r="AM21" s="174" t="s">
        <v>88</v>
      </c>
      <c r="AN21" s="174" t="s">
        <v>88</v>
      </c>
      <c r="AO21" s="174" t="s">
        <v>88</v>
      </c>
      <c r="AP21" s="174" t="s">
        <v>88</v>
      </c>
      <c r="AQ21" s="174"/>
      <c r="AR21" s="174" t="s">
        <v>88</v>
      </c>
      <c r="AS21" s="174" t="s">
        <v>88</v>
      </c>
      <c r="AT21" s="174" t="s">
        <v>88</v>
      </c>
      <c r="AU21" s="174" t="s">
        <v>88</v>
      </c>
      <c r="AV21" s="174" t="s">
        <v>88</v>
      </c>
      <c r="AW21" s="174" t="s">
        <v>88</v>
      </c>
      <c r="AX21" s="174" t="s">
        <v>88</v>
      </c>
      <c r="AY21" s="174" t="s">
        <v>88</v>
      </c>
      <c r="AZ21" s="174" t="s">
        <v>88</v>
      </c>
      <c r="BA21" s="174" t="s">
        <v>88</v>
      </c>
      <c r="BB21" s="174" t="s">
        <v>88</v>
      </c>
      <c r="BC21" s="174" t="s">
        <v>88</v>
      </c>
      <c r="BD21" s="174" t="s">
        <v>88</v>
      </c>
      <c r="BE21" s="174" t="s">
        <v>88</v>
      </c>
      <c r="BF21" s="174" t="s">
        <v>88</v>
      </c>
      <c r="BG21" s="174" t="s">
        <v>88</v>
      </c>
      <c r="BH21" s="174" t="s">
        <v>88</v>
      </c>
      <c r="BI21" s="174" t="s">
        <v>88</v>
      </c>
      <c r="BJ21" s="174" t="s">
        <v>88</v>
      </c>
      <c r="BK21" s="174" t="s">
        <v>88</v>
      </c>
      <c r="BL21" s="174" t="s">
        <v>88</v>
      </c>
      <c r="BM21" s="174" t="s">
        <v>88</v>
      </c>
      <c r="BN21" s="174" t="s">
        <v>88</v>
      </c>
    </row>
    <row r="22" spans="2:66" ht="14.25" customHeight="1">
      <c r="B22" s="157" t="s">
        <v>86</v>
      </c>
      <c r="C22" s="167"/>
      <c r="D22" s="170">
        <v>0</v>
      </c>
      <c r="E22" s="170">
        <v>2595.9</v>
      </c>
      <c r="F22" s="170">
        <v>0</v>
      </c>
      <c r="G22" s="170">
        <v>288</v>
      </c>
      <c r="H22" s="170">
        <v>0</v>
      </c>
      <c r="I22" s="170">
        <v>0</v>
      </c>
      <c r="J22" s="170">
        <v>0</v>
      </c>
      <c r="K22" s="170">
        <v>0</v>
      </c>
      <c r="L22" s="171">
        <v>42459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69"/>
      <c r="Y22" s="171">
        <v>0</v>
      </c>
      <c r="Z22" s="171">
        <v>0</v>
      </c>
      <c r="AA22" s="171" t="s">
        <v>88</v>
      </c>
      <c r="AB22" s="171" t="s">
        <v>88</v>
      </c>
      <c r="AC22" s="171" t="s">
        <v>88</v>
      </c>
      <c r="AD22" s="171" t="s">
        <v>88</v>
      </c>
      <c r="AE22" s="171" t="s">
        <v>88</v>
      </c>
      <c r="AF22" s="171" t="s">
        <v>88</v>
      </c>
      <c r="AG22" s="169"/>
      <c r="AH22" s="171">
        <v>0</v>
      </c>
      <c r="AI22" s="171" t="s">
        <v>88</v>
      </c>
      <c r="AJ22" s="171" t="s">
        <v>88</v>
      </c>
      <c r="AK22" s="171" t="s">
        <v>88</v>
      </c>
      <c r="AL22" s="171"/>
      <c r="AM22" s="171" t="s">
        <v>88</v>
      </c>
      <c r="AN22" s="171" t="s">
        <v>88</v>
      </c>
      <c r="AO22" s="171" t="s">
        <v>88</v>
      </c>
      <c r="AP22" s="171" t="s">
        <v>88</v>
      </c>
      <c r="AQ22" s="171"/>
      <c r="AR22" s="171" t="s">
        <v>88</v>
      </c>
      <c r="AS22" s="171" t="s">
        <v>88</v>
      </c>
      <c r="AT22" s="171" t="s">
        <v>88</v>
      </c>
      <c r="AU22" s="171" t="s">
        <v>88</v>
      </c>
      <c r="AV22" s="171" t="s">
        <v>88</v>
      </c>
      <c r="AW22" s="171" t="s">
        <v>88</v>
      </c>
      <c r="AX22" s="171" t="s">
        <v>88</v>
      </c>
      <c r="AY22" s="171" t="s">
        <v>88</v>
      </c>
      <c r="AZ22" s="171" t="s">
        <v>88</v>
      </c>
      <c r="BA22" s="171" t="s">
        <v>88</v>
      </c>
      <c r="BB22" s="171" t="s">
        <v>88</v>
      </c>
      <c r="BC22" s="171" t="s">
        <v>88</v>
      </c>
      <c r="BD22" s="171" t="s">
        <v>88</v>
      </c>
      <c r="BE22" s="171" t="s">
        <v>88</v>
      </c>
      <c r="BF22" s="171" t="s">
        <v>88</v>
      </c>
      <c r="BG22" s="171" t="s">
        <v>88</v>
      </c>
      <c r="BH22" s="171" t="s">
        <v>88</v>
      </c>
      <c r="BI22" s="171" t="s">
        <v>88</v>
      </c>
      <c r="BJ22" s="171" t="s">
        <v>88</v>
      </c>
      <c r="BK22" s="171" t="s">
        <v>88</v>
      </c>
      <c r="BL22" s="171" t="s">
        <v>88</v>
      </c>
      <c r="BM22" s="171" t="s">
        <v>88</v>
      </c>
      <c r="BN22" s="171" t="s">
        <v>88</v>
      </c>
    </row>
    <row r="23" spans="2:66" ht="14.5">
      <c r="B23" s="108" t="s">
        <v>13</v>
      </c>
      <c r="C23" s="38"/>
      <c r="D23" s="38"/>
      <c r="E23" s="38"/>
      <c r="F23" s="38"/>
      <c r="G23" s="38"/>
      <c r="H23" s="35"/>
      <c r="I23" s="35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59"/>
      <c r="AB23" s="59"/>
      <c r="AC23" s="59"/>
      <c r="AD23" s="59"/>
      <c r="AE23" s="59"/>
      <c r="AF23" s="59"/>
      <c r="AG23" s="34"/>
      <c r="AH23" s="59"/>
      <c r="AI23" s="59"/>
      <c r="AJ23" s="59"/>
      <c r="AK23" s="59"/>
      <c r="AL23" s="60"/>
      <c r="AM23" s="59"/>
      <c r="AN23" s="59"/>
      <c r="AO23" s="59"/>
      <c r="AP23" s="59"/>
      <c r="AQ23" s="60"/>
      <c r="AR23" s="59"/>
      <c r="AS23" s="59"/>
      <c r="AT23" s="59"/>
      <c r="AU23" s="59"/>
    </row>
    <row r="24" spans="2:66" ht="14">
      <c r="B24" s="108" t="s">
        <v>352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X50"/>
  <sheetViews>
    <sheetView showGridLines="0" zoomScaleNormal="100" workbookViewId="0">
      <selection activeCell="BJ47" sqref="BJ47"/>
    </sheetView>
  </sheetViews>
  <sheetFormatPr defaultColWidth="9.1796875" defaultRowHeight="13.5"/>
  <cols>
    <col min="1" max="1" width="1.81640625" style="10" customWidth="1"/>
    <col min="2" max="2" width="27.54296875" style="10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27" width="11.453125" style="10" hidden="1" customWidth="1"/>
    <col min="28" max="28" width="4.453125" style="10" hidden="1" customWidth="1"/>
    <col min="29" max="36" width="11.453125" style="10" hidden="1" customWidth="1"/>
    <col min="37" max="37" width="4.1796875" style="24" hidden="1" customWidth="1"/>
    <col min="38" max="38" width="10.1796875" style="10" hidden="1" customWidth="1"/>
    <col min="39" max="39" width="11.1796875" style="10" hidden="1" customWidth="1"/>
    <col min="40" max="40" width="11.81640625" style="10" hidden="1" customWidth="1"/>
    <col min="41" max="41" width="10.54296875" style="10" hidden="1" customWidth="1"/>
    <col min="42" max="42" width="4.1796875" style="24" hidden="1" customWidth="1"/>
    <col min="43" max="43" width="10.1796875" style="10" hidden="1" customWidth="1"/>
    <col min="44" max="45" width="9.54296875" style="10" hidden="1" customWidth="1"/>
    <col min="46" max="49" width="9.1796875" style="10" hidden="1" customWidth="1"/>
    <col min="50" max="50" width="8.1796875" style="10" hidden="1" customWidth="1"/>
    <col min="51" max="51" width="9.81640625" style="10" hidden="1" customWidth="1"/>
    <col min="52" max="52" width="8.81640625" style="10" hidden="1" customWidth="1"/>
    <col min="53" max="54" width="9.1796875" style="10" hidden="1" customWidth="1"/>
    <col min="55" max="60" width="10.7265625" style="10" hidden="1" customWidth="1"/>
    <col min="61" max="65" width="10.7265625" style="10" customWidth="1"/>
    <col min="66" max="16384" width="9.1796875" style="10"/>
  </cols>
  <sheetData>
    <row r="5" spans="1:76" ht="18" customHeight="1"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70"/>
      <c r="AL5" s="46"/>
      <c r="AM5" s="46"/>
      <c r="AN5" s="46"/>
      <c r="AP5" s="70"/>
    </row>
    <row r="6" spans="1:76" s="117" customFormat="1" ht="16.5" thickBot="1">
      <c r="B6" s="489" t="s">
        <v>73</v>
      </c>
      <c r="C6" s="489"/>
      <c r="D6" s="151" t="s">
        <v>0</v>
      </c>
      <c r="E6" s="151" t="s">
        <v>3</v>
      </c>
      <c r="F6" s="151" t="s">
        <v>4</v>
      </c>
      <c r="G6" s="151" t="s">
        <v>5</v>
      </c>
      <c r="H6" s="151" t="s">
        <v>6</v>
      </c>
      <c r="I6" s="151" t="s">
        <v>11</v>
      </c>
      <c r="J6" s="151" t="s">
        <v>80</v>
      </c>
      <c r="K6" s="151" t="s">
        <v>91</v>
      </c>
      <c r="L6" s="151" t="s">
        <v>92</v>
      </c>
      <c r="M6" s="151" t="s">
        <v>93</v>
      </c>
      <c r="N6" s="151" t="s">
        <v>95</v>
      </c>
      <c r="O6" s="151" t="s">
        <v>100</v>
      </c>
      <c r="P6" s="151" t="s">
        <v>101</v>
      </c>
      <c r="Q6" s="151" t="s">
        <v>102</v>
      </c>
      <c r="R6" s="151" t="s">
        <v>103</v>
      </c>
      <c r="S6" s="151" t="s">
        <v>104</v>
      </c>
      <c r="T6" s="151" t="s">
        <v>105</v>
      </c>
      <c r="U6" s="151" t="s">
        <v>107</v>
      </c>
      <c r="V6" s="151" t="s">
        <v>114</v>
      </c>
      <c r="W6" s="151" t="s">
        <v>115</v>
      </c>
      <c r="X6" s="151" t="s">
        <v>118</v>
      </c>
      <c r="Y6" s="151" t="s">
        <v>119</v>
      </c>
      <c r="Z6" s="151" t="s">
        <v>122</v>
      </c>
      <c r="AA6" s="151" t="s">
        <v>123</v>
      </c>
      <c r="AB6" s="176"/>
      <c r="AC6" s="151" t="s">
        <v>128</v>
      </c>
      <c r="AD6" s="151" t="s">
        <v>136</v>
      </c>
      <c r="AE6" s="151" t="s">
        <v>137</v>
      </c>
      <c r="AF6" s="151" t="s">
        <v>138</v>
      </c>
      <c r="AG6" s="151" t="s">
        <v>142</v>
      </c>
      <c r="AH6" s="151" t="s">
        <v>143</v>
      </c>
      <c r="AI6" s="151" t="s">
        <v>147</v>
      </c>
      <c r="AJ6" s="151" t="s">
        <v>153</v>
      </c>
      <c r="AK6" s="152"/>
      <c r="AL6" s="151" t="s">
        <v>155</v>
      </c>
      <c r="AM6" s="151" t="s">
        <v>156</v>
      </c>
      <c r="AN6" s="151" t="s">
        <v>168</v>
      </c>
      <c r="AO6" s="151" t="s">
        <v>169</v>
      </c>
      <c r="AP6" s="152"/>
      <c r="AQ6" s="151" t="s">
        <v>172</v>
      </c>
      <c r="AR6" s="151" t="s">
        <v>175</v>
      </c>
      <c r="AS6" s="151" t="s">
        <v>178</v>
      </c>
      <c r="AT6" s="151" t="s">
        <v>179</v>
      </c>
      <c r="AU6" s="151" t="s">
        <v>181</v>
      </c>
      <c r="AV6" s="151" t="s">
        <v>182</v>
      </c>
      <c r="AW6" s="151" t="s">
        <v>183</v>
      </c>
      <c r="AX6" s="151" t="s">
        <v>198</v>
      </c>
      <c r="AY6" s="151" t="s">
        <v>210</v>
      </c>
      <c r="AZ6" s="151" t="s">
        <v>228</v>
      </c>
      <c r="BA6" s="151" t="s">
        <v>231</v>
      </c>
      <c r="BB6" s="151" t="s">
        <v>234</v>
      </c>
      <c r="BC6" s="151" t="s">
        <v>240</v>
      </c>
      <c r="BD6" s="151" t="s">
        <v>242</v>
      </c>
      <c r="BE6" s="151" t="s">
        <v>323</v>
      </c>
      <c r="BF6" s="151" t="s">
        <v>326</v>
      </c>
      <c r="BG6" s="151" t="s">
        <v>332</v>
      </c>
      <c r="BH6" s="151" t="s">
        <v>334</v>
      </c>
      <c r="BI6" s="151" t="s">
        <v>335</v>
      </c>
      <c r="BJ6" s="151" t="s">
        <v>336</v>
      </c>
      <c r="BK6" s="151" t="s">
        <v>342</v>
      </c>
      <c r="BL6" s="151" t="s">
        <v>345</v>
      </c>
      <c r="BM6" s="151" t="s">
        <v>350</v>
      </c>
    </row>
    <row r="7" spans="1:76" ht="16.5" thickTop="1">
      <c r="B7" s="182"/>
      <c r="C7" s="182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83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</row>
    <row r="8" spans="1:76" s="12" customFormat="1" ht="14.25" customHeight="1">
      <c r="B8" s="177" t="s">
        <v>14</v>
      </c>
      <c r="C8" s="178"/>
      <c r="D8" s="178">
        <v>2142</v>
      </c>
      <c r="E8" s="178">
        <v>3143</v>
      </c>
      <c r="F8" s="178">
        <v>3244</v>
      </c>
      <c r="G8" s="178">
        <v>3933</v>
      </c>
      <c r="H8" s="178">
        <v>3449</v>
      </c>
      <c r="I8" s="178">
        <v>2826</v>
      </c>
      <c r="J8" s="178">
        <v>2126</v>
      </c>
      <c r="K8" s="178">
        <v>1357</v>
      </c>
      <c r="L8" s="178">
        <v>1352</v>
      </c>
      <c r="M8" s="178">
        <v>1483</v>
      </c>
      <c r="N8" s="178">
        <v>2482</v>
      </c>
      <c r="O8" s="178">
        <v>1693</v>
      </c>
      <c r="P8" s="178">
        <v>1729</v>
      </c>
      <c r="Q8" s="178">
        <v>1289</v>
      </c>
      <c r="R8" s="178">
        <v>1611</v>
      </c>
      <c r="S8" s="178">
        <v>1757</v>
      </c>
      <c r="T8" s="178">
        <v>1928</v>
      </c>
      <c r="U8" s="178">
        <v>2971</v>
      </c>
      <c r="V8" s="178">
        <v>3093</v>
      </c>
      <c r="W8" s="178">
        <v>2583</v>
      </c>
      <c r="X8" s="178">
        <v>3333</v>
      </c>
      <c r="Y8" s="178">
        <v>1770</v>
      </c>
      <c r="Z8" s="178">
        <v>1769</v>
      </c>
      <c r="AA8" s="178">
        <v>1838</v>
      </c>
      <c r="AB8" s="200"/>
      <c r="AC8" s="178">
        <v>1756</v>
      </c>
      <c r="AD8" s="178">
        <v>1299</v>
      </c>
      <c r="AE8" s="178">
        <v>1949</v>
      </c>
      <c r="AF8" s="178">
        <v>2038</v>
      </c>
      <c r="AG8" s="178">
        <v>2366</v>
      </c>
      <c r="AH8" s="178">
        <v>2584</v>
      </c>
      <c r="AI8" s="178">
        <v>2132</v>
      </c>
      <c r="AJ8" s="178">
        <v>2387</v>
      </c>
      <c r="AK8" s="178"/>
      <c r="AL8" s="178">
        <v>2464</v>
      </c>
      <c r="AM8" s="178">
        <v>1959</v>
      </c>
      <c r="AN8" s="178">
        <v>2196</v>
      </c>
      <c r="AO8" s="178">
        <v>4458</v>
      </c>
      <c r="AP8" s="178"/>
      <c r="AQ8" s="178">
        <v>4185</v>
      </c>
      <c r="AR8" s="178">
        <v>4186</v>
      </c>
      <c r="AS8" s="178">
        <v>4480</v>
      </c>
      <c r="AT8" s="178">
        <v>2004</v>
      </c>
      <c r="AU8" s="178">
        <v>2180</v>
      </c>
      <c r="AV8" s="178">
        <v>2317</v>
      </c>
      <c r="AW8" s="178">
        <v>2178</v>
      </c>
      <c r="AX8" s="178">
        <v>1825</v>
      </c>
      <c r="AY8" s="178">
        <v>2939</v>
      </c>
      <c r="AZ8" s="178">
        <v>1874</v>
      </c>
      <c r="BA8" s="178">
        <v>2262</v>
      </c>
      <c r="BB8" s="178">
        <v>1562</v>
      </c>
      <c r="BC8" s="178">
        <v>3659.1550000000002</v>
      </c>
      <c r="BD8" s="178">
        <v>3867</v>
      </c>
      <c r="BE8" s="178">
        <v>2173</v>
      </c>
      <c r="BF8" s="178">
        <v>1432</v>
      </c>
      <c r="BG8" s="178">
        <v>452</v>
      </c>
      <c r="BH8" s="178">
        <f>'8 - Demonstrativos Financeiros'!BG59</f>
        <v>261.101</v>
      </c>
      <c r="BI8" s="178">
        <v>747</v>
      </c>
      <c r="BJ8" s="178">
        <f>'8 - Demonstrativos Financeiros'!BI59</f>
        <v>1766.4929999999999</v>
      </c>
      <c r="BK8" s="178">
        <f>'8 - Demonstrativos Financeiros'!BJ59</f>
        <v>2084.192</v>
      </c>
      <c r="BL8" s="178">
        <f>'8 - Demonstrativos Financeiros'!BK59</f>
        <v>3550.0199999999995</v>
      </c>
      <c r="BM8" s="178">
        <f>'8 - Demonstrativos Financeiros'!BL59</f>
        <v>3885.6779999999999</v>
      </c>
      <c r="BS8" s="449"/>
      <c r="BT8" s="449"/>
      <c r="BU8" s="449"/>
      <c r="BV8" s="449"/>
      <c r="BW8" s="449"/>
      <c r="BX8" s="449"/>
    </row>
    <row r="9" spans="1:76" ht="14.25" hidden="1" customHeight="1">
      <c r="B9" s="201" t="s">
        <v>15</v>
      </c>
      <c r="C9" s="202"/>
      <c r="D9" s="203">
        <v>733</v>
      </c>
      <c r="E9" s="203">
        <v>796</v>
      </c>
      <c r="F9" s="203">
        <v>879</v>
      </c>
      <c r="G9" s="203">
        <v>891</v>
      </c>
      <c r="H9" s="203">
        <v>976</v>
      </c>
      <c r="I9" s="203">
        <v>1048</v>
      </c>
      <c r="J9" s="203">
        <v>1032</v>
      </c>
      <c r="K9" s="203">
        <v>843</v>
      </c>
      <c r="L9" s="203">
        <v>800</v>
      </c>
      <c r="M9" s="203">
        <v>854</v>
      </c>
      <c r="N9" s="203">
        <v>797</v>
      </c>
      <c r="O9" s="203">
        <v>703</v>
      </c>
      <c r="P9" s="203">
        <v>706</v>
      </c>
      <c r="Q9" s="203">
        <v>554</v>
      </c>
      <c r="R9" s="203">
        <v>576</v>
      </c>
      <c r="S9" s="203">
        <v>821</v>
      </c>
      <c r="T9" s="203">
        <v>808</v>
      </c>
      <c r="U9" s="203">
        <v>1003</v>
      </c>
      <c r="V9" s="203">
        <v>1023</v>
      </c>
      <c r="W9" s="203">
        <v>652</v>
      </c>
      <c r="X9" s="203">
        <v>552</v>
      </c>
      <c r="Y9" s="203">
        <v>382</v>
      </c>
      <c r="Z9" s="203">
        <v>435</v>
      </c>
      <c r="AA9" s="203">
        <v>492</v>
      </c>
      <c r="AB9" s="183"/>
      <c r="AC9" s="203">
        <v>539</v>
      </c>
      <c r="AD9" s="203">
        <v>109</v>
      </c>
      <c r="AE9" s="203">
        <v>35</v>
      </c>
      <c r="AF9" s="203">
        <v>79</v>
      </c>
      <c r="AG9" s="203">
        <v>712</v>
      </c>
      <c r="AH9" s="203"/>
      <c r="AI9" s="203"/>
      <c r="AJ9" s="203"/>
      <c r="AK9" s="181"/>
      <c r="AL9" s="203"/>
      <c r="AM9" s="203"/>
      <c r="AN9" s="203"/>
      <c r="AO9" s="203"/>
      <c r="AP9" s="181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S9" s="449"/>
      <c r="BT9" s="449"/>
      <c r="BU9" s="449"/>
      <c r="BV9" s="449"/>
      <c r="BW9" s="449"/>
      <c r="BX9" s="449"/>
    </row>
    <row r="10" spans="1:76" s="20" customFormat="1" ht="14.25" hidden="1" customHeight="1">
      <c r="A10" s="10"/>
      <c r="B10" s="201" t="s">
        <v>16</v>
      </c>
      <c r="C10" s="202"/>
      <c r="D10" s="203">
        <v>644</v>
      </c>
      <c r="E10" s="203">
        <v>618</v>
      </c>
      <c r="F10" s="203">
        <v>757</v>
      </c>
      <c r="G10" s="203">
        <v>1103</v>
      </c>
      <c r="H10" s="203">
        <v>1071</v>
      </c>
      <c r="I10" s="203">
        <v>677</v>
      </c>
      <c r="J10" s="203">
        <v>353</v>
      </c>
      <c r="K10" s="203">
        <v>197</v>
      </c>
      <c r="L10" s="203">
        <v>244</v>
      </c>
      <c r="M10" s="203">
        <v>183</v>
      </c>
      <c r="N10" s="203">
        <v>1196</v>
      </c>
      <c r="O10" s="203">
        <v>169</v>
      </c>
      <c r="P10" s="203">
        <v>200</v>
      </c>
      <c r="Q10" s="203">
        <v>179</v>
      </c>
      <c r="R10" s="203">
        <v>257</v>
      </c>
      <c r="S10" s="203">
        <v>243</v>
      </c>
      <c r="T10" s="203">
        <v>280</v>
      </c>
      <c r="U10" s="203">
        <v>333</v>
      </c>
      <c r="V10" s="203">
        <v>485</v>
      </c>
      <c r="W10" s="203">
        <v>469</v>
      </c>
      <c r="X10" s="203">
        <v>774</v>
      </c>
      <c r="Y10" s="203">
        <v>295</v>
      </c>
      <c r="Z10" s="203">
        <v>272</v>
      </c>
      <c r="AA10" s="203">
        <v>262</v>
      </c>
      <c r="AB10" s="204"/>
      <c r="AC10" s="203">
        <v>290</v>
      </c>
      <c r="AD10" s="203">
        <v>298</v>
      </c>
      <c r="AE10" s="203">
        <v>281</v>
      </c>
      <c r="AF10" s="203">
        <v>304</v>
      </c>
      <c r="AG10" s="203">
        <v>129</v>
      </c>
      <c r="AH10" s="203"/>
      <c r="AI10" s="203"/>
      <c r="AJ10" s="203"/>
      <c r="AK10" s="181"/>
      <c r="AL10" s="203"/>
      <c r="AM10" s="203"/>
      <c r="AN10" s="203"/>
      <c r="AO10" s="203"/>
      <c r="AP10" s="181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S10" s="449"/>
      <c r="BT10" s="449"/>
      <c r="BU10" s="449"/>
      <c r="BV10" s="449"/>
      <c r="BW10" s="449"/>
      <c r="BX10" s="449"/>
    </row>
    <row r="11" spans="1:76" ht="14.25" hidden="1" customHeight="1">
      <c r="B11" s="201" t="s">
        <v>17</v>
      </c>
      <c r="C11" s="202"/>
      <c r="D11" s="203">
        <v>765</v>
      </c>
      <c r="E11" s="203">
        <v>1729</v>
      </c>
      <c r="F11" s="203">
        <v>1609</v>
      </c>
      <c r="G11" s="203">
        <v>1938</v>
      </c>
      <c r="H11" s="203">
        <v>1403</v>
      </c>
      <c r="I11" s="203">
        <v>1101</v>
      </c>
      <c r="J11" s="203">
        <v>741</v>
      </c>
      <c r="K11" s="203">
        <v>317</v>
      </c>
      <c r="L11" s="203">
        <v>42459</v>
      </c>
      <c r="M11" s="203">
        <v>446</v>
      </c>
      <c r="N11" s="203">
        <v>489</v>
      </c>
      <c r="O11" s="203">
        <v>821</v>
      </c>
      <c r="P11" s="203">
        <v>823</v>
      </c>
      <c r="Q11" s="203">
        <v>556</v>
      </c>
      <c r="R11" s="203">
        <v>778</v>
      </c>
      <c r="S11" s="203">
        <v>693</v>
      </c>
      <c r="T11" s="203">
        <v>840</v>
      </c>
      <c r="U11" s="203">
        <v>1635</v>
      </c>
      <c r="V11" s="203">
        <v>1585</v>
      </c>
      <c r="W11" s="203">
        <v>1462</v>
      </c>
      <c r="X11" s="203">
        <v>2007</v>
      </c>
      <c r="Y11" s="203">
        <v>1093</v>
      </c>
      <c r="Z11" s="203">
        <v>1062</v>
      </c>
      <c r="AA11" s="203">
        <v>1084</v>
      </c>
      <c r="AB11" s="183"/>
      <c r="AC11" s="203">
        <v>926</v>
      </c>
      <c r="AD11" s="203">
        <v>892</v>
      </c>
      <c r="AE11" s="203">
        <v>1633</v>
      </c>
      <c r="AF11" s="203">
        <v>1655</v>
      </c>
      <c r="AG11" s="203">
        <v>1525</v>
      </c>
      <c r="AH11" s="203"/>
      <c r="AI11" s="203"/>
      <c r="AJ11" s="203"/>
      <c r="AK11" s="181"/>
      <c r="AL11" s="203"/>
      <c r="AM11" s="203"/>
      <c r="AN11" s="203"/>
      <c r="AO11" s="203"/>
      <c r="AP11" s="181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S11" s="449"/>
      <c r="BT11" s="449"/>
      <c r="BU11" s="449"/>
      <c r="BV11" s="449"/>
      <c r="BW11" s="449"/>
      <c r="BX11" s="449"/>
    </row>
    <row r="12" spans="1:76" s="20" customFormat="1" ht="14.25" customHeight="1">
      <c r="B12" s="205"/>
      <c r="C12" s="202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4"/>
      <c r="AC12" s="203"/>
      <c r="AD12" s="203"/>
      <c r="AE12" s="203"/>
      <c r="AF12" s="203"/>
      <c r="AG12" s="203"/>
      <c r="AH12" s="203"/>
      <c r="AI12" s="203"/>
      <c r="AJ12" s="203"/>
      <c r="AK12" s="181"/>
      <c r="AL12" s="203"/>
      <c r="AM12" s="203"/>
      <c r="AN12" s="203"/>
      <c r="AO12" s="203"/>
      <c r="AP12" s="181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S12" s="449"/>
      <c r="BT12" s="449"/>
      <c r="BU12" s="449"/>
      <c r="BV12" s="449"/>
      <c r="BW12" s="449"/>
      <c r="BX12" s="449"/>
    </row>
    <row r="13" spans="1:76" s="12" customFormat="1" ht="14.25" customHeight="1">
      <c r="B13" s="177" t="s">
        <v>18</v>
      </c>
      <c r="C13" s="178"/>
      <c r="D13" s="178">
        <v>13287</v>
      </c>
      <c r="E13" s="178">
        <v>13340</v>
      </c>
      <c r="F13" s="178">
        <v>15767</v>
      </c>
      <c r="G13" s="178">
        <v>19301</v>
      </c>
      <c r="H13" s="178">
        <v>18700</v>
      </c>
      <c r="I13" s="178">
        <v>16095</v>
      </c>
      <c r="J13" s="178">
        <v>13951</v>
      </c>
      <c r="K13" s="178">
        <v>13164</v>
      </c>
      <c r="L13" s="178">
        <v>13279</v>
      </c>
      <c r="M13" s="178">
        <v>13270</v>
      </c>
      <c r="N13" s="178">
        <v>11824</v>
      </c>
      <c r="O13" s="178">
        <v>12977</v>
      </c>
      <c r="P13" s="178">
        <v>12506</v>
      </c>
      <c r="Q13" s="178">
        <v>10619</v>
      </c>
      <c r="R13" s="178">
        <v>11913</v>
      </c>
      <c r="S13" s="178">
        <v>11927</v>
      </c>
      <c r="T13" s="178">
        <v>11533</v>
      </c>
      <c r="U13" s="178">
        <v>11921</v>
      </c>
      <c r="V13" s="178">
        <v>11875</v>
      </c>
      <c r="W13" s="178">
        <v>12086</v>
      </c>
      <c r="X13" s="178">
        <v>11610</v>
      </c>
      <c r="Y13" s="178">
        <v>13889</v>
      </c>
      <c r="Z13" s="178">
        <v>14022</v>
      </c>
      <c r="AA13" s="178">
        <v>14869</v>
      </c>
      <c r="AB13" s="200"/>
      <c r="AC13" s="178">
        <v>15004</v>
      </c>
      <c r="AD13" s="178">
        <v>15415</v>
      </c>
      <c r="AE13" s="178">
        <v>16516</v>
      </c>
      <c r="AF13" s="178">
        <v>17484</v>
      </c>
      <c r="AG13" s="178">
        <v>20916</v>
      </c>
      <c r="AH13" s="178">
        <v>19982</v>
      </c>
      <c r="AI13" s="178">
        <v>25451</v>
      </c>
      <c r="AJ13" s="178">
        <v>24074</v>
      </c>
      <c r="AK13" s="178"/>
      <c r="AL13" s="178">
        <v>21220</v>
      </c>
      <c r="AM13" s="178">
        <v>18715</v>
      </c>
      <c r="AN13" s="178">
        <v>18902</v>
      </c>
      <c r="AO13" s="178">
        <v>16125</v>
      </c>
      <c r="AP13" s="178"/>
      <c r="AQ13" s="178">
        <v>15516</v>
      </c>
      <c r="AR13" s="178">
        <v>15778</v>
      </c>
      <c r="AS13" s="178">
        <v>14193</v>
      </c>
      <c r="AT13" s="178">
        <v>14505</v>
      </c>
      <c r="AU13" s="178">
        <v>14539</v>
      </c>
      <c r="AV13" s="178">
        <v>15798</v>
      </c>
      <c r="AW13" s="178">
        <v>16015</v>
      </c>
      <c r="AX13" s="178">
        <v>13082</v>
      </c>
      <c r="AY13" s="178">
        <v>12054</v>
      </c>
      <c r="AZ13" s="178">
        <v>12800</v>
      </c>
      <c r="BA13" s="178">
        <v>13232</v>
      </c>
      <c r="BB13" s="178">
        <v>14488</v>
      </c>
      <c r="BC13" s="178">
        <v>16370.279</v>
      </c>
      <c r="BD13" s="178">
        <v>17110</v>
      </c>
      <c r="BE13" s="178">
        <v>17368</v>
      </c>
      <c r="BF13" s="178">
        <v>16084</v>
      </c>
      <c r="BG13" s="178">
        <v>17313</v>
      </c>
      <c r="BH13" s="178">
        <f>'8 - Demonstrativos Financeiros'!BG62</f>
        <v>15545.06</v>
      </c>
      <c r="BI13" s="178">
        <v>16374</v>
      </c>
      <c r="BJ13" s="178">
        <f>'8 - Demonstrativos Financeiros'!BI62</f>
        <v>12273.2</v>
      </c>
      <c r="BK13" s="178">
        <f>'8 - Demonstrativos Financeiros'!BJ62</f>
        <v>10683.415000000001</v>
      </c>
      <c r="BL13" s="178">
        <f>'8 - Demonstrativos Financeiros'!BK62</f>
        <v>8894.7459999999992</v>
      </c>
      <c r="BM13" s="178">
        <f>'8 - Demonstrativos Financeiros'!BL62</f>
        <v>8969.93</v>
      </c>
      <c r="BS13" s="449"/>
      <c r="BT13" s="449"/>
      <c r="BU13" s="449"/>
      <c r="BV13" s="449"/>
      <c r="BW13" s="449"/>
      <c r="BX13" s="449"/>
    </row>
    <row r="14" spans="1:76" ht="14.25" hidden="1" customHeight="1">
      <c r="B14" s="201" t="s">
        <v>15</v>
      </c>
      <c r="C14" s="202"/>
      <c r="D14" s="203">
        <v>2589</v>
      </c>
      <c r="E14" s="203">
        <v>2306</v>
      </c>
      <c r="F14" s="203">
        <v>2543</v>
      </c>
      <c r="G14" s="203">
        <v>2625</v>
      </c>
      <c r="H14" s="203">
        <v>2393</v>
      </c>
      <c r="I14" s="203">
        <v>2276</v>
      </c>
      <c r="J14" s="203">
        <v>2127</v>
      </c>
      <c r="K14" s="203">
        <v>2002</v>
      </c>
      <c r="L14" s="203">
        <v>2229</v>
      </c>
      <c r="M14" s="203">
        <v>2232</v>
      </c>
      <c r="N14" s="203">
        <v>2556</v>
      </c>
      <c r="O14" s="203">
        <v>2623</v>
      </c>
      <c r="P14" s="203">
        <v>2611</v>
      </c>
      <c r="Q14" s="203">
        <v>2739</v>
      </c>
      <c r="R14" s="203">
        <v>2692</v>
      </c>
      <c r="S14" s="203">
        <v>2383</v>
      </c>
      <c r="T14" s="203">
        <v>2309</v>
      </c>
      <c r="U14" s="203">
        <v>1947</v>
      </c>
      <c r="V14" s="203">
        <v>1866</v>
      </c>
      <c r="W14" s="203">
        <v>2240</v>
      </c>
      <c r="X14" s="203">
        <v>2123</v>
      </c>
      <c r="Y14" s="203">
        <v>1964</v>
      </c>
      <c r="Z14" s="203">
        <v>2506</v>
      </c>
      <c r="AA14" s="203">
        <v>2927</v>
      </c>
      <c r="AB14" s="183"/>
      <c r="AC14" s="203">
        <v>3396</v>
      </c>
      <c r="AD14" s="203">
        <v>3365</v>
      </c>
      <c r="AE14" s="203">
        <v>4245</v>
      </c>
      <c r="AF14" s="203">
        <v>4073</v>
      </c>
      <c r="AG14" s="203">
        <v>3351</v>
      </c>
      <c r="AH14" s="203"/>
      <c r="AI14" s="203"/>
      <c r="AJ14" s="203"/>
      <c r="AK14" s="181"/>
      <c r="AL14" s="203"/>
      <c r="AM14" s="203"/>
      <c r="AN14" s="203"/>
      <c r="AO14" s="203"/>
      <c r="AP14" s="181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S14" s="449"/>
      <c r="BT14" s="449"/>
      <c r="BU14" s="449"/>
      <c r="BV14" s="449"/>
      <c r="BW14" s="449"/>
      <c r="BX14" s="449"/>
    </row>
    <row r="15" spans="1:76" ht="14.25" hidden="1" customHeight="1">
      <c r="B15" s="201" t="s">
        <v>16</v>
      </c>
      <c r="C15" s="202"/>
      <c r="D15" s="203">
        <v>4221</v>
      </c>
      <c r="E15" s="203">
        <v>4483</v>
      </c>
      <c r="F15" s="203">
        <v>5255</v>
      </c>
      <c r="G15" s="203">
        <v>6886</v>
      </c>
      <c r="H15" s="203">
        <v>6687</v>
      </c>
      <c r="I15" s="203">
        <v>6111</v>
      </c>
      <c r="J15" s="203">
        <v>5537</v>
      </c>
      <c r="K15" s="203">
        <v>5268</v>
      </c>
      <c r="L15" s="203">
        <v>5071</v>
      </c>
      <c r="M15" s="203">
        <v>5095</v>
      </c>
      <c r="N15" s="203">
        <v>3769</v>
      </c>
      <c r="O15" s="203">
        <v>5655</v>
      </c>
      <c r="P15" s="203">
        <v>5589</v>
      </c>
      <c r="Q15" s="203">
        <v>5198</v>
      </c>
      <c r="R15" s="203">
        <v>6271</v>
      </c>
      <c r="S15" s="203">
        <v>6462</v>
      </c>
      <c r="T15" s="203">
        <v>6242</v>
      </c>
      <c r="U15" s="203">
        <v>6855</v>
      </c>
      <c r="V15" s="203">
        <v>6551</v>
      </c>
      <c r="W15" s="203">
        <v>6422</v>
      </c>
      <c r="X15" s="203">
        <v>6261</v>
      </c>
      <c r="Y15" s="203">
        <v>8500</v>
      </c>
      <c r="Z15" s="203">
        <v>8146</v>
      </c>
      <c r="AA15" s="203">
        <v>8725</v>
      </c>
      <c r="AB15" s="183"/>
      <c r="AC15" s="203">
        <v>8381</v>
      </c>
      <c r="AD15" s="203">
        <v>8966</v>
      </c>
      <c r="AE15" s="203">
        <v>9395</v>
      </c>
      <c r="AF15" s="203">
        <v>10717</v>
      </c>
      <c r="AG15" s="203">
        <v>11680</v>
      </c>
      <c r="AH15" s="203"/>
      <c r="AI15" s="203"/>
      <c r="AJ15" s="203"/>
      <c r="AK15" s="181"/>
      <c r="AL15" s="203"/>
      <c r="AM15" s="203"/>
      <c r="AN15" s="203"/>
      <c r="AO15" s="203"/>
      <c r="AP15" s="181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S15" s="449"/>
      <c r="BT15" s="449"/>
      <c r="BU15" s="449"/>
      <c r="BV15" s="449"/>
      <c r="BW15" s="449"/>
      <c r="BX15" s="449"/>
    </row>
    <row r="16" spans="1:76" ht="14.25" hidden="1" customHeight="1">
      <c r="B16" s="201" t="s">
        <v>17</v>
      </c>
      <c r="C16" s="202"/>
      <c r="D16" s="203">
        <v>6476</v>
      </c>
      <c r="E16" s="203">
        <v>6551</v>
      </c>
      <c r="F16" s="203">
        <v>7970</v>
      </c>
      <c r="G16" s="203">
        <v>9790</v>
      </c>
      <c r="H16" s="203">
        <v>9620</v>
      </c>
      <c r="I16" s="203">
        <v>7708</v>
      </c>
      <c r="J16" s="203">
        <v>6287</v>
      </c>
      <c r="K16" s="203">
        <v>5894</v>
      </c>
      <c r="L16" s="203">
        <v>5979</v>
      </c>
      <c r="M16" s="203">
        <v>5943</v>
      </c>
      <c r="N16" s="203">
        <v>5499</v>
      </c>
      <c r="O16" s="203">
        <v>4699</v>
      </c>
      <c r="P16" s="203">
        <v>4306</v>
      </c>
      <c r="Q16" s="203">
        <v>2682</v>
      </c>
      <c r="R16" s="203">
        <v>2950</v>
      </c>
      <c r="S16" s="203">
        <v>3082</v>
      </c>
      <c r="T16" s="203">
        <v>2982</v>
      </c>
      <c r="U16" s="203">
        <v>3119</v>
      </c>
      <c r="V16" s="203">
        <v>3458</v>
      </c>
      <c r="W16" s="203">
        <v>3424</v>
      </c>
      <c r="X16" s="203">
        <v>3226</v>
      </c>
      <c r="Y16" s="203">
        <v>3425</v>
      </c>
      <c r="Z16" s="203">
        <v>3370</v>
      </c>
      <c r="AA16" s="203">
        <v>3217</v>
      </c>
      <c r="AB16" s="183"/>
      <c r="AC16" s="203">
        <v>3227</v>
      </c>
      <c r="AD16" s="203">
        <v>3084</v>
      </c>
      <c r="AE16" s="203">
        <v>2876</v>
      </c>
      <c r="AF16" s="203">
        <v>2694</v>
      </c>
      <c r="AG16" s="203">
        <v>5885</v>
      </c>
      <c r="AH16" s="203"/>
      <c r="AI16" s="203"/>
      <c r="AJ16" s="203"/>
      <c r="AK16" s="181"/>
      <c r="AL16" s="203"/>
      <c r="AM16" s="203"/>
      <c r="AN16" s="203"/>
      <c r="AO16" s="203"/>
      <c r="AP16" s="181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S16" s="449"/>
      <c r="BT16" s="449"/>
      <c r="BU16" s="449"/>
      <c r="BV16" s="449"/>
      <c r="BW16" s="449"/>
      <c r="BX16" s="449"/>
    </row>
    <row r="17" spans="1:76" ht="14.25" customHeight="1">
      <c r="B17" s="211" t="s">
        <v>144</v>
      </c>
      <c r="C17" s="185"/>
      <c r="D17" s="185">
        <v>15429</v>
      </c>
      <c r="E17" s="185">
        <v>16483</v>
      </c>
      <c r="F17" s="185">
        <v>19012</v>
      </c>
      <c r="G17" s="185">
        <v>23234</v>
      </c>
      <c r="H17" s="185">
        <v>22149</v>
      </c>
      <c r="I17" s="185">
        <v>18921</v>
      </c>
      <c r="J17" s="185">
        <v>16077</v>
      </c>
      <c r="K17" s="185">
        <v>14521</v>
      </c>
      <c r="L17" s="185">
        <v>14631</v>
      </c>
      <c r="M17" s="185">
        <v>14753</v>
      </c>
      <c r="N17" s="185">
        <v>14306</v>
      </c>
      <c r="O17" s="185">
        <v>14670</v>
      </c>
      <c r="P17" s="185">
        <v>14235</v>
      </c>
      <c r="Q17" s="185">
        <v>11908</v>
      </c>
      <c r="R17" s="185">
        <v>13524</v>
      </c>
      <c r="S17" s="185">
        <v>13684</v>
      </c>
      <c r="T17" s="185">
        <v>13461.17</v>
      </c>
      <c r="U17" s="185">
        <v>14892</v>
      </c>
      <c r="V17" s="185">
        <v>14968</v>
      </c>
      <c r="W17" s="185">
        <v>14669</v>
      </c>
      <c r="X17" s="185">
        <v>14943</v>
      </c>
      <c r="Y17" s="185">
        <v>15659</v>
      </c>
      <c r="Z17" s="185">
        <v>15791</v>
      </c>
      <c r="AA17" s="185">
        <v>16707</v>
      </c>
      <c r="AB17" s="187"/>
      <c r="AC17" s="185">
        <v>16759</v>
      </c>
      <c r="AD17" s="185">
        <v>16714</v>
      </c>
      <c r="AE17" s="185">
        <v>18465</v>
      </c>
      <c r="AF17" s="185">
        <v>19522</v>
      </c>
      <c r="AG17" s="185">
        <v>23282</v>
      </c>
      <c r="AH17" s="185">
        <v>22566</v>
      </c>
      <c r="AI17" s="185">
        <v>27583</v>
      </c>
      <c r="AJ17" s="185">
        <v>26461</v>
      </c>
      <c r="AK17" s="185"/>
      <c r="AL17" s="185">
        <v>23684</v>
      </c>
      <c r="AM17" s="185">
        <v>20674</v>
      </c>
      <c r="AN17" s="185">
        <v>21098</v>
      </c>
      <c r="AO17" s="185">
        <v>20583</v>
      </c>
      <c r="AP17" s="185"/>
      <c r="AQ17" s="185">
        <v>19701</v>
      </c>
      <c r="AR17" s="185">
        <v>19964</v>
      </c>
      <c r="AS17" s="185">
        <v>18674</v>
      </c>
      <c r="AT17" s="185">
        <v>16509</v>
      </c>
      <c r="AU17" s="185">
        <v>16719</v>
      </c>
      <c r="AV17" s="185">
        <v>18115</v>
      </c>
      <c r="AW17" s="185">
        <v>18193</v>
      </c>
      <c r="AX17" s="185">
        <v>14907</v>
      </c>
      <c r="AY17" s="185">
        <f>AY13+AY8</f>
        <v>14993</v>
      </c>
      <c r="AZ17" s="185">
        <v>14674</v>
      </c>
      <c r="BA17" s="185">
        <v>15494</v>
      </c>
      <c r="BB17" s="185">
        <v>16050</v>
      </c>
      <c r="BC17" s="185">
        <f>SUM(BC8+BC13)</f>
        <v>20029.434000000001</v>
      </c>
      <c r="BD17" s="185">
        <v>20977</v>
      </c>
      <c r="BE17" s="185">
        <v>19541</v>
      </c>
      <c r="BF17" s="185">
        <v>17516</v>
      </c>
      <c r="BG17" s="185">
        <v>17766</v>
      </c>
      <c r="BH17" s="185">
        <f t="shared" ref="BH17:BJ17" si="0">SUM(BH13,BH8)</f>
        <v>15806.161</v>
      </c>
      <c r="BI17" s="185">
        <f t="shared" si="0"/>
        <v>17121</v>
      </c>
      <c r="BJ17" s="185">
        <f t="shared" si="0"/>
        <v>14039.693000000001</v>
      </c>
      <c r="BK17" s="185">
        <f t="shared" ref="BK17:BL17" si="1">SUM(BK13,BK8)</f>
        <v>12767.607</v>
      </c>
      <c r="BL17" s="185">
        <f t="shared" si="1"/>
        <v>12444.766</v>
      </c>
      <c r="BM17" s="185">
        <f>SUM(BM13,BM8)</f>
        <v>12855.608</v>
      </c>
      <c r="BO17" s="20"/>
      <c r="BS17" s="449"/>
      <c r="BT17" s="449"/>
      <c r="BU17" s="449"/>
      <c r="BV17" s="449"/>
      <c r="BW17" s="449"/>
      <c r="BX17" s="449"/>
    </row>
    <row r="18" spans="1:76" s="20" customFormat="1" ht="14.25" hidden="1" customHeight="1">
      <c r="A18" s="10"/>
      <c r="B18" s="201" t="s">
        <v>120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>
        <v>-383</v>
      </c>
      <c r="V18" s="202">
        <v>-339</v>
      </c>
      <c r="W18" s="202">
        <v>-308</v>
      </c>
      <c r="X18" s="202">
        <v>-417</v>
      </c>
      <c r="Y18" s="202">
        <v>-344</v>
      </c>
      <c r="Z18" s="202">
        <v>-339</v>
      </c>
      <c r="AA18" s="202">
        <v>-391</v>
      </c>
      <c r="AB18" s="204"/>
      <c r="AC18" s="202">
        <v>-374</v>
      </c>
      <c r="AD18" s="202">
        <v>-283</v>
      </c>
      <c r="AE18" s="202">
        <v>-340</v>
      </c>
      <c r="AF18" s="202">
        <v>-343</v>
      </c>
      <c r="AG18" s="202">
        <v>-400</v>
      </c>
      <c r="AH18" s="202"/>
      <c r="AI18" s="202"/>
      <c r="AJ18" s="202"/>
      <c r="AK18" s="180"/>
      <c r="AL18" s="202"/>
      <c r="AM18" s="202"/>
      <c r="AN18" s="202"/>
      <c r="AO18" s="202"/>
      <c r="AP18" s="180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O18" s="12"/>
      <c r="BS18" s="449"/>
      <c r="BT18" s="449"/>
      <c r="BU18" s="449"/>
      <c r="BV18" s="449"/>
      <c r="BW18" s="449"/>
      <c r="BX18" s="449"/>
    </row>
    <row r="19" spans="1:76" ht="14.25" hidden="1" customHeight="1">
      <c r="B19" s="206" t="s">
        <v>121</v>
      </c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>
        <f>U17+U18</f>
        <v>14509</v>
      </c>
      <c r="V19" s="207">
        <f>V17+V18</f>
        <v>14629</v>
      </c>
      <c r="W19" s="207">
        <f>W17+W18</f>
        <v>14361</v>
      </c>
      <c r="X19" s="207">
        <f>X17+X18</f>
        <v>14526</v>
      </c>
      <c r="Y19" s="207">
        <f>Y17+Y18</f>
        <v>15315</v>
      </c>
      <c r="Z19" s="207">
        <v>15452</v>
      </c>
      <c r="AA19" s="207">
        <v>16316</v>
      </c>
      <c r="AB19" s="183"/>
      <c r="AC19" s="207">
        <v>16386</v>
      </c>
      <c r="AD19" s="207">
        <v>16431</v>
      </c>
      <c r="AE19" s="207">
        <v>18125</v>
      </c>
      <c r="AF19" s="207">
        <v>19178</v>
      </c>
      <c r="AG19" s="207">
        <v>22882</v>
      </c>
      <c r="AH19" s="207"/>
      <c r="AI19" s="207"/>
      <c r="AJ19" s="207"/>
      <c r="AK19" s="180"/>
      <c r="AL19" s="207"/>
      <c r="AM19" s="207"/>
      <c r="AN19" s="207"/>
      <c r="AO19" s="207"/>
      <c r="AP19" s="180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S19" s="449"/>
      <c r="BT19" s="449"/>
      <c r="BU19" s="449"/>
      <c r="BV19" s="449"/>
      <c r="BW19" s="449"/>
      <c r="BX19" s="449"/>
    </row>
    <row r="20" spans="1:76" ht="14.25" customHeight="1">
      <c r="B20" s="183"/>
      <c r="C20" s="202"/>
      <c r="D20" s="208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183"/>
      <c r="AC20" s="203"/>
      <c r="AD20" s="203"/>
      <c r="AE20" s="203"/>
      <c r="AF20" s="203"/>
      <c r="AG20" s="203"/>
      <c r="AH20" s="203"/>
      <c r="AI20" s="203"/>
      <c r="AJ20" s="203"/>
      <c r="AK20" s="181"/>
      <c r="AL20" s="203"/>
      <c r="AM20" s="203"/>
      <c r="AN20" s="203"/>
      <c r="AO20" s="203"/>
      <c r="AP20" s="181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S20" s="449"/>
      <c r="BT20" s="449"/>
      <c r="BU20" s="449"/>
      <c r="BV20" s="449"/>
      <c r="BW20" s="449"/>
      <c r="BX20" s="449"/>
    </row>
    <row r="21" spans="1:76" ht="14.25" customHeight="1">
      <c r="B21" s="177" t="s">
        <v>19</v>
      </c>
      <c r="C21" s="178"/>
      <c r="D21" s="178">
        <v>4084</v>
      </c>
      <c r="E21" s="178">
        <v>5557</v>
      </c>
      <c r="F21" s="178">
        <v>5640</v>
      </c>
      <c r="G21" s="178">
        <v>5491</v>
      </c>
      <c r="H21" s="178">
        <v>5830</v>
      </c>
      <c r="I21" s="178">
        <v>6263</v>
      </c>
      <c r="J21" s="178">
        <v>5405</v>
      </c>
      <c r="K21" s="178">
        <v>4819</v>
      </c>
      <c r="L21" s="178">
        <v>4505</v>
      </c>
      <c r="M21" s="178">
        <v>4317</v>
      </c>
      <c r="N21" s="178">
        <v>1677</v>
      </c>
      <c r="O21" s="178">
        <v>2204</v>
      </c>
      <c r="P21" s="178">
        <v>2446</v>
      </c>
      <c r="Q21" s="178">
        <v>4121</v>
      </c>
      <c r="R21" s="178">
        <v>4366</v>
      </c>
      <c r="S21" s="178">
        <v>4578</v>
      </c>
      <c r="T21" s="178">
        <v>3435</v>
      </c>
      <c r="U21" s="178">
        <v>3165</v>
      </c>
      <c r="V21" s="178">
        <v>2999</v>
      </c>
      <c r="W21" s="178">
        <v>2497</v>
      </c>
      <c r="X21" s="178">
        <v>1832</v>
      </c>
      <c r="Y21" s="178">
        <v>2972</v>
      </c>
      <c r="Z21" s="178">
        <v>3512</v>
      </c>
      <c r="AA21" s="178">
        <v>4222</v>
      </c>
      <c r="AB21" s="176"/>
      <c r="AC21" s="178">
        <v>3520</v>
      </c>
      <c r="AD21" s="178">
        <v>3963</v>
      </c>
      <c r="AE21" s="178">
        <v>4670</v>
      </c>
      <c r="AF21" s="178">
        <v>5849</v>
      </c>
      <c r="AG21" s="178">
        <v>5847</v>
      </c>
      <c r="AH21" s="178">
        <v>5690</v>
      </c>
      <c r="AI21" s="178">
        <v>6739</v>
      </c>
      <c r="AJ21" s="178">
        <v>6919</v>
      </c>
      <c r="AK21" s="178"/>
      <c r="AL21" s="178">
        <v>5525</v>
      </c>
      <c r="AM21" s="178">
        <v>4877</v>
      </c>
      <c r="AN21" s="178">
        <v>5261</v>
      </c>
      <c r="AO21" s="178">
        <v>6088</v>
      </c>
      <c r="AP21" s="178"/>
      <c r="AQ21" s="178">
        <v>5454</v>
      </c>
      <c r="AR21" s="178">
        <v>5430</v>
      </c>
      <c r="AS21" s="178">
        <v>5067</v>
      </c>
      <c r="AT21" s="178">
        <v>3377</v>
      </c>
      <c r="AU21" s="178">
        <v>3246</v>
      </c>
      <c r="AV21" s="178">
        <v>2941</v>
      </c>
      <c r="AW21" s="178">
        <v>3475</v>
      </c>
      <c r="AX21" s="178">
        <v>3325</v>
      </c>
      <c r="AY21" s="178">
        <v>2532</v>
      </c>
      <c r="AZ21" s="178">
        <v>2142</v>
      </c>
      <c r="BA21" s="178">
        <v>3432</v>
      </c>
      <c r="BB21" s="178">
        <v>6295</v>
      </c>
      <c r="BC21" s="178">
        <v>5978.7</v>
      </c>
      <c r="BD21" s="178">
        <v>6548</v>
      </c>
      <c r="BE21" s="178">
        <v>7200</v>
      </c>
      <c r="BF21" s="178">
        <f>SUM(BF22:BF23)</f>
        <v>7658</v>
      </c>
      <c r="BG21" s="178">
        <f>SUM(BG22:BG23)</f>
        <v>7002.7999999999993</v>
      </c>
      <c r="BH21" s="178">
        <f>'8 - Demonstrativos Financeiros'!BG43</f>
        <v>5637.8140000000003</v>
      </c>
      <c r="BI21" s="178">
        <v>8431</v>
      </c>
      <c r="BJ21" s="178">
        <f>'8 - Demonstrativos Financeiros'!BI43</f>
        <v>6786.866</v>
      </c>
      <c r="BK21" s="178">
        <f>'8 - Demonstrativos Financeiros'!BJ43</f>
        <v>7590.7969999999996</v>
      </c>
      <c r="BL21" s="178">
        <f>'8 - Demonstrativos Financeiros'!BK43</f>
        <v>7754.7349999999997</v>
      </c>
      <c r="BM21" s="178">
        <f>'8 - Demonstrativos Financeiros'!BL43</f>
        <v>8590.1309999999994</v>
      </c>
      <c r="BN21" s="474"/>
      <c r="BS21" s="449"/>
      <c r="BT21" s="449"/>
      <c r="BU21" s="449"/>
      <c r="BV21" s="449"/>
      <c r="BW21" s="449"/>
      <c r="BX21" s="449"/>
    </row>
    <row r="22" spans="1:76" ht="14.15" customHeight="1">
      <c r="B22" s="188" t="s">
        <v>15</v>
      </c>
      <c r="C22" s="185"/>
      <c r="D22" s="186">
        <v>841</v>
      </c>
      <c r="E22" s="186">
        <v>3282</v>
      </c>
      <c r="F22" s="186">
        <v>3672</v>
      </c>
      <c r="G22" s="186">
        <v>2836</v>
      </c>
      <c r="H22" s="186">
        <v>2713</v>
      </c>
      <c r="I22" s="186">
        <v>3249</v>
      </c>
      <c r="J22" s="186">
        <v>3211</v>
      </c>
      <c r="K22" s="186">
        <v>2972</v>
      </c>
      <c r="L22" s="186">
        <v>2816</v>
      </c>
      <c r="M22" s="186">
        <v>2667</v>
      </c>
      <c r="N22" s="186">
        <v>1110</v>
      </c>
      <c r="O22" s="186">
        <v>1336</v>
      </c>
      <c r="P22" s="186">
        <v>1746</v>
      </c>
      <c r="Q22" s="186">
        <v>3361</v>
      </c>
      <c r="R22" s="186">
        <v>3384</v>
      </c>
      <c r="S22" s="186">
        <v>3587</v>
      </c>
      <c r="T22" s="186">
        <v>2424</v>
      </c>
      <c r="U22" s="186">
        <v>2296</v>
      </c>
      <c r="V22" s="186">
        <v>1987</v>
      </c>
      <c r="W22" s="186">
        <v>1617</v>
      </c>
      <c r="X22" s="186">
        <v>1110</v>
      </c>
      <c r="Y22" s="186">
        <v>1877</v>
      </c>
      <c r="Z22" s="186">
        <v>1920</v>
      </c>
      <c r="AA22" s="186">
        <v>2142</v>
      </c>
      <c r="AB22" s="187"/>
      <c r="AC22" s="186">
        <v>1995</v>
      </c>
      <c r="AD22" s="186">
        <v>2011</v>
      </c>
      <c r="AE22" s="186">
        <v>2305</v>
      </c>
      <c r="AF22" s="186">
        <v>3466</v>
      </c>
      <c r="AG22" s="186">
        <v>3430</v>
      </c>
      <c r="AH22" s="186">
        <v>2966</v>
      </c>
      <c r="AI22" s="186">
        <v>3251</v>
      </c>
      <c r="AJ22" s="186">
        <v>2289</v>
      </c>
      <c r="AK22" s="186"/>
      <c r="AL22" s="186">
        <v>1428</v>
      </c>
      <c r="AM22" s="186">
        <v>1456</v>
      </c>
      <c r="AN22" s="186">
        <v>1442</v>
      </c>
      <c r="AO22" s="186">
        <v>1609</v>
      </c>
      <c r="AP22" s="186"/>
      <c r="AQ22" s="186">
        <v>1510</v>
      </c>
      <c r="AR22" s="186">
        <v>1775</v>
      </c>
      <c r="AS22" s="186">
        <v>1938</v>
      </c>
      <c r="AT22" s="186">
        <v>387</v>
      </c>
      <c r="AU22" s="186">
        <v>1115</v>
      </c>
      <c r="AV22" s="186">
        <v>873</v>
      </c>
      <c r="AW22" s="186">
        <v>983.42499999999973</v>
      </c>
      <c r="AX22" s="186">
        <v>1298</v>
      </c>
      <c r="AY22" s="186">
        <v>955.53777673020022</v>
      </c>
      <c r="AZ22" s="186">
        <f>AZ21-AZ23</f>
        <v>1006.74</v>
      </c>
      <c r="BA22" s="186">
        <f>BA21-BA23</f>
        <v>1510.08</v>
      </c>
      <c r="BB22" s="186">
        <f>BB21-BB23</f>
        <v>2455.0500000000002</v>
      </c>
      <c r="BC22" s="186">
        <f>BC21-BC23</f>
        <v>2630.6279999999997</v>
      </c>
      <c r="BD22" s="186">
        <f>BD21-BD23</f>
        <v>2881.1199999999994</v>
      </c>
      <c r="BE22" s="186">
        <v>3340</v>
      </c>
      <c r="BF22" s="186">
        <v>4365</v>
      </c>
      <c r="BG22" s="186">
        <v>4154.3999999999996</v>
      </c>
      <c r="BH22" s="186">
        <f t="shared" ref="BH22:BM22" si="2">BH21-BH23</f>
        <v>3777.3353800000004</v>
      </c>
      <c r="BI22" s="186">
        <f t="shared" si="2"/>
        <v>4721.3600000000006</v>
      </c>
      <c r="BJ22" s="186">
        <f t="shared" si="2"/>
        <v>3257.6956799999998</v>
      </c>
      <c r="BK22" s="186">
        <f t="shared" ref="BK22:BL22" si="3">BK21-BK23</f>
        <v>3643.5825599999998</v>
      </c>
      <c r="BL22" s="186">
        <f t="shared" si="3"/>
        <v>3722.2727999999997</v>
      </c>
      <c r="BM22" s="186">
        <f t="shared" si="2"/>
        <v>1632.1248899999991</v>
      </c>
      <c r="BN22" s="474"/>
      <c r="BP22" s="459"/>
      <c r="BS22" s="449"/>
      <c r="BT22" s="449"/>
      <c r="BU22" s="449"/>
      <c r="BV22" s="449"/>
      <c r="BW22" s="449"/>
      <c r="BX22" s="449"/>
    </row>
    <row r="23" spans="1:76" ht="14.25" customHeight="1">
      <c r="B23" s="188" t="s">
        <v>16</v>
      </c>
      <c r="C23" s="185"/>
      <c r="D23" s="186">
        <v>3243</v>
      </c>
      <c r="E23" s="186">
        <v>2275</v>
      </c>
      <c r="F23" s="186">
        <v>1968</v>
      </c>
      <c r="G23" s="186">
        <v>2655</v>
      </c>
      <c r="H23" s="186">
        <v>3117</v>
      </c>
      <c r="I23" s="186">
        <v>3014</v>
      </c>
      <c r="J23" s="186">
        <v>2194</v>
      </c>
      <c r="K23" s="186">
        <v>1847</v>
      </c>
      <c r="L23" s="186">
        <v>1689</v>
      </c>
      <c r="M23" s="186">
        <v>1650</v>
      </c>
      <c r="N23" s="186">
        <v>567</v>
      </c>
      <c r="O23" s="186">
        <v>868</v>
      </c>
      <c r="P23" s="186">
        <v>700</v>
      </c>
      <c r="Q23" s="186">
        <v>760</v>
      </c>
      <c r="R23" s="186">
        <v>982</v>
      </c>
      <c r="S23" s="186">
        <v>991</v>
      </c>
      <c r="T23" s="186">
        <v>1011</v>
      </c>
      <c r="U23" s="186">
        <v>869</v>
      </c>
      <c r="V23" s="186">
        <v>1012</v>
      </c>
      <c r="W23" s="186">
        <v>880</v>
      </c>
      <c r="X23" s="186">
        <v>722</v>
      </c>
      <c r="Y23" s="186">
        <v>1095</v>
      </c>
      <c r="Z23" s="186">
        <v>1592</v>
      </c>
      <c r="AA23" s="186">
        <v>2080</v>
      </c>
      <c r="AB23" s="187"/>
      <c r="AC23" s="186">
        <v>1525</v>
      </c>
      <c r="AD23" s="186">
        <v>1952</v>
      </c>
      <c r="AE23" s="186">
        <v>2365</v>
      </c>
      <c r="AF23" s="186">
        <v>2383</v>
      </c>
      <c r="AG23" s="186">
        <v>2417</v>
      </c>
      <c r="AH23" s="186">
        <v>2724</v>
      </c>
      <c r="AI23" s="186">
        <v>3487</v>
      </c>
      <c r="AJ23" s="186">
        <v>4630</v>
      </c>
      <c r="AK23" s="186"/>
      <c r="AL23" s="186">
        <v>4097</v>
      </c>
      <c r="AM23" s="186">
        <v>3421</v>
      </c>
      <c r="AN23" s="186">
        <v>3819</v>
      </c>
      <c r="AO23" s="186">
        <v>4479</v>
      </c>
      <c r="AP23" s="186"/>
      <c r="AQ23" s="186">
        <v>3944</v>
      </c>
      <c r="AR23" s="186">
        <v>3655</v>
      </c>
      <c r="AS23" s="186">
        <v>3129</v>
      </c>
      <c r="AT23" s="186">
        <v>2990</v>
      </c>
      <c r="AU23" s="186">
        <v>2131</v>
      </c>
      <c r="AV23" s="186">
        <v>2068</v>
      </c>
      <c r="AW23" s="186">
        <v>2491.5750000000003</v>
      </c>
      <c r="AX23" s="186">
        <v>2027</v>
      </c>
      <c r="AY23" s="186">
        <v>1576.6289561598001</v>
      </c>
      <c r="AZ23" s="186">
        <f>AZ21*0.53</f>
        <v>1135.26</v>
      </c>
      <c r="BA23" s="186">
        <f>BA21*0.56</f>
        <v>1921.92</v>
      </c>
      <c r="BB23" s="186">
        <f>BB21*0.61</f>
        <v>3839.95</v>
      </c>
      <c r="BC23" s="186">
        <f>BC21*0.56</f>
        <v>3348.0720000000001</v>
      </c>
      <c r="BD23" s="186">
        <f>BD21*0.56</f>
        <v>3666.8800000000006</v>
      </c>
      <c r="BE23" s="186">
        <v>3860</v>
      </c>
      <c r="BF23" s="186">
        <v>3293</v>
      </c>
      <c r="BG23" s="186">
        <v>2848.4</v>
      </c>
      <c r="BH23" s="186">
        <f>0.33*BH21</f>
        <v>1860.4786200000001</v>
      </c>
      <c r="BI23" s="186">
        <f>0.44*BI21</f>
        <v>3709.64</v>
      </c>
      <c r="BJ23" s="186">
        <f>0.52*BJ21</f>
        <v>3529.1703200000002</v>
      </c>
      <c r="BK23" s="186">
        <f>0.52*BK21</f>
        <v>3947.2144399999997</v>
      </c>
      <c r="BL23" s="186">
        <f>0.52*BL21</f>
        <v>4032.4621999999999</v>
      </c>
      <c r="BM23" s="186">
        <f>0.81*BM21</f>
        <v>6958.0061100000003</v>
      </c>
      <c r="BN23" s="474"/>
      <c r="BO23" s="20"/>
      <c r="BP23" s="459"/>
      <c r="BS23" s="449"/>
      <c r="BT23" s="449"/>
      <c r="BU23" s="449"/>
      <c r="BV23" s="449"/>
      <c r="BW23" s="449"/>
      <c r="BX23" s="449"/>
    </row>
    <row r="24" spans="1:76" ht="14.25" customHeight="1">
      <c r="B24" s="205"/>
      <c r="C24" s="202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183"/>
      <c r="AC24" s="203"/>
      <c r="AD24" s="203"/>
      <c r="AE24" s="203"/>
      <c r="AF24" s="203"/>
      <c r="AG24" s="203"/>
      <c r="AH24" s="203"/>
      <c r="AI24" s="203"/>
      <c r="AJ24" s="203"/>
      <c r="AK24" s="181"/>
      <c r="AL24" s="203"/>
      <c r="AM24" s="203"/>
      <c r="AN24" s="203"/>
      <c r="AO24" s="203"/>
      <c r="AP24" s="181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O24" s="20"/>
      <c r="BS24" s="449"/>
      <c r="BT24" s="449"/>
      <c r="BU24" s="449"/>
      <c r="BV24" s="449"/>
      <c r="BW24" s="449"/>
      <c r="BX24" s="449"/>
    </row>
    <row r="25" spans="1:76" ht="14.25" customHeight="1" thickBot="1">
      <c r="B25" s="209" t="s">
        <v>145</v>
      </c>
      <c r="C25" s="210"/>
      <c r="D25" s="210">
        <v>11345</v>
      </c>
      <c r="E25" s="210">
        <v>10926</v>
      </c>
      <c r="F25" s="210">
        <v>13372</v>
      </c>
      <c r="G25" s="210">
        <v>17743</v>
      </c>
      <c r="H25" s="210">
        <f>H17-H21</f>
        <v>16319</v>
      </c>
      <c r="I25" s="210">
        <f>I17-I21</f>
        <v>12658</v>
      </c>
      <c r="J25" s="210">
        <f t="shared" ref="J25:T25" si="4">J17-J21</f>
        <v>10672</v>
      </c>
      <c r="K25" s="210">
        <f t="shared" si="4"/>
        <v>9702</v>
      </c>
      <c r="L25" s="210">
        <f t="shared" si="4"/>
        <v>10126</v>
      </c>
      <c r="M25" s="210">
        <f t="shared" si="4"/>
        <v>10436</v>
      </c>
      <c r="N25" s="210">
        <f t="shared" si="4"/>
        <v>12629</v>
      </c>
      <c r="O25" s="210">
        <f t="shared" si="4"/>
        <v>12466</v>
      </c>
      <c r="P25" s="210">
        <f t="shared" si="4"/>
        <v>11789</v>
      </c>
      <c r="Q25" s="210">
        <f t="shared" si="4"/>
        <v>7787</v>
      </c>
      <c r="R25" s="210">
        <f t="shared" si="4"/>
        <v>9158</v>
      </c>
      <c r="S25" s="210">
        <f t="shared" si="4"/>
        <v>9106</v>
      </c>
      <c r="T25" s="210">
        <f t="shared" si="4"/>
        <v>10026.17</v>
      </c>
      <c r="U25" s="210">
        <f>U17-U21</f>
        <v>11727</v>
      </c>
      <c r="V25" s="210">
        <f>V17-V21</f>
        <v>11969</v>
      </c>
      <c r="W25" s="210">
        <f t="shared" ref="W25:AF25" si="5">W17-W21</f>
        <v>12172</v>
      </c>
      <c r="X25" s="210">
        <f t="shared" si="5"/>
        <v>13111</v>
      </c>
      <c r="Y25" s="210">
        <f t="shared" si="5"/>
        <v>12687</v>
      </c>
      <c r="Z25" s="210">
        <f t="shared" si="5"/>
        <v>12279</v>
      </c>
      <c r="AA25" s="210">
        <f t="shared" si="5"/>
        <v>12485</v>
      </c>
      <c r="AB25" s="176"/>
      <c r="AC25" s="210">
        <f t="shared" si="5"/>
        <v>13239</v>
      </c>
      <c r="AD25" s="210">
        <f t="shared" si="5"/>
        <v>12751</v>
      </c>
      <c r="AE25" s="210">
        <f t="shared" si="5"/>
        <v>13795</v>
      </c>
      <c r="AF25" s="210">
        <f t="shared" si="5"/>
        <v>13673</v>
      </c>
      <c r="AG25" s="210">
        <f>AG17-AG21</f>
        <v>17435</v>
      </c>
      <c r="AH25" s="210">
        <f>AH17-AH21</f>
        <v>16876</v>
      </c>
      <c r="AI25" s="210">
        <f>AI17-AI21</f>
        <v>20844</v>
      </c>
      <c r="AJ25" s="210">
        <v>19542</v>
      </c>
      <c r="AK25" s="178"/>
      <c r="AL25" s="210">
        <v>18159</v>
      </c>
      <c r="AM25" s="210">
        <v>15797</v>
      </c>
      <c r="AN25" s="210">
        <v>15837</v>
      </c>
      <c r="AO25" s="210">
        <v>14495</v>
      </c>
      <c r="AP25" s="178"/>
      <c r="AQ25" s="210">
        <v>14247</v>
      </c>
      <c r="AR25" s="210">
        <v>14534</v>
      </c>
      <c r="AS25" s="210">
        <f>AS17-AS21</f>
        <v>13607</v>
      </c>
      <c r="AT25" s="210">
        <v>13132</v>
      </c>
      <c r="AU25" s="210">
        <v>13473</v>
      </c>
      <c r="AV25" s="210">
        <v>15174</v>
      </c>
      <c r="AW25" s="210">
        <v>14718</v>
      </c>
      <c r="AX25" s="210">
        <v>11582</v>
      </c>
      <c r="AY25" s="210">
        <f>AY17-AY21</f>
        <v>12461</v>
      </c>
      <c r="AZ25" s="210">
        <v>12532</v>
      </c>
      <c r="BA25" s="210">
        <v>12062</v>
      </c>
      <c r="BB25" s="210">
        <v>9755</v>
      </c>
      <c r="BC25" s="210">
        <f>BC17-BC21</f>
        <v>14050.734</v>
      </c>
      <c r="BD25" s="210">
        <v>14429</v>
      </c>
      <c r="BE25" s="210">
        <v>12341</v>
      </c>
      <c r="BF25" s="210">
        <v>9858</v>
      </c>
      <c r="BG25" s="210">
        <v>10763</v>
      </c>
      <c r="BH25" s="210">
        <f t="shared" ref="BH25:BM25" si="6">BH17-BH21</f>
        <v>10168.347</v>
      </c>
      <c r="BI25" s="210">
        <f t="shared" si="6"/>
        <v>8690</v>
      </c>
      <c r="BJ25" s="210">
        <f t="shared" si="6"/>
        <v>7252.8270000000011</v>
      </c>
      <c r="BK25" s="210">
        <f t="shared" ref="BK25:BL25" si="7">BK17-BK21</f>
        <v>5176.8100000000004</v>
      </c>
      <c r="BL25" s="210">
        <f t="shared" si="7"/>
        <v>4690.0309999999999</v>
      </c>
      <c r="BM25" s="210">
        <f t="shared" si="6"/>
        <v>4265.4770000000008</v>
      </c>
      <c r="BO25" s="20"/>
      <c r="BS25" s="449"/>
      <c r="BT25" s="449"/>
      <c r="BU25" s="449"/>
      <c r="BV25" s="449"/>
      <c r="BW25" s="449"/>
      <c r="BX25" s="449"/>
    </row>
    <row r="26" spans="1:76" ht="14.25" customHeight="1" thickTop="1">
      <c r="B26" s="45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46"/>
      <c r="AC26" s="67"/>
      <c r="AD26" s="67"/>
      <c r="AE26" s="67"/>
      <c r="AF26" s="67"/>
      <c r="AG26" s="67"/>
      <c r="AH26" s="67"/>
      <c r="AI26" s="67"/>
      <c r="AJ26" s="67"/>
      <c r="AK26" s="63"/>
      <c r="AL26" s="67"/>
      <c r="AM26" s="67"/>
      <c r="AN26" s="67"/>
      <c r="AO26" s="67"/>
      <c r="AP26" s="63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O26" s="20"/>
      <c r="BS26" s="449"/>
      <c r="BT26" s="449"/>
      <c r="BU26" s="449"/>
      <c r="BV26" s="449"/>
      <c r="BW26" s="449"/>
      <c r="BX26" s="449"/>
    </row>
    <row r="27" spans="1:76" ht="16">
      <c r="B27" s="490" t="s">
        <v>146</v>
      </c>
      <c r="C27" s="490"/>
      <c r="D27" s="490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6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O27" s="20"/>
      <c r="BS27" s="449"/>
      <c r="BT27" s="449"/>
      <c r="BU27" s="449"/>
      <c r="BV27" s="449"/>
      <c r="BW27" s="449"/>
      <c r="BX27" s="449"/>
    </row>
    <row r="28" spans="1:76" ht="16">
      <c r="B28" s="188" t="s">
        <v>15</v>
      </c>
      <c r="C28" s="185"/>
      <c r="D28" s="186">
        <v>3323</v>
      </c>
      <c r="E28" s="186">
        <v>3102</v>
      </c>
      <c r="F28" s="186">
        <v>3422</v>
      </c>
      <c r="G28" s="186">
        <v>3516</v>
      </c>
      <c r="H28" s="186">
        <v>3369</v>
      </c>
      <c r="I28" s="186">
        <v>3324</v>
      </c>
      <c r="J28" s="186">
        <v>3159</v>
      </c>
      <c r="K28" s="186">
        <v>2845</v>
      </c>
      <c r="L28" s="186">
        <v>3029</v>
      </c>
      <c r="M28" s="186">
        <v>3086</v>
      </c>
      <c r="N28" s="186">
        <v>3353</v>
      </c>
      <c r="O28" s="186">
        <v>3326</v>
      </c>
      <c r="P28" s="186">
        <v>3317</v>
      </c>
      <c r="Q28" s="186">
        <v>3293</v>
      </c>
      <c r="R28" s="186">
        <v>3268</v>
      </c>
      <c r="S28" s="186">
        <v>3204</v>
      </c>
      <c r="T28" s="186">
        <v>3118</v>
      </c>
      <c r="U28" s="186">
        <v>2943</v>
      </c>
      <c r="V28" s="186">
        <v>2889</v>
      </c>
      <c r="W28" s="186">
        <f>2274+618</f>
        <v>2892</v>
      </c>
      <c r="X28" s="186">
        <v>2675</v>
      </c>
      <c r="Y28" s="186">
        <v>2345</v>
      </c>
      <c r="Z28" s="186">
        <v>2941</v>
      </c>
      <c r="AA28" s="186">
        <v>3418</v>
      </c>
      <c r="AB28" s="187"/>
      <c r="AC28" s="186">
        <v>3935</v>
      </c>
      <c r="AD28" s="186">
        <v>3474</v>
      </c>
      <c r="AE28" s="186">
        <v>4280</v>
      </c>
      <c r="AF28" s="186">
        <v>3817</v>
      </c>
      <c r="AG28" s="186">
        <v>4062</v>
      </c>
      <c r="AH28" s="186">
        <v>4036</v>
      </c>
      <c r="AI28" s="186">
        <v>4376</v>
      </c>
      <c r="AJ28" s="186">
        <v>3472</v>
      </c>
      <c r="AK28" s="186"/>
      <c r="AL28" s="186">
        <v>2862</v>
      </c>
      <c r="AM28" s="186">
        <v>3389</v>
      </c>
      <c r="AN28" s="186">
        <v>3535</v>
      </c>
      <c r="AO28" s="186">
        <v>3395</v>
      </c>
      <c r="AP28" s="186"/>
      <c r="AQ28" s="186">
        <v>3112.7579999999998</v>
      </c>
      <c r="AR28" s="186">
        <v>3114.384</v>
      </c>
      <c r="AS28" s="186">
        <v>2763.7520000000004</v>
      </c>
      <c r="AT28" s="186">
        <v>2758</v>
      </c>
      <c r="AU28" s="186">
        <v>2942.5440000000003</v>
      </c>
      <c r="AV28" s="186">
        <v>2572.33</v>
      </c>
      <c r="AW28" s="186">
        <v>2437.8620000000001</v>
      </c>
      <c r="AX28" s="186">
        <v>3901</v>
      </c>
      <c r="AY28" s="186">
        <v>3737.6570000000002</v>
      </c>
      <c r="AZ28" s="186">
        <v>3839</v>
      </c>
      <c r="BA28" s="186">
        <v>3383</v>
      </c>
      <c r="BB28" s="186">
        <v>2953</v>
      </c>
      <c r="BC28" s="186">
        <v>3063.982</v>
      </c>
      <c r="BD28" s="186">
        <v>3023</v>
      </c>
      <c r="BE28" s="186">
        <v>3030.0720000000001</v>
      </c>
      <c r="BF28" s="186">
        <v>4148.4049999999997</v>
      </c>
      <c r="BG28" s="186">
        <f>BG17-BG29</f>
        <v>4086.1800000000003</v>
      </c>
      <c r="BH28" s="186">
        <f>BH17-BH29</f>
        <v>4109.6018600000007</v>
      </c>
      <c r="BI28" s="186">
        <f>BI17-BI29</f>
        <v>4451.4600000000009</v>
      </c>
      <c r="BJ28" s="186">
        <f>BJ17-BJ29-BJ31</f>
        <v>2948.3355299999994</v>
      </c>
      <c r="BK28" s="186">
        <v>2808.8735400000005</v>
      </c>
      <c r="BL28" s="186">
        <v>3352.7659999999996</v>
      </c>
      <c r="BM28" s="186">
        <f>BM17*0.26</f>
        <v>3342.4580800000003</v>
      </c>
      <c r="BN28" s="475"/>
      <c r="BO28" s="20"/>
      <c r="BP28" s="476"/>
      <c r="BS28" s="449"/>
      <c r="BT28" s="449"/>
      <c r="BU28" s="449"/>
      <c r="BV28" s="449"/>
      <c r="BW28" s="449"/>
      <c r="BX28" s="449"/>
    </row>
    <row r="29" spans="1:76" ht="14.25" customHeight="1">
      <c r="B29" s="178" t="s">
        <v>354</v>
      </c>
      <c r="C29" s="178"/>
      <c r="D29" s="179">
        <v>11100</v>
      </c>
      <c r="E29" s="179">
        <v>12197</v>
      </c>
      <c r="F29" s="179">
        <v>13839</v>
      </c>
      <c r="G29" s="179">
        <v>17460</v>
      </c>
      <c r="H29" s="179">
        <v>16748</v>
      </c>
      <c r="I29" s="179">
        <v>14094</v>
      </c>
      <c r="J29" s="179">
        <v>11691</v>
      </c>
      <c r="K29" s="179">
        <v>11003</v>
      </c>
      <c r="L29" s="179">
        <v>11000</v>
      </c>
      <c r="M29" s="179">
        <v>11209</v>
      </c>
      <c r="N29" s="179">
        <v>10413</v>
      </c>
      <c r="O29" s="179">
        <v>10763</v>
      </c>
      <c r="P29" s="179">
        <v>10346</v>
      </c>
      <c r="Q29" s="179">
        <v>8065</v>
      </c>
      <c r="R29" s="179">
        <v>9610</v>
      </c>
      <c r="S29" s="179">
        <v>10000</v>
      </c>
      <c r="T29" s="179">
        <v>9866</v>
      </c>
      <c r="U29" s="179">
        <v>11247</v>
      </c>
      <c r="V29" s="179">
        <v>11131</v>
      </c>
      <c r="W29" s="179">
        <v>10838</v>
      </c>
      <c r="X29" s="179">
        <v>11177</v>
      </c>
      <c r="Y29" s="179">
        <v>12510</v>
      </c>
      <c r="Z29" s="179">
        <v>12027</v>
      </c>
      <c r="AA29" s="179">
        <v>12420</v>
      </c>
      <c r="AB29" s="176"/>
      <c r="AC29" s="179">
        <v>11972</v>
      </c>
      <c r="AD29" s="179">
        <v>12377</v>
      </c>
      <c r="AE29" s="179">
        <v>13209</v>
      </c>
      <c r="AF29" s="179">
        <v>14709</v>
      </c>
      <c r="AG29" s="179">
        <v>17776</v>
      </c>
      <c r="AH29" s="179">
        <v>17142</v>
      </c>
      <c r="AI29" s="179">
        <v>21586</v>
      </c>
      <c r="AJ29" s="179">
        <v>21637</v>
      </c>
      <c r="AK29" s="179"/>
      <c r="AL29" s="179">
        <v>19480</v>
      </c>
      <c r="AM29" s="179">
        <v>16381</v>
      </c>
      <c r="AN29" s="179">
        <v>16633</v>
      </c>
      <c r="AO29" s="196">
        <v>16487</v>
      </c>
      <c r="AP29" s="179"/>
      <c r="AQ29" s="196">
        <v>15918.407999999999</v>
      </c>
      <c r="AR29" s="196">
        <v>16250.696000000002</v>
      </c>
      <c r="AS29" s="196">
        <v>15406.05</v>
      </c>
      <c r="AT29" s="196">
        <v>13333</v>
      </c>
      <c r="AU29" s="196">
        <v>13375.2</v>
      </c>
      <c r="AV29" s="196">
        <v>15162.255000000001</v>
      </c>
      <c r="AW29" s="196">
        <v>15536.822000000002</v>
      </c>
      <c r="AX29" s="196">
        <v>10924</v>
      </c>
      <c r="AY29" s="196">
        <v>11151.397000000001</v>
      </c>
      <c r="AZ29" s="196">
        <v>10703</v>
      </c>
      <c r="BA29" s="196">
        <v>12011</v>
      </c>
      <c r="BB29" s="196">
        <v>13033</v>
      </c>
      <c r="BC29" s="196">
        <v>16895.472000000002</v>
      </c>
      <c r="BD29" s="196">
        <v>17934</v>
      </c>
      <c r="BE29" s="196">
        <v>16510.891</v>
      </c>
      <c r="BF29" s="196">
        <v>13366.946</v>
      </c>
      <c r="BG29" s="196">
        <f>BG17*0.77</f>
        <v>13679.82</v>
      </c>
      <c r="BH29" s="196">
        <f>0.74*BH17</f>
        <v>11696.559139999999</v>
      </c>
      <c r="BI29" s="196">
        <f>0.74*BI17</f>
        <v>12669.539999999999</v>
      </c>
      <c r="BJ29" s="196">
        <f>BJ17*0.78</f>
        <v>10950.960540000002</v>
      </c>
      <c r="BK29" s="196">
        <v>9958.7334599999995</v>
      </c>
      <c r="BL29" s="196">
        <v>8839</v>
      </c>
      <c r="BM29" s="196">
        <f>BM17*0.72</f>
        <v>9256.0377599999993</v>
      </c>
      <c r="BN29" s="475"/>
      <c r="BO29" s="20"/>
      <c r="BP29" s="476"/>
      <c r="BS29" s="449"/>
      <c r="BT29" s="449"/>
      <c r="BU29" s="449"/>
      <c r="BV29" s="449"/>
      <c r="BW29" s="449"/>
      <c r="BX29" s="449"/>
    </row>
    <row r="30" spans="1:76" ht="16.5" hidden="1" thickBot="1">
      <c r="B30" s="184" t="s">
        <v>20</v>
      </c>
      <c r="C30" s="180"/>
      <c r="D30" s="181">
        <v>955</v>
      </c>
      <c r="E30" s="181">
        <v>959</v>
      </c>
      <c r="F30" s="181">
        <v>1159</v>
      </c>
      <c r="G30" s="181">
        <v>1562</v>
      </c>
      <c r="H30" s="181">
        <v>1211</v>
      </c>
      <c r="I30" s="181">
        <v>933</v>
      </c>
      <c r="J30" s="181">
        <v>799</v>
      </c>
      <c r="K30" s="181">
        <v>242</v>
      </c>
      <c r="L30" s="181">
        <v>131</v>
      </c>
      <c r="M30" s="181">
        <v>131</v>
      </c>
      <c r="N30" s="181">
        <v>171</v>
      </c>
      <c r="O30" s="181">
        <v>183</v>
      </c>
      <c r="P30" s="181">
        <v>134</v>
      </c>
      <c r="Q30" s="181">
        <v>109</v>
      </c>
      <c r="R30" s="181">
        <v>135</v>
      </c>
      <c r="S30" s="181">
        <v>122</v>
      </c>
      <c r="T30" s="181">
        <v>131</v>
      </c>
      <c r="U30" s="181">
        <v>148</v>
      </c>
      <c r="V30" s="181">
        <v>133</v>
      </c>
      <c r="W30" s="181">
        <v>120</v>
      </c>
      <c r="X30" s="181">
        <v>135</v>
      </c>
      <c r="Y30" s="181">
        <v>135</v>
      </c>
      <c r="Z30" s="181">
        <v>163</v>
      </c>
      <c r="AA30" s="181">
        <v>117</v>
      </c>
      <c r="AB30" s="183"/>
      <c r="AC30" s="181">
        <v>185</v>
      </c>
      <c r="AD30" s="181">
        <v>157</v>
      </c>
      <c r="AE30" s="181">
        <v>170</v>
      </c>
      <c r="AF30" s="181">
        <v>169</v>
      </c>
      <c r="AG30" s="181">
        <v>282</v>
      </c>
      <c r="AH30" s="181"/>
      <c r="AI30" s="181"/>
      <c r="AJ30" s="181"/>
      <c r="AK30" s="181"/>
      <c r="AL30" s="197"/>
      <c r="AM30" s="198"/>
      <c r="AN30" s="198"/>
      <c r="AO30" s="199"/>
      <c r="AP30" s="181"/>
      <c r="AQ30" s="199"/>
      <c r="AR30" s="199"/>
      <c r="AS30" s="199"/>
      <c r="AT30" s="199"/>
      <c r="AU30" s="199"/>
      <c r="AV30" s="199"/>
      <c r="AW30" s="199"/>
      <c r="AX30" s="199">
        <v>81.876000000000005</v>
      </c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451">
        <v>0</v>
      </c>
      <c r="BL30" s="451">
        <v>253</v>
      </c>
      <c r="BM30" s="199"/>
      <c r="BN30" s="474"/>
      <c r="BO30" s="20"/>
      <c r="BS30" s="449"/>
      <c r="BT30" s="449"/>
      <c r="BU30" s="449"/>
      <c r="BV30" s="449"/>
      <c r="BW30" s="449"/>
      <c r="BX30" s="449"/>
    </row>
    <row r="31" spans="1:76" ht="14.25" customHeight="1" thickBot="1">
      <c r="B31" s="212" t="s">
        <v>21</v>
      </c>
      <c r="C31" s="213"/>
      <c r="D31" s="214"/>
      <c r="E31" s="214"/>
      <c r="F31" s="214"/>
      <c r="G31" s="214"/>
      <c r="H31" s="214">
        <f t="shared" ref="H31:AA31" si="8">SUM(H30+H32)</f>
        <v>2032</v>
      </c>
      <c r="I31" s="214">
        <f t="shared" si="8"/>
        <v>1503</v>
      </c>
      <c r="J31" s="214">
        <f t="shared" si="8"/>
        <v>1227</v>
      </c>
      <c r="K31" s="214">
        <f t="shared" si="8"/>
        <v>673</v>
      </c>
      <c r="L31" s="214">
        <f t="shared" si="8"/>
        <v>602</v>
      </c>
      <c r="M31" s="214">
        <f t="shared" si="8"/>
        <v>458</v>
      </c>
      <c r="N31" s="214">
        <f t="shared" si="8"/>
        <v>540</v>
      </c>
      <c r="O31" s="214">
        <f t="shared" si="8"/>
        <v>581</v>
      </c>
      <c r="P31" s="214">
        <f t="shared" si="8"/>
        <v>572</v>
      </c>
      <c r="Q31" s="214">
        <f t="shared" si="8"/>
        <v>550</v>
      </c>
      <c r="R31" s="214">
        <f t="shared" si="8"/>
        <v>646</v>
      </c>
      <c r="S31" s="214">
        <f t="shared" si="8"/>
        <v>480</v>
      </c>
      <c r="T31" s="214">
        <f t="shared" si="8"/>
        <v>477</v>
      </c>
      <c r="U31" s="214">
        <f t="shared" si="8"/>
        <v>702</v>
      </c>
      <c r="V31" s="214">
        <f t="shared" si="8"/>
        <v>948</v>
      </c>
      <c r="W31" s="214">
        <f t="shared" si="8"/>
        <v>939</v>
      </c>
      <c r="X31" s="214">
        <f t="shared" si="8"/>
        <v>1091</v>
      </c>
      <c r="Y31" s="214">
        <f t="shared" si="8"/>
        <v>804</v>
      </c>
      <c r="Z31" s="214">
        <f t="shared" si="8"/>
        <v>823</v>
      </c>
      <c r="AA31" s="214">
        <f t="shared" si="8"/>
        <v>869</v>
      </c>
      <c r="AB31" s="187"/>
      <c r="AC31" s="214">
        <f>SUM(AC30+AC32)</f>
        <v>852</v>
      </c>
      <c r="AD31" s="214">
        <f>SUM(AD30+AD32)</f>
        <v>863</v>
      </c>
      <c r="AE31" s="214">
        <f>SUM(AE30+AE32)</f>
        <v>976</v>
      </c>
      <c r="AF31" s="214">
        <f>SUM(AF30+AF32)</f>
        <v>996</v>
      </c>
      <c r="AG31" s="214">
        <f>SUM(AG30+AG32)</f>
        <v>1444</v>
      </c>
      <c r="AH31" s="214">
        <v>1388</v>
      </c>
      <c r="AI31" s="214">
        <v>1622</v>
      </c>
      <c r="AJ31" s="214">
        <v>1352</v>
      </c>
      <c r="AK31" s="186"/>
      <c r="AL31" s="214">
        <v>1342</v>
      </c>
      <c r="AM31" s="214">
        <v>904</v>
      </c>
      <c r="AN31" s="214">
        <v>930</v>
      </c>
      <c r="AO31" s="214">
        <v>701</v>
      </c>
      <c r="AP31" s="186"/>
      <c r="AQ31" s="214">
        <v>669.83400000000006</v>
      </c>
      <c r="AR31" s="215">
        <v>598.91999999999996</v>
      </c>
      <c r="AS31" s="215">
        <v>504.19800000000004</v>
      </c>
      <c r="AT31" s="215">
        <v>418</v>
      </c>
      <c r="AU31" s="215">
        <v>401.25600000000003</v>
      </c>
      <c r="AV31" s="215">
        <v>380.41500000000002</v>
      </c>
      <c r="AW31" s="215">
        <v>218.316</v>
      </c>
      <c r="AX31" s="215">
        <v>82</v>
      </c>
      <c r="AY31" s="215">
        <v>103.977</v>
      </c>
      <c r="AZ31" s="215">
        <v>132</v>
      </c>
      <c r="BA31" s="215">
        <v>100</v>
      </c>
      <c r="BB31" s="215">
        <v>64</v>
      </c>
      <c r="BC31" s="215">
        <v>69.98</v>
      </c>
      <c r="BD31" s="215">
        <v>20</v>
      </c>
      <c r="BE31" s="451">
        <v>0</v>
      </c>
      <c r="BF31" s="451">
        <v>0</v>
      </c>
      <c r="BG31" s="451">
        <v>0</v>
      </c>
      <c r="BH31" s="451">
        <v>0</v>
      </c>
      <c r="BI31" s="451">
        <v>0</v>
      </c>
      <c r="BJ31" s="451">
        <f>BJ17*0.01</f>
        <v>140.39693000000003</v>
      </c>
      <c r="BK31" s="481" t="s">
        <v>88</v>
      </c>
      <c r="BL31" s="451">
        <v>253</v>
      </c>
      <c r="BM31" s="451">
        <f>BM17*0.02</f>
        <v>257.11216000000002</v>
      </c>
      <c r="BN31" s="475"/>
      <c r="BO31" s="20"/>
      <c r="BS31" s="449"/>
      <c r="BT31" s="449"/>
      <c r="BU31" s="449"/>
      <c r="BV31" s="449"/>
      <c r="BW31" s="449"/>
      <c r="BX31" s="449"/>
    </row>
    <row r="32" spans="1:76" ht="14.25" hidden="1" customHeight="1" thickTop="1" thickBot="1">
      <c r="B32" s="65" t="s">
        <v>21</v>
      </c>
      <c r="C32" s="66"/>
      <c r="D32" s="69">
        <v>51</v>
      </c>
      <c r="E32" s="69">
        <v>225</v>
      </c>
      <c r="F32" s="69">
        <v>592</v>
      </c>
      <c r="G32" s="69">
        <v>696</v>
      </c>
      <c r="H32" s="69">
        <v>821</v>
      </c>
      <c r="I32" s="69">
        <v>570</v>
      </c>
      <c r="J32" s="69">
        <v>428</v>
      </c>
      <c r="K32" s="69">
        <v>431</v>
      </c>
      <c r="L32" s="69">
        <v>471</v>
      </c>
      <c r="M32" s="69">
        <v>327</v>
      </c>
      <c r="N32" s="69">
        <v>369</v>
      </c>
      <c r="O32" s="69">
        <v>398</v>
      </c>
      <c r="P32" s="69">
        <v>438</v>
      </c>
      <c r="Q32" s="69">
        <v>441</v>
      </c>
      <c r="R32" s="69">
        <v>511</v>
      </c>
      <c r="S32" s="69">
        <v>358</v>
      </c>
      <c r="T32" s="69">
        <v>346</v>
      </c>
      <c r="U32" s="69">
        <v>554</v>
      </c>
      <c r="V32" s="69">
        <v>815</v>
      </c>
      <c r="W32" s="69">
        <v>819</v>
      </c>
      <c r="X32" s="69">
        <v>956</v>
      </c>
      <c r="Y32" s="69">
        <v>669</v>
      </c>
      <c r="Z32" s="69">
        <v>660</v>
      </c>
      <c r="AA32" s="69">
        <v>752</v>
      </c>
      <c r="AB32" s="46"/>
      <c r="AC32" s="69">
        <v>667</v>
      </c>
      <c r="AD32" s="69">
        <v>706</v>
      </c>
      <c r="AE32" s="69">
        <v>806</v>
      </c>
      <c r="AF32" s="69">
        <v>827</v>
      </c>
      <c r="AG32" s="69">
        <v>1162</v>
      </c>
      <c r="AH32" s="69"/>
      <c r="AI32" s="69"/>
      <c r="AJ32" s="69"/>
      <c r="AK32" s="64"/>
      <c r="AL32" s="46"/>
      <c r="AM32" s="46"/>
      <c r="AN32" s="46"/>
      <c r="AO32" s="46"/>
      <c r="AP32" s="64"/>
      <c r="BO32" s="20"/>
    </row>
    <row r="33" spans="2:67" ht="15" thickTop="1">
      <c r="B33" s="45"/>
      <c r="C33" s="67"/>
      <c r="D33" s="67"/>
      <c r="E33" s="67"/>
      <c r="F33" s="67"/>
      <c r="G33" s="67"/>
      <c r="H33" s="67"/>
      <c r="I33" s="67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70"/>
      <c r="AL33" s="46"/>
      <c r="AM33" s="46"/>
      <c r="AN33" s="46"/>
      <c r="AO33" s="46"/>
      <c r="AP33" s="70"/>
      <c r="AR33" s="76"/>
      <c r="AS33" s="77"/>
      <c r="AY33" s="45"/>
      <c r="AZ33" s="67"/>
      <c r="BA33" s="67"/>
      <c r="BG33" s="459"/>
      <c r="BO33" s="20"/>
    </row>
    <row r="34" spans="2:67" ht="16">
      <c r="B34" s="227" t="s">
        <v>331</v>
      </c>
      <c r="C34" s="189"/>
      <c r="D34" s="189"/>
      <c r="E34" s="189"/>
      <c r="F34" s="189"/>
      <c r="G34" s="189"/>
      <c r="H34" s="189"/>
      <c r="I34" s="6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70"/>
      <c r="AL34" s="46"/>
      <c r="AM34" s="46"/>
      <c r="AN34" s="46"/>
      <c r="AO34" s="46"/>
      <c r="AP34" s="70"/>
      <c r="AU34" s="189"/>
      <c r="AV34" s="189"/>
      <c r="AW34" s="189" t="s">
        <v>229</v>
      </c>
      <c r="AX34" s="189"/>
      <c r="BO34" s="20"/>
    </row>
    <row r="35" spans="2:67" ht="14.25" customHeight="1">
      <c r="B35" s="192">
        <v>2022</v>
      </c>
      <c r="C35" s="454">
        <v>1.8</v>
      </c>
      <c r="D35" s="191"/>
      <c r="E35" s="191"/>
      <c r="F35" s="191"/>
      <c r="G35" s="191"/>
      <c r="H35" s="191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70"/>
      <c r="AL35" s="46"/>
      <c r="AM35" s="46"/>
      <c r="AN35" s="46"/>
      <c r="AO35" s="46"/>
      <c r="AP35" s="70"/>
      <c r="AU35" s="191">
        <v>1221.8022960286512</v>
      </c>
      <c r="AV35" s="191"/>
      <c r="AW35" s="191">
        <v>1284</v>
      </c>
      <c r="AX35" s="408"/>
    </row>
    <row r="36" spans="2:67" ht="14.25" customHeight="1">
      <c r="B36" s="190">
        <v>2023</v>
      </c>
      <c r="C36" s="455">
        <v>1.7</v>
      </c>
      <c r="D36" s="193"/>
      <c r="E36" s="193"/>
      <c r="F36" s="193"/>
      <c r="G36" s="193"/>
      <c r="H36" s="193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70"/>
      <c r="AL36" s="46"/>
      <c r="AM36" s="46"/>
      <c r="AN36" s="46"/>
      <c r="AO36" s="46"/>
      <c r="AP36" s="70"/>
      <c r="AU36" s="193">
        <v>1618.8629863879214</v>
      </c>
      <c r="AV36" s="193"/>
      <c r="AW36" s="193">
        <v>1625</v>
      </c>
      <c r="AX36" s="408"/>
    </row>
    <row r="37" spans="2:67" ht="16">
      <c r="B37" s="192">
        <v>2024</v>
      </c>
      <c r="C37" s="454">
        <v>0</v>
      </c>
      <c r="D37" s="191"/>
      <c r="E37" s="191"/>
      <c r="F37" s="191"/>
      <c r="G37" s="191"/>
      <c r="H37" s="191"/>
      <c r="I37" s="72"/>
      <c r="J37" s="72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70"/>
      <c r="AL37" s="46"/>
      <c r="AM37" s="46"/>
      <c r="AN37" s="46"/>
      <c r="AO37" s="46"/>
      <c r="AP37" s="70"/>
      <c r="AU37" s="191">
        <v>1223.1059069650184</v>
      </c>
      <c r="AV37" s="191"/>
      <c r="AW37" s="191">
        <v>1897</v>
      </c>
      <c r="AX37" s="408"/>
    </row>
    <row r="38" spans="2:67" ht="14.25" customHeight="1">
      <c r="B38" s="190">
        <v>2025</v>
      </c>
      <c r="C38" s="455">
        <v>0.4</v>
      </c>
      <c r="D38" s="193"/>
      <c r="E38" s="193"/>
      <c r="F38" s="193"/>
      <c r="G38" s="193"/>
      <c r="H38" s="193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70"/>
      <c r="AL38" s="46"/>
      <c r="AM38" s="46"/>
      <c r="AN38" s="46"/>
      <c r="AO38" s="46"/>
      <c r="AP38" s="70"/>
      <c r="AU38" s="193"/>
      <c r="AV38" s="193"/>
      <c r="AW38" s="193"/>
      <c r="AX38" s="408"/>
    </row>
    <row r="39" spans="2:67" ht="16">
      <c r="B39" s="192">
        <v>2026</v>
      </c>
      <c r="C39" s="454">
        <v>0.8</v>
      </c>
      <c r="D39" s="191"/>
      <c r="E39" s="191"/>
      <c r="F39" s="191"/>
      <c r="G39" s="191"/>
      <c r="H39" s="191"/>
      <c r="I39" s="72"/>
      <c r="J39" s="72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70"/>
      <c r="AL39" s="46"/>
      <c r="AM39" s="46"/>
      <c r="AN39" s="46"/>
      <c r="AO39" s="46"/>
      <c r="AP39" s="70"/>
      <c r="AU39" s="191">
        <v>2331.5879409837071</v>
      </c>
      <c r="AV39" s="191"/>
      <c r="AW39" s="191">
        <v>2625</v>
      </c>
      <c r="AX39" s="408"/>
    </row>
    <row r="40" spans="2:67" ht="16">
      <c r="B40" s="190">
        <v>2027</v>
      </c>
      <c r="C40" s="455">
        <v>2.2999999999999998</v>
      </c>
      <c r="D40" s="194"/>
      <c r="E40" s="194"/>
      <c r="F40" s="194"/>
      <c r="G40" s="194"/>
      <c r="H40" s="194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70"/>
      <c r="AL40" s="46"/>
      <c r="AM40" s="46"/>
      <c r="AN40" s="46"/>
      <c r="AO40" s="46"/>
      <c r="AP40" s="70"/>
      <c r="BH40" s="474"/>
    </row>
    <row r="41" spans="2:67" ht="16">
      <c r="B41" s="192">
        <v>2028</v>
      </c>
      <c r="C41" s="454">
        <v>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70"/>
      <c r="AL41" s="46"/>
      <c r="AM41" s="46"/>
      <c r="AN41" s="46"/>
      <c r="AO41" s="46"/>
      <c r="AP41" s="70"/>
    </row>
    <row r="42" spans="2:67" ht="16">
      <c r="B42" s="190" t="s">
        <v>351</v>
      </c>
      <c r="C42" s="455">
        <v>5.6</v>
      </c>
      <c r="D42" s="194"/>
      <c r="E42" s="194"/>
      <c r="F42" s="194"/>
      <c r="G42" s="194"/>
      <c r="H42" s="194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70"/>
      <c r="AL42" s="46"/>
      <c r="AM42" s="46"/>
      <c r="AN42" s="46"/>
      <c r="AO42" s="46"/>
      <c r="AP42" s="70"/>
      <c r="BH42" s="474"/>
    </row>
    <row r="43" spans="2:67" ht="16">
      <c r="B43" s="192" t="s">
        <v>347</v>
      </c>
      <c r="C43" s="454">
        <v>7.6399999999999996E-2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70"/>
      <c r="AL43" s="46"/>
      <c r="AM43" s="46"/>
      <c r="AN43" s="46"/>
      <c r="AO43" s="46"/>
      <c r="AP43" s="70"/>
    </row>
    <row r="44" spans="2:67" ht="16">
      <c r="B44" s="190" t="s">
        <v>116</v>
      </c>
      <c r="C44" s="455">
        <f>BM28/BM17</f>
        <v>0.26</v>
      </c>
      <c r="D44" s="453"/>
      <c r="E44" s="453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70"/>
      <c r="AL44" s="46"/>
      <c r="AM44" s="46"/>
      <c r="AN44" s="46"/>
      <c r="AO44" s="46"/>
      <c r="AP44" s="70"/>
    </row>
    <row r="45" spans="2:67" ht="16">
      <c r="B45" s="192" t="s">
        <v>117</v>
      </c>
      <c r="C45" s="454">
        <f>SUM(BM29:BM31)/BM17</f>
        <v>0.74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70"/>
      <c r="AL45" s="46"/>
      <c r="AM45" s="46"/>
      <c r="AN45" s="46"/>
      <c r="AO45" s="46"/>
      <c r="AP45" s="70"/>
    </row>
    <row r="46" spans="2:67" ht="14.5">
      <c r="B46" s="195"/>
      <c r="C46" s="73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70"/>
      <c r="AL46" s="46"/>
      <c r="AM46" s="46"/>
      <c r="AN46" s="46"/>
      <c r="AO46" s="46"/>
      <c r="AP46" s="70"/>
    </row>
    <row r="47" spans="2:67" ht="14.5">
      <c r="B47" s="46"/>
      <c r="C47" s="46"/>
    </row>
    <row r="48" spans="2:67" ht="14.5">
      <c r="B48" s="453"/>
      <c r="C48" s="453"/>
    </row>
    <row r="49" spans="2:3" ht="14.5">
      <c r="B49" s="74"/>
      <c r="C49" s="46"/>
    </row>
    <row r="50" spans="2:3" ht="14.5">
      <c r="B50" s="74"/>
      <c r="C50" s="46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ignoredErrors>
    <ignoredError sqref="BB2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O94"/>
  <sheetViews>
    <sheetView topLeftCell="AK22" zoomScale="85" zoomScaleNormal="85" workbookViewId="0">
      <selection activeCell="BJ60" sqref="BJ60"/>
    </sheetView>
  </sheetViews>
  <sheetFormatPr defaultColWidth="9.1796875" defaultRowHeight="13.5"/>
  <cols>
    <col min="1" max="1" width="1.81640625" style="216" customWidth="1"/>
    <col min="2" max="2" width="10.453125" style="216" customWidth="1"/>
    <col min="3" max="4" width="9.1796875" style="216"/>
    <col min="5" max="5" width="8.1796875" style="216" customWidth="1"/>
    <col min="6" max="6" width="10.54296875" style="216" customWidth="1"/>
    <col min="7" max="8" width="11.1796875" style="216" customWidth="1"/>
    <col min="9" max="15" width="10.54296875" style="216" customWidth="1"/>
    <col min="16" max="16" width="12.81640625" style="216" customWidth="1"/>
    <col min="17" max="23" width="10.54296875" style="216" customWidth="1"/>
    <col min="24" max="25" width="10.453125" style="216" customWidth="1"/>
    <col min="26" max="27" width="10.1796875" style="216" customWidth="1"/>
    <col min="28" max="37" width="11.1796875" style="216" customWidth="1"/>
    <col min="38" max="38" width="10.1796875" style="216" customWidth="1"/>
    <col min="39" max="39" width="14" style="216" customWidth="1"/>
    <col min="40" max="40" width="12.54296875" style="216" customWidth="1"/>
    <col min="41" max="41" width="12.1796875" style="216" customWidth="1"/>
    <col min="42" max="42" width="11.453125" style="216" customWidth="1"/>
    <col min="43" max="43" width="10.81640625" style="216" customWidth="1"/>
    <col min="44" max="44" width="9.1796875" style="216" customWidth="1"/>
    <col min="45" max="46" width="9.54296875" style="216" customWidth="1"/>
    <col min="47" max="50" width="9.81640625" style="216" customWidth="1"/>
    <col min="51" max="51" width="9.1796875" style="216" customWidth="1"/>
    <col min="52" max="52" width="11.1796875" style="216" customWidth="1"/>
    <col min="53" max="53" width="10.453125" style="216" customWidth="1"/>
    <col min="54" max="54" width="7.7265625" style="216" customWidth="1"/>
    <col min="55" max="64" width="10.453125" style="216" customWidth="1"/>
    <col min="65" max="65" width="9.1796875" style="216"/>
    <col min="66" max="67" width="9.7265625" style="216" bestFit="1" customWidth="1"/>
    <col min="68" max="16384" width="9.1796875" style="216"/>
  </cols>
  <sheetData>
    <row r="2" spans="2:66" ht="12.65" customHeight="1">
      <c r="W2" s="217"/>
    </row>
    <row r="3" spans="2:66" ht="19.5" customHeight="1"/>
    <row r="4" spans="2:66" ht="34.5" customHeight="1">
      <c r="B4" s="491" t="s">
        <v>73</v>
      </c>
      <c r="C4" s="491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</row>
    <row r="5" spans="2:66" ht="20.25" customHeight="1" thickBot="1">
      <c r="B5" s="219" t="s">
        <v>68</v>
      </c>
      <c r="C5" s="220"/>
      <c r="D5" s="220"/>
      <c r="E5" s="220"/>
      <c r="F5" s="221" t="s">
        <v>0</v>
      </c>
      <c r="G5" s="221" t="s">
        <v>3</v>
      </c>
      <c r="H5" s="221" t="s">
        <v>4</v>
      </c>
      <c r="I5" s="221" t="s">
        <v>5</v>
      </c>
      <c r="J5" s="221" t="s">
        <v>6</v>
      </c>
      <c r="K5" s="221" t="s">
        <v>11</v>
      </c>
      <c r="L5" s="221" t="s">
        <v>80</v>
      </c>
      <c r="M5" s="221" t="s">
        <v>91</v>
      </c>
      <c r="N5" s="221" t="s">
        <v>92</v>
      </c>
      <c r="O5" s="221" t="s">
        <v>93</v>
      </c>
      <c r="P5" s="221" t="s">
        <v>95</v>
      </c>
      <c r="Q5" s="221" t="s">
        <v>100</v>
      </c>
      <c r="R5" s="221" t="s">
        <v>101</v>
      </c>
      <c r="S5" s="221" t="s">
        <v>102</v>
      </c>
      <c r="T5" s="221" t="s">
        <v>103</v>
      </c>
      <c r="U5" s="221" t="s">
        <v>104</v>
      </c>
      <c r="V5" s="221" t="s">
        <v>105</v>
      </c>
      <c r="W5" s="221" t="s">
        <v>107</v>
      </c>
      <c r="X5" s="221" t="s">
        <v>114</v>
      </c>
      <c r="Y5" s="221" t="s">
        <v>115</v>
      </c>
      <c r="Z5" s="221" t="s">
        <v>118</v>
      </c>
      <c r="AA5" s="221" t="s">
        <v>119</v>
      </c>
      <c r="AB5" s="221" t="s">
        <v>122</v>
      </c>
      <c r="AC5" s="221" t="s">
        <v>123</v>
      </c>
      <c r="AD5" s="221" t="s">
        <v>128</v>
      </c>
      <c r="AE5" s="221" t="s">
        <v>136</v>
      </c>
      <c r="AF5" s="221" t="s">
        <v>137</v>
      </c>
      <c r="AG5" s="221" t="s">
        <v>138</v>
      </c>
      <c r="AH5" s="221" t="s">
        <v>142</v>
      </c>
      <c r="AI5" s="223" t="s">
        <v>143</v>
      </c>
      <c r="AJ5" s="223" t="s">
        <v>147</v>
      </c>
      <c r="AK5" s="223" t="s">
        <v>153</v>
      </c>
      <c r="AL5" s="223" t="s">
        <v>155</v>
      </c>
      <c r="AM5" s="223" t="s">
        <v>156</v>
      </c>
      <c r="AN5" s="223" t="s">
        <v>168</v>
      </c>
      <c r="AO5" s="223" t="s">
        <v>169</v>
      </c>
      <c r="AP5" s="223" t="s">
        <v>172</v>
      </c>
      <c r="AQ5" s="223" t="s">
        <v>175</v>
      </c>
      <c r="AR5" s="223" t="s">
        <v>178</v>
      </c>
      <c r="AS5" s="223" t="s">
        <v>179</v>
      </c>
      <c r="AT5" s="223" t="s">
        <v>181</v>
      </c>
      <c r="AU5" s="223" t="s">
        <v>182</v>
      </c>
      <c r="AV5" s="223" t="s">
        <v>183</v>
      </c>
      <c r="AW5" s="223" t="s">
        <v>198</v>
      </c>
      <c r="AX5" s="223" t="s">
        <v>210</v>
      </c>
      <c r="AY5" s="223" t="s">
        <v>228</v>
      </c>
      <c r="AZ5" s="223" t="s">
        <v>231</v>
      </c>
      <c r="BA5" s="223" t="s">
        <v>234</v>
      </c>
      <c r="BB5" s="223" t="s">
        <v>240</v>
      </c>
      <c r="BC5" s="223" t="s">
        <v>242</v>
      </c>
      <c r="BD5" s="223" t="s">
        <v>323</v>
      </c>
      <c r="BE5" s="223" t="s">
        <v>326</v>
      </c>
      <c r="BF5" s="223" t="s">
        <v>332</v>
      </c>
      <c r="BG5" s="223" t="s">
        <v>334</v>
      </c>
      <c r="BH5" s="223" t="s">
        <v>335</v>
      </c>
      <c r="BI5" s="223" t="s">
        <v>336</v>
      </c>
      <c r="BJ5" s="223" t="s">
        <v>342</v>
      </c>
      <c r="BK5" s="223" t="s">
        <v>345</v>
      </c>
      <c r="BL5" s="223" t="s">
        <v>350</v>
      </c>
    </row>
    <row r="6" spans="2:66" ht="9" customHeight="1" thickTop="1">
      <c r="B6" s="224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</row>
    <row r="7" spans="2:66" s="229" customFormat="1" ht="15">
      <c r="B7" s="227" t="s">
        <v>22</v>
      </c>
      <c r="C7" s="227"/>
      <c r="D7" s="227"/>
      <c r="E7" s="227"/>
      <c r="F7" s="228">
        <v>8944</v>
      </c>
      <c r="G7" s="228">
        <v>11100</v>
      </c>
      <c r="H7" s="228">
        <v>12444</v>
      </c>
      <c r="I7" s="228">
        <v>9420</v>
      </c>
      <c r="J7" s="228">
        <v>6968</v>
      </c>
      <c r="K7" s="228">
        <v>6402</v>
      </c>
      <c r="L7" s="228">
        <v>6808</v>
      </c>
      <c r="M7" s="228">
        <v>6363</v>
      </c>
      <c r="N7" s="228">
        <v>7108</v>
      </c>
      <c r="O7" s="228">
        <v>8296</v>
      </c>
      <c r="P7" s="228">
        <v>8190</v>
      </c>
      <c r="Q7" s="228">
        <v>7799.8</v>
      </c>
      <c r="R7" s="228">
        <v>8364</v>
      </c>
      <c r="S7" s="228">
        <v>9010</v>
      </c>
      <c r="T7" s="228">
        <v>8967</v>
      </c>
      <c r="U7" s="228">
        <v>9066</v>
      </c>
      <c r="V7" s="228">
        <v>9199</v>
      </c>
      <c r="W7" s="228">
        <v>9975</v>
      </c>
      <c r="X7" s="228">
        <v>9819</v>
      </c>
      <c r="Y7" s="228">
        <v>8988</v>
      </c>
      <c r="Z7" s="228">
        <v>9166</v>
      </c>
      <c r="AA7" s="228">
        <v>9882</v>
      </c>
      <c r="AB7" s="228">
        <v>10494</v>
      </c>
      <c r="AC7" s="228">
        <v>10321</v>
      </c>
      <c r="AD7" s="228">
        <v>10554</v>
      </c>
      <c r="AE7" s="228">
        <v>10443</v>
      </c>
      <c r="AF7" s="228">
        <v>10706</v>
      </c>
      <c r="AG7" s="228">
        <v>10844</v>
      </c>
      <c r="AH7" s="228">
        <v>10447</v>
      </c>
      <c r="AI7" s="228">
        <v>10759</v>
      </c>
      <c r="AJ7" s="228">
        <v>11925</v>
      </c>
      <c r="AK7" s="228">
        <v>10449</v>
      </c>
      <c r="AL7" s="228">
        <v>10085</v>
      </c>
      <c r="AM7" s="228">
        <v>10249</v>
      </c>
      <c r="AN7" s="228">
        <v>8699</v>
      </c>
      <c r="AO7" s="228">
        <v>8619</v>
      </c>
      <c r="AP7" s="228">
        <v>8459</v>
      </c>
      <c r="AQ7" s="228">
        <v>9166</v>
      </c>
      <c r="AR7" s="228">
        <v>9476</v>
      </c>
      <c r="AS7" s="228">
        <v>9817</v>
      </c>
      <c r="AT7" s="228">
        <v>10389</v>
      </c>
      <c r="AU7" s="228">
        <v>12035</v>
      </c>
      <c r="AV7" s="228">
        <v>12836</v>
      </c>
      <c r="AW7" s="228">
        <v>10900</v>
      </c>
      <c r="AX7" s="228">
        <v>10026</v>
      </c>
      <c r="AY7" s="228">
        <v>10154</v>
      </c>
      <c r="AZ7" s="228">
        <v>9931</v>
      </c>
      <c r="BA7" s="228">
        <v>9533</v>
      </c>
      <c r="BB7" s="228">
        <v>9228</v>
      </c>
      <c r="BC7" s="228">
        <v>8745</v>
      </c>
      <c r="BD7" s="228">
        <v>12222</v>
      </c>
      <c r="BE7" s="228">
        <v>13620</v>
      </c>
      <c r="BF7" s="228">
        <v>16342.9843191</v>
      </c>
      <c r="BG7" s="228">
        <v>19130.151599260003</v>
      </c>
      <c r="BH7" s="228">
        <f>[14]Consolidado!$G$10</f>
        <v>21317.021469619998</v>
      </c>
      <c r="BI7" s="228">
        <f>[15]Consolidado!$G$10</f>
        <v>21554.923653219994</v>
      </c>
      <c r="BJ7" s="228">
        <f>[16]Consolidado!$G$10</f>
        <v>20330.4908406</v>
      </c>
      <c r="BK7" s="228">
        <f>[7]Consolidado!$G$10</f>
        <v>22968.442129699997</v>
      </c>
      <c r="BL7" s="228">
        <f>[8]Consolidado!$G$10</f>
        <v>21149.232397260006</v>
      </c>
      <c r="BM7" s="464"/>
    </row>
    <row r="8" spans="2:66" ht="15">
      <c r="B8" s="230" t="s">
        <v>23</v>
      </c>
      <c r="C8" s="231"/>
      <c r="D8" s="231"/>
      <c r="E8" s="231"/>
      <c r="F8" s="232">
        <v>-6812</v>
      </c>
      <c r="G8" s="232">
        <v>-8120</v>
      </c>
      <c r="H8" s="232">
        <v>-8353</v>
      </c>
      <c r="I8" s="232">
        <v>-7734</v>
      </c>
      <c r="J8" s="232">
        <v>-6227</v>
      </c>
      <c r="K8" s="232">
        <v>-5644</v>
      </c>
      <c r="L8" s="232">
        <v>-5352</v>
      </c>
      <c r="M8" s="232">
        <v>-5087</v>
      </c>
      <c r="N8" s="232">
        <v>-5700</v>
      </c>
      <c r="O8" s="232">
        <v>-6482</v>
      </c>
      <c r="P8" s="232">
        <v>-6840</v>
      </c>
      <c r="Q8" s="232">
        <v>-6851</v>
      </c>
      <c r="R8" s="232">
        <v>-7199</v>
      </c>
      <c r="S8" s="232">
        <v>-7606</v>
      </c>
      <c r="T8" s="232">
        <v>-7628</v>
      </c>
      <c r="U8" s="232">
        <v>-7865</v>
      </c>
      <c r="V8" s="232">
        <v>-8093</v>
      </c>
      <c r="W8" s="232">
        <v>-8550</v>
      </c>
      <c r="X8" s="232">
        <v>-8621</v>
      </c>
      <c r="Y8" s="232">
        <v>-7969</v>
      </c>
      <c r="Z8" s="232">
        <v>-8257</v>
      </c>
      <c r="AA8" s="232">
        <v>-8540</v>
      </c>
      <c r="AB8" s="232">
        <v>-8960</v>
      </c>
      <c r="AC8" s="232">
        <v>-8971</v>
      </c>
      <c r="AD8" s="232">
        <v>-9238</v>
      </c>
      <c r="AE8" s="232">
        <v>-9179</v>
      </c>
      <c r="AF8" s="232">
        <v>-9430</v>
      </c>
      <c r="AG8" s="232">
        <v>-9559</v>
      </c>
      <c r="AH8" s="232">
        <v>-9335</v>
      </c>
      <c r="AI8" s="232">
        <v>-9578</v>
      </c>
      <c r="AJ8" s="232">
        <v>-10714</v>
      </c>
      <c r="AK8" s="232">
        <v>-9663</v>
      </c>
      <c r="AL8" s="232">
        <v>-9272</v>
      </c>
      <c r="AM8" s="232">
        <v>-9166</v>
      </c>
      <c r="AN8" s="232">
        <v>-7652</v>
      </c>
      <c r="AO8" s="232">
        <v>-8098</v>
      </c>
      <c r="AP8" s="232">
        <v>-7805</v>
      </c>
      <c r="AQ8" s="232">
        <v>-8229</v>
      </c>
      <c r="AR8" s="232">
        <v>-8502</v>
      </c>
      <c r="AS8" s="232">
        <v>-8777</v>
      </c>
      <c r="AT8" s="232">
        <v>-9050</v>
      </c>
      <c r="AU8" s="232">
        <v>-10390</v>
      </c>
      <c r="AV8" s="232">
        <v>-10974</v>
      </c>
      <c r="AW8" s="232">
        <v>-9596</v>
      </c>
      <c r="AX8" s="232">
        <v>-8757</v>
      </c>
      <c r="AY8" s="232">
        <v>-8881</v>
      </c>
      <c r="AZ8" s="232">
        <v>-8946</v>
      </c>
      <c r="BA8" s="232">
        <v>-8857</v>
      </c>
      <c r="BB8" s="232">
        <v>-8272</v>
      </c>
      <c r="BC8" s="232">
        <v>-8027</v>
      </c>
      <c r="BD8" s="232">
        <v>-10525</v>
      </c>
      <c r="BE8" s="232">
        <v>-10960</v>
      </c>
      <c r="BF8" s="232">
        <v>-12546.07408734528</v>
      </c>
      <c r="BG8" s="232">
        <v>-13715.913215318022</v>
      </c>
      <c r="BH8" s="232">
        <f>[14]Consolidado!$G$12</f>
        <v>-14897.923014976077</v>
      </c>
      <c r="BI8" s="232">
        <f>[15]Consolidado!$G$12</f>
        <v>-16367.808978170004</v>
      </c>
      <c r="BJ8" s="232">
        <f>[16]Consolidado!$G$12</f>
        <v>-15149.406676931603</v>
      </c>
      <c r="BK8" s="232">
        <f>[7]Consolidado!$G$12</f>
        <v>-17064.592849758395</v>
      </c>
      <c r="BL8" s="232">
        <f>[8]Consolidado!$G$12</f>
        <v>-16411.477157360001</v>
      </c>
      <c r="BM8" s="465"/>
    </row>
    <row r="9" spans="2:66" s="229" customFormat="1" ht="15">
      <c r="B9" s="227" t="s">
        <v>24</v>
      </c>
      <c r="C9" s="227"/>
      <c r="D9" s="227"/>
      <c r="E9" s="227"/>
      <c r="F9" s="228">
        <v>2132</v>
      </c>
      <c r="G9" s="228">
        <v>2980</v>
      </c>
      <c r="H9" s="228">
        <v>4091</v>
      </c>
      <c r="I9" s="228">
        <v>1686</v>
      </c>
      <c r="J9" s="228">
        <v>741</v>
      </c>
      <c r="K9" s="228">
        <v>758</v>
      </c>
      <c r="L9" s="228">
        <v>1456</v>
      </c>
      <c r="M9" s="228">
        <v>1276</v>
      </c>
      <c r="N9" s="228">
        <v>1407</v>
      </c>
      <c r="O9" s="228">
        <v>1814</v>
      </c>
      <c r="P9" s="228">
        <v>1350</v>
      </c>
      <c r="Q9" s="228">
        <v>949</v>
      </c>
      <c r="R9" s="228">
        <v>1165</v>
      </c>
      <c r="S9" s="228">
        <v>1404</v>
      </c>
      <c r="T9" s="228">
        <v>1339</v>
      </c>
      <c r="U9" s="228">
        <v>1201</v>
      </c>
      <c r="V9" s="228">
        <v>1106</v>
      </c>
      <c r="W9" s="228">
        <v>1425</v>
      </c>
      <c r="X9" s="228">
        <v>1198</v>
      </c>
      <c r="Y9" s="228">
        <v>1018</v>
      </c>
      <c r="Z9" s="228">
        <v>908</v>
      </c>
      <c r="AA9" s="228">
        <v>1342</v>
      </c>
      <c r="AB9" s="228">
        <v>1534</v>
      </c>
      <c r="AC9" s="228">
        <v>1350</v>
      </c>
      <c r="AD9" s="228">
        <v>1316</v>
      </c>
      <c r="AE9" s="228">
        <v>1264</v>
      </c>
      <c r="AF9" s="228">
        <v>1276</v>
      </c>
      <c r="AG9" s="228">
        <v>1284</v>
      </c>
      <c r="AH9" s="228">
        <v>1112</v>
      </c>
      <c r="AI9" s="228">
        <v>1181</v>
      </c>
      <c r="AJ9" s="228">
        <v>1211</v>
      </c>
      <c r="AK9" s="228">
        <v>787</v>
      </c>
      <c r="AL9" s="228">
        <v>813</v>
      </c>
      <c r="AM9" s="233">
        <v>1083</v>
      </c>
      <c r="AN9" s="233">
        <v>1046</v>
      </c>
      <c r="AO9" s="233">
        <v>522</v>
      </c>
      <c r="AP9" s="233">
        <f>AP7+AP8</f>
        <v>654</v>
      </c>
      <c r="AQ9" s="233">
        <f>AQ7+AQ8</f>
        <v>937</v>
      </c>
      <c r="AR9" s="233">
        <f>AR7+AR8</f>
        <v>974</v>
      </c>
      <c r="AS9" s="233">
        <v>1040</v>
      </c>
      <c r="AT9" s="233">
        <v>1339</v>
      </c>
      <c r="AU9" s="233">
        <v>1645</v>
      </c>
      <c r="AV9" s="233">
        <v>1862</v>
      </c>
      <c r="AW9" s="233">
        <v>1304</v>
      </c>
      <c r="AX9" s="233">
        <v>1269</v>
      </c>
      <c r="AY9" s="233">
        <v>1273</v>
      </c>
      <c r="AZ9" s="233">
        <v>985</v>
      </c>
      <c r="BA9" s="233">
        <v>676</v>
      </c>
      <c r="BB9" s="233">
        <v>855</v>
      </c>
      <c r="BC9" s="233">
        <v>718</v>
      </c>
      <c r="BD9" s="233">
        <f t="shared" ref="BD9:BG9" si="0">BD7+BD8</f>
        <v>1697</v>
      </c>
      <c r="BE9" s="233">
        <f t="shared" si="0"/>
        <v>2660</v>
      </c>
      <c r="BF9" s="233">
        <f t="shared" si="0"/>
        <v>3796.9102317547204</v>
      </c>
      <c r="BG9" s="233">
        <f t="shared" si="0"/>
        <v>5414.2383839419817</v>
      </c>
      <c r="BH9" s="233">
        <f t="shared" ref="BH9:BI9" si="1">BH7+BH8</f>
        <v>6419.0984546439213</v>
      </c>
      <c r="BI9" s="233">
        <f t="shared" si="1"/>
        <v>5187.1146750499902</v>
      </c>
      <c r="BJ9" s="233">
        <f>BJ7+BJ8</f>
        <v>5181.0841636683963</v>
      </c>
      <c r="BK9" s="233">
        <f>BK7+BK8</f>
        <v>5903.8492799416017</v>
      </c>
      <c r="BL9" s="233">
        <f>[8]Consolidado!$G$14</f>
        <v>4737.7552399000051</v>
      </c>
      <c r="BM9" s="464"/>
    </row>
    <row r="10" spans="2:66" s="237" customFormat="1" ht="15">
      <c r="B10" s="234" t="s">
        <v>63</v>
      </c>
      <c r="C10" s="235"/>
      <c r="D10" s="235"/>
      <c r="E10" s="235"/>
      <c r="F10" s="236">
        <v>0.23837209302325582</v>
      </c>
      <c r="G10" s="236">
        <v>0.26846846846846845</v>
      </c>
      <c r="H10" s="236">
        <v>0.32875281260045003</v>
      </c>
      <c r="I10" s="236">
        <v>0.17898089171974521</v>
      </c>
      <c r="J10" s="236">
        <v>0.11337543053960965</v>
      </c>
      <c r="K10" s="236">
        <v>0.12</v>
      </c>
      <c r="L10" s="236">
        <v>0.21</v>
      </c>
      <c r="M10" s="236">
        <v>0.2</v>
      </c>
      <c r="N10" s="236">
        <v>0.2</v>
      </c>
      <c r="O10" s="236">
        <v>0.22</v>
      </c>
      <c r="P10" s="236">
        <f>P9/P7</f>
        <v>0.16483516483516483</v>
      </c>
      <c r="Q10" s="236">
        <v>0.12</v>
      </c>
      <c r="R10" s="236">
        <v>0.14000000000000001</v>
      </c>
      <c r="S10" s="236">
        <v>0.16</v>
      </c>
      <c r="T10" s="236">
        <v>0.14899999999999999</v>
      </c>
      <c r="U10" s="236">
        <v>0.13</v>
      </c>
      <c r="V10" s="236">
        <v>0.12</v>
      </c>
      <c r="W10" s="236">
        <v>0.14000000000000001</v>
      </c>
      <c r="X10" s="236">
        <v>0.12</v>
      </c>
      <c r="Y10" s="236">
        <v>0.11</v>
      </c>
      <c r="Z10" s="236">
        <f>Z9/Z7</f>
        <v>9.9061749945450583E-2</v>
      </c>
      <c r="AA10" s="236">
        <v>0.14000000000000001</v>
      </c>
      <c r="AB10" s="236">
        <f>AB9/AB7</f>
        <v>0.14617876882027825</v>
      </c>
      <c r="AC10" s="236">
        <f>AC9/AC7</f>
        <v>0.13080127894583859</v>
      </c>
      <c r="AD10" s="236">
        <f>AD9/AD7</f>
        <v>0.124692059882509</v>
      </c>
      <c r="AE10" s="236">
        <v>0.12</v>
      </c>
      <c r="AF10" s="236">
        <v>0.12</v>
      </c>
      <c r="AG10" s="236">
        <v>0.12</v>
      </c>
      <c r="AH10" s="236">
        <v>0.11</v>
      </c>
      <c r="AI10" s="236">
        <v>0.11</v>
      </c>
      <c r="AJ10" s="236">
        <v>0.1</v>
      </c>
      <c r="AK10" s="236">
        <v>0.08</v>
      </c>
      <c r="AL10" s="236">
        <v>0.08</v>
      </c>
      <c r="AM10" s="236">
        <v>0.11</v>
      </c>
      <c r="AN10" s="236">
        <v>0.12</v>
      </c>
      <c r="AO10" s="236">
        <v>0.06</v>
      </c>
      <c r="AP10" s="236">
        <v>0.08</v>
      </c>
      <c r="AQ10" s="236">
        <v>0.1</v>
      </c>
      <c r="AR10" s="236">
        <v>0.1</v>
      </c>
      <c r="AS10" s="236">
        <v>0.10593867780380972</v>
      </c>
      <c r="AT10" s="236">
        <v>0.1288863220714217</v>
      </c>
      <c r="AU10" s="236">
        <v>0.13668466971333609</v>
      </c>
      <c r="AV10" s="236">
        <v>0.1450607665939545</v>
      </c>
      <c r="AW10" s="236">
        <v>0.11963302752293578</v>
      </c>
      <c r="AX10" s="236">
        <v>0.12657091561938999</v>
      </c>
      <c r="AY10" s="387">
        <f t="shared" ref="AY10:BC10" si="2">AY9/AY7</f>
        <v>0.12536931258617293</v>
      </c>
      <c r="AZ10" s="387">
        <f t="shared" si="2"/>
        <v>9.9184372167958917E-2</v>
      </c>
      <c r="BA10" s="387">
        <f t="shared" si="2"/>
        <v>7.0911570334627083E-2</v>
      </c>
      <c r="BB10" s="387">
        <f t="shared" si="2"/>
        <v>9.265279583875162E-2</v>
      </c>
      <c r="BC10" s="387">
        <f t="shared" si="2"/>
        <v>8.2104059462550033E-2</v>
      </c>
      <c r="BD10" s="387">
        <f>BD9/BD7</f>
        <v>0.13884797905416463</v>
      </c>
      <c r="BE10" s="236">
        <f t="shared" ref="BE10" si="3">BE9/BE7</f>
        <v>0.19530102790014683</v>
      </c>
      <c r="BF10" s="236">
        <f t="shared" ref="BF10:BJ10" si="4">BF9/BF7</f>
        <v>0.23232661536101959</v>
      </c>
      <c r="BG10" s="236">
        <f t="shared" si="4"/>
        <v>0.28302119592985436</v>
      </c>
      <c r="BH10" s="387">
        <f t="shared" si="4"/>
        <v>0.30112548621260782</v>
      </c>
      <c r="BI10" s="236">
        <f t="shared" si="4"/>
        <v>0.24064639515784647</v>
      </c>
      <c r="BJ10" s="236">
        <f t="shared" si="4"/>
        <v>0.25484304359842452</v>
      </c>
      <c r="BK10" s="236">
        <f t="shared" ref="BK10" si="5">BK9/BK7</f>
        <v>0.25704178135388039</v>
      </c>
      <c r="BL10" s="236">
        <f>[8]Consolidado!$G$15</f>
        <v>0.22401547020277701</v>
      </c>
      <c r="BM10" s="466"/>
    </row>
    <row r="11" spans="2:66" ht="15">
      <c r="B11" s="222" t="s">
        <v>25</v>
      </c>
      <c r="C11" s="222"/>
      <c r="D11" s="222"/>
      <c r="E11" s="222"/>
      <c r="F11" s="238">
        <v>-657</v>
      </c>
      <c r="G11" s="238">
        <v>-741</v>
      </c>
      <c r="H11" s="238">
        <v>-815</v>
      </c>
      <c r="I11" s="238">
        <v>-759</v>
      </c>
      <c r="J11" s="238">
        <v>-599</v>
      </c>
      <c r="K11" s="238">
        <v>42459</v>
      </c>
      <c r="L11" s="238">
        <v>-470</v>
      </c>
      <c r="M11" s="238">
        <v>-513</v>
      </c>
      <c r="N11" s="238">
        <v>-503</v>
      </c>
      <c r="O11" s="238">
        <v>-614</v>
      </c>
      <c r="P11" s="238">
        <v>-612</v>
      </c>
      <c r="Q11" s="238">
        <v>-629</v>
      </c>
      <c r="R11" s="238">
        <v>-579</v>
      </c>
      <c r="S11" s="238">
        <v>-589</v>
      </c>
      <c r="T11" s="238">
        <v>-591</v>
      </c>
      <c r="U11" s="238">
        <v>-642</v>
      </c>
      <c r="V11" s="238">
        <v>-599</v>
      </c>
      <c r="W11" s="238">
        <v>-635</v>
      </c>
      <c r="X11" s="238">
        <v>-630</v>
      </c>
      <c r="Y11" s="238">
        <v>-607</v>
      </c>
      <c r="Z11" s="238">
        <v>-635</v>
      </c>
      <c r="AA11" s="238">
        <v>-636</v>
      </c>
      <c r="AB11" s="238">
        <v>-672</v>
      </c>
      <c r="AC11" s="238">
        <v>-669</v>
      </c>
      <c r="AD11" s="238">
        <v>-707</v>
      </c>
      <c r="AE11" s="238">
        <v>-678</v>
      </c>
      <c r="AF11" s="238">
        <v>-661</v>
      </c>
      <c r="AG11" s="238">
        <v>-681</v>
      </c>
      <c r="AH11" s="238">
        <v>-660</v>
      </c>
      <c r="AI11" s="238">
        <v>-637</v>
      </c>
      <c r="AJ11" s="238">
        <v>-630</v>
      </c>
      <c r="AK11" s="238">
        <v>-655</v>
      </c>
      <c r="AL11" s="238">
        <v>-644</v>
      </c>
      <c r="AM11" s="238">
        <v>-578</v>
      </c>
      <c r="AN11" s="238">
        <v>-483</v>
      </c>
      <c r="AO11" s="238">
        <v>-535</v>
      </c>
      <c r="AP11" s="238">
        <v>-439</v>
      </c>
      <c r="AQ11" s="238">
        <v>-420</v>
      </c>
      <c r="AR11" s="238">
        <v>-396</v>
      </c>
      <c r="AS11" s="238">
        <v>-398</v>
      </c>
      <c r="AT11" s="238">
        <f>-420-AT12</f>
        <v>-379</v>
      </c>
      <c r="AU11" s="238">
        <f>-431-AU12</f>
        <v>-415</v>
      </c>
      <c r="AV11" s="238">
        <f>-418-AV12</f>
        <v>-421</v>
      </c>
      <c r="AW11" s="238">
        <v>-400</v>
      </c>
      <c r="AX11" s="238">
        <v>-361</v>
      </c>
      <c r="AY11" s="238">
        <v>-351.95400000000001</v>
      </c>
      <c r="AZ11" s="238">
        <f>-364.593</f>
        <v>-364.59300000000002</v>
      </c>
      <c r="BA11" s="238">
        <f>-352.594</f>
        <v>-352.59399999999999</v>
      </c>
      <c r="BB11" s="238">
        <v>-370</v>
      </c>
      <c r="BC11" s="238">
        <v>-306</v>
      </c>
      <c r="BD11" s="222">
        <v>-370</v>
      </c>
      <c r="BE11" s="238">
        <v>-483</v>
      </c>
      <c r="BF11" s="238">
        <v>-469.48459353425153</v>
      </c>
      <c r="BG11" s="238">
        <v>-476.06906446122878</v>
      </c>
      <c r="BH11" s="238">
        <f>[14]Consolidado!$G$16</f>
        <v>-527.37852305881938</v>
      </c>
      <c r="BI11" s="238">
        <f>[15]Consolidado!$G$16</f>
        <v>-632.62107059904838</v>
      </c>
      <c r="BJ11" s="238">
        <f>[16]Consolidado!$G$16</f>
        <v>-494.27137114627328</v>
      </c>
      <c r="BK11" s="238">
        <f>[7]Consolidado!$G$16</f>
        <v>-515.73945641249861</v>
      </c>
      <c r="BL11" s="238">
        <f>[8]Consolidado!$G$16</f>
        <v>-554.85652435454415</v>
      </c>
      <c r="BM11" s="465"/>
    </row>
    <row r="12" spans="2:66" s="400" customFormat="1" ht="15" hidden="1">
      <c r="B12" s="398" t="s">
        <v>235</v>
      </c>
      <c r="C12" s="398"/>
      <c r="D12" s="398"/>
      <c r="E12" s="398"/>
      <c r="F12" s="399"/>
      <c r="G12" s="399"/>
      <c r="H12" s="399"/>
      <c r="I12" s="39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399"/>
      <c r="X12" s="399"/>
      <c r="Y12" s="399"/>
      <c r="Z12" s="399"/>
      <c r="AA12" s="399"/>
      <c r="AB12" s="399"/>
      <c r="AC12" s="399"/>
      <c r="AD12" s="399"/>
      <c r="AE12" s="399"/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 s="399"/>
      <c r="AS12" s="399"/>
      <c r="AT12" s="399">
        <v>-41</v>
      </c>
      <c r="AU12" s="399">
        <v>-16</v>
      </c>
      <c r="AV12" s="399">
        <v>3</v>
      </c>
      <c r="AW12" s="399"/>
      <c r="AX12" s="399">
        <v>-6</v>
      </c>
      <c r="AY12" s="399">
        <v>-2</v>
      </c>
      <c r="AZ12" s="399">
        <v>-8</v>
      </c>
      <c r="BA12" s="399">
        <v>-9</v>
      </c>
      <c r="BB12" s="399"/>
      <c r="BC12" s="399"/>
      <c r="BD12" s="399"/>
      <c r="BE12" s="399"/>
      <c r="BF12" s="399"/>
      <c r="BG12" s="399"/>
      <c r="BH12" s="399"/>
      <c r="BI12" s="399"/>
      <c r="BJ12" s="399"/>
      <c r="BK12" s="399"/>
      <c r="BL12" s="399"/>
    </row>
    <row r="13" spans="2:66" ht="15">
      <c r="B13" s="230" t="s">
        <v>1</v>
      </c>
      <c r="C13" s="231"/>
      <c r="D13" s="231"/>
      <c r="E13" s="231"/>
      <c r="F13" s="232">
        <v>26</v>
      </c>
      <c r="G13" s="232">
        <v>17</v>
      </c>
      <c r="H13" s="232">
        <v>37</v>
      </c>
      <c r="I13" s="232">
        <v>9</v>
      </c>
      <c r="J13" s="232">
        <v>47</v>
      </c>
      <c r="K13" s="232">
        <v>10</v>
      </c>
      <c r="L13" s="232">
        <v>-18</v>
      </c>
      <c r="M13" s="232">
        <v>50</v>
      </c>
      <c r="N13" s="232">
        <v>22</v>
      </c>
      <c r="O13" s="232">
        <v>1</v>
      </c>
      <c r="P13" s="232">
        <v>49</v>
      </c>
      <c r="Q13" s="232">
        <v>34</v>
      </c>
      <c r="R13" s="232">
        <v>35</v>
      </c>
      <c r="S13" s="232">
        <v>18</v>
      </c>
      <c r="T13" s="232">
        <v>24</v>
      </c>
      <c r="U13" s="232">
        <v>32</v>
      </c>
      <c r="V13" s="239">
        <v>32</v>
      </c>
      <c r="W13" s="239">
        <v>9</v>
      </c>
      <c r="X13" s="239">
        <v>3</v>
      </c>
      <c r="Y13" s="239">
        <v>20</v>
      </c>
      <c r="Z13" s="239">
        <v>51</v>
      </c>
      <c r="AA13" s="239">
        <v>14</v>
      </c>
      <c r="AB13" s="239">
        <v>5</v>
      </c>
      <c r="AC13" s="239">
        <v>108</v>
      </c>
      <c r="AD13" s="239">
        <v>19</v>
      </c>
      <c r="AE13" s="239">
        <v>17</v>
      </c>
      <c r="AF13" s="239">
        <v>19</v>
      </c>
      <c r="AG13" s="239">
        <v>33</v>
      </c>
      <c r="AH13" s="239">
        <v>27</v>
      </c>
      <c r="AI13" s="239">
        <v>6</v>
      </c>
      <c r="AJ13" s="239">
        <v>8</v>
      </c>
      <c r="AK13" s="239">
        <v>56</v>
      </c>
      <c r="AL13" s="239">
        <v>40</v>
      </c>
      <c r="AM13" s="239">
        <v>28</v>
      </c>
      <c r="AN13" s="239">
        <v>32</v>
      </c>
      <c r="AO13" s="239">
        <v>27</v>
      </c>
      <c r="AP13" s="239">
        <v>63</v>
      </c>
      <c r="AQ13" s="239">
        <v>39</v>
      </c>
      <c r="AR13" s="239">
        <v>32</v>
      </c>
      <c r="AS13" s="239">
        <v>-43</v>
      </c>
      <c r="AT13" s="239">
        <v>30.6</v>
      </c>
      <c r="AU13" s="239">
        <v>-9</v>
      </c>
      <c r="AV13" s="239">
        <v>8</v>
      </c>
      <c r="AW13" s="239">
        <v>-64</v>
      </c>
      <c r="AX13" s="239">
        <v>75</v>
      </c>
      <c r="AY13" s="239">
        <v>45</v>
      </c>
      <c r="AZ13" s="239">
        <v>79</v>
      </c>
      <c r="BA13" s="239">
        <f>251.105</f>
        <v>251.10499999999999</v>
      </c>
      <c r="BB13" s="239">
        <v>21</v>
      </c>
      <c r="BC13" s="239">
        <f>[5]R01_Cap_Aco!$H$22</f>
        <v>0</v>
      </c>
      <c r="BD13" s="239">
        <v>-18</v>
      </c>
      <c r="BE13" s="239">
        <v>24</v>
      </c>
      <c r="BF13" s="239">
        <v>86.543497809999991</v>
      </c>
      <c r="BG13" s="239">
        <v>-5.311433719999977</v>
      </c>
      <c r="BH13" s="239">
        <f>[14]Consolidado!$G$22</f>
        <v>53.649599370000047</v>
      </c>
      <c r="BI13" s="239">
        <f>[15]Consolidado!$G$22</f>
        <v>209.43941605999999</v>
      </c>
      <c r="BJ13" s="239">
        <f>[16]Consolidado!$G$22</f>
        <v>17.734439130000002</v>
      </c>
      <c r="BK13" s="239">
        <f>[7]Consolidado!$G$22</f>
        <v>17.842658599999975</v>
      </c>
      <c r="BL13" s="239">
        <f>[8]Consolidado!$G$22</f>
        <v>-7.8145468899999884</v>
      </c>
    </row>
    <row r="14" spans="2:66" ht="15">
      <c r="B14" s="222" t="s">
        <v>173</v>
      </c>
      <c r="C14" s="222"/>
      <c r="D14" s="222"/>
      <c r="E14" s="222"/>
      <c r="F14" s="238"/>
      <c r="G14" s="238"/>
      <c r="H14" s="238"/>
      <c r="I14" s="238"/>
      <c r="J14" s="238">
        <v>0</v>
      </c>
      <c r="K14" s="238">
        <v>0</v>
      </c>
      <c r="L14" s="238">
        <v>0</v>
      </c>
      <c r="M14" s="238">
        <v>0</v>
      </c>
      <c r="N14" s="238">
        <v>0</v>
      </c>
      <c r="O14" s="238">
        <v>0</v>
      </c>
      <c r="P14" s="238">
        <v>0</v>
      </c>
      <c r="Q14" s="238">
        <v>0</v>
      </c>
      <c r="R14" s="238">
        <v>0</v>
      </c>
      <c r="S14" s="238">
        <v>0</v>
      </c>
      <c r="T14" s="238">
        <v>0</v>
      </c>
      <c r="U14" s="238">
        <v>0</v>
      </c>
      <c r="V14" s="238">
        <v>0</v>
      </c>
      <c r="W14" s="238">
        <v>0</v>
      </c>
      <c r="X14" s="238">
        <v>0</v>
      </c>
      <c r="Y14" s="238">
        <v>0</v>
      </c>
      <c r="Z14" s="238">
        <v>0</v>
      </c>
      <c r="AA14" s="238">
        <v>0</v>
      </c>
      <c r="AB14" s="238">
        <v>0</v>
      </c>
      <c r="AC14" s="238">
        <v>0</v>
      </c>
      <c r="AD14" s="238">
        <v>0</v>
      </c>
      <c r="AE14" s="238">
        <v>0</v>
      </c>
      <c r="AF14" s="238">
        <v>0</v>
      </c>
      <c r="AG14" s="238">
        <v>0</v>
      </c>
      <c r="AH14" s="238">
        <v>0</v>
      </c>
      <c r="AI14" s="238">
        <v>0</v>
      </c>
      <c r="AJ14" s="238">
        <v>0</v>
      </c>
      <c r="AK14" s="238">
        <v>0</v>
      </c>
      <c r="AL14" s="238">
        <v>0</v>
      </c>
      <c r="AM14" s="238">
        <v>0</v>
      </c>
      <c r="AN14" s="238">
        <v>0</v>
      </c>
      <c r="AO14" s="238">
        <v>0</v>
      </c>
      <c r="AP14" s="238">
        <v>930</v>
      </c>
      <c r="AQ14" s="238">
        <v>0</v>
      </c>
      <c r="AR14" s="238">
        <v>0</v>
      </c>
      <c r="AS14" s="238">
        <v>0</v>
      </c>
      <c r="AT14" s="238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/>
      <c r="BA14" s="285"/>
      <c r="BB14" s="285"/>
      <c r="BC14" s="285"/>
      <c r="BD14" s="222"/>
      <c r="BE14" s="222">
        <v>282</v>
      </c>
      <c r="BF14" s="222"/>
      <c r="BG14" s="222">
        <v>394</v>
      </c>
      <c r="BH14" s="222">
        <v>1173</v>
      </c>
      <c r="BI14" s="222"/>
      <c r="BJ14" s="222"/>
      <c r="BK14" s="222"/>
      <c r="BL14" s="222"/>
    </row>
    <row r="15" spans="2:66" ht="15">
      <c r="B15" s="230" t="s">
        <v>139</v>
      </c>
      <c r="C15" s="231"/>
      <c r="D15" s="231"/>
      <c r="E15" s="231"/>
      <c r="F15" s="232">
        <v>0</v>
      </c>
      <c r="G15" s="232">
        <v>0</v>
      </c>
      <c r="H15" s="232">
        <v>0</v>
      </c>
      <c r="I15" s="232">
        <v>0</v>
      </c>
      <c r="J15" s="232">
        <v>0</v>
      </c>
      <c r="K15" s="232">
        <v>-1080</v>
      </c>
      <c r="L15" s="232">
        <v>-143</v>
      </c>
      <c r="M15" s="232">
        <v>0</v>
      </c>
      <c r="N15" s="232">
        <v>0</v>
      </c>
      <c r="O15" s="232">
        <v>0</v>
      </c>
      <c r="P15" s="232">
        <v>0</v>
      </c>
      <c r="Q15" s="232">
        <v>336</v>
      </c>
      <c r="R15" s="232">
        <v>0</v>
      </c>
      <c r="S15" s="232">
        <v>0</v>
      </c>
      <c r="T15" s="232">
        <v>0</v>
      </c>
      <c r="U15" s="232">
        <v>0</v>
      </c>
      <c r="V15" s="239" t="s">
        <v>88</v>
      </c>
      <c r="W15" s="239" t="s">
        <v>88</v>
      </c>
      <c r="X15" s="239" t="s">
        <v>88</v>
      </c>
      <c r="Y15" s="239">
        <v>0</v>
      </c>
      <c r="Z15" s="239" t="s">
        <v>88</v>
      </c>
      <c r="AA15" s="239" t="s">
        <v>88</v>
      </c>
      <c r="AB15" s="239" t="s">
        <v>88</v>
      </c>
      <c r="AC15" s="239" t="s">
        <v>88</v>
      </c>
      <c r="AD15" s="239" t="s">
        <v>88</v>
      </c>
      <c r="AE15" s="239" t="s">
        <v>88</v>
      </c>
      <c r="AF15" s="239" t="s">
        <v>88</v>
      </c>
      <c r="AG15" s="239">
        <v>-339</v>
      </c>
      <c r="AH15" s="239">
        <v>0</v>
      </c>
      <c r="AI15" s="239">
        <v>0</v>
      </c>
      <c r="AJ15" s="239">
        <v>-1868</v>
      </c>
      <c r="AK15" s="239">
        <v>-3129</v>
      </c>
      <c r="AL15" s="239">
        <v>0</v>
      </c>
      <c r="AM15" s="239">
        <v>-105</v>
      </c>
      <c r="AN15" s="239">
        <v>0</v>
      </c>
      <c r="AO15" s="239">
        <v>-2918</v>
      </c>
      <c r="AP15" s="239">
        <v>0</v>
      </c>
      <c r="AQ15" s="239">
        <v>0</v>
      </c>
      <c r="AR15" s="239">
        <v>0</v>
      </c>
      <c r="AS15" s="239">
        <v>-1115</v>
      </c>
      <c r="AT15" s="239">
        <v>0</v>
      </c>
      <c r="AU15" s="239">
        <v>0</v>
      </c>
      <c r="AV15" s="239" t="s">
        <v>88</v>
      </c>
      <c r="AW15" s="239">
        <v>0</v>
      </c>
      <c r="AX15" s="239">
        <v>0</v>
      </c>
      <c r="AY15" s="239">
        <v>0</v>
      </c>
      <c r="AZ15" s="239"/>
      <c r="BA15" s="239"/>
      <c r="BB15" s="239"/>
      <c r="BC15" s="239"/>
      <c r="BD15" s="239"/>
      <c r="BE15" s="239">
        <v>8</v>
      </c>
      <c r="BF15" s="239"/>
      <c r="BG15" s="239"/>
      <c r="BH15" s="239"/>
      <c r="BI15" s="239">
        <f>[15]Consolidado!$G$21</f>
        <v>6.5557336299999998</v>
      </c>
      <c r="BJ15" s="239">
        <f>[16]Consolidado!$G$21</f>
        <v>0.62537251000000027</v>
      </c>
      <c r="BK15" s="239">
        <f>[7]Consolidado!$G$21</f>
        <v>-1.9768545799999986</v>
      </c>
      <c r="BL15" s="239">
        <f>[8]Consolidado!$G$21</f>
        <v>6.0565266700000011</v>
      </c>
      <c r="BN15" s="472"/>
    </row>
    <row r="16" spans="2:66" ht="15">
      <c r="B16" s="222" t="s">
        <v>337</v>
      </c>
      <c r="C16" s="222"/>
      <c r="D16" s="222"/>
      <c r="E16" s="222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>
        <v>637</v>
      </c>
      <c r="AH16" s="238">
        <v>0</v>
      </c>
      <c r="AI16" s="238">
        <v>0</v>
      </c>
      <c r="AJ16" s="238" t="s">
        <v>88</v>
      </c>
      <c r="AK16" s="238" t="s">
        <v>88</v>
      </c>
      <c r="AL16" s="238">
        <v>0</v>
      </c>
      <c r="AM16" s="238">
        <v>0</v>
      </c>
      <c r="AN16" s="238">
        <v>0</v>
      </c>
      <c r="AO16" s="238">
        <v>47</v>
      </c>
      <c r="AP16" s="238">
        <v>0</v>
      </c>
      <c r="AQ16" s="238">
        <v>-73</v>
      </c>
      <c r="AR16" s="238">
        <v>0</v>
      </c>
      <c r="AS16" s="238">
        <v>-649</v>
      </c>
      <c r="AT16" s="238">
        <v>-3</v>
      </c>
      <c r="AU16" s="285">
        <v>-48</v>
      </c>
      <c r="AV16" s="285">
        <v>-178</v>
      </c>
      <c r="AW16" s="285">
        <v>-186</v>
      </c>
      <c r="AX16" s="285">
        <v>0</v>
      </c>
      <c r="AY16" s="285">
        <v>0</v>
      </c>
      <c r="AZ16" s="285">
        <v>0</v>
      </c>
      <c r="BA16" s="285">
        <v>0</v>
      </c>
      <c r="BB16" s="285" t="s">
        <v>88</v>
      </c>
      <c r="BC16" s="285" t="s">
        <v>88</v>
      </c>
      <c r="BD16" s="222" t="s">
        <v>88</v>
      </c>
      <c r="BE16" s="222"/>
      <c r="BF16" s="222"/>
      <c r="BG16" s="222"/>
      <c r="BH16" s="222"/>
      <c r="BI16" s="222">
        <f>[15]Consolidado!$G$24</f>
        <v>-162.91300000000001</v>
      </c>
      <c r="BJ16" s="222"/>
      <c r="BK16" s="222"/>
      <c r="BL16" s="222"/>
    </row>
    <row r="17" spans="2:65" ht="15">
      <c r="B17" s="230" t="s">
        <v>26</v>
      </c>
      <c r="C17" s="231"/>
      <c r="D17" s="231"/>
      <c r="E17" s="231"/>
      <c r="F17" s="232">
        <v>61</v>
      </c>
      <c r="G17" s="232">
        <v>82</v>
      </c>
      <c r="H17" s="232">
        <v>95</v>
      </c>
      <c r="I17" s="232">
        <v>-115</v>
      </c>
      <c r="J17" s="232">
        <v>-65</v>
      </c>
      <c r="K17" s="232">
        <v>-56</v>
      </c>
      <c r="L17" s="232">
        <v>5</v>
      </c>
      <c r="M17" s="232">
        <v>6</v>
      </c>
      <c r="N17" s="232">
        <v>15</v>
      </c>
      <c r="O17" s="232">
        <v>46</v>
      </c>
      <c r="P17" s="232">
        <v>-6</v>
      </c>
      <c r="Q17" s="232">
        <v>-15</v>
      </c>
      <c r="R17" s="232">
        <v>34</v>
      </c>
      <c r="S17" s="232">
        <v>45</v>
      </c>
      <c r="T17" s="232">
        <v>5</v>
      </c>
      <c r="U17" s="232">
        <v>-22</v>
      </c>
      <c r="V17" s="239">
        <v>31</v>
      </c>
      <c r="W17" s="239">
        <v>-14</v>
      </c>
      <c r="X17" s="239">
        <v>-3</v>
      </c>
      <c r="Y17" s="239">
        <v>-6</v>
      </c>
      <c r="Z17" s="239">
        <v>17</v>
      </c>
      <c r="AA17" s="239">
        <v>-1</v>
      </c>
      <c r="AB17" s="239">
        <v>18</v>
      </c>
      <c r="AC17" s="239">
        <v>19</v>
      </c>
      <c r="AD17" s="239">
        <v>27</v>
      </c>
      <c r="AE17" s="239">
        <v>27</v>
      </c>
      <c r="AF17" s="239">
        <v>35</v>
      </c>
      <c r="AG17" s="239">
        <v>13</v>
      </c>
      <c r="AH17" s="239">
        <v>6</v>
      </c>
      <c r="AI17" s="239">
        <v>7</v>
      </c>
      <c r="AJ17" s="239">
        <v>6</v>
      </c>
      <c r="AK17" s="239">
        <v>-44</v>
      </c>
      <c r="AL17" s="239">
        <v>-8</v>
      </c>
      <c r="AM17" s="239">
        <v>0</v>
      </c>
      <c r="AN17" s="239">
        <v>-2</v>
      </c>
      <c r="AO17" s="239">
        <v>-3</v>
      </c>
      <c r="AP17" s="239">
        <v>-1</v>
      </c>
      <c r="AQ17" s="239">
        <v>-3</v>
      </c>
      <c r="AR17" s="239">
        <v>-29</v>
      </c>
      <c r="AS17" s="239">
        <v>-2</v>
      </c>
      <c r="AT17" s="239">
        <v>17</v>
      </c>
      <c r="AU17" s="239">
        <v>23</v>
      </c>
      <c r="AV17" s="239">
        <v>-3</v>
      </c>
      <c r="AW17" s="239">
        <v>-29</v>
      </c>
      <c r="AX17" s="239">
        <v>14</v>
      </c>
      <c r="AY17" s="239">
        <v>-39</v>
      </c>
      <c r="AZ17" s="239">
        <v>10</v>
      </c>
      <c r="BA17" s="239">
        <v>-2.2759999999999998</v>
      </c>
      <c r="BB17" s="239">
        <v>10</v>
      </c>
      <c r="BC17" s="239">
        <v>-4</v>
      </c>
      <c r="BD17" s="239">
        <v>71</v>
      </c>
      <c r="BE17" s="239">
        <v>75</v>
      </c>
      <c r="BF17" s="239">
        <v>149.15912294</v>
      </c>
      <c r="BG17" s="239">
        <v>236.61588521999997</v>
      </c>
      <c r="BH17" s="239">
        <f>[14]Consolidado!$G$27</f>
        <v>270.88209413000004</v>
      </c>
      <c r="BI17" s="239">
        <f>[15]Consolidado!$G$28</f>
        <v>-93.899316550000734</v>
      </c>
      <c r="BJ17" s="239">
        <f>[16]Consolidado!$G$28</f>
        <v>308.6202891500003</v>
      </c>
      <c r="BK17" s="239">
        <f>[7]Consolidado!$G$28</f>
        <v>386.79856717999979</v>
      </c>
      <c r="BL17" s="239">
        <f>[8]Consolidado!$G$28</f>
        <v>281.4945731800006</v>
      </c>
    </row>
    <row r="18" spans="2:65" s="229" customFormat="1" ht="15">
      <c r="B18" s="227" t="s">
        <v>149</v>
      </c>
      <c r="C18" s="227"/>
      <c r="D18" s="227"/>
      <c r="E18" s="227"/>
      <c r="F18" s="228">
        <v>1562</v>
      </c>
      <c r="G18" s="228">
        <v>2338</v>
      </c>
      <c r="H18" s="228">
        <v>3407</v>
      </c>
      <c r="I18" s="228">
        <v>821</v>
      </c>
      <c r="J18" s="228">
        <v>125</v>
      </c>
      <c r="K18" s="228">
        <v>-927</v>
      </c>
      <c r="L18" s="228">
        <v>830</v>
      </c>
      <c r="M18" s="228">
        <v>819</v>
      </c>
      <c r="N18" s="228">
        <v>941</v>
      </c>
      <c r="O18" s="228">
        <v>1248</v>
      </c>
      <c r="P18" s="228">
        <v>781</v>
      </c>
      <c r="Q18" s="228">
        <v>675</v>
      </c>
      <c r="R18" s="228">
        <v>655</v>
      </c>
      <c r="S18" s="228">
        <v>878</v>
      </c>
      <c r="T18" s="228">
        <v>777</v>
      </c>
      <c r="U18" s="228">
        <v>569</v>
      </c>
      <c r="V18" s="228">
        <v>570</v>
      </c>
      <c r="W18" s="228">
        <v>785</v>
      </c>
      <c r="X18" s="228">
        <v>568</v>
      </c>
      <c r="Y18" s="228">
        <v>425</v>
      </c>
      <c r="Z18" s="228">
        <v>341</v>
      </c>
      <c r="AA18" s="228">
        <v>719</v>
      </c>
      <c r="AB18" s="228">
        <v>886</v>
      </c>
      <c r="AC18" s="228">
        <v>808</v>
      </c>
      <c r="AD18" s="228">
        <v>654</v>
      </c>
      <c r="AE18" s="228">
        <v>630</v>
      </c>
      <c r="AF18" s="228">
        <v>669</v>
      </c>
      <c r="AG18" s="228">
        <v>946</v>
      </c>
      <c r="AH18" s="228">
        <v>485</v>
      </c>
      <c r="AI18" s="228">
        <v>558</v>
      </c>
      <c r="AJ18" s="228">
        <v>-1274</v>
      </c>
      <c r="AK18" s="228">
        <v>-2985</v>
      </c>
      <c r="AL18" s="228">
        <v>201</v>
      </c>
      <c r="AM18" s="228">
        <v>429</v>
      </c>
      <c r="AN18" s="228">
        <v>593</v>
      </c>
      <c r="AO18" s="228">
        <v>-2859</v>
      </c>
      <c r="AP18" s="228">
        <v>1207</v>
      </c>
      <c r="AQ18" s="228">
        <v>480</v>
      </c>
      <c r="AR18" s="228">
        <v>580</v>
      </c>
      <c r="AS18" s="228">
        <v>-1167</v>
      </c>
      <c r="AT18" s="228">
        <v>963.6</v>
      </c>
      <c r="AU18" s="228">
        <v>1180</v>
      </c>
      <c r="AV18" s="228">
        <v>1271</v>
      </c>
      <c r="AW18" s="228">
        <v>632</v>
      </c>
      <c r="AX18" s="228">
        <v>990</v>
      </c>
      <c r="AY18" s="228">
        <v>925</v>
      </c>
      <c r="AZ18" s="228">
        <v>701</v>
      </c>
      <c r="BA18" s="228">
        <v>568</v>
      </c>
      <c r="BB18" s="228">
        <v>473</v>
      </c>
      <c r="BC18" s="228">
        <v>776</v>
      </c>
      <c r="BD18" s="228">
        <f>BD9+SUM(BD11:BD17)</f>
        <v>1380</v>
      </c>
      <c r="BE18" s="228">
        <v>2565</v>
      </c>
      <c r="BF18" s="228">
        <v>3558.0920629604693</v>
      </c>
      <c r="BG18" s="228">
        <f>[17]Consolidado!$G$27</f>
        <v>5562.6899470207527</v>
      </c>
      <c r="BH18" s="228">
        <f>[14]Consolidado!$G$28</f>
        <v>7389.2135370751021</v>
      </c>
      <c r="BI18" s="228">
        <f>[15]Consolidado!$G$29</f>
        <v>4513.6764375909406</v>
      </c>
      <c r="BJ18" s="228">
        <v>5013.6000000000004</v>
      </c>
      <c r="BK18" s="228">
        <f>[7]Consolidado!$G$29</f>
        <v>5790.7741947290997</v>
      </c>
      <c r="BL18" s="228">
        <f>[8]Consolidado!$G$29</f>
        <v>4462.6352685054608</v>
      </c>
    </row>
    <row r="19" spans="2:65" ht="15">
      <c r="B19" s="230" t="s">
        <v>2</v>
      </c>
      <c r="C19" s="231"/>
      <c r="D19" s="231"/>
      <c r="E19" s="231"/>
      <c r="F19" s="232">
        <v>-164</v>
      </c>
      <c r="G19" s="232">
        <v>435</v>
      </c>
      <c r="H19" s="232">
        <v>-1553</v>
      </c>
      <c r="I19" s="232">
        <v>-952</v>
      </c>
      <c r="J19" s="232">
        <v>-178</v>
      </c>
      <c r="K19" s="232">
        <v>517</v>
      </c>
      <c r="L19" s="232">
        <v>-24</v>
      </c>
      <c r="M19" s="232">
        <v>-131</v>
      </c>
      <c r="N19" s="232">
        <v>-247</v>
      </c>
      <c r="O19" s="232">
        <v>-255</v>
      </c>
      <c r="P19" s="232">
        <v>0</v>
      </c>
      <c r="Q19" s="232">
        <v>-184</v>
      </c>
      <c r="R19" s="232">
        <v>-172</v>
      </c>
      <c r="S19" s="232">
        <v>-217</v>
      </c>
      <c r="T19" s="232">
        <v>-58</v>
      </c>
      <c r="U19" s="232">
        <v>-82</v>
      </c>
      <c r="V19" s="239">
        <v>-97</v>
      </c>
      <c r="W19" s="239">
        <v>-335</v>
      </c>
      <c r="X19" s="239">
        <v>-134</v>
      </c>
      <c r="Y19" s="239">
        <v>-222</v>
      </c>
      <c r="Z19" s="239">
        <v>-192</v>
      </c>
      <c r="AA19" s="239">
        <v>-548</v>
      </c>
      <c r="AB19" s="239">
        <v>-206</v>
      </c>
      <c r="AC19" s="239">
        <v>-355</v>
      </c>
      <c r="AD19" s="239">
        <v>-101</v>
      </c>
      <c r="AE19" s="239">
        <v>-211</v>
      </c>
      <c r="AF19" s="239">
        <v>-575</v>
      </c>
      <c r="AG19" s="239">
        <v>-674</v>
      </c>
      <c r="AH19" s="239">
        <v>-898</v>
      </c>
      <c r="AI19" s="239">
        <v>-207</v>
      </c>
      <c r="AJ19" s="239">
        <v>-1381</v>
      </c>
      <c r="AK19" s="239">
        <v>-392</v>
      </c>
      <c r="AL19" s="239">
        <v>39</v>
      </c>
      <c r="AM19" s="239">
        <v>-23</v>
      </c>
      <c r="AN19" s="239">
        <v>-497</v>
      </c>
      <c r="AO19" s="239">
        <v>-465</v>
      </c>
      <c r="AP19" s="239">
        <v>54</v>
      </c>
      <c r="AQ19" s="239">
        <v>-505</v>
      </c>
      <c r="AR19" s="239">
        <v>-254</v>
      </c>
      <c r="AS19" s="239">
        <v>-438</v>
      </c>
      <c r="AT19" s="239">
        <v>-343</v>
      </c>
      <c r="AU19" s="239">
        <v>-714</v>
      </c>
      <c r="AV19" s="239">
        <v>-441</v>
      </c>
      <c r="AW19" s="239">
        <v>-392</v>
      </c>
      <c r="AX19" s="239">
        <v>-375</v>
      </c>
      <c r="AY19" s="239">
        <v>-300</v>
      </c>
      <c r="AZ19" s="239">
        <v>-562</v>
      </c>
      <c r="BA19" s="239">
        <v>-273</v>
      </c>
      <c r="BB19" s="239">
        <v>-231</v>
      </c>
      <c r="BC19" s="239">
        <v>-330</v>
      </c>
      <c r="BD19" s="239">
        <v>-303</v>
      </c>
      <c r="BE19" s="239">
        <v>-834</v>
      </c>
      <c r="BF19" s="239">
        <v>-270.71628790999995</v>
      </c>
      <c r="BG19" s="239">
        <v>57.880180500000002</v>
      </c>
      <c r="BH19" s="239">
        <f>[14]Consolidado!$G$44</f>
        <v>77.579267029999983</v>
      </c>
      <c r="BI19" s="239">
        <f>[15]Consolidado!$G$46</f>
        <v>-615.19682573999989</v>
      </c>
      <c r="BJ19" s="239">
        <v>-503.4</v>
      </c>
      <c r="BK19" s="239">
        <f>[7]Consolidado!$G$46</f>
        <v>-361.08228078999997</v>
      </c>
      <c r="BL19" s="239">
        <f>[8]Consolidado!$G$46</f>
        <v>-530.18203478999999</v>
      </c>
      <c r="BM19" s="472"/>
    </row>
    <row r="20" spans="2:65" s="229" customFormat="1" ht="15">
      <c r="B20" s="227" t="s">
        <v>150</v>
      </c>
      <c r="C20" s="227"/>
      <c r="D20" s="227"/>
      <c r="E20" s="227"/>
      <c r="F20" s="228">
        <v>1398</v>
      </c>
      <c r="G20" s="228">
        <v>2773</v>
      </c>
      <c r="H20" s="228">
        <v>1854</v>
      </c>
      <c r="I20" s="228">
        <v>-131</v>
      </c>
      <c r="J20" s="228">
        <v>-53</v>
      </c>
      <c r="K20" s="228">
        <v>-410</v>
      </c>
      <c r="L20" s="228">
        <v>806</v>
      </c>
      <c r="M20" s="228">
        <v>688</v>
      </c>
      <c r="N20" s="228">
        <v>695</v>
      </c>
      <c r="O20" s="228">
        <v>992</v>
      </c>
      <c r="P20" s="228">
        <v>781</v>
      </c>
      <c r="Q20" s="228">
        <v>491</v>
      </c>
      <c r="R20" s="228">
        <v>483</v>
      </c>
      <c r="S20" s="228">
        <v>661</v>
      </c>
      <c r="T20" s="228">
        <v>719</v>
      </c>
      <c r="U20" s="228">
        <v>487</v>
      </c>
      <c r="V20" s="228">
        <v>473</v>
      </c>
      <c r="W20" s="228">
        <v>450</v>
      </c>
      <c r="X20" s="228">
        <v>434</v>
      </c>
      <c r="Y20" s="228">
        <v>203</v>
      </c>
      <c r="Z20" s="228">
        <v>149</v>
      </c>
      <c r="AA20" s="228">
        <v>171</v>
      </c>
      <c r="AB20" s="228">
        <v>679</v>
      </c>
      <c r="AC20" s="228">
        <v>453</v>
      </c>
      <c r="AD20" s="228">
        <v>553</v>
      </c>
      <c r="AE20" s="228">
        <v>419</v>
      </c>
      <c r="AF20" s="228">
        <v>94</v>
      </c>
      <c r="AG20" s="228">
        <v>273</v>
      </c>
      <c r="AH20" s="228">
        <v>-413</v>
      </c>
      <c r="AI20" s="228">
        <v>351</v>
      </c>
      <c r="AJ20" s="228">
        <v>-2655</v>
      </c>
      <c r="AK20" s="228">
        <v>-3377</v>
      </c>
      <c r="AL20" s="228">
        <v>240</v>
      </c>
      <c r="AM20" s="228">
        <v>406</v>
      </c>
      <c r="AN20" s="228">
        <v>96</v>
      </c>
      <c r="AO20" s="228">
        <v>-3325</v>
      </c>
      <c r="AP20" s="228">
        <v>1261</v>
      </c>
      <c r="AQ20" s="228">
        <v>-25</v>
      </c>
      <c r="AR20" s="228">
        <v>326</v>
      </c>
      <c r="AS20" s="228">
        <v>-1605</v>
      </c>
      <c r="AT20" s="228">
        <v>620.6</v>
      </c>
      <c r="AU20" s="228">
        <v>466</v>
      </c>
      <c r="AV20" s="228">
        <v>830</v>
      </c>
      <c r="AW20" s="228">
        <v>240</v>
      </c>
      <c r="AX20" s="228">
        <v>615</v>
      </c>
      <c r="AY20" s="228">
        <v>625</v>
      </c>
      <c r="AZ20" s="228">
        <v>139</v>
      </c>
      <c r="BA20" s="228">
        <v>295</v>
      </c>
      <c r="BB20" s="228">
        <v>242</v>
      </c>
      <c r="BC20" s="228">
        <v>446</v>
      </c>
      <c r="BD20" s="228">
        <v>1076</v>
      </c>
      <c r="BE20" s="228">
        <f>1731</f>
        <v>1731</v>
      </c>
      <c r="BF20" s="228">
        <v>3287.3757750504692</v>
      </c>
      <c r="BG20" s="228">
        <f>[17]Consolidado!$G$50</f>
        <v>5620.570127520753</v>
      </c>
      <c r="BH20" s="228">
        <f>[14]Consolidado!$G$52</f>
        <v>7465.7928041051018</v>
      </c>
      <c r="BI20" s="228">
        <f>BI18+BI19</f>
        <v>3898.4796118509407</v>
      </c>
      <c r="BJ20" s="228">
        <f>BJ18+BJ19</f>
        <v>4510.2000000000007</v>
      </c>
      <c r="BK20" s="228">
        <f>BK18+BK19</f>
        <v>5429.6919139390993</v>
      </c>
      <c r="BL20" s="228">
        <f>BL18+BL19</f>
        <v>3932.4532337154606</v>
      </c>
    </row>
    <row r="21" spans="2:65" ht="15">
      <c r="B21" s="230" t="s">
        <v>27</v>
      </c>
      <c r="C21" s="231"/>
      <c r="D21" s="231"/>
      <c r="E21" s="231"/>
      <c r="F21" s="232">
        <v>-308</v>
      </c>
      <c r="G21" s="232">
        <v>-649</v>
      </c>
      <c r="H21" s="232">
        <v>-434</v>
      </c>
      <c r="I21" s="232">
        <v>442</v>
      </c>
      <c r="J21" s="232">
        <v>88</v>
      </c>
      <c r="K21" s="232">
        <v>81</v>
      </c>
      <c r="L21" s="232">
        <v>-151</v>
      </c>
      <c r="M21" s="232">
        <v>-45</v>
      </c>
      <c r="N21" s="232">
        <v>-122</v>
      </c>
      <c r="O21" s="232">
        <v>-136</v>
      </c>
      <c r="P21" s="232">
        <v>-172</v>
      </c>
      <c r="Q21" s="232">
        <v>-71</v>
      </c>
      <c r="R21" s="232">
        <v>-74</v>
      </c>
      <c r="S21" s="232">
        <v>-158</v>
      </c>
      <c r="T21" s="232">
        <v>-6</v>
      </c>
      <c r="U21" s="232">
        <v>-15</v>
      </c>
      <c r="V21" s="239">
        <v>-76</v>
      </c>
      <c r="W21" s="239">
        <v>99</v>
      </c>
      <c r="X21" s="239">
        <v>-26</v>
      </c>
      <c r="Y21" s="239">
        <v>-60</v>
      </c>
      <c r="Z21" s="239">
        <v>11</v>
      </c>
      <c r="AA21" s="239">
        <v>230</v>
      </c>
      <c r="AB21" s="239">
        <v>-37</v>
      </c>
      <c r="AC21" s="239">
        <v>39</v>
      </c>
      <c r="AD21" s="239">
        <v>-113</v>
      </c>
      <c r="AE21" s="239">
        <v>-25</v>
      </c>
      <c r="AF21" s="239">
        <v>168</v>
      </c>
      <c r="AG21" s="239">
        <v>120</v>
      </c>
      <c r="AH21" s="239">
        <v>680</v>
      </c>
      <c r="AI21" s="239">
        <v>-87</v>
      </c>
      <c r="AJ21" s="239">
        <v>697</v>
      </c>
      <c r="AK21" s="239">
        <v>207</v>
      </c>
      <c r="AL21" s="239">
        <v>-225</v>
      </c>
      <c r="AM21" s="239">
        <v>-327</v>
      </c>
      <c r="AN21" s="239">
        <v>-1</v>
      </c>
      <c r="AO21" s="239">
        <v>249</v>
      </c>
      <c r="AP21" s="239">
        <v>-437</v>
      </c>
      <c r="AQ21" s="239">
        <v>101</v>
      </c>
      <c r="AR21" s="239">
        <v>-181</v>
      </c>
      <c r="AS21" s="239">
        <v>221</v>
      </c>
      <c r="AT21" s="239">
        <v>-173</v>
      </c>
      <c r="AU21" s="239">
        <v>232</v>
      </c>
      <c r="AV21" s="239">
        <v>-39</v>
      </c>
      <c r="AW21" s="239">
        <v>149</v>
      </c>
      <c r="AX21" s="239">
        <v>-162</v>
      </c>
      <c r="AY21" s="239">
        <v>-252</v>
      </c>
      <c r="AZ21" s="239">
        <v>150</v>
      </c>
      <c r="BA21" s="239">
        <v>-193</v>
      </c>
      <c r="BB21" s="239">
        <v>-21</v>
      </c>
      <c r="BC21" s="239">
        <v>-131</v>
      </c>
      <c r="BD21" s="239">
        <v>-282</v>
      </c>
      <c r="BE21" s="239">
        <v>-674</v>
      </c>
      <c r="BF21" s="239">
        <v>-816.63507089999996</v>
      </c>
      <c r="BG21" s="239">
        <v>-1686.09649848</v>
      </c>
      <c r="BH21" s="239">
        <f>[14]Consolidado!$G$53</f>
        <v>-1872.4039591999999</v>
      </c>
      <c r="BI21" s="239">
        <f>[15]Consolidado!$G$55</f>
        <v>-338.49478019000065</v>
      </c>
      <c r="BJ21" s="239">
        <f>[16]Consolidado!$G$55</f>
        <v>-1569.7477536099998</v>
      </c>
      <c r="BK21" s="239">
        <f>[7]Consolidado!$G$55</f>
        <v>-1131.05391768</v>
      </c>
      <c r="BL21" s="239">
        <f>[8]Consolidado!$G$55</f>
        <v>-910.0911626599999</v>
      </c>
    </row>
    <row r="22" spans="2:65" s="229" customFormat="1" ht="15">
      <c r="B22" s="227" t="s">
        <v>151</v>
      </c>
      <c r="C22" s="227"/>
      <c r="D22" s="227"/>
      <c r="E22" s="227"/>
      <c r="F22" s="228">
        <v>1090</v>
      </c>
      <c r="G22" s="228">
        <v>2124</v>
      </c>
      <c r="H22" s="228">
        <v>1420</v>
      </c>
      <c r="I22" s="228">
        <v>311</v>
      </c>
      <c r="J22" s="228">
        <v>35</v>
      </c>
      <c r="K22" s="228">
        <v>-329</v>
      </c>
      <c r="L22" s="228">
        <v>654.70000000000005</v>
      </c>
      <c r="M22" s="228">
        <v>643</v>
      </c>
      <c r="N22" s="228">
        <v>573</v>
      </c>
      <c r="O22" s="228">
        <v>856</v>
      </c>
      <c r="P22" s="228">
        <v>609</v>
      </c>
      <c r="Q22" s="228">
        <v>420</v>
      </c>
      <c r="R22" s="228">
        <v>409</v>
      </c>
      <c r="S22" s="228">
        <v>503</v>
      </c>
      <c r="T22" s="228">
        <v>713</v>
      </c>
      <c r="U22" s="228">
        <v>472</v>
      </c>
      <c r="V22" s="228">
        <v>397</v>
      </c>
      <c r="W22" s="228">
        <v>549</v>
      </c>
      <c r="X22" s="228">
        <v>408</v>
      </c>
      <c r="Y22" s="228">
        <v>143</v>
      </c>
      <c r="Z22" s="228">
        <v>160</v>
      </c>
      <c r="AA22" s="228">
        <v>401</v>
      </c>
      <c r="AB22" s="228">
        <v>642</v>
      </c>
      <c r="AC22" s="228">
        <v>492</v>
      </c>
      <c r="AD22" s="228">
        <v>440</v>
      </c>
      <c r="AE22" s="228">
        <v>394</v>
      </c>
      <c r="AF22" s="228">
        <v>262</v>
      </c>
      <c r="AG22" s="228">
        <v>393</v>
      </c>
      <c r="AH22" s="228">
        <v>267</v>
      </c>
      <c r="AI22" s="228">
        <v>264</v>
      </c>
      <c r="AJ22" s="228">
        <v>-1958</v>
      </c>
      <c r="AK22" s="228">
        <v>-3170</v>
      </c>
      <c r="AL22" s="228">
        <v>14</v>
      </c>
      <c r="AM22" s="228">
        <v>79</v>
      </c>
      <c r="AN22" s="228">
        <v>95</v>
      </c>
      <c r="AO22" s="228">
        <v>-3076</v>
      </c>
      <c r="AP22" s="228">
        <v>824</v>
      </c>
      <c r="AQ22" s="228">
        <v>76</v>
      </c>
      <c r="AR22" s="228">
        <v>145</v>
      </c>
      <c r="AS22" s="228">
        <v>-1384</v>
      </c>
      <c r="AT22" s="228">
        <v>447.6</v>
      </c>
      <c r="AU22" s="228">
        <v>698</v>
      </c>
      <c r="AV22" s="228">
        <v>791</v>
      </c>
      <c r="AW22" s="228">
        <v>389</v>
      </c>
      <c r="AX22" s="228">
        <v>453</v>
      </c>
      <c r="AY22" s="228">
        <v>373</v>
      </c>
      <c r="AZ22" s="228">
        <v>289</v>
      </c>
      <c r="BA22" s="228">
        <v>102</v>
      </c>
      <c r="BB22" s="228">
        <v>221</v>
      </c>
      <c r="BC22" s="228">
        <f>SUM(BC20:BC21)</f>
        <v>315</v>
      </c>
      <c r="BD22" s="228">
        <v>795</v>
      </c>
      <c r="BE22" s="228">
        <v>1057</v>
      </c>
      <c r="BF22" s="228">
        <v>2470.7407041504694</v>
      </c>
      <c r="BG22" s="228">
        <v>3934.4736290407527</v>
      </c>
      <c r="BH22" s="228">
        <f>[14]Consolidado!$G$58</f>
        <v>5594.3888449051019</v>
      </c>
      <c r="BI22" s="228">
        <f>BI20+BI21</f>
        <v>3559.98483166094</v>
      </c>
      <c r="BJ22" s="228">
        <f>BJ20+BJ21</f>
        <v>2940.4522463900012</v>
      </c>
      <c r="BK22" s="397">
        <f>[7]Consolidado!$G$60</f>
        <v>4298.437996259102</v>
      </c>
      <c r="BL22" s="228">
        <f>SUM(BL20:BL21)</f>
        <v>3022.3620710554605</v>
      </c>
    </row>
    <row r="23" spans="2:65" ht="13.5" customHeight="1">
      <c r="B23" s="230" t="s">
        <v>170</v>
      </c>
      <c r="C23" s="231"/>
      <c r="D23" s="231"/>
      <c r="E23" s="231"/>
      <c r="F23" s="232"/>
      <c r="G23" s="232"/>
      <c r="H23" s="232"/>
      <c r="I23" s="232"/>
      <c r="J23" s="232" t="s">
        <v>88</v>
      </c>
      <c r="K23" s="232" t="s">
        <v>88</v>
      </c>
      <c r="L23" s="232" t="s">
        <v>88</v>
      </c>
      <c r="M23" s="232" t="s">
        <v>88</v>
      </c>
      <c r="N23" s="232" t="s">
        <v>88</v>
      </c>
      <c r="O23" s="232" t="s">
        <v>88</v>
      </c>
      <c r="P23" s="232" t="s">
        <v>88</v>
      </c>
      <c r="Q23" s="232" t="s">
        <v>88</v>
      </c>
      <c r="R23" s="232" t="s">
        <v>88</v>
      </c>
      <c r="S23" s="232" t="s">
        <v>88</v>
      </c>
      <c r="T23" s="232" t="s">
        <v>88</v>
      </c>
      <c r="U23" s="232" t="s">
        <v>88</v>
      </c>
      <c r="V23" s="239" t="s">
        <v>88</v>
      </c>
      <c r="W23" s="239" t="s">
        <v>88</v>
      </c>
      <c r="X23" s="239" t="s">
        <v>88</v>
      </c>
      <c r="Y23" s="239" t="s">
        <v>88</v>
      </c>
      <c r="Z23" s="239" t="s">
        <v>88</v>
      </c>
      <c r="AA23" s="239" t="s">
        <v>88</v>
      </c>
      <c r="AB23" s="239" t="s">
        <v>88</v>
      </c>
      <c r="AC23" s="239" t="s">
        <v>88</v>
      </c>
      <c r="AD23" s="239" t="s">
        <v>88</v>
      </c>
      <c r="AE23" s="239" t="s">
        <v>88</v>
      </c>
      <c r="AF23" s="239" t="s">
        <v>88</v>
      </c>
      <c r="AG23" s="239" t="s">
        <v>88</v>
      </c>
      <c r="AH23" s="239" t="s">
        <v>88</v>
      </c>
      <c r="AI23" s="239" t="s">
        <v>88</v>
      </c>
      <c r="AJ23" s="239" t="s">
        <v>88</v>
      </c>
      <c r="AK23" s="239" t="s">
        <v>88</v>
      </c>
      <c r="AL23" s="239">
        <v>0</v>
      </c>
      <c r="AM23" s="239">
        <v>0</v>
      </c>
      <c r="AN23" s="239">
        <v>0</v>
      </c>
      <c r="AO23" s="239">
        <v>58</v>
      </c>
      <c r="AP23" s="239">
        <v>0</v>
      </c>
      <c r="AQ23" s="239">
        <v>73</v>
      </c>
      <c r="AR23" s="239">
        <v>0</v>
      </c>
      <c r="AS23" s="239">
        <v>649</v>
      </c>
      <c r="AT23" s="239">
        <v>3</v>
      </c>
      <c r="AU23" s="239">
        <v>48</v>
      </c>
      <c r="AV23" s="239">
        <v>177</v>
      </c>
      <c r="AW23" s="239">
        <v>186</v>
      </c>
      <c r="AX23" s="239">
        <v>0</v>
      </c>
      <c r="AY23" s="239">
        <v>0</v>
      </c>
      <c r="AZ23" s="239">
        <v>0</v>
      </c>
      <c r="BA23" s="239">
        <v>0</v>
      </c>
      <c r="BB23" s="239">
        <v>0</v>
      </c>
      <c r="BC23" s="239">
        <v>0</v>
      </c>
      <c r="BD23" s="239">
        <v>0</v>
      </c>
      <c r="BE23" s="239">
        <v>0</v>
      </c>
      <c r="BF23" s="239">
        <v>0</v>
      </c>
      <c r="BG23" s="239">
        <v>0</v>
      </c>
      <c r="BH23" s="239">
        <v>0</v>
      </c>
      <c r="BI23" s="239">
        <v>0</v>
      </c>
      <c r="BJ23" s="239">
        <v>0</v>
      </c>
      <c r="BK23" s="239">
        <v>0</v>
      </c>
      <c r="BL23" s="239">
        <v>0</v>
      </c>
    </row>
    <row r="24" spans="2:65" ht="13.5" customHeight="1">
      <c r="B24" s="284" t="s">
        <v>201</v>
      </c>
      <c r="C24" s="222"/>
      <c r="D24" s="222"/>
      <c r="E24" s="222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>
        <v>0</v>
      </c>
      <c r="AT24" s="285">
        <v>0</v>
      </c>
      <c r="AU24" s="285">
        <v>0</v>
      </c>
      <c r="AV24" s="285">
        <v>0</v>
      </c>
      <c r="AW24" s="285">
        <v>224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239</v>
      </c>
      <c r="BF24" s="285">
        <v>0</v>
      </c>
      <c r="BG24" s="285">
        <v>0</v>
      </c>
      <c r="BH24" s="285">
        <v>0</v>
      </c>
      <c r="BI24" s="285">
        <v>265</v>
      </c>
      <c r="BJ24" s="285">
        <f>[16]Consolidado!$G$52</f>
        <v>0</v>
      </c>
      <c r="BK24" s="285">
        <f>[16]Consolidado!$G$52</f>
        <v>0</v>
      </c>
      <c r="BL24" s="285">
        <f>[8]Consolidado!$G$52</f>
        <v>0</v>
      </c>
    </row>
    <row r="25" spans="2:65" ht="13.5" customHeight="1">
      <c r="B25" s="230" t="s">
        <v>339</v>
      </c>
      <c r="C25" s="231"/>
      <c r="D25" s="231"/>
      <c r="E25" s="231"/>
      <c r="F25" s="231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>
        <v>0</v>
      </c>
      <c r="AW25" s="232">
        <v>0</v>
      </c>
      <c r="AX25" s="232">
        <v>0</v>
      </c>
      <c r="AY25" s="232">
        <v>0</v>
      </c>
      <c r="AZ25" s="232">
        <v>238</v>
      </c>
      <c r="BA25" s="232">
        <f>131.11</f>
        <v>131.11000000000001</v>
      </c>
      <c r="BB25" s="239">
        <v>0</v>
      </c>
      <c r="BC25" s="239">
        <v>119</v>
      </c>
      <c r="BD25" s="239">
        <v>0</v>
      </c>
      <c r="BE25" s="239">
        <v>0</v>
      </c>
      <c r="BF25" s="239">
        <v>0</v>
      </c>
      <c r="BG25" s="239">
        <v>0</v>
      </c>
      <c r="BH25" s="239">
        <v>0</v>
      </c>
      <c r="BI25" s="239">
        <v>0</v>
      </c>
      <c r="BJ25" s="239">
        <v>0</v>
      </c>
      <c r="BK25" s="239">
        <v>0</v>
      </c>
      <c r="BL25" s="239">
        <v>0</v>
      </c>
    </row>
    <row r="26" spans="2:65" ht="15">
      <c r="B26" s="222" t="s">
        <v>232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>
        <v>0</v>
      </c>
      <c r="AW26" s="222">
        <v>0</v>
      </c>
      <c r="AX26" s="285">
        <v>0</v>
      </c>
      <c r="AY26" s="285">
        <v>0</v>
      </c>
      <c r="AZ26" s="285">
        <v>-57</v>
      </c>
      <c r="BA26" s="285">
        <v>-193</v>
      </c>
      <c r="BB26" s="285">
        <v>0</v>
      </c>
      <c r="BC26" s="285">
        <v>-308</v>
      </c>
      <c r="BD26" s="285">
        <v>0</v>
      </c>
      <c r="BE26" s="285">
        <v>-694</v>
      </c>
      <c r="BF26" s="285">
        <v>0</v>
      </c>
      <c r="BG26" s="285">
        <f>'[18]1-Resultado Financeiro e lucro'!$B$26</f>
        <v>-856</v>
      </c>
      <c r="BH26" s="285">
        <f>'[19]1-Resultado Financeiro e lucro'!$B$26+'[19]1-Resultado Financeiro e lucro'!$B$28</f>
        <v>-1498.8509999999999</v>
      </c>
      <c r="BI26" s="285"/>
      <c r="BJ26" s="285"/>
      <c r="BK26" s="285"/>
      <c r="BL26" s="285"/>
      <c r="BM26" s="473"/>
    </row>
    <row r="27" spans="2:65" ht="13.5" customHeight="1">
      <c r="B27" s="230" t="s">
        <v>233</v>
      </c>
      <c r="C27" s="231"/>
      <c r="D27" s="231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396">
        <v>0</v>
      </c>
      <c r="AW27" s="239">
        <v>0</v>
      </c>
      <c r="AX27" s="239">
        <v>0</v>
      </c>
      <c r="AY27" s="239">
        <v>0</v>
      </c>
      <c r="AZ27" s="239">
        <f>(AZ25+AZ26)*-34%</f>
        <v>-61.540000000000006</v>
      </c>
      <c r="BA27" s="239">
        <v>21</v>
      </c>
      <c r="BB27" s="239">
        <v>0</v>
      </c>
      <c r="BC27" s="239">
        <v>64</v>
      </c>
      <c r="BD27" s="239">
        <v>0</v>
      </c>
      <c r="BE27" s="239">
        <v>187</v>
      </c>
      <c r="BF27" s="239"/>
      <c r="BG27" s="239">
        <f>[17]Consolidado!$G$53</f>
        <v>291.03699999999998</v>
      </c>
      <c r="BH27" s="239">
        <f>'[19]1-Resultado Financeiro e lucro'!$B$30</f>
        <v>465.51799999999997</v>
      </c>
      <c r="BI27" s="239">
        <v>-713</v>
      </c>
      <c r="BJ27" s="239">
        <f>'[20]1-Resultado Financeiro e lucro'!$B$31</f>
        <v>0</v>
      </c>
      <c r="BK27" s="239">
        <f>'[20]1-Resultado Financeiro e lucro'!$B$31</f>
        <v>0</v>
      </c>
      <c r="BL27" s="239">
        <f>'[20]1-Resultado Financeiro e lucro'!$B$31</f>
        <v>0</v>
      </c>
    </row>
    <row r="28" spans="2:65" ht="15">
      <c r="B28" s="222" t="s">
        <v>340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85"/>
      <c r="AY28" s="285"/>
      <c r="AZ28" s="285"/>
      <c r="BA28" s="285"/>
      <c r="BB28" s="285"/>
      <c r="BC28" s="285"/>
      <c r="BD28" s="285"/>
      <c r="BE28" s="285">
        <v>412</v>
      </c>
      <c r="BF28" s="285"/>
      <c r="BG28" s="285"/>
      <c r="BH28" s="285"/>
      <c r="BI28" s="285"/>
      <c r="BJ28" s="285"/>
      <c r="BK28" s="285"/>
      <c r="BL28" s="285"/>
      <c r="BM28" s="473"/>
    </row>
    <row r="29" spans="2:65" ht="13.5" customHeight="1">
      <c r="B29" s="230" t="s">
        <v>341</v>
      </c>
      <c r="C29" s="231"/>
      <c r="D29" s="231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396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>
        <v>163</v>
      </c>
      <c r="BJ29" s="239">
        <f>'[20]1-Resultado Financeiro e lucro'!$B$28</f>
        <v>0</v>
      </c>
      <c r="BK29" s="239">
        <f>'[20]1-Resultado Financeiro e lucro'!$B$28</f>
        <v>0</v>
      </c>
      <c r="BL29" s="239">
        <f>'[20]1-Resultado Financeiro e lucro'!$B$28</f>
        <v>0</v>
      </c>
    </row>
    <row r="30" spans="2:65" ht="15">
      <c r="B30" s="222" t="s">
        <v>338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>
        <v>204</v>
      </c>
      <c r="BJ30" s="285">
        <f>'[20]1-Resultado Financeiro e lucro'!$B$32</f>
        <v>0</v>
      </c>
      <c r="BK30" s="285">
        <f>'[20]1-Resultado Financeiro e lucro'!$B$32</f>
        <v>0</v>
      </c>
      <c r="BL30" s="285">
        <f>'[20]1-Resultado Financeiro e lucro'!$B$32</f>
        <v>0</v>
      </c>
      <c r="BM30" s="473"/>
    </row>
    <row r="31" spans="2:65" ht="13.5" customHeight="1">
      <c r="B31" s="230" t="s">
        <v>174</v>
      </c>
      <c r="C31" s="231"/>
      <c r="D31" s="231"/>
      <c r="E31" s="239"/>
      <c r="F31" s="239"/>
      <c r="G31" s="239"/>
      <c r="H31" s="239"/>
      <c r="I31" s="239"/>
      <c r="J31" s="239">
        <v>0</v>
      </c>
      <c r="K31" s="239">
        <v>0</v>
      </c>
      <c r="L31" s="239">
        <v>0</v>
      </c>
      <c r="M31" s="239">
        <v>0</v>
      </c>
      <c r="N31" s="239">
        <v>0</v>
      </c>
      <c r="O31" s="239">
        <v>0</v>
      </c>
      <c r="P31" s="239">
        <v>0</v>
      </c>
      <c r="Q31" s="239">
        <v>0</v>
      </c>
      <c r="R31" s="239">
        <v>0</v>
      </c>
      <c r="S31" s="239">
        <v>0</v>
      </c>
      <c r="T31" s="239">
        <v>0</v>
      </c>
      <c r="U31" s="239">
        <v>0</v>
      </c>
      <c r="V31" s="239">
        <v>0</v>
      </c>
      <c r="W31" s="239">
        <v>0</v>
      </c>
      <c r="X31" s="239">
        <v>0</v>
      </c>
      <c r="Y31" s="239">
        <v>0</v>
      </c>
      <c r="Z31" s="239">
        <v>0</v>
      </c>
      <c r="AA31" s="239">
        <v>0</v>
      </c>
      <c r="AB31" s="239">
        <v>0</v>
      </c>
      <c r="AC31" s="239">
        <v>0</v>
      </c>
      <c r="AD31" s="239">
        <v>0</v>
      </c>
      <c r="AE31" s="239">
        <v>0</v>
      </c>
      <c r="AF31" s="239">
        <v>0</v>
      </c>
      <c r="AG31" s="239">
        <v>0</v>
      </c>
      <c r="AH31" s="239">
        <v>0</v>
      </c>
      <c r="AI31" s="239">
        <v>0</v>
      </c>
      <c r="AJ31" s="239">
        <v>0</v>
      </c>
      <c r="AK31" s="239">
        <v>0</v>
      </c>
      <c r="AL31" s="239">
        <v>0</v>
      </c>
      <c r="AM31" s="239">
        <v>0</v>
      </c>
      <c r="AN31" s="239">
        <v>0</v>
      </c>
      <c r="AO31" s="239">
        <v>0</v>
      </c>
      <c r="AP31" s="239">
        <v>442</v>
      </c>
      <c r="AQ31" s="239">
        <v>0</v>
      </c>
      <c r="AR31" s="239">
        <v>0</v>
      </c>
      <c r="AS31" s="239">
        <v>-118</v>
      </c>
      <c r="AT31" s="239">
        <v>0</v>
      </c>
      <c r="AU31" s="239">
        <v>0</v>
      </c>
      <c r="AV31" s="396">
        <v>30</v>
      </c>
      <c r="AW31" s="239">
        <v>-487</v>
      </c>
      <c r="AX31" s="239">
        <v>0</v>
      </c>
      <c r="AY31" s="239">
        <v>0</v>
      </c>
      <c r="AZ31" s="239">
        <v>0</v>
      </c>
      <c r="BA31" s="239" t="s">
        <v>88</v>
      </c>
      <c r="BB31" s="239" t="s">
        <v>88</v>
      </c>
      <c r="BC31" s="239">
        <v>0</v>
      </c>
      <c r="BD31" s="239">
        <v>0</v>
      </c>
      <c r="BE31" s="239">
        <v>0</v>
      </c>
      <c r="BF31" s="239">
        <v>0</v>
      </c>
      <c r="BG31" s="239">
        <v>0</v>
      </c>
      <c r="BH31" s="239">
        <v>0</v>
      </c>
      <c r="BI31" s="239">
        <v>0</v>
      </c>
      <c r="BJ31" s="239">
        <v>0</v>
      </c>
      <c r="BK31" s="239">
        <v>0</v>
      </c>
      <c r="BL31" s="239">
        <v>0</v>
      </c>
    </row>
    <row r="32" spans="2:65" s="241" customFormat="1" ht="13.5" customHeight="1">
      <c r="B32" s="250" t="s">
        <v>154</v>
      </c>
      <c r="C32" s="240"/>
      <c r="D32" s="240"/>
      <c r="E32" s="397"/>
      <c r="F32" s="397"/>
      <c r="G32" s="397"/>
      <c r="H32" s="397"/>
      <c r="I32" s="397"/>
      <c r="J32" s="397" t="s">
        <v>88</v>
      </c>
      <c r="K32" s="397" t="s">
        <v>88</v>
      </c>
      <c r="L32" s="397" t="s">
        <v>88</v>
      </c>
      <c r="M32" s="397" t="s">
        <v>88</v>
      </c>
      <c r="N32" s="397" t="s">
        <v>88</v>
      </c>
      <c r="O32" s="397" t="s">
        <v>88</v>
      </c>
      <c r="P32" s="397" t="s">
        <v>88</v>
      </c>
      <c r="Q32" s="397" t="s">
        <v>88</v>
      </c>
      <c r="R32" s="397" t="s">
        <v>88</v>
      </c>
      <c r="S32" s="397" t="s">
        <v>88</v>
      </c>
      <c r="T32" s="397" t="s">
        <v>88</v>
      </c>
      <c r="U32" s="397" t="s">
        <v>88</v>
      </c>
      <c r="V32" s="397" t="s">
        <v>88</v>
      </c>
      <c r="W32" s="397" t="s">
        <v>88</v>
      </c>
      <c r="X32" s="397" t="s">
        <v>88</v>
      </c>
      <c r="Y32" s="397" t="s">
        <v>88</v>
      </c>
      <c r="Z32" s="397" t="s">
        <v>88</v>
      </c>
      <c r="AA32" s="397" t="s">
        <v>88</v>
      </c>
      <c r="AB32" s="397" t="s">
        <v>88</v>
      </c>
      <c r="AC32" s="397" t="s">
        <v>88</v>
      </c>
      <c r="AD32" s="397" t="s">
        <v>88</v>
      </c>
      <c r="AE32" s="397" t="s">
        <v>88</v>
      </c>
      <c r="AF32" s="397" t="s">
        <v>88</v>
      </c>
      <c r="AG32" s="397" t="s">
        <v>88</v>
      </c>
      <c r="AH32" s="397" t="s">
        <v>88</v>
      </c>
      <c r="AI32" s="397" t="s">
        <v>88</v>
      </c>
      <c r="AJ32" s="397">
        <v>193</v>
      </c>
      <c r="AK32" s="397">
        <v>-41</v>
      </c>
      <c r="AL32" s="397">
        <v>0</v>
      </c>
      <c r="AM32" s="397">
        <v>185</v>
      </c>
      <c r="AN32" s="397">
        <v>0</v>
      </c>
      <c r="AO32" s="397">
        <v>203</v>
      </c>
      <c r="AP32" s="397">
        <v>-34</v>
      </c>
      <c r="AQ32" s="397">
        <v>149</v>
      </c>
      <c r="AR32" s="397">
        <v>145</v>
      </c>
      <c r="AS32" s="397">
        <v>262</v>
      </c>
      <c r="AT32" s="397">
        <v>451.40899999999999</v>
      </c>
      <c r="AU32" s="397">
        <v>745.5</v>
      </c>
      <c r="AV32" s="397">
        <v>998</v>
      </c>
      <c r="AW32" s="397">
        <v>312</v>
      </c>
      <c r="AX32" s="397">
        <v>453</v>
      </c>
      <c r="AY32" s="397">
        <v>373</v>
      </c>
      <c r="AZ32" s="397">
        <v>408</v>
      </c>
      <c r="BA32" s="397">
        <v>61</v>
      </c>
      <c r="BB32" s="397">
        <v>221</v>
      </c>
      <c r="BC32" s="397">
        <v>191</v>
      </c>
      <c r="BD32" s="397">
        <v>795</v>
      </c>
      <c r="BE32" s="397">
        <v>1201.6400000000001</v>
      </c>
      <c r="BF32" s="397">
        <v>2470.7407041504694</v>
      </c>
      <c r="BG32" s="397">
        <v>3370</v>
      </c>
      <c r="BH32" s="397">
        <f>[14]Consolidado!$G$62</f>
        <v>4560.3888449051019</v>
      </c>
      <c r="BI32" s="397">
        <f>[15]Consolidado!$G$64</f>
        <v>3478.98483166094</v>
      </c>
      <c r="BJ32" s="397">
        <f>'[20]1-Resultado Financeiro e lucro'!$B$34</f>
        <v>2939.6508836321245</v>
      </c>
      <c r="BK32" s="397">
        <f>[7]Consolidado!$G$60</f>
        <v>4298.437996259102</v>
      </c>
      <c r="BL32" s="397">
        <f>[8]Consolidado!$G$60</f>
        <v>3022.1620710554607</v>
      </c>
    </row>
    <row r="33" spans="2:67" ht="15">
      <c r="B33" s="242"/>
      <c r="C33" s="225"/>
      <c r="D33" s="225"/>
      <c r="E33" s="225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</row>
    <row r="34" spans="2:67" ht="15">
      <c r="B34" s="224"/>
      <c r="C34" s="225"/>
      <c r="D34" s="225"/>
      <c r="E34" s="225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</row>
    <row r="35" spans="2:67" ht="15">
      <c r="B35" s="230" t="s">
        <v>324</v>
      </c>
      <c r="C35" s="231"/>
      <c r="D35" s="231"/>
      <c r="E35" s="231"/>
      <c r="F35" s="232">
        <v>423</v>
      </c>
      <c r="G35" s="232">
        <v>409</v>
      </c>
      <c r="H35" s="232">
        <v>434</v>
      </c>
      <c r="I35" s="232">
        <v>631</v>
      </c>
      <c r="J35" s="232">
        <v>474</v>
      </c>
      <c r="K35" s="232">
        <v>442</v>
      </c>
      <c r="L35" s="232">
        <v>402</v>
      </c>
      <c r="M35" s="232">
        <v>427</v>
      </c>
      <c r="N35" s="232">
        <v>459</v>
      </c>
      <c r="O35" s="232">
        <v>472</v>
      </c>
      <c r="P35" s="232">
        <v>485</v>
      </c>
      <c r="Q35" s="232">
        <v>476</v>
      </c>
      <c r="R35" s="232">
        <v>448</v>
      </c>
      <c r="S35" s="232">
        <v>431</v>
      </c>
      <c r="T35" s="232">
        <v>437</v>
      </c>
      <c r="U35" s="232">
        <v>456</v>
      </c>
      <c r="V35" s="232">
        <v>438</v>
      </c>
      <c r="W35" s="232">
        <v>459</v>
      </c>
      <c r="X35" s="232">
        <v>465</v>
      </c>
      <c r="Y35" s="232">
        <v>465</v>
      </c>
      <c r="Z35" s="232">
        <v>464</v>
      </c>
      <c r="AA35" s="232">
        <v>477</v>
      </c>
      <c r="AB35" s="232">
        <v>528</v>
      </c>
      <c r="AC35" s="232">
        <v>561</v>
      </c>
      <c r="AD35" s="232">
        <v>542</v>
      </c>
      <c r="AE35" s="232">
        <v>541</v>
      </c>
      <c r="AF35" s="232">
        <v>555</v>
      </c>
      <c r="AG35" s="232">
        <v>590</v>
      </c>
      <c r="AH35" s="232">
        <v>604</v>
      </c>
      <c r="AI35" s="232">
        <v>626</v>
      </c>
      <c r="AJ35" s="232">
        <v>671</v>
      </c>
      <c r="AK35" s="232">
        <v>707</v>
      </c>
      <c r="AL35" s="232">
        <v>681</v>
      </c>
      <c r="AM35" s="232">
        <v>617</v>
      </c>
      <c r="AN35" s="232">
        <v>567</v>
      </c>
      <c r="AO35" s="232">
        <v>671</v>
      </c>
      <c r="AP35" s="232">
        <v>528</v>
      </c>
      <c r="AQ35" s="232">
        <v>526</v>
      </c>
      <c r="AR35" s="232">
        <v>514</v>
      </c>
      <c r="AS35" s="232">
        <v>524</v>
      </c>
      <c r="AT35" s="232">
        <v>453</v>
      </c>
      <c r="AU35" s="232">
        <v>457</v>
      </c>
      <c r="AV35" s="232">
        <v>478</v>
      </c>
      <c r="AW35" s="232">
        <v>504</v>
      </c>
      <c r="AX35" s="232">
        <v>506</v>
      </c>
      <c r="AY35" s="232">
        <v>527</v>
      </c>
      <c r="AZ35" s="232">
        <v>502</v>
      </c>
      <c r="BA35" s="232">
        <v>538</v>
      </c>
      <c r="BB35" s="232">
        <v>557</v>
      </c>
      <c r="BC35" s="232">
        <v>611</v>
      </c>
      <c r="BD35" s="232">
        <v>647</v>
      </c>
      <c r="BE35" s="232">
        <v>683.83781382446455</v>
      </c>
      <c r="BF35" s="232">
        <v>648.82934737527842</v>
      </c>
      <c r="BG35" s="232">
        <v>630</v>
      </c>
      <c r="BH35" s="232">
        <f>[14]Consolidado!$G$29</f>
        <v>672.67189838607885</v>
      </c>
      <c r="BI35" s="232">
        <v>707</v>
      </c>
      <c r="BJ35" s="232">
        <f>[16]Consolidado!$G$30</f>
        <v>658.82659935160007</v>
      </c>
      <c r="BK35" s="232">
        <f>[7]Consolidado!$G$30</f>
        <v>701.18482417839994</v>
      </c>
      <c r="BL35" s="232">
        <f>[8]Consolidado!$G$30</f>
        <v>737.50042127000006</v>
      </c>
      <c r="BN35" s="468"/>
      <c r="BO35" s="468"/>
    </row>
    <row r="36" spans="2:67" s="229" customFormat="1" ht="15">
      <c r="B36" s="227" t="s">
        <v>152</v>
      </c>
      <c r="C36" s="227"/>
      <c r="D36" s="227"/>
      <c r="E36" s="227"/>
      <c r="F36" s="228">
        <v>1985</v>
      </c>
      <c r="G36" s="228">
        <v>2747</v>
      </c>
      <c r="H36" s="228">
        <v>3841</v>
      </c>
      <c r="I36" s="228">
        <v>1451</v>
      </c>
      <c r="J36" s="228">
        <v>599</v>
      </c>
      <c r="K36" s="228">
        <v>595</v>
      </c>
      <c r="L36" s="228">
        <v>1374.7</v>
      </c>
      <c r="M36" s="228">
        <v>1246</v>
      </c>
      <c r="N36" s="228">
        <v>1401</v>
      </c>
      <c r="O36" s="228">
        <v>1720</v>
      </c>
      <c r="P36" s="228">
        <v>1265</v>
      </c>
      <c r="Q36" s="228">
        <v>815</v>
      </c>
      <c r="R36" s="228">
        <v>1102</v>
      </c>
      <c r="S36" s="228">
        <v>1309</v>
      </c>
      <c r="T36" s="228">
        <v>1215</v>
      </c>
      <c r="U36" s="228">
        <v>1025</v>
      </c>
      <c r="V36" s="228">
        <v>1008</v>
      </c>
      <c r="W36" s="228">
        <v>1244</v>
      </c>
      <c r="X36" s="228">
        <v>1033</v>
      </c>
      <c r="Y36" s="228">
        <v>891</v>
      </c>
      <c r="Z36" s="228">
        <v>805</v>
      </c>
      <c r="AA36" s="228">
        <v>1196</v>
      </c>
      <c r="AB36" s="228">
        <v>1413</v>
      </c>
      <c r="AC36" s="228">
        <v>1370</v>
      </c>
      <c r="AD36" s="228">
        <v>1221</v>
      </c>
      <c r="AE36" s="228">
        <v>1198</v>
      </c>
      <c r="AF36" s="228">
        <v>1241</v>
      </c>
      <c r="AG36" s="233">
        <v>1247</v>
      </c>
      <c r="AH36" s="233">
        <v>1106</v>
      </c>
      <c r="AI36" s="233">
        <v>1192</v>
      </c>
      <c r="AJ36" s="233">
        <v>1291</v>
      </c>
      <c r="AK36" s="233">
        <v>911</v>
      </c>
      <c r="AL36" s="233">
        <v>930</v>
      </c>
      <c r="AM36" s="233">
        <v>1201</v>
      </c>
      <c r="AN36" s="233">
        <v>1200</v>
      </c>
      <c r="AO36" s="233">
        <v>716</v>
      </c>
      <c r="AP36" s="233">
        <v>853</v>
      </c>
      <c r="AQ36" s="233">
        <v>1121</v>
      </c>
      <c r="AR36" s="233">
        <v>1164</v>
      </c>
      <c r="AS36" s="233">
        <v>1178</v>
      </c>
      <c r="AT36" s="233">
        <v>1484</v>
      </c>
      <c r="AU36" s="233">
        <v>1756</v>
      </c>
      <c r="AV36" s="233">
        <v>2013</v>
      </c>
      <c r="AW36" s="233">
        <v>1404</v>
      </c>
      <c r="AX36" s="233">
        <v>1558</v>
      </c>
      <c r="AY36" s="233">
        <v>1574</v>
      </c>
      <c r="AZ36" s="233">
        <v>1465</v>
      </c>
      <c r="BA36" s="233">
        <v>1136</v>
      </c>
      <c r="BB36" s="233">
        <v>1177</v>
      </c>
      <c r="BC36" s="233">
        <v>1318</v>
      </c>
      <c r="BD36" s="233">
        <v>2139</v>
      </c>
      <c r="BE36" s="233">
        <v>3055.7526858746801</v>
      </c>
      <c r="BF36" s="233">
        <v>4318.3484635083123</v>
      </c>
      <c r="BG36" s="233">
        <v>5897</v>
      </c>
      <c r="BH36" s="233">
        <f>[14]Consolidado!$G$40</f>
        <v>7023.1066279122997</v>
      </c>
      <c r="BI36" s="233">
        <f>[15]Consolidado!$G$42</f>
        <v>5983.1409012827653</v>
      </c>
      <c r="BJ36" s="233">
        <f>[16]Consolidado!$G$42</f>
        <v>5827.3990098130371</v>
      </c>
      <c r="BK36" s="233">
        <f>[7]Consolidado!$G$42</f>
        <v>6680.1932579869954</v>
      </c>
      <c r="BL36" s="233">
        <f>[8]Consolidado!$G$42</f>
        <v>5369.1615909225702</v>
      </c>
      <c r="BN36" s="469"/>
      <c r="BO36" s="469"/>
    </row>
    <row r="37" spans="2:67" s="237" customFormat="1" ht="15">
      <c r="B37" s="234" t="s">
        <v>171</v>
      </c>
      <c r="C37" s="235"/>
      <c r="D37" s="235"/>
      <c r="E37" s="235"/>
      <c r="F37" s="236">
        <v>0.22193649373881932</v>
      </c>
      <c r="G37" s="236">
        <v>0.24747747747747748</v>
      </c>
      <c r="H37" s="236">
        <v>0.30874316939890711</v>
      </c>
      <c r="I37" s="236">
        <v>0.15414012738853503</v>
      </c>
      <c r="J37" s="236">
        <v>8.5964408725602751E-2</v>
      </c>
      <c r="K37" s="236">
        <v>9.2939706341768194E-2</v>
      </c>
      <c r="L37" s="236">
        <v>0.20192420681551118</v>
      </c>
      <c r="M37" s="236">
        <v>0.2</v>
      </c>
      <c r="N37" s="236">
        <v>0.2</v>
      </c>
      <c r="O37" s="236">
        <v>0.21</v>
      </c>
      <c r="P37" s="236">
        <v>0.15</v>
      </c>
      <c r="Q37" s="236">
        <v>0.1</v>
      </c>
      <c r="R37" s="236">
        <v>0.13</v>
      </c>
      <c r="S37" s="236">
        <v>0.15</v>
      </c>
      <c r="T37" s="236">
        <v>0.13500000000000001</v>
      </c>
      <c r="U37" s="236">
        <v>0.113</v>
      </c>
      <c r="V37" s="236">
        <v>0.11</v>
      </c>
      <c r="W37" s="236">
        <v>0.12</v>
      </c>
      <c r="X37" s="236">
        <v>0.11</v>
      </c>
      <c r="Y37" s="236">
        <v>0.1</v>
      </c>
      <c r="Z37" s="236">
        <f>Z36/Z7</f>
        <v>8.7824569059567967E-2</v>
      </c>
      <c r="AA37" s="236">
        <f>AA36/AA7</f>
        <v>0.12102813195709371</v>
      </c>
      <c r="AB37" s="236">
        <v>0.13</v>
      </c>
      <c r="AC37" s="236">
        <v>0.13</v>
      </c>
      <c r="AD37" s="236">
        <v>0.12</v>
      </c>
      <c r="AE37" s="236">
        <v>0.11</v>
      </c>
      <c r="AF37" s="236">
        <v>0.12</v>
      </c>
      <c r="AG37" s="236">
        <v>0.12</v>
      </c>
      <c r="AH37" s="236">
        <v>0.11</v>
      </c>
      <c r="AI37" s="236">
        <v>0.11</v>
      </c>
      <c r="AJ37" s="236">
        <v>0.11</v>
      </c>
      <c r="AK37" s="236">
        <v>0.09</v>
      </c>
      <c r="AL37" s="236">
        <v>9.1999999999999998E-2</v>
      </c>
      <c r="AM37" s="236">
        <v>0.11700000000000001</v>
      </c>
      <c r="AN37" s="236">
        <v>0.13800000000000001</v>
      </c>
      <c r="AO37" s="236">
        <v>0.08</v>
      </c>
      <c r="AP37" s="236">
        <v>0.1</v>
      </c>
      <c r="AQ37" s="236">
        <v>0.12</v>
      </c>
      <c r="AR37" s="236">
        <v>0.12</v>
      </c>
      <c r="AS37" s="236">
        <v>0.12</v>
      </c>
      <c r="AT37" s="236">
        <v>0.14299999999999999</v>
      </c>
      <c r="AU37" s="387">
        <v>0.14590776900706273</v>
      </c>
      <c r="AV37" s="387">
        <v>0.1568245559364288</v>
      </c>
      <c r="AW37" s="387">
        <v>0.12880733944954101</v>
      </c>
      <c r="AX37" s="387">
        <v>0.154797526431279</v>
      </c>
      <c r="AY37" s="387">
        <v>0.15481583612369501</v>
      </c>
      <c r="AZ37" s="387">
        <v>0.14699999999999999</v>
      </c>
      <c r="BA37" s="387">
        <v>0.11899999999999999</v>
      </c>
      <c r="BB37" s="387">
        <v>0.128</v>
      </c>
      <c r="BC37" s="387">
        <v>0.15</v>
      </c>
      <c r="BD37" s="387">
        <v>0.17499999999999999</v>
      </c>
      <c r="BE37" s="387">
        <v>0.22435453234566208</v>
      </c>
      <c r="BF37" s="387">
        <v>0.26423255258597234</v>
      </c>
      <c r="BG37" s="387">
        <v>0.31</v>
      </c>
      <c r="BH37" s="387">
        <f>[14]Consolidado!$G$42</f>
        <v>0.32946003445750133</v>
      </c>
      <c r="BI37" s="236">
        <f>[15]Consolidado!$G$44</f>
        <v>0.2775765294992808</v>
      </c>
      <c r="BJ37" s="236">
        <f>[16]Consolidado!$G$44</f>
        <v>0.28663346377135757</v>
      </c>
      <c r="BK37" s="236">
        <f>[7]Consolidado!$G$44</f>
        <v>0.29084224433963596</v>
      </c>
      <c r="BL37" s="236">
        <f>[8]Consolidado!$G$44</f>
        <v>0.25387028191236732</v>
      </c>
      <c r="BN37" s="470"/>
      <c r="BO37" s="470"/>
    </row>
    <row r="38" spans="2:67" ht="15">
      <c r="B38" s="226"/>
      <c r="C38" s="226"/>
      <c r="D38" s="226"/>
      <c r="E38" s="226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>
        <v>10</v>
      </c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</row>
    <row r="39" spans="2:67" ht="18" customHeight="1" thickBot="1">
      <c r="B39" s="220" t="s">
        <v>64</v>
      </c>
      <c r="C39" s="220"/>
      <c r="D39" s="220"/>
      <c r="E39" s="220"/>
      <c r="F39" s="221" t="s">
        <v>0</v>
      </c>
      <c r="G39" s="221" t="s">
        <v>3</v>
      </c>
      <c r="H39" s="221" t="s">
        <v>4</v>
      </c>
      <c r="I39" s="221" t="s">
        <v>5</v>
      </c>
      <c r="J39" s="221" t="s">
        <v>6</v>
      </c>
      <c r="K39" s="221" t="s">
        <v>11</v>
      </c>
      <c r="L39" s="221" t="s">
        <v>80</v>
      </c>
      <c r="M39" s="221" t="s">
        <v>91</v>
      </c>
      <c r="N39" s="221" t="s">
        <v>92</v>
      </c>
      <c r="O39" s="221" t="s">
        <v>93</v>
      </c>
      <c r="P39" s="221" t="s">
        <v>95</v>
      </c>
      <c r="Q39" s="221" t="s">
        <v>100</v>
      </c>
      <c r="R39" s="221" t="s">
        <v>101</v>
      </c>
      <c r="S39" s="221" t="s">
        <v>102</v>
      </c>
      <c r="T39" s="221" t="s">
        <v>103</v>
      </c>
      <c r="U39" s="221" t="s">
        <v>104</v>
      </c>
      <c r="V39" s="221" t="s">
        <v>105</v>
      </c>
      <c r="W39" s="221" t="s">
        <v>107</v>
      </c>
      <c r="X39" s="221" t="s">
        <v>114</v>
      </c>
      <c r="Y39" s="221" t="str">
        <f>Y5</f>
        <v>4T12</v>
      </c>
      <c r="Z39" s="221" t="s">
        <v>118</v>
      </c>
      <c r="AA39" s="221" t="s">
        <v>119</v>
      </c>
      <c r="AB39" s="221" t="s">
        <v>122</v>
      </c>
      <c r="AC39" s="221" t="s">
        <v>123</v>
      </c>
      <c r="AD39" s="221" t="s">
        <v>128</v>
      </c>
      <c r="AE39" s="221" t="s">
        <v>136</v>
      </c>
      <c r="AF39" s="221" t="s">
        <v>137</v>
      </c>
      <c r="AG39" s="221" t="s">
        <v>138</v>
      </c>
      <c r="AH39" s="221" t="s">
        <v>142</v>
      </c>
      <c r="AI39" s="221" t="s">
        <v>143</v>
      </c>
      <c r="AJ39" s="221" t="s">
        <v>147</v>
      </c>
      <c r="AK39" s="221" t="s">
        <v>153</v>
      </c>
      <c r="AL39" s="221" t="s">
        <v>155</v>
      </c>
      <c r="AM39" s="221" t="s">
        <v>156</v>
      </c>
      <c r="AN39" s="221" t="s">
        <v>168</v>
      </c>
      <c r="AO39" s="221" t="str">
        <f>AO5</f>
        <v>4T16</v>
      </c>
      <c r="AP39" s="221" t="str">
        <f>AP5</f>
        <v>1T17</v>
      </c>
      <c r="AQ39" s="221" t="str">
        <f>AQ5</f>
        <v>2T17</v>
      </c>
      <c r="AR39" s="221" t="str">
        <f>AR5</f>
        <v>3T17</v>
      </c>
      <c r="AS39" s="221" t="s">
        <v>179</v>
      </c>
      <c r="AT39" s="221" t="s">
        <v>181</v>
      </c>
      <c r="AU39" s="221" t="s">
        <v>182</v>
      </c>
      <c r="AV39" s="221" t="s">
        <v>183</v>
      </c>
      <c r="AW39" s="221" t="s">
        <v>198</v>
      </c>
      <c r="AX39" s="221" t="s">
        <v>210</v>
      </c>
      <c r="AY39" s="221" t="s">
        <v>228</v>
      </c>
      <c r="AZ39" s="221" t="s">
        <v>231</v>
      </c>
      <c r="BA39" s="221" t="s">
        <v>234</v>
      </c>
      <c r="BB39" s="221" t="s">
        <v>240</v>
      </c>
      <c r="BC39" s="221" t="s">
        <v>242</v>
      </c>
      <c r="BD39" s="221" t="s">
        <v>323</v>
      </c>
      <c r="BE39" s="221" t="s">
        <v>326</v>
      </c>
      <c r="BF39" s="221" t="s">
        <v>332</v>
      </c>
      <c r="BG39" s="221" t="s">
        <v>334</v>
      </c>
      <c r="BH39" s="221" t="s">
        <v>335</v>
      </c>
      <c r="BI39" s="221" t="s">
        <v>336</v>
      </c>
      <c r="BJ39" s="221" t="s">
        <v>342</v>
      </c>
      <c r="BK39" s="221" t="s">
        <v>345</v>
      </c>
      <c r="BL39" s="221" t="s">
        <v>350</v>
      </c>
    </row>
    <row r="40" spans="2:67" ht="7.5" customHeight="1" thickTop="1">
      <c r="B40" s="224"/>
      <c r="C40" s="224"/>
      <c r="D40" s="224"/>
      <c r="E40" s="224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</row>
    <row r="41" spans="2:67" ht="15">
      <c r="B41" s="247"/>
      <c r="C41" s="225"/>
      <c r="D41" s="225"/>
      <c r="E41" s="225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</row>
    <row r="42" spans="2:67" ht="15">
      <c r="B42" s="250" t="s">
        <v>176</v>
      </c>
      <c r="C42" s="231"/>
      <c r="D42" s="231"/>
      <c r="E42" s="231"/>
      <c r="F42" s="251">
        <v>15158</v>
      </c>
      <c r="G42" s="251">
        <v>18283</v>
      </c>
      <c r="H42" s="251">
        <v>21990</v>
      </c>
      <c r="I42" s="251">
        <v>20776</v>
      </c>
      <c r="J42" s="252">
        <v>18603</v>
      </c>
      <c r="K42" s="252">
        <v>16429</v>
      </c>
      <c r="L42" s="252">
        <v>14952</v>
      </c>
      <c r="M42" s="252">
        <v>14165</v>
      </c>
      <c r="N42" s="252">
        <v>14999</v>
      </c>
      <c r="O42" s="252">
        <v>16020</v>
      </c>
      <c r="P42" s="252">
        <v>13384</v>
      </c>
      <c r="Q42" s="252">
        <v>12946</v>
      </c>
      <c r="R42" s="252">
        <v>13403</v>
      </c>
      <c r="S42" s="252">
        <v>15813</v>
      </c>
      <c r="T42" s="252">
        <v>17263</v>
      </c>
      <c r="U42" s="252">
        <v>17319</v>
      </c>
      <c r="V42" s="252">
        <v>16871</v>
      </c>
      <c r="W42" s="252">
        <v>18171</v>
      </c>
      <c r="X42" s="252">
        <v>17546</v>
      </c>
      <c r="Y42" s="252">
        <v>16410</v>
      </c>
      <c r="Z42" s="252">
        <f>SUM(Z43:Z46)</f>
        <v>15909</v>
      </c>
      <c r="AA42" s="252">
        <v>16807</v>
      </c>
      <c r="AB42" s="252">
        <v>17399</v>
      </c>
      <c r="AC42" s="252">
        <v>18177</v>
      </c>
      <c r="AD42" s="252">
        <v>18202</v>
      </c>
      <c r="AE42" s="252">
        <v>18835</v>
      </c>
      <c r="AF42" s="252">
        <v>20283</v>
      </c>
      <c r="AG42" s="252">
        <v>20683</v>
      </c>
      <c r="AH42" s="252">
        <v>22907</v>
      </c>
      <c r="AI42" s="252">
        <v>21897</v>
      </c>
      <c r="AJ42" s="252">
        <v>24084</v>
      </c>
      <c r="AK42" s="252">
        <v>22178</v>
      </c>
      <c r="AL42" s="252">
        <v>19869</v>
      </c>
      <c r="AM42" s="253">
        <v>17297</v>
      </c>
      <c r="AN42" s="253">
        <v>17839</v>
      </c>
      <c r="AO42" s="253">
        <v>17797</v>
      </c>
      <c r="AP42" s="253">
        <v>17761</v>
      </c>
      <c r="AQ42" s="253">
        <v>17896</v>
      </c>
      <c r="AR42" s="253">
        <v>17476</v>
      </c>
      <c r="AS42" s="253">
        <v>17982.113000000001</v>
      </c>
      <c r="AT42" s="253">
        <v>19557</v>
      </c>
      <c r="AU42" s="253">
        <v>20653.8</v>
      </c>
      <c r="AV42" s="253">
        <v>22170</v>
      </c>
      <c r="AW42" s="253">
        <v>17503</v>
      </c>
      <c r="AX42" s="253">
        <f>SUM(AX43:AX46)</f>
        <v>17570.083999999999</v>
      </c>
      <c r="AY42" s="253">
        <f>SUM(AY43:AY46)</f>
        <v>16896</v>
      </c>
      <c r="AZ42" s="253">
        <f>SUM(AZ43:AZ46)</f>
        <v>17504</v>
      </c>
      <c r="BA42" s="253">
        <f>SUM(BA43:BA46)</f>
        <v>18235.713</v>
      </c>
      <c r="BB42" s="253">
        <v>20606</v>
      </c>
      <c r="BC42" s="253">
        <f t="shared" ref="BC42:BG42" si="6">SUM(BC43:BC46)</f>
        <v>21763.184999999998</v>
      </c>
      <c r="BD42" s="253">
        <f t="shared" si="6"/>
        <v>22132.453000000001</v>
      </c>
      <c r="BE42" s="253">
        <f t="shared" si="6"/>
        <v>23409.453000000001</v>
      </c>
      <c r="BF42" s="253">
        <f t="shared" si="6"/>
        <v>26217.720999999998</v>
      </c>
      <c r="BG42" s="253">
        <f t="shared" si="6"/>
        <v>28314.438999999998</v>
      </c>
      <c r="BH42" s="253">
        <f t="shared" ref="BH42" si="7">SUM(BH43:BH46)</f>
        <v>35456.998</v>
      </c>
      <c r="BI42" s="253">
        <f>SUM(BI43:BI46)</f>
        <v>32640.476999999999</v>
      </c>
      <c r="BJ42" s="253">
        <f>SUM(BJ43:BJ46)</f>
        <v>33919.22</v>
      </c>
      <c r="BK42" s="253">
        <f>SUM(BK43:BK46)</f>
        <v>36735.425000000003</v>
      </c>
      <c r="BL42" s="253">
        <f>SUM(BL43:BL46)</f>
        <v>37557.578000000001</v>
      </c>
    </row>
    <row r="43" spans="2:67" ht="15">
      <c r="B43" s="222" t="s">
        <v>35</v>
      </c>
      <c r="C43" s="222"/>
      <c r="D43" s="222"/>
      <c r="E43" s="222"/>
      <c r="F43" s="238">
        <v>4084</v>
      </c>
      <c r="G43" s="238">
        <v>5557</v>
      </c>
      <c r="H43" s="238">
        <v>5549</v>
      </c>
      <c r="I43" s="238">
        <v>5413</v>
      </c>
      <c r="J43" s="238">
        <v>5753</v>
      </c>
      <c r="K43" s="238">
        <v>6200</v>
      </c>
      <c r="L43" s="238">
        <v>5348</v>
      </c>
      <c r="M43" s="238">
        <v>4770</v>
      </c>
      <c r="N43" s="238">
        <v>4458</v>
      </c>
      <c r="O43" s="238">
        <v>4271</v>
      </c>
      <c r="P43" s="238">
        <v>1637</v>
      </c>
      <c r="Q43" s="238">
        <v>2176</v>
      </c>
      <c r="R43" s="238">
        <v>2420</v>
      </c>
      <c r="S43" s="238">
        <v>4095</v>
      </c>
      <c r="T43" s="238">
        <v>4366</v>
      </c>
      <c r="U43" s="238">
        <v>4578</v>
      </c>
      <c r="V43" s="238">
        <v>3435</v>
      </c>
      <c r="W43" s="238">
        <v>3165</v>
      </c>
      <c r="X43" s="238">
        <v>2999</v>
      </c>
      <c r="Y43" s="238">
        <v>2497</v>
      </c>
      <c r="Z43" s="238">
        <v>1832</v>
      </c>
      <c r="AA43" s="238">
        <v>2972</v>
      </c>
      <c r="AB43" s="238">
        <v>3512</v>
      </c>
      <c r="AC43" s="238">
        <v>4222</v>
      </c>
      <c r="AD43" s="238">
        <v>3520</v>
      </c>
      <c r="AE43" s="238">
        <v>3963</v>
      </c>
      <c r="AF43" s="238">
        <v>4671</v>
      </c>
      <c r="AG43" s="238">
        <v>5849</v>
      </c>
      <c r="AH43" s="238">
        <v>5847</v>
      </c>
      <c r="AI43" s="238">
        <v>5690</v>
      </c>
      <c r="AJ43" s="238">
        <v>6739</v>
      </c>
      <c r="AK43" s="238">
        <v>6919</v>
      </c>
      <c r="AL43" s="238">
        <v>5525</v>
      </c>
      <c r="AM43" s="254">
        <v>4877</v>
      </c>
      <c r="AN43" s="254">
        <v>5261</v>
      </c>
      <c r="AO43" s="254">
        <v>6088</v>
      </c>
      <c r="AP43" s="254">
        <v>5454</v>
      </c>
      <c r="AQ43" s="254">
        <v>5430</v>
      </c>
      <c r="AR43" s="254">
        <v>5066</v>
      </c>
      <c r="AS43" s="254">
        <v>3376.8560000000002</v>
      </c>
      <c r="AT43" s="254">
        <f>2375.44+870.69</f>
        <v>3246.13</v>
      </c>
      <c r="AU43" s="254">
        <f>2941</f>
        <v>2941</v>
      </c>
      <c r="AV43" s="254">
        <v>3475</v>
      </c>
      <c r="AW43" s="254">
        <v>3350</v>
      </c>
      <c r="AX43" s="254">
        <v>2532</v>
      </c>
      <c r="AY43" s="254">
        <v>2142</v>
      </c>
      <c r="AZ43" s="254">
        <v>3432</v>
      </c>
      <c r="BA43" s="254">
        <f>6294.601</f>
        <v>6294.6009999999997</v>
      </c>
      <c r="BB43" s="254">
        <v>5979</v>
      </c>
      <c r="BC43" s="254">
        <v>6548.4949999999999</v>
      </c>
      <c r="BD43" s="254">
        <v>7199.5050000000001</v>
      </c>
      <c r="BE43" s="254">
        <f>7658.347</f>
        <v>7658.3469999999998</v>
      </c>
      <c r="BF43" s="254">
        <v>7002.5020000000004</v>
      </c>
      <c r="BG43" s="254">
        <v>5637.8140000000003</v>
      </c>
      <c r="BH43" s="254">
        <f>('[21]BP RI'!$C$7+'[21]BP RI'!$C$8)/1000</f>
        <v>8430.5840000000007</v>
      </c>
      <c r="BI43" s="254">
        <f>([22]BP!$I$7+[22]BP!$I$8)/1000</f>
        <v>6786.866</v>
      </c>
      <c r="BJ43" s="254">
        <v>7590.7969999999996</v>
      </c>
      <c r="BK43" s="254" cm="1">
        <f t="array" ref="BK43">SUM([23]BP!$I$7:$I$8/1000)</f>
        <v>7754.7349999999997</v>
      </c>
      <c r="BL43" s="254" cm="1">
        <f t="array" ref="BL43">SUM('[24]BP RI'!$C$7:$C$8/1000)</f>
        <v>8590.1309999999994</v>
      </c>
      <c r="BM43" s="467"/>
    </row>
    <row r="44" spans="2:67" ht="12" customHeight="1">
      <c r="B44" s="230" t="s">
        <v>36</v>
      </c>
      <c r="C44" s="231"/>
      <c r="D44" s="231"/>
      <c r="E44" s="231"/>
      <c r="F44" s="232">
        <v>3678</v>
      </c>
      <c r="G44" s="232">
        <v>4525</v>
      </c>
      <c r="H44" s="232">
        <v>5279</v>
      </c>
      <c r="I44" s="232">
        <v>3684</v>
      </c>
      <c r="J44" s="232">
        <v>3434</v>
      </c>
      <c r="K44" s="232">
        <v>2969</v>
      </c>
      <c r="L44" s="232">
        <v>2979</v>
      </c>
      <c r="M44" s="232">
        <v>2586</v>
      </c>
      <c r="N44" s="232">
        <v>3339</v>
      </c>
      <c r="O44" s="232">
        <v>3569</v>
      </c>
      <c r="P44" s="232">
        <v>3536</v>
      </c>
      <c r="Q44" s="232">
        <v>3153</v>
      </c>
      <c r="R44" s="232">
        <v>3557</v>
      </c>
      <c r="S44" s="232">
        <v>3892</v>
      </c>
      <c r="T44" s="232">
        <v>4108</v>
      </c>
      <c r="U44" s="232">
        <v>3603</v>
      </c>
      <c r="V44" s="232">
        <v>4003</v>
      </c>
      <c r="W44" s="232">
        <v>4510</v>
      </c>
      <c r="X44" s="232">
        <v>4276</v>
      </c>
      <c r="Y44" s="232">
        <v>3695</v>
      </c>
      <c r="Z44" s="232">
        <v>4450</v>
      </c>
      <c r="AA44" s="232">
        <v>4126</v>
      </c>
      <c r="AB44" s="232">
        <v>4441</v>
      </c>
      <c r="AC44" s="232">
        <v>4079</v>
      </c>
      <c r="AD44" s="232">
        <v>4492</v>
      </c>
      <c r="AE44" s="232">
        <v>4292</v>
      </c>
      <c r="AF44" s="232">
        <v>4364</v>
      </c>
      <c r="AG44" s="232">
        <v>4439</v>
      </c>
      <c r="AH44" s="232">
        <v>5272</v>
      </c>
      <c r="AI44" s="232">
        <v>5000</v>
      </c>
      <c r="AJ44" s="232">
        <v>5478</v>
      </c>
      <c r="AK44" s="232">
        <v>4587</v>
      </c>
      <c r="AL44" s="232">
        <v>4528</v>
      </c>
      <c r="AM44" s="255">
        <v>4043</v>
      </c>
      <c r="AN44" s="255">
        <v>4091</v>
      </c>
      <c r="AO44" s="255">
        <v>3576</v>
      </c>
      <c r="AP44" s="255">
        <v>3862</v>
      </c>
      <c r="AQ44" s="255">
        <v>3921</v>
      </c>
      <c r="AR44" s="255">
        <v>4234</v>
      </c>
      <c r="AS44" s="255">
        <v>2798.42</v>
      </c>
      <c r="AT44" s="255">
        <v>3596.58</v>
      </c>
      <c r="AU44" s="255">
        <v>4100</v>
      </c>
      <c r="AV44" s="255">
        <v>4194</v>
      </c>
      <c r="AW44" s="255">
        <v>3202</v>
      </c>
      <c r="AX44" s="255">
        <v>3976.7550000000001</v>
      </c>
      <c r="AY44" s="255">
        <v>3732</v>
      </c>
      <c r="AZ44" s="255">
        <v>3483</v>
      </c>
      <c r="BA44" s="255">
        <v>2672.37</v>
      </c>
      <c r="BB44" s="255">
        <v>3360</v>
      </c>
      <c r="BC44" s="255">
        <v>3612.0360000000001</v>
      </c>
      <c r="BD44" s="255">
        <v>4161.9709999999995</v>
      </c>
      <c r="BE44" s="255">
        <v>3737.27</v>
      </c>
      <c r="BF44" s="255">
        <v>5137.4049999999997</v>
      </c>
      <c r="BG44" s="255">
        <v>5785.4430000000002</v>
      </c>
      <c r="BH44" s="255">
        <f>'[21]BP RI'!$C$9/1000</f>
        <v>6416.1549999999997</v>
      </c>
      <c r="BI44" s="255">
        <f>[22]BP!$I$10/1000</f>
        <v>5414.0749999999998</v>
      </c>
      <c r="BJ44" s="255">
        <v>6756.0219999999999</v>
      </c>
      <c r="BK44" s="255">
        <f>[23]BP!$I$9/1000</f>
        <v>7261.1980000000003</v>
      </c>
      <c r="BL44" s="255">
        <f>'[24]BP RI'!$C$9/1000</f>
        <v>6664.6130000000003</v>
      </c>
    </row>
    <row r="45" spans="2:67" ht="15">
      <c r="B45" s="222" t="s">
        <v>37</v>
      </c>
      <c r="C45" s="222"/>
      <c r="D45" s="222"/>
      <c r="E45" s="222"/>
      <c r="F45" s="238">
        <v>6484</v>
      </c>
      <c r="G45" s="238">
        <v>7490</v>
      </c>
      <c r="H45" s="238">
        <v>10182</v>
      </c>
      <c r="I45" s="238">
        <v>10398</v>
      </c>
      <c r="J45" s="238">
        <v>8228</v>
      </c>
      <c r="K45" s="238">
        <v>6213</v>
      </c>
      <c r="L45" s="238">
        <v>5699</v>
      </c>
      <c r="M45" s="238">
        <v>5752</v>
      </c>
      <c r="N45" s="238">
        <v>6220</v>
      </c>
      <c r="O45" s="238">
        <v>7181</v>
      </c>
      <c r="P45" s="238">
        <v>7205</v>
      </c>
      <c r="Q45" s="238">
        <v>6798</v>
      </c>
      <c r="R45" s="238">
        <v>6614</v>
      </c>
      <c r="S45" s="238">
        <v>7081</v>
      </c>
      <c r="T45" s="238">
        <v>7853</v>
      </c>
      <c r="U45" s="238">
        <v>8059</v>
      </c>
      <c r="V45" s="238">
        <v>8372</v>
      </c>
      <c r="W45" s="238">
        <v>9366</v>
      </c>
      <c r="X45" s="238">
        <v>9125</v>
      </c>
      <c r="Y45" s="238">
        <v>9022</v>
      </c>
      <c r="Z45" s="238">
        <v>8537</v>
      </c>
      <c r="AA45" s="238">
        <v>8551</v>
      </c>
      <c r="AB45" s="238">
        <v>8197</v>
      </c>
      <c r="AC45" s="238">
        <v>8500</v>
      </c>
      <c r="AD45" s="238">
        <v>8689</v>
      </c>
      <c r="AE45" s="238">
        <v>9006</v>
      </c>
      <c r="AF45" s="238">
        <v>9312</v>
      </c>
      <c r="AG45" s="238">
        <v>8867</v>
      </c>
      <c r="AH45" s="238">
        <v>10190</v>
      </c>
      <c r="AI45" s="238">
        <v>9532</v>
      </c>
      <c r="AJ45" s="238">
        <v>10040</v>
      </c>
      <c r="AK45" s="238">
        <v>8781</v>
      </c>
      <c r="AL45" s="238">
        <v>8118</v>
      </c>
      <c r="AM45" s="254">
        <v>6764</v>
      </c>
      <c r="AN45" s="254">
        <v>6911</v>
      </c>
      <c r="AO45" s="254">
        <v>6333</v>
      </c>
      <c r="AP45" s="254">
        <v>6836</v>
      </c>
      <c r="AQ45" s="254">
        <v>6995</v>
      </c>
      <c r="AR45" s="254">
        <v>6812</v>
      </c>
      <c r="AS45" s="254">
        <v>6701.4040000000005</v>
      </c>
      <c r="AT45" s="254">
        <v>6980.4840000000004</v>
      </c>
      <c r="AU45" s="254">
        <v>8479</v>
      </c>
      <c r="AV45" s="254">
        <v>9124</v>
      </c>
      <c r="AW45" s="254">
        <v>9168</v>
      </c>
      <c r="AX45" s="254">
        <v>9377.3289999999997</v>
      </c>
      <c r="AY45" s="254">
        <v>9532</v>
      </c>
      <c r="AZ45" s="254">
        <v>9006</v>
      </c>
      <c r="BA45" s="254">
        <v>7659.7370000000001</v>
      </c>
      <c r="BB45" s="254">
        <v>9513</v>
      </c>
      <c r="BC45" s="254">
        <v>9515.4809999999998</v>
      </c>
      <c r="BD45" s="254">
        <v>8886.5660000000007</v>
      </c>
      <c r="BE45" s="254">
        <v>9169.4169999999995</v>
      </c>
      <c r="BF45" s="254">
        <v>11956.742</v>
      </c>
      <c r="BG45" s="254">
        <v>13801.156000000001</v>
      </c>
      <c r="BH45" s="254">
        <v>15654</v>
      </c>
      <c r="BI45" s="254">
        <f>[22]BP!$I$11/1000</f>
        <v>16861.488000000001</v>
      </c>
      <c r="BJ45" s="254">
        <v>16317.038</v>
      </c>
      <c r="BK45" s="254">
        <f>[23]BP!$I$10/1000</f>
        <v>18464.285</v>
      </c>
      <c r="BL45" s="254">
        <f>'[24]BP RI'!$C$10/1000</f>
        <v>18811.541000000001</v>
      </c>
    </row>
    <row r="46" spans="2:67" ht="15">
      <c r="B46" s="230" t="s">
        <v>34</v>
      </c>
      <c r="C46" s="231"/>
      <c r="D46" s="231"/>
      <c r="E46" s="231"/>
      <c r="F46" s="232">
        <v>912</v>
      </c>
      <c r="G46" s="232">
        <v>711</v>
      </c>
      <c r="H46" s="232">
        <v>980</v>
      </c>
      <c r="I46" s="232">
        <v>1281</v>
      </c>
      <c r="J46" s="232">
        <v>1188</v>
      </c>
      <c r="K46" s="232">
        <v>1047</v>
      </c>
      <c r="L46" s="232">
        <v>926</v>
      </c>
      <c r="M46" s="232">
        <v>1057</v>
      </c>
      <c r="N46" s="232">
        <v>982</v>
      </c>
      <c r="O46" s="232">
        <v>999</v>
      </c>
      <c r="P46" s="232">
        <v>1006</v>
      </c>
      <c r="Q46" s="232">
        <v>819</v>
      </c>
      <c r="R46" s="232">
        <v>812</v>
      </c>
      <c r="S46" s="232">
        <v>745</v>
      </c>
      <c r="T46" s="232">
        <v>936</v>
      </c>
      <c r="U46" s="232">
        <v>1079</v>
      </c>
      <c r="V46" s="232">
        <v>1061</v>
      </c>
      <c r="W46" s="232">
        <v>1130</v>
      </c>
      <c r="X46" s="232">
        <v>1146</v>
      </c>
      <c r="Y46" s="232">
        <v>1196</v>
      </c>
      <c r="Z46" s="232">
        <v>1090</v>
      </c>
      <c r="AA46" s="232">
        <v>1158</v>
      </c>
      <c r="AB46" s="232">
        <v>1249</v>
      </c>
      <c r="AC46" s="232">
        <v>1376</v>
      </c>
      <c r="AD46" s="232">
        <v>1501</v>
      </c>
      <c r="AE46" s="232">
        <v>1574</v>
      </c>
      <c r="AF46" s="232">
        <v>1936</v>
      </c>
      <c r="AG46" s="232">
        <v>1528</v>
      </c>
      <c r="AH46" s="232">
        <v>1598</v>
      </c>
      <c r="AI46" s="232">
        <v>1675</v>
      </c>
      <c r="AJ46" s="232">
        <v>1827</v>
      </c>
      <c r="AK46" s="232">
        <v>1891</v>
      </c>
      <c r="AL46" s="232">
        <v>1698</v>
      </c>
      <c r="AM46" s="255">
        <v>1613</v>
      </c>
      <c r="AN46" s="255">
        <f>AN42-(AN43+AN44+AN45)</f>
        <v>1576</v>
      </c>
      <c r="AO46" s="255">
        <v>1780</v>
      </c>
      <c r="AP46" s="255">
        <f>AP42-(AP43+AP44+AP45)</f>
        <v>1609</v>
      </c>
      <c r="AQ46" s="255">
        <v>1550</v>
      </c>
      <c r="AR46" s="255">
        <v>1364</v>
      </c>
      <c r="AS46" s="255">
        <v>5105.433</v>
      </c>
      <c r="AT46" s="255">
        <f>AT42-AT43-AT44-AT45</f>
        <v>5733.8059999999987</v>
      </c>
      <c r="AU46" s="255">
        <f>AU42-AU43-AU44-AU45</f>
        <v>5133.7999999999993</v>
      </c>
      <c r="AV46" s="255">
        <v>5377</v>
      </c>
      <c r="AW46" s="255">
        <v>1783</v>
      </c>
      <c r="AX46" s="255">
        <v>1684</v>
      </c>
      <c r="AY46" s="255">
        <v>1490</v>
      </c>
      <c r="AZ46" s="255">
        <v>1583</v>
      </c>
      <c r="BA46" s="255">
        <f>1609.005</f>
        <v>1609.0050000000001</v>
      </c>
      <c r="BB46" s="255">
        <v>1754</v>
      </c>
      <c r="BC46" s="255">
        <v>2087.1729999999998</v>
      </c>
      <c r="BD46" s="255">
        <v>1884.4110000000001</v>
      </c>
      <c r="BE46" s="255">
        <v>2844.4189999999999</v>
      </c>
      <c r="BF46" s="255">
        <v>2121.0720000000001</v>
      </c>
      <c r="BG46" s="255">
        <v>3090.0259999999998</v>
      </c>
      <c r="BH46" s="255">
        <f>('[21]BP RI'!$C$11+'[21]BP RI'!$C$12+'[21]BP RI'!$C$15+'[21]BP RI'!$C$16)/1000</f>
        <v>4956.259</v>
      </c>
      <c r="BI46" s="255">
        <f>([22]BP!$I$12+[22]BP!$I$13+[22]BP!$I$14+[22]BP!$I$15+[22]BP!$I$16)/1000</f>
        <v>3578.0479999999998</v>
      </c>
      <c r="BJ46" s="255" cm="1">
        <f t="array" ref="BJ46">SUM([25]BP!$I$11:$I$15/1000)</f>
        <v>3255.3629999999998</v>
      </c>
      <c r="BK46" s="255" cm="1">
        <f t="array" ref="BK46">SUM([23]BP!$I$11:$I$15/1000)</f>
        <v>3255.2069999999999</v>
      </c>
      <c r="BL46" s="255" cm="1">
        <f t="array" ref="BL46">SUM('[24]BP RI'!$C$11:$C$15/1000)</f>
        <v>3491.2930000000001</v>
      </c>
      <c r="BM46" s="467"/>
    </row>
    <row r="47" spans="2:67" s="229" customFormat="1" ht="15">
      <c r="B47" s="227" t="s">
        <v>65</v>
      </c>
      <c r="C47" s="227"/>
      <c r="D47" s="227"/>
      <c r="E47" s="227"/>
      <c r="F47" s="256">
        <v>26844</v>
      </c>
      <c r="G47" s="256">
        <v>29271</v>
      </c>
      <c r="H47" s="256">
        <v>32819</v>
      </c>
      <c r="I47" s="256">
        <v>38275</v>
      </c>
      <c r="J47" s="257">
        <v>37501</v>
      </c>
      <c r="K47" s="257">
        <v>32843</v>
      </c>
      <c r="L47" s="257">
        <v>30980</v>
      </c>
      <c r="M47" s="257">
        <v>30418</v>
      </c>
      <c r="N47" s="257">
        <v>30636</v>
      </c>
      <c r="O47" s="257">
        <v>30308</v>
      </c>
      <c r="P47" s="257">
        <v>29424</v>
      </c>
      <c r="Q47" s="257">
        <v>29945</v>
      </c>
      <c r="R47" s="257">
        <v>29529</v>
      </c>
      <c r="S47" s="257">
        <v>29223</v>
      </c>
      <c r="T47" s="257">
        <v>32164</v>
      </c>
      <c r="U47" s="257">
        <v>32663</v>
      </c>
      <c r="V47" s="257">
        <v>32757</v>
      </c>
      <c r="W47" s="257">
        <v>35175</v>
      </c>
      <c r="X47" s="257">
        <v>36052</v>
      </c>
      <c r="Y47" s="257">
        <v>36683</v>
      </c>
      <c r="Z47" s="257">
        <f>SUM(Z48:Z53)</f>
        <v>35898</v>
      </c>
      <c r="AA47" s="257">
        <v>38249</v>
      </c>
      <c r="AB47" s="257">
        <v>38809</v>
      </c>
      <c r="AC47" s="257">
        <v>40038</v>
      </c>
      <c r="AD47" s="257">
        <v>39352</v>
      </c>
      <c r="AE47" s="257">
        <v>39059</v>
      </c>
      <c r="AF47" s="257">
        <v>41189</v>
      </c>
      <c r="AG47" s="257">
        <v>42359</v>
      </c>
      <c r="AH47" s="257">
        <v>47936</v>
      </c>
      <c r="AI47" s="257">
        <v>46882</v>
      </c>
      <c r="AJ47" s="257">
        <v>52406</v>
      </c>
      <c r="AK47" s="257">
        <v>47917</v>
      </c>
      <c r="AL47" s="257">
        <v>45136</v>
      </c>
      <c r="AM47" s="258">
        <v>40937</v>
      </c>
      <c r="AN47" s="258">
        <v>40873</v>
      </c>
      <c r="AO47" s="258">
        <v>36838</v>
      </c>
      <c r="AP47" s="258">
        <v>35797</v>
      </c>
      <c r="AQ47" s="258">
        <v>36279</v>
      </c>
      <c r="AR47" s="258">
        <v>35099</v>
      </c>
      <c r="AS47" s="258">
        <v>32319.647999999997</v>
      </c>
      <c r="AT47" s="258">
        <v>31418.84</v>
      </c>
      <c r="AU47" s="258">
        <v>33809</v>
      </c>
      <c r="AV47" s="258">
        <v>33949</v>
      </c>
      <c r="AW47" s="258">
        <v>33778</v>
      </c>
      <c r="AX47" s="258">
        <f t="shared" ref="AX47:BC47" si="8">SUM(AX48:AX53)</f>
        <v>34575</v>
      </c>
      <c r="AY47" s="258">
        <f t="shared" si="8"/>
        <v>34229</v>
      </c>
      <c r="AZ47" s="258">
        <f t="shared" si="8"/>
        <v>35541.9</v>
      </c>
      <c r="BA47" s="258">
        <f t="shared" si="8"/>
        <v>35767.277000000002</v>
      </c>
      <c r="BB47" s="258">
        <f t="shared" si="8"/>
        <v>40042</v>
      </c>
      <c r="BC47" s="258">
        <f t="shared" si="8"/>
        <v>40837.243999999999</v>
      </c>
      <c r="BD47" s="258">
        <f t="shared" ref="BD47:BH47" si="9">SUM(BD48:BD53)</f>
        <v>41293.739000000009</v>
      </c>
      <c r="BE47" s="258">
        <f t="shared" si="9"/>
        <v>39713.556000000004</v>
      </c>
      <c r="BF47" s="258">
        <f t="shared" si="9"/>
        <v>41802.522000000004</v>
      </c>
      <c r="BG47" s="258">
        <f t="shared" si="9"/>
        <v>38577.608000000007</v>
      </c>
      <c r="BH47" s="258">
        <f t="shared" si="9"/>
        <v>39905.399000000005</v>
      </c>
      <c r="BI47" s="258">
        <f>SUM(BI48:BI53)</f>
        <v>41174.136000000006</v>
      </c>
      <c r="BJ47" s="258">
        <f>SUM(BJ48:BJ53)</f>
        <v>37620.209000000003</v>
      </c>
      <c r="BK47" s="258">
        <f>SUM(BK48:BK53)</f>
        <v>40921.386999999995</v>
      </c>
      <c r="BL47" s="258">
        <f>SUM(BL48:BL53)</f>
        <v>42214.747000000003</v>
      </c>
    </row>
    <row r="48" spans="2:67" ht="15">
      <c r="B48" s="230" t="s">
        <v>38</v>
      </c>
      <c r="C48" s="231"/>
      <c r="D48" s="231"/>
      <c r="E48" s="231"/>
      <c r="F48" s="232">
        <v>947</v>
      </c>
      <c r="G48" s="232">
        <v>901</v>
      </c>
      <c r="H48" s="232">
        <v>1101</v>
      </c>
      <c r="I48" s="232">
        <v>1766</v>
      </c>
      <c r="J48" s="232">
        <v>1675</v>
      </c>
      <c r="K48" s="232">
        <v>1388</v>
      </c>
      <c r="L48" s="232">
        <v>1339</v>
      </c>
      <c r="M48" s="232">
        <v>1347</v>
      </c>
      <c r="N48" s="232">
        <v>1448</v>
      </c>
      <c r="O48" s="232">
        <v>1506</v>
      </c>
      <c r="P48" s="232">
        <v>1449</v>
      </c>
      <c r="Q48" s="232">
        <v>1579</v>
      </c>
      <c r="R48" s="232">
        <v>1416</v>
      </c>
      <c r="S48" s="232">
        <v>1315</v>
      </c>
      <c r="T48" s="232">
        <v>1436</v>
      </c>
      <c r="U48" s="232">
        <v>1548</v>
      </c>
      <c r="V48" s="232">
        <v>1636</v>
      </c>
      <c r="W48" s="232">
        <v>2099</v>
      </c>
      <c r="X48" s="232">
        <v>2144</v>
      </c>
      <c r="Y48" s="232">
        <v>2210</v>
      </c>
      <c r="Z48" s="232">
        <v>1728</v>
      </c>
      <c r="AA48" s="232">
        <v>2095</v>
      </c>
      <c r="AB48" s="232">
        <v>2165</v>
      </c>
      <c r="AC48" s="232">
        <v>2056</v>
      </c>
      <c r="AD48" s="232">
        <v>1973</v>
      </c>
      <c r="AE48" s="232">
        <v>1912</v>
      </c>
      <c r="AF48" s="232">
        <v>2334</v>
      </c>
      <c r="AG48" s="232">
        <v>2567</v>
      </c>
      <c r="AH48" s="232">
        <v>3552</v>
      </c>
      <c r="AI48" s="232">
        <v>3607</v>
      </c>
      <c r="AJ48" s="232">
        <v>4548</v>
      </c>
      <c r="AK48" s="232">
        <v>4307</v>
      </c>
      <c r="AL48" s="232">
        <v>4055</v>
      </c>
      <c r="AM48" s="255">
        <v>3436</v>
      </c>
      <c r="AN48" s="255">
        <v>3472</v>
      </c>
      <c r="AO48" s="255">
        <v>3407</v>
      </c>
      <c r="AP48" s="255">
        <v>2943</v>
      </c>
      <c r="AQ48" s="255">
        <v>3047</v>
      </c>
      <c r="AR48" s="255">
        <v>2855</v>
      </c>
      <c r="AS48" s="255">
        <v>3054.393</v>
      </c>
      <c r="AT48" s="255">
        <v>3078.63</v>
      </c>
      <c r="AU48" s="255">
        <v>3511</v>
      </c>
      <c r="AV48" s="255">
        <v>3611</v>
      </c>
      <c r="AW48" s="255">
        <v>3874</v>
      </c>
      <c r="AX48" s="255">
        <v>3788</v>
      </c>
      <c r="AY48" s="255">
        <v>3628</v>
      </c>
      <c r="AZ48" s="255">
        <v>3842</v>
      </c>
      <c r="BA48" s="255">
        <v>4071.2190000000001</v>
      </c>
      <c r="BB48" s="255">
        <v>3695</v>
      </c>
      <c r="BC48" s="255">
        <v>3661.5810000000001</v>
      </c>
      <c r="BD48" s="255">
        <v>3568.3270000000002</v>
      </c>
      <c r="BE48" s="255">
        <v>3393.3539999999998</v>
      </c>
      <c r="BF48" s="255">
        <v>3376.7049999999999</v>
      </c>
      <c r="BG48" s="255">
        <v>2761.5749999999998</v>
      </c>
      <c r="BH48" s="255">
        <f>'[21]BP RI'!$C$20/1000</f>
        <v>2298.605</v>
      </c>
      <c r="BI48" s="255">
        <f>[22]BP!$I$20/1000</f>
        <v>2929.308</v>
      </c>
      <c r="BJ48" s="255">
        <f>[25]BP!$I$19/1000</f>
        <v>2265.4250000000002</v>
      </c>
      <c r="BK48" s="255">
        <f>[23]BP!$I$19/1000</f>
        <v>2513.6999999999998</v>
      </c>
      <c r="BL48" s="255">
        <f>'[24]BP RI'!$C$19/1000</f>
        <v>2251.86</v>
      </c>
    </row>
    <row r="49" spans="2:65" ht="15">
      <c r="B49" s="222" t="s">
        <v>39</v>
      </c>
      <c r="C49" s="222"/>
      <c r="D49" s="222"/>
      <c r="E49" s="222"/>
      <c r="F49" s="238">
        <v>904</v>
      </c>
      <c r="G49" s="238">
        <v>1279</v>
      </c>
      <c r="H49" s="238">
        <v>1654</v>
      </c>
      <c r="I49" s="238">
        <v>1797</v>
      </c>
      <c r="J49" s="238">
        <v>1712</v>
      </c>
      <c r="K49" s="238">
        <v>1361</v>
      </c>
      <c r="L49" s="238">
        <v>1258</v>
      </c>
      <c r="M49" s="238">
        <v>1219</v>
      </c>
      <c r="N49" s="238">
        <v>1254</v>
      </c>
      <c r="O49" s="238">
        <v>1290</v>
      </c>
      <c r="P49" s="238">
        <v>1211</v>
      </c>
      <c r="Q49" s="238">
        <v>1284</v>
      </c>
      <c r="R49" s="238">
        <v>1307</v>
      </c>
      <c r="S49" s="238">
        <v>1288</v>
      </c>
      <c r="T49" s="238">
        <v>1384</v>
      </c>
      <c r="U49" s="238">
        <v>1355</v>
      </c>
      <c r="V49" s="238">
        <v>1425</v>
      </c>
      <c r="W49" s="238">
        <v>1579</v>
      </c>
      <c r="X49" s="238">
        <v>1436</v>
      </c>
      <c r="Y49" s="238">
        <v>1426</v>
      </c>
      <c r="Z49" s="238">
        <v>1344</v>
      </c>
      <c r="AA49" s="238">
        <v>1492</v>
      </c>
      <c r="AB49" s="238">
        <v>1497</v>
      </c>
      <c r="AC49" s="238">
        <v>1590</v>
      </c>
      <c r="AD49" s="238">
        <v>1554</v>
      </c>
      <c r="AE49" s="238">
        <v>1515</v>
      </c>
      <c r="AF49" s="238">
        <v>1331</v>
      </c>
      <c r="AG49" s="238">
        <v>1394</v>
      </c>
      <c r="AH49" s="238">
        <v>1668</v>
      </c>
      <c r="AI49" s="238">
        <v>1561</v>
      </c>
      <c r="AJ49" s="238">
        <v>1494</v>
      </c>
      <c r="AK49" s="238">
        <v>1393</v>
      </c>
      <c r="AL49" s="238">
        <v>1247</v>
      </c>
      <c r="AM49" s="254">
        <v>1108</v>
      </c>
      <c r="AN49" s="254">
        <v>1031</v>
      </c>
      <c r="AO49" s="254">
        <v>799</v>
      </c>
      <c r="AP49" s="254">
        <v>975</v>
      </c>
      <c r="AQ49" s="254">
        <v>1343</v>
      </c>
      <c r="AR49" s="254">
        <v>1212</v>
      </c>
      <c r="AS49" s="254">
        <v>1280.299</v>
      </c>
      <c r="AT49" s="254">
        <v>1331.44</v>
      </c>
      <c r="AU49" s="254">
        <v>1455</v>
      </c>
      <c r="AV49" s="254">
        <v>1472</v>
      </c>
      <c r="AW49" s="254">
        <v>1368</v>
      </c>
      <c r="AX49" s="254">
        <v>1380</v>
      </c>
      <c r="AY49" s="254">
        <v>1695</v>
      </c>
      <c r="AZ49" s="254">
        <v>1747</v>
      </c>
      <c r="BA49" s="254">
        <v>1812.3989999999999</v>
      </c>
      <c r="BB49" s="254">
        <v>2048</v>
      </c>
      <c r="BC49" s="254">
        <v>2156.7179999999998</v>
      </c>
      <c r="BD49" s="254">
        <v>2309.576</v>
      </c>
      <c r="BE49" s="254">
        <v>2271.6289999999999</v>
      </c>
      <c r="BF49" s="254">
        <v>2572.0929999999998</v>
      </c>
      <c r="BG49" s="254">
        <v>2551.9229999999998</v>
      </c>
      <c r="BH49" s="254">
        <f>'[21]BP RI'!$C$27/1000</f>
        <v>2977.8829999999998</v>
      </c>
      <c r="BI49" s="254">
        <f>[22]BP!$I$28/1000</f>
        <v>3340.7750000000001</v>
      </c>
      <c r="BJ49" s="254">
        <v>3330.2220000000002</v>
      </c>
      <c r="BK49" s="254">
        <f>[23]BP!$I$26/1000</f>
        <v>3925.5239999999999</v>
      </c>
      <c r="BL49" s="254">
        <f>'[24]BP RI'!$C$26/1000</f>
        <v>4202.4809999999998</v>
      </c>
    </row>
    <row r="50" spans="2:65" ht="15">
      <c r="B50" s="230" t="s">
        <v>40</v>
      </c>
      <c r="C50" s="231"/>
      <c r="D50" s="231"/>
      <c r="E50" s="231"/>
      <c r="F50" s="232">
        <v>6211</v>
      </c>
      <c r="G50" s="232">
        <v>7450</v>
      </c>
      <c r="H50" s="232">
        <v>8931</v>
      </c>
      <c r="I50" s="232">
        <v>11294</v>
      </c>
      <c r="J50" s="232">
        <v>11165</v>
      </c>
      <c r="K50" s="232">
        <v>9366</v>
      </c>
      <c r="L50" s="232">
        <v>8522</v>
      </c>
      <c r="M50" s="232">
        <v>8424</v>
      </c>
      <c r="N50" s="232">
        <v>8536</v>
      </c>
      <c r="O50" s="232">
        <v>8604</v>
      </c>
      <c r="P50" s="232">
        <v>8225</v>
      </c>
      <c r="Q50" s="232">
        <v>8158</v>
      </c>
      <c r="R50" s="232">
        <v>8030</v>
      </c>
      <c r="S50" s="232">
        <v>7745</v>
      </c>
      <c r="T50" s="232">
        <v>9054</v>
      </c>
      <c r="U50" s="232">
        <v>9156</v>
      </c>
      <c r="V50" s="232">
        <v>8956</v>
      </c>
      <c r="W50" s="232">
        <v>9870</v>
      </c>
      <c r="X50" s="232">
        <v>9952</v>
      </c>
      <c r="Y50" s="232">
        <v>10033</v>
      </c>
      <c r="Z50" s="232">
        <v>9838</v>
      </c>
      <c r="AA50" s="232">
        <v>10753</v>
      </c>
      <c r="AB50" s="232">
        <v>10844</v>
      </c>
      <c r="AC50" s="232">
        <v>11353</v>
      </c>
      <c r="AD50" s="232">
        <v>10970</v>
      </c>
      <c r="AE50" s="232">
        <v>10706</v>
      </c>
      <c r="AF50" s="232">
        <v>11776</v>
      </c>
      <c r="AG50" s="232">
        <v>12556</v>
      </c>
      <c r="AH50" s="232">
        <v>14970</v>
      </c>
      <c r="AI50" s="232">
        <v>14407</v>
      </c>
      <c r="AJ50" s="232">
        <v>17335</v>
      </c>
      <c r="AK50" s="232">
        <v>14653</v>
      </c>
      <c r="AL50" s="232">
        <v>13408</v>
      </c>
      <c r="AM50" s="255">
        <v>12165</v>
      </c>
      <c r="AN50" s="255">
        <v>12287</v>
      </c>
      <c r="AO50" s="255">
        <v>9470</v>
      </c>
      <c r="AP50" s="255">
        <v>9199</v>
      </c>
      <c r="AQ50" s="255">
        <v>9587</v>
      </c>
      <c r="AR50" s="255">
        <v>9203</v>
      </c>
      <c r="AS50" s="255">
        <v>7891.1419999999998</v>
      </c>
      <c r="AT50" s="255">
        <v>7924.2690000000002</v>
      </c>
      <c r="AU50" s="255">
        <v>9122</v>
      </c>
      <c r="AV50" s="255">
        <v>9409</v>
      </c>
      <c r="AW50" s="255">
        <v>9112</v>
      </c>
      <c r="AX50" s="255">
        <v>9164</v>
      </c>
      <c r="AY50" s="255">
        <v>9021</v>
      </c>
      <c r="AZ50" s="255">
        <v>9768.7999999999993</v>
      </c>
      <c r="BA50" s="255">
        <v>9469.3109999999997</v>
      </c>
      <c r="BB50" s="255">
        <v>12093</v>
      </c>
      <c r="BC50" s="255">
        <v>12723.896000000001</v>
      </c>
      <c r="BD50" s="255">
        <v>13098.563</v>
      </c>
      <c r="BE50" s="255">
        <v>12103.519</v>
      </c>
      <c r="BF50" s="255">
        <v>13235.503000000001</v>
      </c>
      <c r="BG50" s="255">
        <v>11668.298000000001</v>
      </c>
      <c r="BH50" s="255">
        <f>'[21]BP RI'!$C$28/1000</f>
        <v>12651.253000000001</v>
      </c>
      <c r="BI50" s="255">
        <f>[22]BP!$I$30/1000</f>
        <v>12427.527</v>
      </c>
      <c r="BJ50" s="255">
        <f>[25]BP!$I$28/1000</f>
        <v>10609.159</v>
      </c>
      <c r="BK50" s="255">
        <f>[23]BP!$I$28/1000</f>
        <v>11685.319</v>
      </c>
      <c r="BL50" s="255">
        <f>'[24]BP RI'!$C$28/1000</f>
        <v>12040.474</v>
      </c>
    </row>
    <row r="51" spans="2:65" ht="15">
      <c r="B51" s="222" t="s">
        <v>41</v>
      </c>
      <c r="C51" s="222"/>
      <c r="D51" s="222"/>
      <c r="E51" s="222"/>
      <c r="F51" s="238">
        <v>1037</v>
      </c>
      <c r="G51" s="238">
        <v>1263</v>
      </c>
      <c r="H51" s="238">
        <v>1461</v>
      </c>
      <c r="I51" s="238">
        <v>1713</v>
      </c>
      <c r="J51" s="238">
        <v>1650</v>
      </c>
      <c r="K51" s="238">
        <v>1026</v>
      </c>
      <c r="L51" s="238">
        <v>1010</v>
      </c>
      <c r="M51" s="238">
        <v>993</v>
      </c>
      <c r="N51" s="238">
        <v>998</v>
      </c>
      <c r="O51" s="238">
        <v>970</v>
      </c>
      <c r="P51" s="238">
        <v>966</v>
      </c>
      <c r="Q51" s="238">
        <v>1177</v>
      </c>
      <c r="R51" s="238">
        <v>1166</v>
      </c>
      <c r="S51" s="238">
        <v>1116</v>
      </c>
      <c r="T51" s="238">
        <v>1279</v>
      </c>
      <c r="U51" s="238">
        <v>1274</v>
      </c>
      <c r="V51" s="238">
        <v>1255</v>
      </c>
      <c r="W51" s="238">
        <v>1350</v>
      </c>
      <c r="X51" s="238">
        <v>1346</v>
      </c>
      <c r="Y51" s="238">
        <v>1364</v>
      </c>
      <c r="Z51" s="238">
        <v>1341</v>
      </c>
      <c r="AA51" s="238">
        <v>1431</v>
      </c>
      <c r="AB51" s="238">
        <v>1456</v>
      </c>
      <c r="AC51" s="238">
        <v>1498</v>
      </c>
      <c r="AD51" s="238">
        <v>1472</v>
      </c>
      <c r="AE51" s="238">
        <v>1428</v>
      </c>
      <c r="AF51" s="238">
        <v>1505</v>
      </c>
      <c r="AG51" s="238">
        <v>1547</v>
      </c>
      <c r="AH51" s="238">
        <v>1716</v>
      </c>
      <c r="AI51" s="238">
        <v>1637</v>
      </c>
      <c r="AJ51" s="238">
        <v>1913</v>
      </c>
      <c r="AK51" s="238">
        <v>1836</v>
      </c>
      <c r="AL51" s="238">
        <v>1664</v>
      </c>
      <c r="AM51" s="254">
        <v>1452</v>
      </c>
      <c r="AN51" s="254">
        <v>1388</v>
      </c>
      <c r="AO51" s="254">
        <v>1320</v>
      </c>
      <c r="AP51" s="254">
        <v>1203</v>
      </c>
      <c r="AQ51" s="254">
        <v>1174</v>
      </c>
      <c r="AR51" s="254">
        <v>1079</v>
      </c>
      <c r="AS51" s="254">
        <v>972.08900000000006</v>
      </c>
      <c r="AT51" s="254">
        <v>908.72</v>
      </c>
      <c r="AU51" s="254">
        <v>945</v>
      </c>
      <c r="AV51" s="254">
        <v>910</v>
      </c>
      <c r="AW51" s="254">
        <v>836</v>
      </c>
      <c r="AX51" s="254">
        <v>749</v>
      </c>
      <c r="AY51" s="254">
        <v>728</v>
      </c>
      <c r="AZ51" s="254">
        <v>724</v>
      </c>
      <c r="BA51" s="254">
        <v>673.26199999999994</v>
      </c>
      <c r="BB51" s="254">
        <v>774</v>
      </c>
      <c r="BC51" s="254">
        <v>743.01700000000005</v>
      </c>
      <c r="BD51" s="254">
        <v>692.25800000000004</v>
      </c>
      <c r="BE51" s="254">
        <v>622.57799999999997</v>
      </c>
      <c r="BF51" s="254">
        <v>606.94399999999996</v>
      </c>
      <c r="BG51" s="254">
        <v>516.96299999999997</v>
      </c>
      <c r="BH51" s="254">
        <f>'[21]BP RI'!$C$30/1000</f>
        <v>507.55799999999999</v>
      </c>
      <c r="BI51" s="254">
        <f>[22]BP!$I$32/1000</f>
        <v>509.76</v>
      </c>
      <c r="BJ51" s="254">
        <v>449.43599999999998</v>
      </c>
      <c r="BK51" s="254">
        <f>[23]BP!$I$30/1000</f>
        <v>435.709</v>
      </c>
      <c r="BL51" s="254">
        <f>'[24]BP RI'!$C$30/1000</f>
        <v>436.51</v>
      </c>
    </row>
    <row r="52" spans="2:65" ht="15">
      <c r="B52" s="230" t="s">
        <v>42</v>
      </c>
      <c r="C52" s="231"/>
      <c r="D52" s="231"/>
      <c r="E52" s="231"/>
      <c r="F52" s="232">
        <v>16065</v>
      </c>
      <c r="G52" s="232">
        <v>16332</v>
      </c>
      <c r="H52" s="232">
        <v>17784</v>
      </c>
      <c r="I52" s="232">
        <v>20055</v>
      </c>
      <c r="J52" s="232">
        <v>19616</v>
      </c>
      <c r="K52" s="232">
        <v>17926</v>
      </c>
      <c r="L52" s="232">
        <v>17114</v>
      </c>
      <c r="M52" s="232">
        <v>16731</v>
      </c>
      <c r="N52" s="232">
        <v>16612</v>
      </c>
      <c r="O52" s="232">
        <v>16239</v>
      </c>
      <c r="P52" s="232">
        <v>15931</v>
      </c>
      <c r="Q52" s="232">
        <v>16172</v>
      </c>
      <c r="R52" s="232">
        <v>16027</v>
      </c>
      <c r="S52" s="232">
        <v>15799</v>
      </c>
      <c r="T52" s="232">
        <v>16882</v>
      </c>
      <c r="U52" s="232">
        <v>17295</v>
      </c>
      <c r="V52" s="232">
        <v>17443</v>
      </c>
      <c r="W52" s="232">
        <v>18406</v>
      </c>
      <c r="X52" s="232">
        <v>19289</v>
      </c>
      <c r="Y52" s="232">
        <v>19690</v>
      </c>
      <c r="Z52" s="232">
        <v>19623</v>
      </c>
      <c r="AA52" s="232">
        <v>20473</v>
      </c>
      <c r="AB52" s="232">
        <v>20807</v>
      </c>
      <c r="AC52" s="232">
        <v>21419</v>
      </c>
      <c r="AD52" s="232">
        <v>21242</v>
      </c>
      <c r="AE52" s="232">
        <v>21085</v>
      </c>
      <c r="AF52" s="232">
        <v>21694</v>
      </c>
      <c r="AG52" s="232">
        <v>22132</v>
      </c>
      <c r="AH52" s="232">
        <v>23771</v>
      </c>
      <c r="AI52" s="232">
        <v>23444</v>
      </c>
      <c r="AJ52" s="232">
        <v>24761</v>
      </c>
      <c r="AK52" s="232">
        <v>23256</v>
      </c>
      <c r="AL52" s="232">
        <v>22323</v>
      </c>
      <c r="AM52" s="255">
        <v>20165</v>
      </c>
      <c r="AN52" s="255">
        <v>20075</v>
      </c>
      <c r="AO52" s="255">
        <v>19352</v>
      </c>
      <c r="AP52" s="255">
        <v>18916</v>
      </c>
      <c r="AQ52" s="255">
        <v>18502</v>
      </c>
      <c r="AR52" s="255">
        <v>18098</v>
      </c>
      <c r="AS52" s="255">
        <v>16443.741999999998</v>
      </c>
      <c r="AT52" s="255">
        <v>15510.246999999999</v>
      </c>
      <c r="AU52" s="255">
        <v>16037</v>
      </c>
      <c r="AV52" s="255">
        <v>15807</v>
      </c>
      <c r="AW52" s="255">
        <v>15546</v>
      </c>
      <c r="AX52" s="255">
        <v>15484</v>
      </c>
      <c r="AY52" s="255">
        <v>15530</v>
      </c>
      <c r="AZ52" s="255">
        <v>15967.1</v>
      </c>
      <c r="BA52" s="255">
        <v>15901.493</v>
      </c>
      <c r="BB52" s="255">
        <v>17434</v>
      </c>
      <c r="BC52" s="255">
        <v>17624.939999999999</v>
      </c>
      <c r="BD52" s="255">
        <v>17694.452000000001</v>
      </c>
      <c r="BE52" s="255">
        <v>17252.915000000001</v>
      </c>
      <c r="BF52" s="255">
        <v>17854.96</v>
      </c>
      <c r="BG52" s="255">
        <v>17103.345000000001</v>
      </c>
      <c r="BH52" s="255">
        <f>'[21]BP RI'!$C$31/1000</f>
        <v>17872.237000000001</v>
      </c>
      <c r="BI52" s="255">
        <f>[22]BP!$I$33/1000</f>
        <v>18741.786</v>
      </c>
      <c r="BJ52" s="255">
        <v>17779.975999999999</v>
      </c>
      <c r="BK52" s="255">
        <f>[23]BP!$I$31/1000</f>
        <v>18941.784</v>
      </c>
      <c r="BL52" s="255">
        <f>'[24]BP RI'!$C$31/1000</f>
        <v>19664.491000000002</v>
      </c>
    </row>
    <row r="53" spans="2:65" ht="15">
      <c r="B53" s="222" t="s">
        <v>34</v>
      </c>
      <c r="C53" s="222"/>
      <c r="D53" s="222"/>
      <c r="E53" s="222"/>
      <c r="F53" s="238">
        <v>1680</v>
      </c>
      <c r="G53" s="238">
        <v>2046</v>
      </c>
      <c r="H53" s="238">
        <v>1888</v>
      </c>
      <c r="I53" s="238">
        <v>1650</v>
      </c>
      <c r="J53" s="238">
        <v>1683</v>
      </c>
      <c r="K53" s="238">
        <v>1776</v>
      </c>
      <c r="L53" s="238">
        <v>1737</v>
      </c>
      <c r="M53" s="238">
        <v>1704</v>
      </c>
      <c r="N53" s="238">
        <v>1788</v>
      </c>
      <c r="O53" s="238">
        <v>1699</v>
      </c>
      <c r="P53" s="238">
        <v>1642</v>
      </c>
      <c r="Q53" s="238">
        <v>1575</v>
      </c>
      <c r="R53" s="238">
        <v>1583</v>
      </c>
      <c r="S53" s="238">
        <v>1960</v>
      </c>
      <c r="T53" s="238">
        <v>2129</v>
      </c>
      <c r="U53" s="238">
        <v>2035</v>
      </c>
      <c r="V53" s="238">
        <v>2042</v>
      </c>
      <c r="W53" s="238">
        <v>1871</v>
      </c>
      <c r="X53" s="238">
        <v>1885</v>
      </c>
      <c r="Y53" s="238">
        <v>1960</v>
      </c>
      <c r="Z53" s="238">
        <v>2024</v>
      </c>
      <c r="AA53" s="238">
        <v>2005</v>
      </c>
      <c r="AB53" s="238">
        <v>2040</v>
      </c>
      <c r="AC53" s="238">
        <v>2121</v>
      </c>
      <c r="AD53" s="238">
        <v>2141</v>
      </c>
      <c r="AE53" s="238">
        <v>2413</v>
      </c>
      <c r="AF53" s="238">
        <v>2549</v>
      </c>
      <c r="AG53" s="238">
        <v>2163</v>
      </c>
      <c r="AH53" s="238">
        <v>2259</v>
      </c>
      <c r="AI53" s="238">
        <v>2226</v>
      </c>
      <c r="AJ53" s="238">
        <v>2353</v>
      </c>
      <c r="AK53" s="238">
        <v>2472</v>
      </c>
      <c r="AL53" s="238">
        <v>2439</v>
      </c>
      <c r="AM53" s="254">
        <v>2611</v>
      </c>
      <c r="AN53" s="254">
        <f>AN47-(AN48+AN49+AN50+AN51+AN52)</f>
        <v>2620</v>
      </c>
      <c r="AO53" s="254">
        <f>AO47-(AO48+AO49+AO50+AO51+AO52)</f>
        <v>2490</v>
      </c>
      <c r="AP53" s="254">
        <f>AP47-(AP48+AP49+AP50+AP51+AP52)</f>
        <v>2561</v>
      </c>
      <c r="AQ53" s="254">
        <v>2626</v>
      </c>
      <c r="AR53" s="254">
        <v>2652</v>
      </c>
      <c r="AS53" s="254">
        <v>2677.9830000000002</v>
      </c>
      <c r="AT53" s="254">
        <f>AT47-AT48-AT49-AT51-AT50-AT52</f>
        <v>2665.5339999999997</v>
      </c>
      <c r="AU53" s="254">
        <f>AU47-AU48-AU49-AU51-AU50-AU52</f>
        <v>2739</v>
      </c>
      <c r="AV53" s="254">
        <v>2740</v>
      </c>
      <c r="AW53" s="254">
        <v>3042</v>
      </c>
      <c r="AX53" s="254">
        <v>4010</v>
      </c>
      <c r="AY53" s="254">
        <v>3627</v>
      </c>
      <c r="AZ53" s="254">
        <v>3493</v>
      </c>
      <c r="BA53" s="254">
        <f>3839.593</f>
        <v>3839.5929999999998</v>
      </c>
      <c r="BB53" s="254">
        <v>3998</v>
      </c>
      <c r="BC53" s="254">
        <v>3927.0920000000001</v>
      </c>
      <c r="BD53" s="254">
        <v>3930.5630000000001</v>
      </c>
      <c r="BE53" s="254">
        <v>4069.5610000000001</v>
      </c>
      <c r="BF53" s="254">
        <v>4156.317</v>
      </c>
      <c r="BG53" s="254">
        <v>3975.5039999999999</v>
      </c>
      <c r="BH53" s="254">
        <f>('[21]BP RI'!$C$19+'[21]BP RI'!$C$22+'[21]BP RI'!$C$23+'[21]BP RI'!$C$24+'[21]BP RI'!$C$29)/1000</f>
        <v>3597.8629999999998</v>
      </c>
      <c r="BI53" s="254">
        <f>([22]BP!$I$19+[22]BP!$I$22+[22]BP!$I$23+[22]BP!$I$24+[22]BP!$I$25+[22]BP!$I$31)/1000</f>
        <v>3224.98</v>
      </c>
      <c r="BJ53" s="254">
        <f>SUM([25]BP!$I$18+[25]BP!$I$21+[25]BP!$I$22+[25]BP!$I$23+[25]BP!$I$29)/1000</f>
        <v>3185.991</v>
      </c>
      <c r="BK53" s="254">
        <f>SUM([23]BP!$I$18,[23]BP!$I$20,[23]BP!$I$21,[23]BP!$I$22,[23]BP!$I$23,[23]BP!$I$29)/1000</f>
        <v>3419.3510000000001</v>
      </c>
      <c r="BL53" s="254">
        <f>SUM('[24]BP RI'!$C$18+'[24]BP RI'!$C$20+'[24]BP RI'!$C$21+'[24]BP RI'!$C$22+'[24]BP RI'!$C$23+'[24]BP RI'!$C$29)/1000</f>
        <v>3618.931</v>
      </c>
      <c r="BM53" s="467"/>
    </row>
    <row r="54" spans="2:65" s="229" customFormat="1" ht="15">
      <c r="B54" s="250" t="s">
        <v>66</v>
      </c>
      <c r="C54" s="240"/>
      <c r="D54" s="240"/>
      <c r="E54" s="240"/>
      <c r="F54" s="251">
        <v>42002</v>
      </c>
      <c r="G54" s="251">
        <v>47554</v>
      </c>
      <c r="H54" s="251">
        <v>54809</v>
      </c>
      <c r="I54" s="251">
        <v>59051</v>
      </c>
      <c r="J54" s="252">
        <v>56104</v>
      </c>
      <c r="K54" s="252">
        <v>49272</v>
      </c>
      <c r="L54" s="252">
        <v>45932</v>
      </c>
      <c r="M54" s="252">
        <v>44583</v>
      </c>
      <c r="N54" s="252">
        <v>45635</v>
      </c>
      <c r="O54" s="252">
        <v>46328</v>
      </c>
      <c r="P54" s="252">
        <v>42808</v>
      </c>
      <c r="Q54" s="252">
        <v>42891</v>
      </c>
      <c r="R54" s="252">
        <v>42932</v>
      </c>
      <c r="S54" s="252">
        <v>45036</v>
      </c>
      <c r="T54" s="252">
        <v>49427</v>
      </c>
      <c r="U54" s="252">
        <v>49982</v>
      </c>
      <c r="V54" s="252">
        <v>49628</v>
      </c>
      <c r="W54" s="252">
        <v>53346</v>
      </c>
      <c r="X54" s="252">
        <v>53598</v>
      </c>
      <c r="Y54" s="252">
        <v>53093</v>
      </c>
      <c r="Z54" s="252">
        <f>Z47+Z42</f>
        <v>51807</v>
      </c>
      <c r="AA54" s="252">
        <v>55056</v>
      </c>
      <c r="AB54" s="252">
        <v>56208</v>
      </c>
      <c r="AC54" s="252">
        <v>58215</v>
      </c>
      <c r="AD54" s="252">
        <v>57554</v>
      </c>
      <c r="AE54" s="252">
        <v>57894</v>
      </c>
      <c r="AF54" s="252">
        <v>61472</v>
      </c>
      <c r="AG54" s="252">
        <v>63042</v>
      </c>
      <c r="AH54" s="252">
        <v>70843</v>
      </c>
      <c r="AI54" s="252">
        <v>68779</v>
      </c>
      <c r="AJ54" s="252">
        <v>76490</v>
      </c>
      <c r="AK54" s="252">
        <v>70095</v>
      </c>
      <c r="AL54" s="252">
        <v>65005</v>
      </c>
      <c r="AM54" s="253">
        <v>58234</v>
      </c>
      <c r="AN54" s="253">
        <v>58712</v>
      </c>
      <c r="AO54" s="253">
        <v>54635</v>
      </c>
      <c r="AP54" s="253">
        <v>53558</v>
      </c>
      <c r="AQ54" s="253">
        <v>54175</v>
      </c>
      <c r="AR54" s="253">
        <v>52575</v>
      </c>
      <c r="AS54" s="253">
        <v>50301.760999999999</v>
      </c>
      <c r="AT54" s="253">
        <f>AT42+AT47</f>
        <v>50975.839999999997</v>
      </c>
      <c r="AU54" s="253">
        <f>AU42+AU47</f>
        <v>54462.8</v>
      </c>
      <c r="AV54" s="253">
        <v>56119</v>
      </c>
      <c r="AW54" s="253">
        <v>51281</v>
      </c>
      <c r="AX54" s="253">
        <f>AX47+AX42</f>
        <v>52145.084000000003</v>
      </c>
      <c r="AY54" s="253">
        <f>AY47+AY42</f>
        <v>51125</v>
      </c>
      <c r="AZ54" s="253">
        <f>SUM(AZ47+AZ42)</f>
        <v>53045.9</v>
      </c>
      <c r="BA54" s="253">
        <f>SUM(BA47+BA42)</f>
        <v>54002.990000000005</v>
      </c>
      <c r="BB54" s="253">
        <f>SUM(BB47+BB42)</f>
        <v>60648</v>
      </c>
      <c r="BC54" s="253">
        <f t="shared" ref="BC54:BG54" si="10">SUM(BC47,BC42)</f>
        <v>62600.428999999996</v>
      </c>
      <c r="BD54" s="253">
        <f t="shared" si="10"/>
        <v>63426.19200000001</v>
      </c>
      <c r="BE54" s="253">
        <f t="shared" si="10"/>
        <v>63123.009000000005</v>
      </c>
      <c r="BF54" s="253">
        <f t="shared" si="10"/>
        <v>68020.243000000002</v>
      </c>
      <c r="BG54" s="253">
        <f t="shared" si="10"/>
        <v>66892.047000000006</v>
      </c>
      <c r="BH54" s="253">
        <f t="shared" ref="BH54:BI54" si="11">SUM(BH47,BH42)</f>
        <v>75362.396999999997</v>
      </c>
      <c r="BI54" s="253">
        <f t="shared" si="11"/>
        <v>73814.613000000012</v>
      </c>
      <c r="BJ54" s="253">
        <f>SUM(BJ42+BJ47)</f>
        <v>71539.429000000004</v>
      </c>
      <c r="BK54" s="253">
        <f>SUM(BK42+BK47)</f>
        <v>77656.812000000005</v>
      </c>
      <c r="BL54" s="253">
        <f>SUM(BL42+BL47)</f>
        <v>79772.325000000012</v>
      </c>
    </row>
    <row r="55" spans="2:65" ht="15">
      <c r="B55" s="224"/>
      <c r="C55" s="224"/>
      <c r="D55" s="226"/>
      <c r="E55" s="226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</row>
    <row r="56" spans="2:65" ht="15">
      <c r="B56" s="247"/>
      <c r="C56" s="225"/>
      <c r="D56" s="225"/>
      <c r="E56" s="225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3"/>
      <c r="BE56" s="243"/>
      <c r="BF56" s="243"/>
      <c r="BG56" s="243"/>
      <c r="BH56" s="243"/>
      <c r="BI56" s="243"/>
      <c r="BJ56" s="243"/>
      <c r="BK56" s="243"/>
      <c r="BL56" s="243"/>
    </row>
    <row r="57" spans="2:65" ht="15">
      <c r="B57" s="227" t="s">
        <v>177</v>
      </c>
      <c r="C57" s="227"/>
      <c r="D57" s="227"/>
      <c r="E57" s="227"/>
      <c r="F57" s="228">
        <v>6560</v>
      </c>
      <c r="G57" s="228">
        <v>8409</v>
      </c>
      <c r="H57" s="228">
        <v>9904</v>
      </c>
      <c r="I57" s="228">
        <v>8475</v>
      </c>
      <c r="J57" s="228">
        <v>6949</v>
      </c>
      <c r="K57" s="228">
        <v>6008</v>
      </c>
      <c r="L57" s="228">
        <v>5328</v>
      </c>
      <c r="M57" s="228">
        <v>4818</v>
      </c>
      <c r="N57" s="228">
        <v>5014</v>
      </c>
      <c r="O57" s="228">
        <v>5283</v>
      </c>
      <c r="P57" s="228">
        <v>6111</v>
      </c>
      <c r="Q57" s="228">
        <v>5022</v>
      </c>
      <c r="R57" s="228">
        <v>5612</v>
      </c>
      <c r="S57" s="228">
        <v>5705</v>
      </c>
      <c r="T57" s="228">
        <v>6452</v>
      </c>
      <c r="U57" s="228">
        <v>6777</v>
      </c>
      <c r="V57" s="228">
        <v>6666</v>
      </c>
      <c r="W57" s="228">
        <v>8251</v>
      </c>
      <c r="X57" s="228">
        <v>8070</v>
      </c>
      <c r="Y57" s="228">
        <v>7823</v>
      </c>
      <c r="Z57" s="228">
        <f>SUM(Z58:Z60)</f>
        <v>7883</v>
      </c>
      <c r="AA57" s="228">
        <v>6731</v>
      </c>
      <c r="AB57" s="228">
        <v>6949</v>
      </c>
      <c r="AC57" s="228">
        <v>7237</v>
      </c>
      <c r="AD57" s="228">
        <v>6904</v>
      </c>
      <c r="AE57" s="228">
        <v>6675</v>
      </c>
      <c r="AF57" s="228">
        <v>7560</v>
      </c>
      <c r="AG57" s="228">
        <v>7773</v>
      </c>
      <c r="AH57" s="228">
        <v>8060</v>
      </c>
      <c r="AI57" s="228">
        <v>8120</v>
      </c>
      <c r="AJ57" s="228">
        <v>8427</v>
      </c>
      <c r="AK57" s="228">
        <v>7863</v>
      </c>
      <c r="AL57" s="228">
        <v>7437</v>
      </c>
      <c r="AM57" s="228">
        <v>6080</v>
      </c>
      <c r="AN57" s="228">
        <v>6168</v>
      </c>
      <c r="AO57" s="228">
        <v>8621</v>
      </c>
      <c r="AP57" s="228">
        <v>8635</v>
      </c>
      <c r="AQ57" s="228">
        <v>8608</v>
      </c>
      <c r="AR57" s="228">
        <v>9231</v>
      </c>
      <c r="AS57" s="228">
        <v>7714.12</v>
      </c>
      <c r="AT57" s="228">
        <v>8175</v>
      </c>
      <c r="AU57" s="228">
        <v>8741</v>
      </c>
      <c r="AV57" s="228">
        <f t="shared" ref="AV57:BB57" si="12">SUM(AV58:AV60)</f>
        <v>9151</v>
      </c>
      <c r="AW57" s="228">
        <f t="shared" si="12"/>
        <v>8504</v>
      </c>
      <c r="AX57" s="228">
        <f t="shared" si="12"/>
        <v>9296.66</v>
      </c>
      <c r="AY57" s="228">
        <f t="shared" si="12"/>
        <v>7715</v>
      </c>
      <c r="AZ57" s="228">
        <f t="shared" si="12"/>
        <v>8219.7800000000007</v>
      </c>
      <c r="BA57" s="228">
        <f t="shared" si="12"/>
        <v>7424.5370000000003</v>
      </c>
      <c r="BB57" s="228">
        <f t="shared" si="12"/>
        <v>10136.472</v>
      </c>
      <c r="BC57" s="228">
        <f t="shared" ref="BC57:BG57" si="13">SUM(BC58:BC60)</f>
        <v>10164.082</v>
      </c>
      <c r="BD57" s="228">
        <f t="shared" si="13"/>
        <v>9171.3610000000008</v>
      </c>
      <c r="BE57" s="228">
        <f t="shared" si="13"/>
        <v>11482.143</v>
      </c>
      <c r="BF57" s="228">
        <f t="shared" si="13"/>
        <v>11375.088</v>
      </c>
      <c r="BG57" s="228">
        <f t="shared" si="13"/>
        <v>10975.778999999999</v>
      </c>
      <c r="BH57" s="228">
        <f t="shared" ref="BH57" si="14">SUM(BH58:BH60)</f>
        <v>13155.055</v>
      </c>
      <c r="BI57" s="228">
        <f>SUM(BI58:BI60)</f>
        <v>14036.673999999999</v>
      </c>
      <c r="BJ57" s="228">
        <f>SUM(BJ58:BJ60)</f>
        <v>15553.720000000001</v>
      </c>
      <c r="BK57" s="228">
        <f>SUM(BK58:BK60)</f>
        <v>16526.86</v>
      </c>
      <c r="BL57" s="228">
        <f>SUM(BL58:BL60)</f>
        <v>16667.207999999999</v>
      </c>
    </row>
    <row r="58" spans="2:65" ht="15">
      <c r="B58" s="230" t="s">
        <v>43</v>
      </c>
      <c r="C58" s="231"/>
      <c r="D58" s="231"/>
      <c r="E58" s="231"/>
      <c r="F58" s="232">
        <v>2769</v>
      </c>
      <c r="G58" s="232">
        <v>3449</v>
      </c>
      <c r="H58" s="232">
        <v>4109</v>
      </c>
      <c r="I58" s="232">
        <v>2855</v>
      </c>
      <c r="J58" s="232">
        <v>2166</v>
      </c>
      <c r="K58" s="232">
        <v>1698</v>
      </c>
      <c r="L58" s="232">
        <v>1624</v>
      </c>
      <c r="M58" s="232">
        <v>1705</v>
      </c>
      <c r="N58" s="232">
        <v>2180</v>
      </c>
      <c r="O58" s="232">
        <v>2315</v>
      </c>
      <c r="P58" s="232">
        <v>2008</v>
      </c>
      <c r="Q58" s="232">
        <v>1783</v>
      </c>
      <c r="R58" s="232">
        <v>2388</v>
      </c>
      <c r="S58" s="232">
        <v>2817</v>
      </c>
      <c r="T58" s="232">
        <v>3171</v>
      </c>
      <c r="U58" s="232">
        <v>3212</v>
      </c>
      <c r="V58" s="232">
        <v>3229</v>
      </c>
      <c r="W58" s="232">
        <v>3527</v>
      </c>
      <c r="X58" s="232">
        <v>3326</v>
      </c>
      <c r="Y58" s="232">
        <v>3060</v>
      </c>
      <c r="Z58" s="232">
        <v>3020</v>
      </c>
      <c r="AA58" s="232">
        <v>3303</v>
      </c>
      <c r="AB58" s="232">
        <v>3289</v>
      </c>
      <c r="AC58" s="232">
        <v>3271</v>
      </c>
      <c r="AD58" s="232">
        <v>3183</v>
      </c>
      <c r="AE58" s="232">
        <v>3448</v>
      </c>
      <c r="AF58" s="232">
        <v>3507</v>
      </c>
      <c r="AG58" s="232">
        <v>3236</v>
      </c>
      <c r="AH58" s="232">
        <v>3745</v>
      </c>
      <c r="AI58" s="232">
        <v>3569</v>
      </c>
      <c r="AJ58" s="232">
        <v>4129</v>
      </c>
      <c r="AK58" s="232">
        <v>3630</v>
      </c>
      <c r="AL58" s="232">
        <v>3343</v>
      </c>
      <c r="AM58" s="232">
        <v>2757</v>
      </c>
      <c r="AN58" s="232">
        <v>2558</v>
      </c>
      <c r="AO58" s="232">
        <v>2744</v>
      </c>
      <c r="AP58" s="232">
        <v>3154</v>
      </c>
      <c r="AQ58" s="232">
        <v>3062</v>
      </c>
      <c r="AR58" s="232">
        <v>3212</v>
      </c>
      <c r="AS58" s="232">
        <v>3179.9540000000002</v>
      </c>
      <c r="AT58" s="232">
        <v>3496.33</v>
      </c>
      <c r="AU58" s="232">
        <v>4204</v>
      </c>
      <c r="AV58" s="232">
        <v>4150</v>
      </c>
      <c r="AW58" s="232">
        <v>4119</v>
      </c>
      <c r="AX58" s="232">
        <v>4066.7629999999999</v>
      </c>
      <c r="AY58" s="232">
        <v>3833</v>
      </c>
      <c r="AZ58" s="232">
        <v>3890.0909999999999</v>
      </c>
      <c r="BA58" s="407">
        <v>3762.768</v>
      </c>
      <c r="BB58" s="407">
        <v>4313.8829999999998</v>
      </c>
      <c r="BC58" s="407">
        <v>3908.4760000000001</v>
      </c>
      <c r="BD58" s="407">
        <v>4552.7150000000001</v>
      </c>
      <c r="BE58" s="407">
        <v>5437.9530000000004</v>
      </c>
      <c r="BF58" s="407">
        <v>6729.3540000000003</v>
      </c>
      <c r="BG58" s="407">
        <v>6895.2950000000001</v>
      </c>
      <c r="BH58" s="407">
        <f>'[21]BP RI'!$C$43/1000</f>
        <v>7244.509</v>
      </c>
      <c r="BI58" s="407">
        <v>8017</v>
      </c>
      <c r="BJ58" s="407">
        <f>[25]BP!$I$43/1000</f>
        <v>8069.2380000000003</v>
      </c>
      <c r="BK58" s="407">
        <f>[23]BP!$I$43/1000</f>
        <v>9394.84</v>
      </c>
      <c r="BL58" s="407">
        <f>'[24]BP RI'!$C$43/1000</f>
        <v>9109.3289999999997</v>
      </c>
    </row>
    <row r="59" spans="2:65" ht="15">
      <c r="B59" s="222" t="s">
        <v>44</v>
      </c>
      <c r="C59" s="222"/>
      <c r="D59" s="222"/>
      <c r="E59" s="222"/>
      <c r="F59" s="238">
        <v>2142</v>
      </c>
      <c r="G59" s="238">
        <v>3143</v>
      </c>
      <c r="H59" s="238">
        <v>3244</v>
      </c>
      <c r="I59" s="238">
        <v>3933</v>
      </c>
      <c r="J59" s="238">
        <v>3449</v>
      </c>
      <c r="K59" s="238">
        <v>2826</v>
      </c>
      <c r="L59" s="238">
        <v>2127</v>
      </c>
      <c r="M59" s="238">
        <v>1357</v>
      </c>
      <c r="N59" s="238">
        <v>1352</v>
      </c>
      <c r="O59" s="238">
        <v>1483</v>
      </c>
      <c r="P59" s="238">
        <v>2345</v>
      </c>
      <c r="Q59" s="238">
        <v>1693</v>
      </c>
      <c r="R59" s="238">
        <v>1729</v>
      </c>
      <c r="S59" s="238">
        <v>1289</v>
      </c>
      <c r="T59" s="238">
        <v>1611</v>
      </c>
      <c r="U59" s="238">
        <v>1715</v>
      </c>
      <c r="V59" s="238">
        <v>1884</v>
      </c>
      <c r="W59" s="238">
        <v>2971</v>
      </c>
      <c r="X59" s="238">
        <v>2756</v>
      </c>
      <c r="Y59" s="238">
        <v>2324</v>
      </c>
      <c r="Z59" s="238">
        <v>3180</v>
      </c>
      <c r="AA59" s="238">
        <v>1770</v>
      </c>
      <c r="AB59" s="238">
        <v>1742</v>
      </c>
      <c r="AC59" s="238">
        <v>1811</v>
      </c>
      <c r="AD59" s="238">
        <v>1678</v>
      </c>
      <c r="AE59" s="238">
        <v>1299</v>
      </c>
      <c r="AF59" s="238">
        <v>1950</v>
      </c>
      <c r="AG59" s="238">
        <v>2038</v>
      </c>
      <c r="AH59" s="238">
        <v>2366</v>
      </c>
      <c r="AI59" s="238">
        <v>2584</v>
      </c>
      <c r="AJ59" s="238">
        <v>2132</v>
      </c>
      <c r="AK59" s="238">
        <v>2387</v>
      </c>
      <c r="AL59" s="238">
        <v>2464</v>
      </c>
      <c r="AM59" s="238">
        <v>1959</v>
      </c>
      <c r="AN59" s="238">
        <v>2196</v>
      </c>
      <c r="AO59" s="238">
        <v>4458</v>
      </c>
      <c r="AP59" s="238">
        <v>4185</v>
      </c>
      <c r="AQ59" s="238">
        <v>4186</v>
      </c>
      <c r="AR59" s="238">
        <v>4480</v>
      </c>
      <c r="AS59" s="238">
        <v>2004.3409999999999</v>
      </c>
      <c r="AT59" s="238">
        <v>2179.6770000000001</v>
      </c>
      <c r="AU59" s="238">
        <v>2317</v>
      </c>
      <c r="AV59" s="238">
        <v>2177</v>
      </c>
      <c r="AW59" s="238">
        <v>1822</v>
      </c>
      <c r="AX59" s="238">
        <v>2911.8969999999999</v>
      </c>
      <c r="AY59" s="238">
        <v>1851</v>
      </c>
      <c r="AZ59" s="238">
        <v>2193.3330000000001</v>
      </c>
      <c r="BA59" s="238">
        <v>1544.211</v>
      </c>
      <c r="BB59" s="238">
        <v>3609.587</v>
      </c>
      <c r="BC59" s="238">
        <v>3856.3470000000002</v>
      </c>
      <c r="BD59" s="238">
        <v>2146.6660000000002</v>
      </c>
      <c r="BE59" s="238">
        <f>1424.043+7.463</f>
        <v>1431.5059999999999</v>
      </c>
      <c r="BF59" s="238">
        <v>452.077</v>
      </c>
      <c r="BG59" s="238">
        <v>261.101</v>
      </c>
      <c r="BH59" s="238">
        <f>('[21]BP RI'!$C$44+'[21]BP RI'!$C$45)/1000</f>
        <v>746.98800000000006</v>
      </c>
      <c r="BI59" s="238">
        <f>([22]BP!$I$46+[22]BP!$I$47)/1000</f>
        <v>1766.4929999999999</v>
      </c>
      <c r="BJ59" s="238">
        <f>SUM([25]BP!$I$44:$I$45)/1000</f>
        <v>2084.192</v>
      </c>
      <c r="BK59" s="238" cm="1">
        <f t="array" ref="BK59">SUM([23]BP!$I$44:$I$45/1000)</f>
        <v>3550.0199999999995</v>
      </c>
      <c r="BL59" s="238">
        <f>SUM('[24]BP RI'!$C$44:$C$45)/1000</f>
        <v>3885.6779999999999</v>
      </c>
    </row>
    <row r="60" spans="2:65" ht="15">
      <c r="B60" s="230" t="s">
        <v>34</v>
      </c>
      <c r="C60" s="231"/>
      <c r="D60" s="231"/>
      <c r="E60" s="231"/>
      <c r="F60" s="232">
        <v>1649</v>
      </c>
      <c r="G60" s="232">
        <v>1817</v>
      </c>
      <c r="H60" s="232">
        <v>2551</v>
      </c>
      <c r="I60" s="232">
        <v>1687</v>
      </c>
      <c r="J60" s="232">
        <v>1334</v>
      </c>
      <c r="K60" s="232">
        <v>1484</v>
      </c>
      <c r="L60" s="232">
        <v>1577</v>
      </c>
      <c r="M60" s="232">
        <v>1756</v>
      </c>
      <c r="N60" s="232">
        <v>1482</v>
      </c>
      <c r="O60" s="232">
        <v>1485</v>
      </c>
      <c r="P60" s="232">
        <v>1758</v>
      </c>
      <c r="Q60" s="232">
        <v>1546</v>
      </c>
      <c r="R60" s="232">
        <v>1495</v>
      </c>
      <c r="S60" s="232">
        <v>1599</v>
      </c>
      <c r="T60" s="232">
        <v>1670</v>
      </c>
      <c r="U60" s="232">
        <v>1850</v>
      </c>
      <c r="V60" s="232">
        <v>1553</v>
      </c>
      <c r="W60" s="232">
        <v>1753</v>
      </c>
      <c r="X60" s="232">
        <v>1987</v>
      </c>
      <c r="Y60" s="232">
        <v>2439</v>
      </c>
      <c r="Z60" s="232">
        <v>1683</v>
      </c>
      <c r="AA60" s="232">
        <v>1658</v>
      </c>
      <c r="AB60" s="232">
        <v>1918</v>
      </c>
      <c r="AC60" s="232">
        <v>2154</v>
      </c>
      <c r="AD60" s="232">
        <v>2043</v>
      </c>
      <c r="AE60" s="232">
        <v>1928</v>
      </c>
      <c r="AF60" s="232">
        <v>2103</v>
      </c>
      <c r="AG60" s="232">
        <v>2499</v>
      </c>
      <c r="AH60" s="232">
        <v>1949</v>
      </c>
      <c r="AI60" s="232">
        <v>1967</v>
      </c>
      <c r="AJ60" s="232">
        <v>2165</v>
      </c>
      <c r="AK60" s="232">
        <v>1846</v>
      </c>
      <c r="AL60" s="232">
        <v>1630</v>
      </c>
      <c r="AM60" s="232">
        <v>1364</v>
      </c>
      <c r="AN60" s="232">
        <v>1414</v>
      </c>
      <c r="AO60" s="232">
        <v>1419</v>
      </c>
      <c r="AP60" s="232">
        <f>AP57-(AP58+AP59)</f>
        <v>1296</v>
      </c>
      <c r="AQ60" s="232">
        <f>AQ57-(AQ58+AQ59)</f>
        <v>1360</v>
      </c>
      <c r="AR60" s="232">
        <f>AR57-(AR58+AR59)</f>
        <v>1539</v>
      </c>
      <c r="AS60" s="232">
        <v>2529.8249999999998</v>
      </c>
      <c r="AT60" s="232">
        <v>2498.9929999999999</v>
      </c>
      <c r="AU60" s="232">
        <f>AU57-AU58-AU59</f>
        <v>2220</v>
      </c>
      <c r="AV60" s="232">
        <v>2824</v>
      </c>
      <c r="AW60" s="232">
        <v>2563</v>
      </c>
      <c r="AX60" s="232">
        <v>2318</v>
      </c>
      <c r="AY60" s="232">
        <v>2031</v>
      </c>
      <c r="AZ60" s="232">
        <v>2136.3560000000002</v>
      </c>
      <c r="BA60" s="232">
        <v>2117.558</v>
      </c>
      <c r="BB60" s="232">
        <v>2213.002</v>
      </c>
      <c r="BC60" s="232">
        <v>2399.259</v>
      </c>
      <c r="BD60" s="232">
        <v>2471.98</v>
      </c>
      <c r="BE60" s="232">
        <v>4612.6840000000002</v>
      </c>
      <c r="BF60" s="232">
        <v>4193.6570000000002</v>
      </c>
      <c r="BG60" s="232">
        <v>3819.3829999999998</v>
      </c>
      <c r="BH60" s="232">
        <f>('[21]BP RI'!$C$46+'[21]BP RI'!$C$47+'[21]BP RI'!$C$48+'[21]BP RI'!$C$49+'[21]BP RI'!$C$50+'[21]BP RI'!$C$52+'[21]BP RI'!$C$53+'[21]BP RI'!$C$54+'[21]BP RI'!$C$55)/1000</f>
        <v>5163.558</v>
      </c>
      <c r="BI60" s="232">
        <f>([22]BP!$I$48+[22]BP!$I$49+[22]BP!$I$50+[22]BP!$I$51+[22]BP!$I$52+[22]BP!$I$53+[22]BP!$I$54+[22]BP!$I$55+[22]BP!$I$56+[22]BP!$I$57)/1000</f>
        <v>4253.1809999999996</v>
      </c>
      <c r="BJ60" s="232" cm="1">
        <f t="array" ref="BJ60">SUM([25]BP!$I$45:$I$54/1000)</f>
        <v>5400.29</v>
      </c>
      <c r="BK60" s="232">
        <v>3582</v>
      </c>
      <c r="BL60" s="232">
        <f>SUM('[24]BP RI'!$C$46:$C$54)/1000</f>
        <v>3672.201</v>
      </c>
      <c r="BM60" s="467"/>
    </row>
    <row r="61" spans="2:65" s="229" customFormat="1" ht="15">
      <c r="B61" s="227" t="s">
        <v>65</v>
      </c>
      <c r="C61" s="227"/>
      <c r="D61" s="227"/>
      <c r="E61" s="227"/>
      <c r="F61" s="228">
        <v>18345</v>
      </c>
      <c r="G61" s="228">
        <v>18074</v>
      </c>
      <c r="H61" s="228">
        <v>20663</v>
      </c>
      <c r="I61" s="228">
        <v>25532</v>
      </c>
      <c r="J61" s="228">
        <v>24642</v>
      </c>
      <c r="K61" s="228">
        <v>20940</v>
      </c>
      <c r="L61" s="228">
        <v>18558</v>
      </c>
      <c r="M61" s="228">
        <v>17760</v>
      </c>
      <c r="N61" s="228">
        <v>17967</v>
      </c>
      <c r="O61" s="228">
        <v>17817</v>
      </c>
      <c r="P61" s="228">
        <v>16421</v>
      </c>
      <c r="Q61" s="228">
        <v>17722</v>
      </c>
      <c r="R61" s="228">
        <v>16934</v>
      </c>
      <c r="S61" s="228">
        <v>14825</v>
      </c>
      <c r="T61" s="228">
        <v>16344</v>
      </c>
      <c r="U61" s="228">
        <v>16685</v>
      </c>
      <c r="V61" s="228">
        <v>16220</v>
      </c>
      <c r="W61" s="228">
        <v>16674</v>
      </c>
      <c r="X61" s="228">
        <v>16643</v>
      </c>
      <c r="Y61" s="228">
        <v>16472</v>
      </c>
      <c r="Z61" s="228">
        <f>SUM(Z62:Z65)</f>
        <v>15449</v>
      </c>
      <c r="AA61" s="228">
        <v>17861</v>
      </c>
      <c r="AB61" s="228">
        <v>18123</v>
      </c>
      <c r="AC61" s="228">
        <v>18958</v>
      </c>
      <c r="AD61" s="228">
        <v>19007</v>
      </c>
      <c r="AE61" s="228">
        <v>19513</v>
      </c>
      <c r="AF61" s="228">
        <v>20704</v>
      </c>
      <c r="AG61" s="228">
        <v>22015</v>
      </c>
      <c r="AH61" s="228">
        <v>26344</v>
      </c>
      <c r="AI61" s="228">
        <v>25197</v>
      </c>
      <c r="AJ61" s="228">
        <v>32050</v>
      </c>
      <c r="AK61" s="228">
        <v>30261</v>
      </c>
      <c r="AL61" s="228">
        <v>27282</v>
      </c>
      <c r="AM61" s="228">
        <v>24393</v>
      </c>
      <c r="AN61" s="228">
        <v>24703</v>
      </c>
      <c r="AO61" s="228">
        <v>21739</v>
      </c>
      <c r="AP61" s="228">
        <v>20007</v>
      </c>
      <c r="AQ61" s="228">
        <v>20221</v>
      </c>
      <c r="AR61" s="228">
        <v>18441</v>
      </c>
      <c r="AS61" s="228">
        <v>18693.7</v>
      </c>
      <c r="AT61" s="228">
        <v>18666</v>
      </c>
      <c r="AU61" s="228">
        <v>20044</v>
      </c>
      <c r="AV61" s="228">
        <f t="shared" ref="AV61:BB61" si="15">SUM(AV62:AV65)</f>
        <v>20206</v>
      </c>
      <c r="AW61" s="228">
        <f t="shared" si="15"/>
        <v>16838</v>
      </c>
      <c r="AX61" s="228">
        <f t="shared" si="15"/>
        <v>16401.553</v>
      </c>
      <c r="AY61" s="228">
        <f t="shared" si="15"/>
        <v>16842</v>
      </c>
      <c r="AZ61" s="228">
        <f t="shared" si="15"/>
        <v>17327.991999999998</v>
      </c>
      <c r="BA61" s="228">
        <f t="shared" si="15"/>
        <v>19404.974000000002</v>
      </c>
      <c r="BB61" s="228">
        <f t="shared" si="15"/>
        <v>21187.567999999999</v>
      </c>
      <c r="BC61" s="228">
        <f t="shared" ref="BC61:BG61" si="16">SUM(BC62:BC65)</f>
        <v>22174.964</v>
      </c>
      <c r="BD61" s="228">
        <f t="shared" si="16"/>
        <v>22761.530999999999</v>
      </c>
      <c r="BE61" s="228">
        <f t="shared" si="16"/>
        <v>20555.655999999999</v>
      </c>
      <c r="BF61" s="228">
        <f t="shared" si="16"/>
        <v>21950.894</v>
      </c>
      <c r="BG61" s="228">
        <f t="shared" si="16"/>
        <v>19775.892999999996</v>
      </c>
      <c r="BH61" s="228">
        <f t="shared" ref="BH61:BI61" si="17">SUM(BH62:BH65)</f>
        <v>20908.707999999995</v>
      </c>
      <c r="BI61" s="228">
        <f t="shared" si="17"/>
        <v>16962.150000000001</v>
      </c>
      <c r="BJ61" s="228">
        <f>SUM(BJ62:BJ65)</f>
        <v>15057.499</v>
      </c>
      <c r="BK61" s="228">
        <f>SUM(BK62:BK65)</f>
        <v>13610.911</v>
      </c>
      <c r="BL61" s="228">
        <f>SUM(BL62:BL65)</f>
        <v>13726.46</v>
      </c>
    </row>
    <row r="62" spans="2:65" ht="15">
      <c r="B62" s="230" t="s">
        <v>44</v>
      </c>
      <c r="C62" s="231"/>
      <c r="D62" s="231"/>
      <c r="E62" s="231"/>
      <c r="F62" s="232">
        <v>13287</v>
      </c>
      <c r="G62" s="232">
        <v>13340</v>
      </c>
      <c r="H62" s="232">
        <v>15767</v>
      </c>
      <c r="I62" s="232">
        <v>19301</v>
      </c>
      <c r="J62" s="232">
        <v>18700</v>
      </c>
      <c r="K62" s="232">
        <v>16094</v>
      </c>
      <c r="L62" s="232">
        <v>13951</v>
      </c>
      <c r="M62" s="232">
        <v>13164</v>
      </c>
      <c r="N62" s="232">
        <v>13279</v>
      </c>
      <c r="O62" s="232">
        <v>13271</v>
      </c>
      <c r="P62" s="232">
        <v>11824</v>
      </c>
      <c r="Q62" s="232">
        <v>12977</v>
      </c>
      <c r="R62" s="232">
        <v>12506</v>
      </c>
      <c r="S62" s="232">
        <v>10619</v>
      </c>
      <c r="T62" s="232">
        <v>11913</v>
      </c>
      <c r="U62" s="232">
        <v>11182</v>
      </c>
      <c r="V62" s="232">
        <v>10874</v>
      </c>
      <c r="W62" s="232">
        <v>11297</v>
      </c>
      <c r="X62" s="232">
        <v>11571</v>
      </c>
      <c r="Y62" s="232">
        <v>11726</v>
      </c>
      <c r="Z62" s="232">
        <v>11304</v>
      </c>
      <c r="AA62" s="232">
        <v>13454</v>
      </c>
      <c r="AB62" s="232">
        <v>13622</v>
      </c>
      <c r="AC62" s="232">
        <v>14481</v>
      </c>
      <c r="AD62" s="232">
        <v>14583</v>
      </c>
      <c r="AE62" s="232">
        <v>14981</v>
      </c>
      <c r="AF62" s="232">
        <v>16131</v>
      </c>
      <c r="AG62" s="232">
        <v>17149</v>
      </c>
      <c r="AH62" s="232">
        <v>20588</v>
      </c>
      <c r="AI62" s="232">
        <v>19712</v>
      </c>
      <c r="AJ62" s="232">
        <v>25200</v>
      </c>
      <c r="AK62" s="232">
        <v>23827</v>
      </c>
      <c r="AL62" s="232">
        <v>20993</v>
      </c>
      <c r="AM62" s="232">
        <v>18497</v>
      </c>
      <c r="AN62" s="232">
        <v>18703</v>
      </c>
      <c r="AO62" s="232">
        <v>15960</v>
      </c>
      <c r="AP62" s="232">
        <v>15373</v>
      </c>
      <c r="AQ62" s="232">
        <v>15646</v>
      </c>
      <c r="AR62" s="232">
        <v>14130</v>
      </c>
      <c r="AS62" s="232">
        <v>14457.315000000001</v>
      </c>
      <c r="AT62" s="232">
        <v>14496</v>
      </c>
      <c r="AU62" s="232">
        <v>15759</v>
      </c>
      <c r="AV62" s="232">
        <v>15977</v>
      </c>
      <c r="AW62" s="232">
        <v>11546</v>
      </c>
      <c r="AX62" s="232">
        <v>10529.771000000001</v>
      </c>
      <c r="AY62" s="232">
        <v>9883</v>
      </c>
      <c r="AZ62" s="232">
        <v>10339.046</v>
      </c>
      <c r="BA62" s="232">
        <v>11594.611999999999</v>
      </c>
      <c r="BB62" s="232">
        <v>13476.769</v>
      </c>
      <c r="BC62" s="232">
        <v>14216.089</v>
      </c>
      <c r="BD62" s="232">
        <v>14473.251</v>
      </c>
      <c r="BE62" s="232">
        <v>16083.844999999999</v>
      </c>
      <c r="BF62" s="232">
        <v>17313.159</v>
      </c>
      <c r="BG62" s="232">
        <v>15545.06</v>
      </c>
      <c r="BH62" s="232">
        <f>('[21]BP RI'!$C$58+'[21]BP RI'!$C$59)/1000</f>
        <v>16374.067999999999</v>
      </c>
      <c r="BI62" s="232">
        <f>([22]BP!$I$60+[22]BP!$I$61)/1000</f>
        <v>12273.2</v>
      </c>
      <c r="BJ62" s="232">
        <f>SUM([25]BP!$I$57:$I$58)/1000</f>
        <v>10683.415000000001</v>
      </c>
      <c r="BK62" s="232">
        <f>SUM([23]BP!$I$57:$I$58)/1000</f>
        <v>8894.7459999999992</v>
      </c>
      <c r="BL62" s="232">
        <f>SUM('[24]BP RI'!$C$57:$C$58)/1000</f>
        <v>8969.93</v>
      </c>
      <c r="BM62" s="467"/>
    </row>
    <row r="63" spans="2:65" ht="15">
      <c r="B63" s="222" t="s">
        <v>38</v>
      </c>
      <c r="C63" s="222"/>
      <c r="D63" s="222"/>
      <c r="E63" s="222"/>
      <c r="F63" s="238">
        <v>2311</v>
      </c>
      <c r="G63" s="238">
        <v>2613</v>
      </c>
      <c r="H63" s="238">
        <v>2591</v>
      </c>
      <c r="I63" s="238">
        <v>3060</v>
      </c>
      <c r="J63" s="238">
        <v>2986</v>
      </c>
      <c r="K63" s="238">
        <v>2374</v>
      </c>
      <c r="L63" s="238">
        <v>2210</v>
      </c>
      <c r="M63" s="238">
        <v>2274</v>
      </c>
      <c r="N63" s="238">
        <v>2270</v>
      </c>
      <c r="O63" s="238">
        <v>2226</v>
      </c>
      <c r="P63" s="238">
        <v>2160</v>
      </c>
      <c r="Q63" s="238">
        <v>2271</v>
      </c>
      <c r="R63" s="238">
        <v>1976</v>
      </c>
      <c r="S63" s="238">
        <v>1885</v>
      </c>
      <c r="T63" s="238">
        <v>1851</v>
      </c>
      <c r="U63" s="238">
        <v>1859</v>
      </c>
      <c r="V63" s="238">
        <v>1769</v>
      </c>
      <c r="W63" s="238">
        <v>1764</v>
      </c>
      <c r="X63" s="238">
        <v>1750</v>
      </c>
      <c r="Y63" s="238">
        <v>1796</v>
      </c>
      <c r="Z63" s="238">
        <v>1242</v>
      </c>
      <c r="AA63" s="238">
        <v>1306</v>
      </c>
      <c r="AB63" s="238">
        <v>1284</v>
      </c>
      <c r="AC63" s="238">
        <v>1187</v>
      </c>
      <c r="AD63" s="238">
        <v>1104</v>
      </c>
      <c r="AE63" s="238">
        <v>1054</v>
      </c>
      <c r="AF63" s="238">
        <v>1157</v>
      </c>
      <c r="AG63" s="238">
        <v>945</v>
      </c>
      <c r="AH63" s="238">
        <v>1243</v>
      </c>
      <c r="AI63" s="238">
        <v>1215</v>
      </c>
      <c r="AJ63" s="238">
        <v>1304</v>
      </c>
      <c r="AK63" s="238">
        <v>914</v>
      </c>
      <c r="AL63" s="238">
        <v>830</v>
      </c>
      <c r="AM63" s="238">
        <v>725</v>
      </c>
      <c r="AN63" s="238">
        <v>726</v>
      </c>
      <c r="AO63" s="238">
        <v>395</v>
      </c>
      <c r="AP63" s="238">
        <v>306</v>
      </c>
      <c r="AQ63" s="238">
        <v>293</v>
      </c>
      <c r="AR63" s="238">
        <v>256</v>
      </c>
      <c r="AS63" s="238">
        <v>82.686000000000007</v>
      </c>
      <c r="AT63" s="238">
        <v>123.77200000000001</v>
      </c>
      <c r="AU63" s="238">
        <v>156</v>
      </c>
      <c r="AV63" s="238">
        <v>266</v>
      </c>
      <c r="AW63" s="238">
        <v>118</v>
      </c>
      <c r="AX63" s="238">
        <v>59.100999999999999</v>
      </c>
      <c r="AY63" s="238">
        <v>61</v>
      </c>
      <c r="AZ63" s="238">
        <v>71.62</v>
      </c>
      <c r="BA63" s="238">
        <v>517.41300000000001</v>
      </c>
      <c r="BB63" s="238">
        <v>70.361000000000004</v>
      </c>
      <c r="BC63" s="238">
        <v>69.641999999999996</v>
      </c>
      <c r="BD63" s="238">
        <v>46.683999999999997</v>
      </c>
      <c r="BE63" s="238">
        <v>61.561999999999998</v>
      </c>
      <c r="BF63" s="238">
        <v>59.633000000000003</v>
      </c>
      <c r="BG63" s="238">
        <v>56</v>
      </c>
      <c r="BH63" s="238">
        <f>'[21]BP RI'!$C$61/1000</f>
        <v>58.01</v>
      </c>
      <c r="BI63" s="238">
        <f>[22]BP!$I$63/1000</f>
        <v>98.974999999999994</v>
      </c>
      <c r="BJ63" s="238">
        <f>[25]BP!$I$60/1000</f>
        <v>87.909000000000006</v>
      </c>
      <c r="BK63" s="238">
        <f>[23]BP!$I$60/1000</f>
        <v>103.592</v>
      </c>
      <c r="BL63" s="238">
        <f>'[24]BP RI'!$C$60/1000</f>
        <v>109.13</v>
      </c>
    </row>
    <row r="64" spans="2:65" ht="15">
      <c r="B64" s="230" t="s">
        <v>45</v>
      </c>
      <c r="C64" s="231"/>
      <c r="D64" s="231"/>
      <c r="E64" s="231"/>
      <c r="F64" s="232">
        <v>817</v>
      </c>
      <c r="G64" s="232">
        <v>662</v>
      </c>
      <c r="H64" s="232">
        <v>822</v>
      </c>
      <c r="I64" s="232">
        <v>1276</v>
      </c>
      <c r="J64" s="232">
        <v>1192</v>
      </c>
      <c r="K64" s="232">
        <v>920</v>
      </c>
      <c r="L64" s="232">
        <v>923</v>
      </c>
      <c r="M64" s="232">
        <v>961</v>
      </c>
      <c r="N64" s="232">
        <v>946</v>
      </c>
      <c r="O64" s="232">
        <v>829</v>
      </c>
      <c r="P64" s="232">
        <v>779</v>
      </c>
      <c r="Q64" s="232">
        <v>834</v>
      </c>
      <c r="R64" s="232">
        <v>793</v>
      </c>
      <c r="S64" s="232">
        <v>720</v>
      </c>
      <c r="T64" s="232">
        <v>828</v>
      </c>
      <c r="U64" s="232">
        <v>1090</v>
      </c>
      <c r="V64" s="232">
        <v>1035</v>
      </c>
      <c r="W64" s="232">
        <v>1007</v>
      </c>
      <c r="X64" s="232">
        <v>1016</v>
      </c>
      <c r="Y64" s="232">
        <v>1188</v>
      </c>
      <c r="Z64" s="232">
        <v>1148</v>
      </c>
      <c r="AA64" s="232">
        <v>1169</v>
      </c>
      <c r="AB64" s="232">
        <v>1204</v>
      </c>
      <c r="AC64" s="232">
        <v>942</v>
      </c>
      <c r="AD64" s="232">
        <v>906</v>
      </c>
      <c r="AE64" s="232">
        <v>881</v>
      </c>
      <c r="AF64" s="232">
        <v>832</v>
      </c>
      <c r="AG64" s="232">
        <v>1273</v>
      </c>
      <c r="AH64" s="232">
        <v>1517</v>
      </c>
      <c r="AI64" s="232">
        <v>1490</v>
      </c>
      <c r="AJ64" s="232">
        <v>1740</v>
      </c>
      <c r="AK64" s="232">
        <v>1687</v>
      </c>
      <c r="AL64" s="232">
        <v>1582</v>
      </c>
      <c r="AM64" s="232">
        <v>1441</v>
      </c>
      <c r="AN64" s="232">
        <v>1468</v>
      </c>
      <c r="AO64" s="232">
        <v>1504</v>
      </c>
      <c r="AP64" s="232">
        <v>1466</v>
      </c>
      <c r="AQ64" s="232">
        <v>1452</v>
      </c>
      <c r="AR64" s="232">
        <v>1414</v>
      </c>
      <c r="AS64" s="232">
        <v>1424.6110000000001</v>
      </c>
      <c r="AT64" s="232">
        <v>1413</v>
      </c>
      <c r="AU64" s="232">
        <v>1577</v>
      </c>
      <c r="AV64" s="232">
        <v>1567</v>
      </c>
      <c r="AW64" s="232">
        <v>1357</v>
      </c>
      <c r="AX64" s="232">
        <v>1348.681</v>
      </c>
      <c r="AY64" s="232">
        <v>1261</v>
      </c>
      <c r="AZ64" s="232">
        <v>1368.7380000000001</v>
      </c>
      <c r="BA64" s="232">
        <v>1469.9490000000001</v>
      </c>
      <c r="BB64" s="232">
        <v>1790.4380000000001</v>
      </c>
      <c r="BC64" s="232">
        <v>1927.655</v>
      </c>
      <c r="BD64" s="232">
        <v>1993.136</v>
      </c>
      <c r="BE64" s="232">
        <f>1861.231</f>
        <v>1861.231</v>
      </c>
      <c r="BF64" s="232">
        <v>2021.694</v>
      </c>
      <c r="BG64" s="232">
        <v>1715.9469999999999</v>
      </c>
      <c r="BH64" s="232">
        <f>'[21]BP RI'!$C$65/1000</f>
        <v>1836.941</v>
      </c>
      <c r="BI64" s="232">
        <f>[22]BP!$I$67/1000</f>
        <v>1415.1510000000001</v>
      </c>
      <c r="BJ64" s="232">
        <f>[25]BP!$I$63/1000</f>
        <v>1192.9829999999999</v>
      </c>
      <c r="BK64" s="232">
        <f>[23]BP!$I$63/1000</f>
        <v>1309.6179999999999</v>
      </c>
      <c r="BL64" s="232">
        <f>'[24]BP RI'!$C$63/1000</f>
        <v>1239.732</v>
      </c>
    </row>
    <row r="65" spans="2:65" ht="15">
      <c r="B65" s="222" t="s">
        <v>34</v>
      </c>
      <c r="C65" s="222"/>
      <c r="D65" s="222"/>
      <c r="E65" s="222"/>
      <c r="F65" s="238">
        <v>1930</v>
      </c>
      <c r="G65" s="238">
        <v>1459</v>
      </c>
      <c r="H65" s="238">
        <v>1483</v>
      </c>
      <c r="I65" s="238">
        <v>1895</v>
      </c>
      <c r="J65" s="238">
        <v>1764</v>
      </c>
      <c r="K65" s="238">
        <v>1552</v>
      </c>
      <c r="L65" s="238">
        <v>1474</v>
      </c>
      <c r="M65" s="238">
        <v>1361</v>
      </c>
      <c r="N65" s="238">
        <v>1472</v>
      </c>
      <c r="O65" s="238">
        <v>1491</v>
      </c>
      <c r="P65" s="238">
        <v>1658</v>
      </c>
      <c r="Q65" s="238">
        <v>1640</v>
      </c>
      <c r="R65" s="238">
        <v>1659</v>
      </c>
      <c r="S65" s="238">
        <v>1601</v>
      </c>
      <c r="T65" s="238">
        <v>1752</v>
      </c>
      <c r="U65" s="238">
        <v>2554</v>
      </c>
      <c r="V65" s="238">
        <v>2542</v>
      </c>
      <c r="W65" s="238">
        <v>2606</v>
      </c>
      <c r="X65" s="238">
        <v>2305</v>
      </c>
      <c r="Y65" s="238">
        <v>1762</v>
      </c>
      <c r="Z65" s="238">
        <v>1755</v>
      </c>
      <c r="AA65" s="238">
        <v>1932</v>
      </c>
      <c r="AB65" s="238">
        <v>2013</v>
      </c>
      <c r="AC65" s="238">
        <v>2347</v>
      </c>
      <c r="AD65" s="238">
        <v>2414</v>
      </c>
      <c r="AE65" s="238">
        <v>2597</v>
      </c>
      <c r="AF65" s="238">
        <v>2584</v>
      </c>
      <c r="AG65" s="238">
        <v>2648</v>
      </c>
      <c r="AH65" s="238">
        <v>2996</v>
      </c>
      <c r="AI65" s="238">
        <v>2780</v>
      </c>
      <c r="AJ65" s="238">
        <v>3806</v>
      </c>
      <c r="AK65" s="238">
        <v>3833</v>
      </c>
      <c r="AL65" s="238">
        <v>3877</v>
      </c>
      <c r="AM65" s="238">
        <v>3730</v>
      </c>
      <c r="AN65" s="238">
        <v>3806</v>
      </c>
      <c r="AO65" s="238">
        <v>3880</v>
      </c>
      <c r="AP65" s="238">
        <f>AP61-(AP62+AP63+AP64)</f>
        <v>2862</v>
      </c>
      <c r="AQ65" s="238">
        <v>2830</v>
      </c>
      <c r="AR65" s="238">
        <v>2641</v>
      </c>
      <c r="AS65" s="238">
        <v>2729.0880000000002</v>
      </c>
      <c r="AT65" s="238">
        <v>2633.2280000000001</v>
      </c>
      <c r="AU65" s="238">
        <f>AU61-AU62-AU63-AU64</f>
        <v>2552</v>
      </c>
      <c r="AV65" s="238">
        <v>2396</v>
      </c>
      <c r="AW65" s="238">
        <v>3817</v>
      </c>
      <c r="AX65" s="238">
        <v>4464</v>
      </c>
      <c r="AY65" s="238">
        <v>5637</v>
      </c>
      <c r="AZ65" s="238">
        <v>5548.5879999999997</v>
      </c>
      <c r="BA65" s="238">
        <f>5823</f>
        <v>5823</v>
      </c>
      <c r="BB65" s="238">
        <f>5850</f>
        <v>5850</v>
      </c>
      <c r="BC65" s="238">
        <v>5961.5780000000004</v>
      </c>
      <c r="BD65" s="238">
        <v>6248.46</v>
      </c>
      <c r="BE65" s="238">
        <v>2549.018</v>
      </c>
      <c r="BF65" s="238">
        <v>2556.4079999999999</v>
      </c>
      <c r="BG65" s="238">
        <v>2458.886</v>
      </c>
      <c r="BH65" s="238">
        <f>('[21]BP RI'!$C$60+'[21]BP RI'!$C$63+'[21]BP RI'!$C$64+'[21]BP RI'!$C$67+'[21]BP RI'!$C$68)/1000</f>
        <v>2639.6889999999999</v>
      </c>
      <c r="BI65" s="238">
        <f>([22]BP!$I$62+[22]BP!$I$65+[22]BP!$I$66+[22]BP!$I$69+[22]BP!$I$70)/1000</f>
        <v>3174.8240000000001</v>
      </c>
      <c r="BJ65" s="238">
        <f>SUM([25]BP!$I$59,[25]BP!$I$61:$I$62,[25]BP!$I$64:$I$65)/1000</f>
        <v>3093.192</v>
      </c>
      <c r="BK65" s="238">
        <f>SUM([23]BP!$I$59,[23]BP!$I$61,[23]BP!$I$62,[23]BP!$I$64,[23]BP!$I$65)/1000</f>
        <v>3302.9549999999999</v>
      </c>
      <c r="BL65" s="238">
        <f>SUM('[24]BP RI'!$C$59,'[24]BP RI'!$C$61,'[24]BP RI'!$C$62,'[24]BP RI'!$C$64,'[24]BP RI'!$C$65)/1000</f>
        <v>3407.6680000000001</v>
      </c>
      <c r="BM65" s="467"/>
    </row>
    <row r="66" spans="2:65" s="229" customFormat="1" ht="15">
      <c r="B66" s="240" t="s">
        <v>67</v>
      </c>
      <c r="C66" s="240"/>
      <c r="D66" s="240"/>
      <c r="E66" s="240"/>
      <c r="F66" s="251">
        <v>17097</v>
      </c>
      <c r="G66" s="251">
        <v>21071</v>
      </c>
      <c r="H66" s="251">
        <v>24242</v>
      </c>
      <c r="I66" s="251">
        <v>25044</v>
      </c>
      <c r="J66" s="252">
        <v>24513</v>
      </c>
      <c r="K66" s="252">
        <v>22324</v>
      </c>
      <c r="L66" s="252">
        <v>22046</v>
      </c>
      <c r="M66" s="252">
        <v>22005</v>
      </c>
      <c r="N66" s="252">
        <v>22654</v>
      </c>
      <c r="O66" s="252">
        <v>23228</v>
      </c>
      <c r="P66" s="252">
        <v>20276</v>
      </c>
      <c r="Q66" s="252">
        <v>20147</v>
      </c>
      <c r="R66" s="252">
        <v>20386</v>
      </c>
      <c r="S66" s="252">
        <v>24506</v>
      </c>
      <c r="T66" s="252">
        <v>26631</v>
      </c>
      <c r="U66" s="252">
        <v>26520</v>
      </c>
      <c r="V66" s="252">
        <v>26742</v>
      </c>
      <c r="W66" s="252">
        <v>28421</v>
      </c>
      <c r="X66" s="252">
        <v>28886</v>
      </c>
      <c r="Y66" s="252">
        <v>28798</v>
      </c>
      <c r="Z66" s="252">
        <f>SUM(Z67:Z69)</f>
        <v>28475</v>
      </c>
      <c r="AA66" s="252">
        <v>30464</v>
      </c>
      <c r="AB66" s="252">
        <v>31136</v>
      </c>
      <c r="AC66" s="252">
        <v>32021</v>
      </c>
      <c r="AD66" s="252">
        <v>31643</v>
      </c>
      <c r="AE66" s="252">
        <v>31706</v>
      </c>
      <c r="AF66" s="252">
        <v>33208</v>
      </c>
      <c r="AG66" s="252">
        <v>33255</v>
      </c>
      <c r="AH66" s="252">
        <v>36439</v>
      </c>
      <c r="AI66" s="252">
        <v>35462</v>
      </c>
      <c r="AJ66" s="252">
        <v>36012</v>
      </c>
      <c r="AK66" s="252">
        <v>31970</v>
      </c>
      <c r="AL66" s="252">
        <v>30286</v>
      </c>
      <c r="AM66" s="252">
        <v>27761</v>
      </c>
      <c r="AN66" s="252">
        <v>27841</v>
      </c>
      <c r="AO66" s="252">
        <v>24274</v>
      </c>
      <c r="AP66" s="252">
        <v>24916</v>
      </c>
      <c r="AQ66" s="252">
        <v>25346</v>
      </c>
      <c r="AR66" s="252">
        <v>24903</v>
      </c>
      <c r="AS66" s="252">
        <v>23893.941000000003</v>
      </c>
      <c r="AT66" s="252">
        <v>24134.530999999999</v>
      </c>
      <c r="AU66" s="252">
        <v>25678</v>
      </c>
      <c r="AV66" s="252">
        <f t="shared" ref="AV66:BB66" si="18">SUM(AV67:AV69)</f>
        <v>26762</v>
      </c>
      <c r="AW66" s="252">
        <f t="shared" si="18"/>
        <v>25939</v>
      </c>
      <c r="AX66" s="252">
        <f t="shared" si="18"/>
        <v>26446.181</v>
      </c>
      <c r="AY66" s="252">
        <f t="shared" si="18"/>
        <v>26568</v>
      </c>
      <c r="AZ66" s="252">
        <f>SUM(AZ67:AZ69)</f>
        <v>27498.32</v>
      </c>
      <c r="BA66" s="252">
        <f t="shared" si="18"/>
        <v>27172.597000000002</v>
      </c>
      <c r="BB66" s="252">
        <f t="shared" si="18"/>
        <v>29324.733000000004</v>
      </c>
      <c r="BC66" s="252">
        <f t="shared" ref="BC66:BG66" si="19">SUM(BC67:BC69)</f>
        <v>30261.373000000003</v>
      </c>
      <c r="BD66" s="252">
        <f t="shared" si="19"/>
        <v>31493.303</v>
      </c>
      <c r="BE66" s="252">
        <f t="shared" si="19"/>
        <v>31085.21</v>
      </c>
      <c r="BF66" s="252">
        <f t="shared" si="19"/>
        <v>34694.260999999999</v>
      </c>
      <c r="BG66" s="252">
        <f t="shared" si="19"/>
        <v>36140.375</v>
      </c>
      <c r="BH66" s="252">
        <f t="shared" ref="BH66:BJ66" si="20">SUM(BH67:BH69)</f>
        <v>41298.404000000002</v>
      </c>
      <c r="BI66" s="252">
        <f t="shared" si="20"/>
        <v>42815.648999999998</v>
      </c>
      <c r="BJ66" s="252">
        <f t="shared" si="20"/>
        <v>42536.251000000004</v>
      </c>
      <c r="BK66" s="252">
        <f>SUM(BK67:BK69)</f>
        <v>47518.336000000003</v>
      </c>
      <c r="BL66" s="252">
        <f>SUM(BL67:BL69)</f>
        <v>49378.656999999999</v>
      </c>
      <c r="BM66" s="471"/>
    </row>
    <row r="67" spans="2:65" ht="15">
      <c r="B67" s="222" t="s">
        <v>46</v>
      </c>
      <c r="C67" s="222"/>
      <c r="D67" s="222"/>
      <c r="E67" s="222"/>
      <c r="F67" s="238">
        <v>7810</v>
      </c>
      <c r="G67" s="238">
        <v>14185</v>
      </c>
      <c r="H67" s="238">
        <v>14185</v>
      </c>
      <c r="I67" s="238">
        <v>14185</v>
      </c>
      <c r="J67" s="238">
        <v>14185</v>
      </c>
      <c r="K67" s="238">
        <v>14185</v>
      </c>
      <c r="L67" s="238">
        <v>14185</v>
      </c>
      <c r="M67" s="238">
        <v>14185</v>
      </c>
      <c r="N67" s="238">
        <v>14185</v>
      </c>
      <c r="O67" s="238">
        <v>14185</v>
      </c>
      <c r="P67" s="238">
        <v>14185</v>
      </c>
      <c r="Q67" s="238">
        <v>15651</v>
      </c>
      <c r="R67" s="238">
        <v>15651</v>
      </c>
      <c r="S67" s="238">
        <v>19249</v>
      </c>
      <c r="T67" s="238">
        <v>19249</v>
      </c>
      <c r="U67" s="238">
        <v>19249</v>
      </c>
      <c r="V67" s="238">
        <v>19249</v>
      </c>
      <c r="W67" s="238">
        <v>19249</v>
      </c>
      <c r="X67" s="238">
        <v>19249</v>
      </c>
      <c r="Y67" s="238">
        <v>19249</v>
      </c>
      <c r="Z67" s="238">
        <v>19249</v>
      </c>
      <c r="AA67" s="238">
        <v>19249</v>
      </c>
      <c r="AB67" s="238">
        <v>19249</v>
      </c>
      <c r="AC67" s="238">
        <v>19249</v>
      </c>
      <c r="AD67" s="238">
        <v>19249</v>
      </c>
      <c r="AE67" s="238">
        <v>19249</v>
      </c>
      <c r="AF67" s="238">
        <v>19249</v>
      </c>
      <c r="AG67" s="238">
        <v>19249</v>
      </c>
      <c r="AH67" s="238">
        <v>19249</v>
      </c>
      <c r="AI67" s="238">
        <v>19249</v>
      </c>
      <c r="AJ67" s="238">
        <v>19249</v>
      </c>
      <c r="AK67" s="238">
        <v>19249</v>
      </c>
      <c r="AL67" s="238">
        <v>19249</v>
      </c>
      <c r="AM67" s="238">
        <v>19249</v>
      </c>
      <c r="AN67" s="238">
        <v>19249</v>
      </c>
      <c r="AO67" s="238">
        <v>19249</v>
      </c>
      <c r="AP67" s="238">
        <v>19249</v>
      </c>
      <c r="AQ67" s="238">
        <v>19249</v>
      </c>
      <c r="AR67" s="238">
        <v>19249</v>
      </c>
      <c r="AS67" s="238">
        <v>19249.181</v>
      </c>
      <c r="AT67" s="238">
        <v>19249</v>
      </c>
      <c r="AU67" s="238">
        <v>19249</v>
      </c>
      <c r="AV67" s="238">
        <v>19249</v>
      </c>
      <c r="AW67" s="238">
        <v>19249</v>
      </c>
      <c r="AX67" s="238">
        <v>19249.181</v>
      </c>
      <c r="AY67" s="238">
        <v>19249</v>
      </c>
      <c r="AZ67" s="238">
        <v>19249.181</v>
      </c>
      <c r="BA67" s="238">
        <f>19249.181</f>
        <v>19249.181</v>
      </c>
      <c r="BB67" s="238">
        <f>19249.181</f>
        <v>19249.181</v>
      </c>
      <c r="BC67" s="238">
        <f>19249.181</f>
        <v>19249.181</v>
      </c>
      <c r="BD67" s="450">
        <f>19249.181</f>
        <v>19249.181</v>
      </c>
      <c r="BE67" s="450">
        <v>19249.181</v>
      </c>
      <c r="BF67" s="450">
        <v>19249.181</v>
      </c>
      <c r="BG67" s="450">
        <v>19249.181</v>
      </c>
      <c r="BH67" s="450">
        <f>'[21]BP RI'!$C$71/1000</f>
        <v>19249.181</v>
      </c>
      <c r="BI67" s="450">
        <f>'[21]BP RI'!$C$71/1000</f>
        <v>19249.181</v>
      </c>
      <c r="BJ67" s="450">
        <f>[25]BP!$I$68/1000</f>
        <v>19249.181</v>
      </c>
      <c r="BK67" s="450">
        <f>[23]BP!$I$68/1000</f>
        <v>19249.181</v>
      </c>
      <c r="BL67" s="450">
        <f>'[24]BP RI'!$C$68/1000</f>
        <v>19249.181</v>
      </c>
    </row>
    <row r="68" spans="2:65" ht="15">
      <c r="B68" s="231" t="s">
        <v>47</v>
      </c>
      <c r="C68" s="231"/>
      <c r="D68" s="231"/>
      <c r="E68" s="231"/>
      <c r="F68" s="232">
        <v>5544</v>
      </c>
      <c r="G68" s="232">
        <v>2669</v>
      </c>
      <c r="H68" s="232">
        <v>5036</v>
      </c>
      <c r="I68" s="232">
        <v>5982</v>
      </c>
      <c r="J68" s="232">
        <v>5888</v>
      </c>
      <c r="K68" s="232">
        <v>3983</v>
      </c>
      <c r="L68" s="232">
        <v>3866</v>
      </c>
      <c r="M68" s="232">
        <v>4323</v>
      </c>
      <c r="N68" s="232">
        <v>4851</v>
      </c>
      <c r="O68" s="232">
        <v>5248</v>
      </c>
      <c r="P68" s="232">
        <v>4871</v>
      </c>
      <c r="Q68" s="232">
        <v>3819</v>
      </c>
      <c r="R68" s="232">
        <v>3613</v>
      </c>
      <c r="S68" s="232">
        <v>3794</v>
      </c>
      <c r="T68" s="232">
        <v>5861</v>
      </c>
      <c r="U68" s="232">
        <v>5749</v>
      </c>
      <c r="V68" s="232">
        <v>5972</v>
      </c>
      <c r="W68" s="232">
        <v>7661</v>
      </c>
      <c r="X68" s="232">
        <v>8073</v>
      </c>
      <c r="Y68" s="232">
        <v>7997</v>
      </c>
      <c r="Z68" s="232">
        <v>7768</v>
      </c>
      <c r="AA68" s="232">
        <v>9298</v>
      </c>
      <c r="AB68" s="232">
        <v>9954</v>
      </c>
      <c r="AC68" s="232">
        <v>11090</v>
      </c>
      <c r="AD68" s="232">
        <v>10712</v>
      </c>
      <c r="AE68" s="232">
        <v>10747</v>
      </c>
      <c r="AF68" s="232">
        <v>12192</v>
      </c>
      <c r="AG68" s="232">
        <v>12952</v>
      </c>
      <c r="AH68" s="232">
        <v>16064</v>
      </c>
      <c r="AI68" s="232">
        <v>15104</v>
      </c>
      <c r="AJ68" s="232">
        <v>16459</v>
      </c>
      <c r="AK68" s="232">
        <v>12437</v>
      </c>
      <c r="AL68" s="232">
        <v>10765</v>
      </c>
      <c r="AM68" s="232">
        <v>8254</v>
      </c>
      <c r="AN68" s="232">
        <v>8333</v>
      </c>
      <c r="AO68" s="232">
        <v>4779</v>
      </c>
      <c r="AP68" s="232">
        <v>5414</v>
      </c>
      <c r="AQ68" s="232">
        <v>5834</v>
      </c>
      <c r="AR68" s="232">
        <v>5391</v>
      </c>
      <c r="AS68" s="232">
        <v>4396.0200000000004</v>
      </c>
      <c r="AT68" s="232">
        <v>4630.338999999999</v>
      </c>
      <c r="AU68" s="232">
        <f>AU66-AU67-AU69</f>
        <v>6138</v>
      </c>
      <c r="AV68" s="232">
        <v>7300</v>
      </c>
      <c r="AW68" s="232">
        <v>6482</v>
      </c>
      <c r="AX68" s="232">
        <v>6986</v>
      </c>
      <c r="AY68" s="232">
        <v>7116</v>
      </c>
      <c r="AZ68" s="232">
        <v>8033.1980000000003</v>
      </c>
      <c r="BA68" s="232">
        <v>7706</v>
      </c>
      <c r="BB68" s="232">
        <v>9871.4050000000007</v>
      </c>
      <c r="BC68" s="232">
        <v>10802.441000000001</v>
      </c>
      <c r="BD68" s="232">
        <v>12021.414000000001</v>
      </c>
      <c r="BE68" s="232">
        <v>11611.09</v>
      </c>
      <c r="BF68" s="232">
        <v>15194.092000000001</v>
      </c>
      <c r="BG68" s="232">
        <v>16664.401999999998</v>
      </c>
      <c r="BH68" s="232">
        <f>('[21]BP RI'!$C$72+'[21]BP RI'!$C$73+'[21]BP RI'!$C$74+'[21]BP RI'!$C$75+'[21]BP RI'!$C$76)/1000</f>
        <v>21833.844000000001</v>
      </c>
      <c r="BI68" s="232">
        <f>([22]BP!$I$74+[22]BP!$I$75+[22]BP!$I$76+[22]BP!$I$77)/1000</f>
        <v>23355.100999999999</v>
      </c>
      <c r="BJ68" s="232" cm="1">
        <f t="array" ref="BJ68">SUM([25]BP!$I$69:$I$73/1000)</f>
        <v>23079.183000000005</v>
      </c>
      <c r="BK68" s="232">
        <f>SUM([23]BP!$I$69:$I$73)/1000</f>
        <v>28084.044000000002</v>
      </c>
      <c r="BL68" s="232">
        <f>SUM('[24]BP RI'!$C$69:$C$73)/1000</f>
        <v>29938.975999999999</v>
      </c>
      <c r="BM68" s="467"/>
    </row>
    <row r="69" spans="2:65" ht="15">
      <c r="B69" s="222" t="s">
        <v>48</v>
      </c>
      <c r="C69" s="222"/>
      <c r="D69" s="222"/>
      <c r="E69" s="222"/>
      <c r="F69" s="238">
        <v>3743</v>
      </c>
      <c r="G69" s="238">
        <v>4217</v>
      </c>
      <c r="H69" s="238">
        <v>5021</v>
      </c>
      <c r="I69" s="238">
        <v>4877</v>
      </c>
      <c r="J69" s="238">
        <v>4440</v>
      </c>
      <c r="K69" s="238">
        <v>4156</v>
      </c>
      <c r="L69" s="238">
        <v>3995</v>
      </c>
      <c r="M69" s="238">
        <v>3497</v>
      </c>
      <c r="N69" s="238">
        <v>3618</v>
      </c>
      <c r="O69" s="238">
        <v>3795</v>
      </c>
      <c r="P69" s="238">
        <v>1220</v>
      </c>
      <c r="Q69" s="238">
        <v>677</v>
      </c>
      <c r="R69" s="238">
        <v>1122</v>
      </c>
      <c r="S69" s="238">
        <v>1463</v>
      </c>
      <c r="T69" s="238">
        <v>1521</v>
      </c>
      <c r="U69" s="238">
        <v>1522</v>
      </c>
      <c r="V69" s="238">
        <v>1521</v>
      </c>
      <c r="W69" s="238">
        <v>1511</v>
      </c>
      <c r="X69" s="238">
        <v>1563</v>
      </c>
      <c r="Y69" s="238">
        <v>1552</v>
      </c>
      <c r="Z69" s="238">
        <v>1458</v>
      </c>
      <c r="AA69" s="238">
        <v>1917</v>
      </c>
      <c r="AB69" s="238">
        <v>1933</v>
      </c>
      <c r="AC69" s="238">
        <v>1682</v>
      </c>
      <c r="AD69" s="238">
        <v>1682</v>
      </c>
      <c r="AE69" s="238">
        <v>1710</v>
      </c>
      <c r="AF69" s="238">
        <v>1767</v>
      </c>
      <c r="AG69" s="238">
        <v>1054</v>
      </c>
      <c r="AH69" s="238">
        <v>1126</v>
      </c>
      <c r="AI69" s="238">
        <v>1109</v>
      </c>
      <c r="AJ69" s="238">
        <v>304</v>
      </c>
      <c r="AK69" s="238">
        <v>284</v>
      </c>
      <c r="AL69" s="238">
        <v>272</v>
      </c>
      <c r="AM69" s="238">
        <v>257</v>
      </c>
      <c r="AN69" s="238">
        <v>259</v>
      </c>
      <c r="AO69" s="238">
        <v>246</v>
      </c>
      <c r="AP69" s="238">
        <v>253</v>
      </c>
      <c r="AQ69" s="238">
        <v>263</v>
      </c>
      <c r="AR69" s="238">
        <v>263</v>
      </c>
      <c r="AS69" s="238">
        <v>248.74</v>
      </c>
      <c r="AT69" s="238">
        <v>255.19200000000001</v>
      </c>
      <c r="AU69" s="238">
        <v>291</v>
      </c>
      <c r="AV69" s="238">
        <v>213</v>
      </c>
      <c r="AW69" s="238">
        <v>208</v>
      </c>
      <c r="AX69" s="238">
        <v>211</v>
      </c>
      <c r="AY69" s="238">
        <v>203</v>
      </c>
      <c r="AZ69" s="238">
        <v>215.941</v>
      </c>
      <c r="BA69" s="238">
        <f>217.416</f>
        <v>217.416</v>
      </c>
      <c r="BB69" s="238">
        <v>204.14699999999999</v>
      </c>
      <c r="BC69" s="238">
        <v>209.751</v>
      </c>
      <c r="BD69" s="238">
        <v>222.708</v>
      </c>
      <c r="BE69" s="238">
        <v>224.93899999999999</v>
      </c>
      <c r="BF69" s="238">
        <v>250.988</v>
      </c>
      <c r="BG69" s="238">
        <v>226.792</v>
      </c>
      <c r="BH69" s="238">
        <f>'[21]BP RI'!$C$79/1000</f>
        <v>215.37899999999999</v>
      </c>
      <c r="BI69" s="238">
        <f>[22]BP!$I$80/1000</f>
        <v>211.36699999999999</v>
      </c>
      <c r="BJ69" s="238">
        <f>[25]BP!$I$76/1000</f>
        <v>207.887</v>
      </c>
      <c r="BK69" s="238">
        <f>[23]BP!$I$76/1000</f>
        <v>185.11099999999999</v>
      </c>
      <c r="BL69" s="238">
        <f>'[24]BP RI'!$C$76/1000</f>
        <v>190.5</v>
      </c>
    </row>
    <row r="70" spans="2:65" s="229" customFormat="1" ht="15">
      <c r="B70" s="240" t="s">
        <v>325</v>
      </c>
      <c r="C70" s="240"/>
      <c r="D70" s="240"/>
      <c r="E70" s="240"/>
      <c r="F70" s="251">
        <v>42002</v>
      </c>
      <c r="G70" s="251">
        <v>47554</v>
      </c>
      <c r="H70" s="251">
        <v>54809</v>
      </c>
      <c r="I70" s="251">
        <v>59051</v>
      </c>
      <c r="J70" s="252">
        <v>56104</v>
      </c>
      <c r="K70" s="252">
        <v>49272</v>
      </c>
      <c r="L70" s="252">
        <v>45932</v>
      </c>
      <c r="M70" s="252">
        <v>44583</v>
      </c>
      <c r="N70" s="252">
        <v>45635</v>
      </c>
      <c r="O70" s="252">
        <v>46328</v>
      </c>
      <c r="P70" s="252">
        <v>42808</v>
      </c>
      <c r="Q70" s="252">
        <v>42891</v>
      </c>
      <c r="R70" s="252">
        <v>42932</v>
      </c>
      <c r="S70" s="252">
        <v>45036</v>
      </c>
      <c r="T70" s="252">
        <v>49427</v>
      </c>
      <c r="U70" s="252">
        <v>49982</v>
      </c>
      <c r="V70" s="252">
        <v>49628</v>
      </c>
      <c r="W70" s="252">
        <v>53346</v>
      </c>
      <c r="X70" s="252">
        <v>53598</v>
      </c>
      <c r="Y70" s="252">
        <v>53093</v>
      </c>
      <c r="Z70" s="252">
        <v>51807</v>
      </c>
      <c r="AA70" s="252">
        <v>55056</v>
      </c>
      <c r="AB70" s="252">
        <v>56208</v>
      </c>
      <c r="AC70" s="252">
        <v>58215</v>
      </c>
      <c r="AD70" s="252">
        <v>57554</v>
      </c>
      <c r="AE70" s="252">
        <v>57894</v>
      </c>
      <c r="AF70" s="252">
        <v>61472</v>
      </c>
      <c r="AG70" s="252">
        <v>63042</v>
      </c>
      <c r="AH70" s="252">
        <v>70843</v>
      </c>
      <c r="AI70" s="252">
        <v>68779</v>
      </c>
      <c r="AJ70" s="252">
        <v>76490</v>
      </c>
      <c r="AK70" s="252">
        <v>70095</v>
      </c>
      <c r="AL70" s="252">
        <v>65005</v>
      </c>
      <c r="AM70" s="252">
        <v>58234</v>
      </c>
      <c r="AN70" s="252">
        <v>58712</v>
      </c>
      <c r="AO70" s="252">
        <v>54635</v>
      </c>
      <c r="AP70" s="253">
        <v>53558</v>
      </c>
      <c r="AQ70" s="253">
        <v>54175</v>
      </c>
      <c r="AR70" s="253">
        <v>52575</v>
      </c>
      <c r="AS70" s="253">
        <f t="shared" ref="AS70:BA70" si="21">AS66+AS61+AS57</f>
        <v>50301.761000000006</v>
      </c>
      <c r="AT70" s="253">
        <f t="shared" si="21"/>
        <v>50975.531000000003</v>
      </c>
      <c r="AU70" s="253">
        <f t="shared" si="21"/>
        <v>54463</v>
      </c>
      <c r="AV70" s="253">
        <f t="shared" si="21"/>
        <v>56119</v>
      </c>
      <c r="AW70" s="253">
        <f t="shared" si="21"/>
        <v>51281</v>
      </c>
      <c r="AX70" s="253">
        <f t="shared" si="21"/>
        <v>52144.394</v>
      </c>
      <c r="AY70" s="253">
        <f t="shared" si="21"/>
        <v>51125</v>
      </c>
      <c r="AZ70" s="253">
        <f t="shared" si="21"/>
        <v>53046.091999999997</v>
      </c>
      <c r="BA70" s="253">
        <f t="shared" si="21"/>
        <v>54002.108000000007</v>
      </c>
      <c r="BB70" s="253">
        <f t="shared" ref="BB70:BG70" si="22">BB66+BB61+BB57</f>
        <v>60648.773000000008</v>
      </c>
      <c r="BC70" s="253">
        <f t="shared" si="22"/>
        <v>62600.419000000002</v>
      </c>
      <c r="BD70" s="253">
        <f t="shared" si="22"/>
        <v>63426.195000000007</v>
      </c>
      <c r="BE70" s="253">
        <f t="shared" si="22"/>
        <v>63123.008999999991</v>
      </c>
      <c r="BF70" s="253">
        <f t="shared" si="22"/>
        <v>68020.243000000002</v>
      </c>
      <c r="BG70" s="253">
        <f t="shared" si="22"/>
        <v>66892.046999999991</v>
      </c>
      <c r="BH70" s="253">
        <f t="shared" ref="BH70" si="23">BH66+BH61+BH57</f>
        <v>75362.166999999987</v>
      </c>
      <c r="BI70" s="253">
        <f>BI66+BI61+BI57</f>
        <v>73814.472999999998</v>
      </c>
      <c r="BJ70" s="253">
        <f>BJ66+BJ61+BJ57</f>
        <v>73147.47</v>
      </c>
      <c r="BK70" s="253">
        <f>BK66+BK61+BK57</f>
        <v>77656.107000000004</v>
      </c>
      <c r="BL70" s="253">
        <f>BL66+BL61+BL57</f>
        <v>79772.324999999997</v>
      </c>
    </row>
    <row r="71" spans="2:65" s="229" customFormat="1" ht="15">
      <c r="B71" s="247"/>
      <c r="C71" s="224"/>
      <c r="D71" s="224"/>
      <c r="E71" s="224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</row>
    <row r="72" spans="2:65" ht="15">
      <c r="B72" s="260" t="s">
        <v>79</v>
      </c>
      <c r="C72" s="222"/>
      <c r="D72" s="222"/>
      <c r="E72" s="222"/>
      <c r="F72" s="222"/>
      <c r="G72" s="222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</row>
    <row r="73" spans="2:65" ht="15">
      <c r="B73" s="231" t="s">
        <v>77</v>
      </c>
      <c r="C73" s="231"/>
      <c r="D73" s="231"/>
      <c r="E73" s="231"/>
      <c r="F73" s="259">
        <v>1.7379</v>
      </c>
      <c r="G73" s="259">
        <v>1.6559999999999999</v>
      </c>
      <c r="H73" s="259">
        <v>1.6674</v>
      </c>
      <c r="I73" s="259">
        <v>2.2766000000000002</v>
      </c>
      <c r="J73" s="259">
        <v>2.3113000000000001</v>
      </c>
      <c r="K73" s="259">
        <v>2.0728</v>
      </c>
      <c r="L73" s="259">
        <v>1.87</v>
      </c>
      <c r="M73" s="259">
        <v>1.74</v>
      </c>
      <c r="N73" s="259">
        <v>1.7998000000000001</v>
      </c>
      <c r="O73" s="259">
        <v>1.79</v>
      </c>
      <c r="P73" s="259">
        <v>1.75</v>
      </c>
      <c r="Q73" s="259">
        <v>1.7</v>
      </c>
      <c r="R73" s="259">
        <v>1.6673</v>
      </c>
      <c r="S73" s="259">
        <v>1.5956999999999999</v>
      </c>
      <c r="T73" s="259">
        <v>1.6356999999999999</v>
      </c>
      <c r="U73" s="259">
        <v>1.8011999999999999</v>
      </c>
      <c r="V73" s="259">
        <v>1.77</v>
      </c>
      <c r="W73" s="259">
        <v>1.96</v>
      </c>
      <c r="X73" s="259">
        <v>2.02</v>
      </c>
      <c r="Y73" s="259">
        <v>2.06</v>
      </c>
      <c r="Z73" s="259">
        <v>1.98</v>
      </c>
      <c r="AA73" s="259">
        <v>2.0699999999999998</v>
      </c>
      <c r="AB73" s="259">
        <v>2.29</v>
      </c>
      <c r="AC73" s="259">
        <v>2.27</v>
      </c>
      <c r="AD73" s="259">
        <v>2.37</v>
      </c>
      <c r="AE73" s="259">
        <v>2.23</v>
      </c>
      <c r="AF73" s="259">
        <v>2.27</v>
      </c>
      <c r="AG73" s="259">
        <v>2.54</v>
      </c>
      <c r="AH73" s="259">
        <v>2.87</v>
      </c>
      <c r="AI73" s="259">
        <v>3.07</v>
      </c>
      <c r="AJ73" s="259">
        <v>3.54</v>
      </c>
      <c r="AK73" s="259">
        <v>3.84</v>
      </c>
      <c r="AL73" s="259">
        <v>3.9</v>
      </c>
      <c r="AM73" s="259">
        <v>3.51</v>
      </c>
      <c r="AN73" s="259">
        <v>3.25</v>
      </c>
      <c r="AO73" s="259">
        <v>3.3</v>
      </c>
      <c r="AP73" s="259">
        <v>3.15</v>
      </c>
      <c r="AQ73" s="259">
        <v>3.29</v>
      </c>
      <c r="AR73" s="259">
        <v>3.13</v>
      </c>
      <c r="AS73" s="259">
        <v>3.2465999999999999</v>
      </c>
      <c r="AT73" s="259">
        <v>3.2433000000000001</v>
      </c>
      <c r="AU73" s="259">
        <v>3.6055999999999999</v>
      </c>
      <c r="AV73" s="259">
        <v>3.9504999999999999</v>
      </c>
      <c r="AW73" s="259">
        <v>3.8083999999999998</v>
      </c>
      <c r="AX73" s="259">
        <v>3.7684000000000002</v>
      </c>
      <c r="AY73" s="259">
        <v>3.92</v>
      </c>
      <c r="AZ73" s="259">
        <v>3.97</v>
      </c>
      <c r="BA73" s="259">
        <f>4.1158</f>
        <v>4.1158000000000001</v>
      </c>
      <c r="BB73" s="259">
        <v>4.4657</v>
      </c>
      <c r="BC73" s="259">
        <v>5.3853999999999997</v>
      </c>
      <c r="BD73" s="259">
        <v>5.3772000000000002</v>
      </c>
      <c r="BE73" s="259">
        <v>5.3921000000000001</v>
      </c>
      <c r="BF73" s="259">
        <v>5.4832999999999998</v>
      </c>
      <c r="BG73" s="259">
        <v>5.29</v>
      </c>
      <c r="BH73" s="259">
        <f>[14]Consolidado!$G$66</f>
        <v>5.2286000000000001</v>
      </c>
      <c r="BI73" s="259">
        <f>[15]Consolidado!$G$68</f>
        <v>5.5860000000000003</v>
      </c>
      <c r="BJ73" s="259">
        <f>[16]Consolidado!$G$68</f>
        <v>5.2298999999999998</v>
      </c>
      <c r="BK73" s="259">
        <f>[7]Consolidado!$G$68</f>
        <v>4.9265999999999996</v>
      </c>
      <c r="BL73" s="259">
        <f>[8]Consolidado!$G$68</f>
        <v>5.2462</v>
      </c>
    </row>
    <row r="74" spans="2:65" ht="15">
      <c r="B74" s="222" t="s">
        <v>78</v>
      </c>
      <c r="C74" s="222"/>
      <c r="D74" s="222"/>
      <c r="E74" s="222"/>
      <c r="F74" s="261">
        <v>1.7491000000000001</v>
      </c>
      <c r="G74" s="261">
        <v>1.5919000000000001</v>
      </c>
      <c r="H74" s="261">
        <v>1.9142999999999999</v>
      </c>
      <c r="I74" s="261">
        <v>2.3370000000000002</v>
      </c>
      <c r="J74" s="261">
        <v>2.3151999999999999</v>
      </c>
      <c r="K74" s="261">
        <v>1.9516</v>
      </c>
      <c r="L74" s="261">
        <v>1.78</v>
      </c>
      <c r="M74" s="261">
        <v>1.74</v>
      </c>
      <c r="N74" s="261">
        <v>1.7809999999999999</v>
      </c>
      <c r="O74" s="261">
        <v>1.8</v>
      </c>
      <c r="P74" s="261">
        <v>1.69</v>
      </c>
      <c r="Q74" s="261">
        <v>1.67</v>
      </c>
      <c r="R74" s="261">
        <v>1.6287</v>
      </c>
      <c r="S74" s="261">
        <v>1.5610999999999999</v>
      </c>
      <c r="T74" s="261">
        <v>1.8544</v>
      </c>
      <c r="U74" s="261">
        <v>1.8757999999999999</v>
      </c>
      <c r="V74" s="261">
        <v>1.82</v>
      </c>
      <c r="W74" s="261">
        <v>2.02</v>
      </c>
      <c r="X74" s="262">
        <v>2.0299999999999998</v>
      </c>
      <c r="Y74" s="262">
        <v>2.04</v>
      </c>
      <c r="Z74" s="262">
        <v>2.0099999999999998</v>
      </c>
      <c r="AA74" s="262">
        <v>2.2200000000000002</v>
      </c>
      <c r="AB74" s="262">
        <v>2.23</v>
      </c>
      <c r="AC74" s="262">
        <v>2.34</v>
      </c>
      <c r="AD74" s="262">
        <v>2.2599999999999998</v>
      </c>
      <c r="AE74" s="262">
        <v>2.2000000000000002</v>
      </c>
      <c r="AF74" s="262">
        <v>2.4500000000000002</v>
      </c>
      <c r="AG74" s="262">
        <v>2.66</v>
      </c>
      <c r="AH74" s="262">
        <v>3.21</v>
      </c>
      <c r="AI74" s="262">
        <v>3.1</v>
      </c>
      <c r="AJ74" s="262">
        <v>3.97</v>
      </c>
      <c r="AK74" s="262">
        <v>3.9</v>
      </c>
      <c r="AL74" s="262">
        <v>3.56</v>
      </c>
      <c r="AM74" s="262">
        <v>3.21</v>
      </c>
      <c r="AN74" s="262">
        <v>3.25</v>
      </c>
      <c r="AO74" s="262">
        <v>3.26</v>
      </c>
      <c r="AP74" s="262">
        <v>3.17</v>
      </c>
      <c r="AQ74" s="262">
        <v>3.31</v>
      </c>
      <c r="AR74" s="262">
        <v>3.16</v>
      </c>
      <c r="AS74" s="262">
        <v>3.3079999999999998</v>
      </c>
      <c r="AT74" s="262">
        <v>3.3237999999999999</v>
      </c>
      <c r="AU74" s="262">
        <v>3.8557999999999999</v>
      </c>
      <c r="AV74" s="262">
        <v>4.0038999999999998</v>
      </c>
      <c r="AW74" s="262">
        <v>3.8748</v>
      </c>
      <c r="AX74" s="262">
        <v>3.8967000000000001</v>
      </c>
      <c r="AY74" s="262">
        <v>3.83</v>
      </c>
      <c r="AZ74" s="262">
        <v>4.16</v>
      </c>
      <c r="BA74" s="262">
        <f>4.0307</f>
        <v>4.0307000000000004</v>
      </c>
      <c r="BB74" s="262">
        <v>5.1986999999999997</v>
      </c>
      <c r="BC74" s="262">
        <v>5.476</v>
      </c>
      <c r="BD74" s="262">
        <v>5.6406999999999998</v>
      </c>
      <c r="BE74" s="262">
        <v>5.1966999999999999</v>
      </c>
      <c r="BF74" s="262">
        <v>5.6973000000000003</v>
      </c>
      <c r="BG74" s="262">
        <v>5</v>
      </c>
      <c r="BH74" s="262">
        <f>[14]Consolidado!$G$67</f>
        <v>5.4394</v>
      </c>
      <c r="BI74" s="262">
        <f>[15]Consolidado!$G$69</f>
        <v>5.5804999999999998</v>
      </c>
      <c r="BJ74" s="262">
        <f>[16]Consolidado!$G$69</f>
        <v>4.7378</v>
      </c>
      <c r="BK74" s="262">
        <f>[7]Consolidado!$G$69</f>
        <v>5.2380000000000004</v>
      </c>
      <c r="BL74" s="262">
        <f>[8]Consolidado!$G$69</f>
        <v>5.4066000000000001</v>
      </c>
    </row>
    <row r="75" spans="2:65" ht="15">
      <c r="B75" s="225"/>
      <c r="C75" s="225"/>
      <c r="D75" s="225"/>
      <c r="E75" s="225"/>
      <c r="F75" s="225"/>
      <c r="G75" s="225"/>
      <c r="H75" s="225"/>
      <c r="I75" s="225"/>
      <c r="J75" s="225"/>
      <c r="K75" s="225"/>
      <c r="L75" s="225"/>
      <c r="M75" s="245"/>
      <c r="N75" s="245"/>
      <c r="O75" s="245"/>
      <c r="P75" s="245"/>
      <c r="Q75" s="245"/>
      <c r="R75" s="245"/>
      <c r="S75" s="24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</row>
    <row r="76" spans="2:65" ht="15"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45"/>
      <c r="N76" s="245"/>
      <c r="O76" s="245"/>
      <c r="P76" s="245"/>
      <c r="Q76" s="245"/>
      <c r="R76" s="245"/>
      <c r="S76" s="24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</row>
    <row r="77" spans="2:65" ht="15">
      <c r="B77" s="225"/>
      <c r="C77" s="225"/>
      <c r="D77" s="225"/>
      <c r="E77" s="225"/>
      <c r="F77" s="225"/>
      <c r="G77" s="225"/>
      <c r="H77" s="225"/>
      <c r="I77" s="225"/>
      <c r="J77" s="225"/>
      <c r="K77" s="225"/>
      <c r="L77" s="225"/>
      <c r="M77" s="245"/>
      <c r="N77" s="245"/>
      <c r="O77" s="245"/>
      <c r="P77" s="245"/>
      <c r="Q77" s="245"/>
      <c r="R77" s="245"/>
      <c r="S77" s="24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</row>
    <row r="78" spans="2:65" ht="15">
      <c r="B78" s="225"/>
      <c r="C78" s="225"/>
      <c r="D78" s="225"/>
      <c r="E78" s="225"/>
      <c r="F78" s="225"/>
      <c r="G78" s="225"/>
      <c r="H78" s="225"/>
      <c r="I78" s="225"/>
      <c r="J78" s="225"/>
      <c r="K78" s="225"/>
      <c r="L78" s="225"/>
      <c r="M78" s="245"/>
      <c r="N78" s="245"/>
      <c r="O78" s="245"/>
      <c r="P78" s="245"/>
      <c r="Q78" s="245"/>
      <c r="R78" s="245"/>
      <c r="S78" s="24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</row>
    <row r="79" spans="2:65">
      <c r="M79" s="249"/>
      <c r="N79" s="249"/>
      <c r="O79" s="249"/>
      <c r="P79" s="249"/>
      <c r="Q79" s="249"/>
      <c r="R79" s="249"/>
      <c r="S79" s="249"/>
    </row>
    <row r="80" spans="2:65">
      <c r="M80" s="249"/>
      <c r="N80" s="249"/>
      <c r="O80" s="249"/>
      <c r="P80" s="249"/>
      <c r="Q80" s="249"/>
      <c r="R80" s="249"/>
      <c r="S80" s="249"/>
    </row>
    <row r="81" spans="13:19">
      <c r="M81" s="249"/>
      <c r="N81" s="249"/>
      <c r="O81" s="249"/>
      <c r="P81" s="249"/>
      <c r="Q81" s="249"/>
      <c r="R81" s="249"/>
      <c r="S81" s="249"/>
    </row>
    <row r="82" spans="13:19">
      <c r="M82" s="249"/>
      <c r="N82" s="249"/>
      <c r="O82" s="249"/>
      <c r="P82" s="249"/>
      <c r="Q82" s="249"/>
      <c r="R82" s="249"/>
      <c r="S82" s="249"/>
    </row>
    <row r="83" spans="13:19">
      <c r="M83" s="249"/>
      <c r="N83" s="249"/>
      <c r="O83" s="249"/>
      <c r="P83" s="249"/>
      <c r="Q83" s="249"/>
      <c r="R83" s="249"/>
      <c r="S83" s="249"/>
    </row>
    <row r="84" spans="13:19">
      <c r="M84" s="249"/>
      <c r="N84" s="249"/>
      <c r="O84" s="249"/>
      <c r="P84" s="249"/>
      <c r="Q84" s="249"/>
      <c r="R84" s="249"/>
      <c r="S84" s="249"/>
    </row>
    <row r="85" spans="13:19">
      <c r="M85" s="249"/>
      <c r="N85" s="249"/>
      <c r="O85" s="249"/>
      <c r="P85" s="249"/>
      <c r="Q85" s="249"/>
      <c r="R85" s="249"/>
      <c r="S85" s="249"/>
    </row>
    <row r="86" spans="13:19">
      <c r="M86" s="249"/>
      <c r="N86" s="249"/>
      <c r="O86" s="249"/>
      <c r="P86" s="249"/>
      <c r="Q86" s="249"/>
      <c r="R86" s="249"/>
      <c r="S86" s="249"/>
    </row>
    <row r="87" spans="13:19">
      <c r="M87" s="249"/>
      <c r="N87" s="249"/>
      <c r="O87" s="249"/>
      <c r="P87" s="249"/>
      <c r="Q87" s="249"/>
      <c r="R87" s="249"/>
      <c r="S87" s="249"/>
    </row>
    <row r="88" spans="13:19">
      <c r="M88" s="249"/>
      <c r="N88" s="249"/>
      <c r="O88" s="249"/>
      <c r="P88" s="249"/>
      <c r="Q88" s="249"/>
      <c r="R88" s="249"/>
      <c r="S88" s="249"/>
    </row>
    <row r="89" spans="13:19">
      <c r="M89" s="249"/>
      <c r="N89" s="249"/>
      <c r="O89" s="249"/>
      <c r="P89" s="249"/>
      <c r="Q89" s="249"/>
      <c r="R89" s="249"/>
      <c r="S89" s="249"/>
    </row>
    <row r="94" spans="13:19">
      <c r="M94" s="249"/>
      <c r="N94" s="249"/>
      <c r="O94" s="249"/>
      <c r="P94" s="249"/>
      <c r="Q94" s="249"/>
      <c r="R94" s="249"/>
      <c r="S94" s="249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ignoredErrors>
    <ignoredError sqref="Z66 AY42:AZ42 AV57:AZ57 AX61 AV61:AW61 AY61:AZ61 AV66:AY66 BC2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7" ma:contentTypeDescription="Create a new document." ma:contentTypeScope="" ma:versionID="47203b2c581b6ba880433789da4440e3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7468a4f3f5de77ddf332acfc28757262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customXml/itemProps2.xml><?xml version="1.0" encoding="utf-8"?>
<ds:datastoreItem xmlns:ds="http://schemas.openxmlformats.org/officeDocument/2006/customXml" ds:itemID="{2BB704A0-E666-4074-BEA0-838F9B58130F}"/>
</file>

<file path=customXml/itemProps3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 Físicas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 Físicas'!Area_de_impressao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2022-11-30T17:45:50Z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</Properties>
</file>